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5A5CA6-D1FC-4E66-9DDC-614CF210F29E}" xr6:coauthVersionLast="47" xr6:coauthVersionMax="47" xr10:uidLastSave="{00000000-0000-0000-0000-000000000000}"/>
  <bookViews>
    <workbookView xWindow="-120" yWindow="-120" windowWidth="38640" windowHeight="15720"/>
  </bookViews>
  <sheets>
    <sheet name="Euro" sheetId="7" r:id="rId1"/>
    <sheet name="Control" sheetId="3" r:id="rId2"/>
    <sheet name="Sheet1" sheetId="9" state="hidden" r:id="rId3"/>
    <sheet name="Model" sheetId="6" r:id="rId4"/>
    <sheet name="CurveFetch" sheetId="1" r:id="rId5"/>
  </sheets>
  <externalReferences>
    <externalReference r:id="rId6"/>
  </externalReferences>
  <definedNames>
    <definedName name="Chart_Date">OFFSET(Model!$A$8,0,0,COUNTIF(Model!$E$8:$E$288,"&gt;0"),1)</definedName>
    <definedName name="Chart_Del">OFFSET(Model!$Y$8,0,0,COUNTIF(Model!$E$8:$E$288,"&gt;0"),1)</definedName>
    <definedName name="Chart_Rec">OFFSET(Model!$L$8,0,0,COUNTIF(Model!$E$8:$E$288,"&gt;0"),1)</definedName>
    <definedName name="Comp_Per">Control!$F$20</definedName>
    <definedName name="Cost_of_Funds">Control!$F$19</definedName>
    <definedName name="Count">CurveFetch!$A$4</definedName>
    <definedName name="curve_date">CurveFetch!$E$2</definedName>
    <definedName name="Curve_Fetch">CurveFetch!$D$8:$AJ$367</definedName>
    <definedName name="Curve_Fetch_Del_Curve">CurveFetch!$K$4</definedName>
    <definedName name="Curve_Fetch_Rec_Curve">CurveFetch!$H$4</definedName>
    <definedName name="CurveCode">CurveFetch!$B$4</definedName>
    <definedName name="CurvePrices">CurveFetch!$D$4:$E$9</definedName>
    <definedName name="CurveTable">CurveFetch!$E$1:$AJ$7</definedName>
    <definedName name="CurveType">CurveFetch!$B$5</definedName>
    <definedName name="Custom_Curves">#REF!</definedName>
    <definedName name="date">Control!$C$26</definedName>
    <definedName name="Days_in_Year">Control!$F$21</definedName>
    <definedName name="Dump">CurveFetch!$B$7</definedName>
    <definedName name="EffectiveDate">CurveFetch!$B$2</definedName>
    <definedName name="End_Date">Control!$C$18</definedName>
    <definedName name="Holiday" localSheetId="4">CurveFetch!$B$17:$B$29</definedName>
    <definedName name="Holidays">Control!$Y$7:$Y$18</definedName>
    <definedName name="Month">CurveFetch!$B$3</definedName>
    <definedName name="_xlnm.Print_Area" localSheetId="1">Control!$A$1:$G$62</definedName>
    <definedName name="_xlnm.Print_Area" localSheetId="4">CurveFetch!$D$2:$M$26</definedName>
    <definedName name="RiskType">CurveFetch!$B$6</definedName>
    <definedName name="Start_Date">Control!$C$17</definedName>
    <definedName name="Val_Date">Control!$F$17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F3" i="3"/>
  <c r="J3" i="3"/>
  <c r="F4" i="3"/>
  <c r="J5" i="3"/>
  <c r="B6" i="3"/>
  <c r="E6" i="3"/>
  <c r="C7" i="3"/>
  <c r="F7" i="3"/>
  <c r="C8" i="3"/>
  <c r="F8" i="3"/>
  <c r="C9" i="3"/>
  <c r="F9" i="3"/>
  <c r="C10" i="3"/>
  <c r="F10" i="3"/>
  <c r="J10" i="3"/>
  <c r="AD10" i="3"/>
  <c r="AD11" i="3"/>
  <c r="AJ11" i="3"/>
  <c r="AN11" i="3"/>
  <c r="B12" i="3"/>
  <c r="C12" i="3"/>
  <c r="E12" i="3"/>
  <c r="F12" i="3"/>
  <c r="AD12" i="3"/>
  <c r="AJ12" i="3"/>
  <c r="AN12" i="3"/>
  <c r="B13" i="3"/>
  <c r="C13" i="3"/>
  <c r="E13" i="3"/>
  <c r="F13" i="3"/>
  <c r="AD13" i="3"/>
  <c r="AJ13" i="3"/>
  <c r="AN13" i="3"/>
  <c r="AD14" i="3"/>
  <c r="AJ14" i="3"/>
  <c r="B15" i="3"/>
  <c r="AD15" i="3"/>
  <c r="AJ15" i="3"/>
  <c r="AD16" i="3"/>
  <c r="AJ16" i="3"/>
  <c r="C17" i="3"/>
  <c r="F17" i="3"/>
  <c r="AD17" i="3"/>
  <c r="AJ17" i="3"/>
  <c r="C18" i="3"/>
  <c r="F18" i="3"/>
  <c r="AD18" i="3"/>
  <c r="AJ18" i="3"/>
  <c r="AN18" i="3"/>
  <c r="C19" i="3"/>
  <c r="AD19" i="3"/>
  <c r="AJ19" i="3"/>
  <c r="C20" i="3"/>
  <c r="M20" i="3"/>
  <c r="AD20" i="3"/>
  <c r="AJ20" i="3"/>
  <c r="AN20" i="3"/>
  <c r="C21" i="3"/>
  <c r="AD21" i="3"/>
  <c r="AJ21" i="3"/>
  <c r="AD22" i="3"/>
  <c r="AJ22" i="3"/>
  <c r="AD23" i="3"/>
  <c r="AD24" i="3"/>
  <c r="C25" i="3"/>
  <c r="AD25" i="3"/>
  <c r="AD26" i="3"/>
  <c r="C27" i="3"/>
  <c r="AD27" i="3"/>
  <c r="AD28" i="3"/>
  <c r="AD29" i="3"/>
  <c r="AD30" i="3"/>
  <c r="C31" i="3"/>
  <c r="AD31" i="3"/>
  <c r="AD32" i="3"/>
  <c r="C33" i="3"/>
  <c r="AD33" i="3"/>
  <c r="C34" i="3"/>
  <c r="AD34" i="3"/>
  <c r="AD35" i="3"/>
  <c r="C36" i="3"/>
  <c r="AD36" i="3"/>
  <c r="AD37" i="3"/>
  <c r="C38" i="3"/>
  <c r="AD38" i="3"/>
  <c r="B39" i="3"/>
  <c r="C39" i="3"/>
  <c r="AD39" i="3"/>
  <c r="AD40" i="3"/>
  <c r="AD41" i="3"/>
  <c r="B56" i="3"/>
  <c r="B57" i="3"/>
  <c r="B58" i="3"/>
  <c r="B61" i="3"/>
  <c r="C64" i="3"/>
  <c r="D64" i="3"/>
  <c r="C65" i="3"/>
  <c r="D65" i="3"/>
  <c r="C66" i="3"/>
  <c r="D66" i="3"/>
  <c r="C67" i="3"/>
  <c r="D67" i="3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B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B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B4" i="1"/>
  <c r="B5" i="1"/>
  <c r="B6" i="1"/>
  <c r="B7" i="1"/>
  <c r="I7" i="7"/>
  <c r="E8" i="7"/>
  <c r="G8" i="7"/>
  <c r="I8" i="7"/>
  <c r="G9" i="7"/>
  <c r="I9" i="7"/>
  <c r="G10" i="7"/>
  <c r="I10" i="7"/>
  <c r="E11" i="7"/>
  <c r="G11" i="7"/>
  <c r="G12" i="7"/>
  <c r="B13" i="7"/>
  <c r="G17" i="7"/>
  <c r="I27" i="7"/>
  <c r="M27" i="7"/>
  <c r="Q27" i="7"/>
  <c r="Z28" i="7"/>
  <c r="B29" i="7"/>
  <c r="C29" i="7"/>
  <c r="E29" i="7"/>
  <c r="F29" i="7"/>
  <c r="G29" i="7"/>
  <c r="J29" i="7"/>
  <c r="L29" i="7"/>
  <c r="N29" i="7"/>
  <c r="P29" i="7"/>
  <c r="R29" i="7"/>
  <c r="T29" i="7"/>
  <c r="U29" i="7"/>
  <c r="W29" i="7"/>
  <c r="Y29" i="7"/>
  <c r="Z29" i="7"/>
  <c r="AA29" i="7"/>
  <c r="AB29" i="7"/>
  <c r="AD29" i="7"/>
  <c r="AE29" i="7"/>
  <c r="AF29" i="7"/>
  <c r="AG29" i="7"/>
  <c r="AH29" i="7"/>
  <c r="AI29" i="7"/>
  <c r="B30" i="7"/>
  <c r="C30" i="7"/>
  <c r="E30" i="7"/>
  <c r="F30" i="7"/>
  <c r="G30" i="7"/>
  <c r="J30" i="7"/>
  <c r="K30" i="7"/>
  <c r="L30" i="7"/>
  <c r="N30" i="7"/>
  <c r="O30" i="7"/>
  <c r="P30" i="7"/>
  <c r="R30" i="7"/>
  <c r="S30" i="7"/>
  <c r="T30" i="7"/>
  <c r="U30" i="7"/>
  <c r="W30" i="7"/>
  <c r="X30" i="7"/>
  <c r="Y30" i="7"/>
  <c r="Z30" i="7"/>
  <c r="AA30" i="7"/>
  <c r="AB30" i="7"/>
  <c r="AD30" i="7"/>
  <c r="AE30" i="7"/>
  <c r="AF30" i="7"/>
  <c r="AG30" i="7"/>
  <c r="AH30" i="7"/>
  <c r="AI30" i="7"/>
  <c r="B31" i="7"/>
  <c r="C31" i="7"/>
  <c r="E31" i="7"/>
  <c r="F31" i="7"/>
  <c r="G31" i="7"/>
  <c r="J31" i="7"/>
  <c r="K31" i="7"/>
  <c r="L31" i="7"/>
  <c r="N31" i="7"/>
  <c r="O31" i="7"/>
  <c r="P31" i="7"/>
  <c r="R31" i="7"/>
  <c r="S31" i="7"/>
  <c r="T31" i="7"/>
  <c r="U31" i="7"/>
  <c r="W31" i="7"/>
  <c r="X31" i="7"/>
  <c r="Y31" i="7"/>
  <c r="Z31" i="7"/>
  <c r="AA31" i="7"/>
  <c r="AB31" i="7"/>
  <c r="AD31" i="7"/>
  <c r="AE31" i="7"/>
  <c r="AF31" i="7"/>
  <c r="AG31" i="7"/>
  <c r="AH31" i="7"/>
  <c r="AI31" i="7"/>
  <c r="B32" i="7"/>
  <c r="C32" i="7"/>
  <c r="E32" i="7"/>
  <c r="F32" i="7"/>
  <c r="G32" i="7"/>
  <c r="J32" i="7"/>
  <c r="K32" i="7"/>
  <c r="L32" i="7"/>
  <c r="N32" i="7"/>
  <c r="O32" i="7"/>
  <c r="P32" i="7"/>
  <c r="R32" i="7"/>
  <c r="S32" i="7"/>
  <c r="T32" i="7"/>
  <c r="U32" i="7"/>
  <c r="W32" i="7"/>
  <c r="X32" i="7"/>
  <c r="Y32" i="7"/>
  <c r="Z32" i="7"/>
  <c r="AA32" i="7"/>
  <c r="AB32" i="7"/>
  <c r="AD32" i="7"/>
  <c r="AE32" i="7"/>
  <c r="AF32" i="7"/>
  <c r="AG32" i="7"/>
  <c r="AH32" i="7"/>
  <c r="AI32" i="7"/>
  <c r="B33" i="7"/>
  <c r="C33" i="7"/>
  <c r="E33" i="7"/>
  <c r="F33" i="7"/>
  <c r="G33" i="7"/>
  <c r="J33" i="7"/>
  <c r="K33" i="7"/>
  <c r="L33" i="7"/>
  <c r="N33" i="7"/>
  <c r="O33" i="7"/>
  <c r="P33" i="7"/>
  <c r="R33" i="7"/>
  <c r="S33" i="7"/>
  <c r="T33" i="7"/>
  <c r="U33" i="7"/>
  <c r="W33" i="7"/>
  <c r="X33" i="7"/>
  <c r="Y33" i="7"/>
  <c r="Z33" i="7"/>
  <c r="AA33" i="7"/>
  <c r="AB33" i="7"/>
  <c r="AD33" i="7"/>
  <c r="AE33" i="7"/>
  <c r="AF33" i="7"/>
  <c r="AG33" i="7"/>
  <c r="AH33" i="7"/>
  <c r="AI33" i="7"/>
  <c r="B34" i="7"/>
  <c r="C34" i="7"/>
  <c r="E34" i="7"/>
  <c r="F34" i="7"/>
  <c r="G34" i="7"/>
  <c r="J34" i="7"/>
  <c r="K34" i="7"/>
  <c r="L34" i="7"/>
  <c r="N34" i="7"/>
  <c r="O34" i="7"/>
  <c r="P34" i="7"/>
  <c r="R34" i="7"/>
  <c r="S34" i="7"/>
  <c r="T34" i="7"/>
  <c r="U34" i="7"/>
  <c r="W34" i="7"/>
  <c r="X34" i="7"/>
  <c r="Y34" i="7"/>
  <c r="Z34" i="7"/>
  <c r="AA34" i="7"/>
  <c r="AB34" i="7"/>
  <c r="AD34" i="7"/>
  <c r="AE34" i="7"/>
  <c r="AF34" i="7"/>
  <c r="AG34" i="7"/>
  <c r="AH34" i="7"/>
  <c r="AI34" i="7"/>
  <c r="B35" i="7"/>
  <c r="C35" i="7"/>
  <c r="E35" i="7"/>
  <c r="F35" i="7"/>
  <c r="G35" i="7"/>
  <c r="J35" i="7"/>
  <c r="K35" i="7"/>
  <c r="L35" i="7"/>
  <c r="N35" i="7"/>
  <c r="O35" i="7"/>
  <c r="P35" i="7"/>
  <c r="R35" i="7"/>
  <c r="S35" i="7"/>
  <c r="T35" i="7"/>
  <c r="U35" i="7"/>
  <c r="W35" i="7"/>
  <c r="X35" i="7"/>
  <c r="Y35" i="7"/>
  <c r="Z35" i="7"/>
  <c r="AA35" i="7"/>
  <c r="AB35" i="7"/>
  <c r="AD35" i="7"/>
  <c r="AE35" i="7"/>
  <c r="AF35" i="7"/>
  <c r="AG35" i="7"/>
  <c r="AH35" i="7"/>
  <c r="AI35" i="7"/>
  <c r="B36" i="7"/>
  <c r="C36" i="7"/>
  <c r="E36" i="7"/>
  <c r="F36" i="7"/>
  <c r="G36" i="7"/>
  <c r="J36" i="7"/>
  <c r="K36" i="7"/>
  <c r="L36" i="7"/>
  <c r="N36" i="7"/>
  <c r="O36" i="7"/>
  <c r="P36" i="7"/>
  <c r="R36" i="7"/>
  <c r="S36" i="7"/>
  <c r="T36" i="7"/>
  <c r="U36" i="7"/>
  <c r="W36" i="7"/>
  <c r="X36" i="7"/>
  <c r="Y36" i="7"/>
  <c r="Z36" i="7"/>
  <c r="AA36" i="7"/>
  <c r="AB36" i="7"/>
  <c r="AD36" i="7"/>
  <c r="AE36" i="7"/>
  <c r="AF36" i="7"/>
  <c r="AG36" i="7"/>
  <c r="AH36" i="7"/>
  <c r="AI36" i="7"/>
  <c r="B37" i="7"/>
  <c r="C37" i="7"/>
  <c r="E37" i="7"/>
  <c r="F37" i="7"/>
  <c r="G37" i="7"/>
  <c r="J37" i="7"/>
  <c r="K37" i="7"/>
  <c r="L37" i="7"/>
  <c r="N37" i="7"/>
  <c r="O37" i="7"/>
  <c r="P37" i="7"/>
  <c r="R37" i="7"/>
  <c r="S37" i="7"/>
  <c r="T37" i="7"/>
  <c r="U37" i="7"/>
  <c r="W37" i="7"/>
  <c r="X37" i="7"/>
  <c r="Y37" i="7"/>
  <c r="Z37" i="7"/>
  <c r="AA37" i="7"/>
  <c r="AB37" i="7"/>
  <c r="AD37" i="7"/>
  <c r="AE37" i="7"/>
  <c r="AF37" i="7"/>
  <c r="AG37" i="7"/>
  <c r="AH37" i="7"/>
  <c r="AI37" i="7"/>
  <c r="B38" i="7"/>
  <c r="C38" i="7"/>
  <c r="E38" i="7"/>
  <c r="F38" i="7"/>
  <c r="G38" i="7"/>
  <c r="J38" i="7"/>
  <c r="K38" i="7"/>
  <c r="L38" i="7"/>
  <c r="N38" i="7"/>
  <c r="O38" i="7"/>
  <c r="P38" i="7"/>
  <c r="R38" i="7"/>
  <c r="S38" i="7"/>
  <c r="T38" i="7"/>
  <c r="U38" i="7"/>
  <c r="W38" i="7"/>
  <c r="X38" i="7"/>
  <c r="Y38" i="7"/>
  <c r="Z38" i="7"/>
  <c r="AA38" i="7"/>
  <c r="AB38" i="7"/>
  <c r="AD38" i="7"/>
  <c r="AE38" i="7"/>
  <c r="AF38" i="7"/>
  <c r="AG38" i="7"/>
  <c r="AH38" i="7"/>
  <c r="AI38" i="7"/>
  <c r="B39" i="7"/>
  <c r="C39" i="7"/>
  <c r="E39" i="7"/>
  <c r="F39" i="7"/>
  <c r="G39" i="7"/>
  <c r="J39" i="7"/>
  <c r="K39" i="7"/>
  <c r="L39" i="7"/>
  <c r="N39" i="7"/>
  <c r="O39" i="7"/>
  <c r="P39" i="7"/>
  <c r="R39" i="7"/>
  <c r="S39" i="7"/>
  <c r="T39" i="7"/>
  <c r="U39" i="7"/>
  <c r="W39" i="7"/>
  <c r="X39" i="7"/>
  <c r="Y39" i="7"/>
  <c r="Z39" i="7"/>
  <c r="AA39" i="7"/>
  <c r="AB39" i="7"/>
  <c r="AD39" i="7"/>
  <c r="AE39" i="7"/>
  <c r="AF39" i="7"/>
  <c r="AG39" i="7"/>
  <c r="AH39" i="7"/>
  <c r="AI39" i="7"/>
  <c r="B40" i="7"/>
  <c r="C40" i="7"/>
  <c r="E40" i="7"/>
  <c r="F40" i="7"/>
  <c r="G40" i="7"/>
  <c r="J40" i="7"/>
  <c r="K40" i="7"/>
  <c r="L40" i="7"/>
  <c r="N40" i="7"/>
  <c r="O40" i="7"/>
  <c r="P40" i="7"/>
  <c r="R40" i="7"/>
  <c r="S40" i="7"/>
  <c r="T40" i="7"/>
  <c r="U40" i="7"/>
  <c r="W40" i="7"/>
  <c r="X40" i="7"/>
  <c r="Y40" i="7"/>
  <c r="Z40" i="7"/>
  <c r="AA40" i="7"/>
  <c r="AB40" i="7"/>
  <c r="AD40" i="7"/>
  <c r="AE40" i="7"/>
  <c r="AF40" i="7"/>
  <c r="AG40" i="7"/>
  <c r="AH40" i="7"/>
  <c r="AI40" i="7"/>
  <c r="B41" i="7"/>
  <c r="C41" i="7"/>
  <c r="E41" i="7"/>
  <c r="F41" i="7"/>
  <c r="G41" i="7"/>
  <c r="J41" i="7"/>
  <c r="K41" i="7"/>
  <c r="L41" i="7"/>
  <c r="N41" i="7"/>
  <c r="O41" i="7"/>
  <c r="P41" i="7"/>
  <c r="R41" i="7"/>
  <c r="S41" i="7"/>
  <c r="T41" i="7"/>
  <c r="U41" i="7"/>
  <c r="W41" i="7"/>
  <c r="X41" i="7"/>
  <c r="Y41" i="7"/>
  <c r="Z41" i="7"/>
  <c r="AA41" i="7"/>
  <c r="AB41" i="7"/>
  <c r="AD41" i="7"/>
  <c r="AE41" i="7"/>
  <c r="AF41" i="7"/>
  <c r="AG41" i="7"/>
  <c r="AH41" i="7"/>
  <c r="AI41" i="7"/>
  <c r="B42" i="7"/>
  <c r="C42" i="7"/>
  <c r="E42" i="7"/>
  <c r="F42" i="7"/>
  <c r="G42" i="7"/>
  <c r="J42" i="7"/>
  <c r="K42" i="7"/>
  <c r="L42" i="7"/>
  <c r="N42" i="7"/>
  <c r="O42" i="7"/>
  <c r="P42" i="7"/>
  <c r="R42" i="7"/>
  <c r="S42" i="7"/>
  <c r="T42" i="7"/>
  <c r="U42" i="7"/>
  <c r="W42" i="7"/>
  <c r="X42" i="7"/>
  <c r="Y42" i="7"/>
  <c r="Z42" i="7"/>
  <c r="AA42" i="7"/>
  <c r="AB42" i="7"/>
  <c r="AD42" i="7"/>
  <c r="AE42" i="7"/>
  <c r="AF42" i="7"/>
  <c r="AG42" i="7"/>
  <c r="AH42" i="7"/>
  <c r="AI42" i="7"/>
  <c r="B43" i="7"/>
  <c r="C43" i="7"/>
  <c r="E43" i="7"/>
  <c r="F43" i="7"/>
  <c r="G43" i="7"/>
  <c r="J43" i="7"/>
  <c r="K43" i="7"/>
  <c r="L43" i="7"/>
  <c r="N43" i="7"/>
  <c r="O43" i="7"/>
  <c r="P43" i="7"/>
  <c r="R43" i="7"/>
  <c r="S43" i="7"/>
  <c r="T43" i="7"/>
  <c r="U43" i="7"/>
  <c r="W43" i="7"/>
  <c r="X43" i="7"/>
  <c r="Y43" i="7"/>
  <c r="Z43" i="7"/>
  <c r="AA43" i="7"/>
  <c r="AB43" i="7"/>
  <c r="AD43" i="7"/>
  <c r="AE43" i="7"/>
  <c r="AF43" i="7"/>
  <c r="AG43" i="7"/>
  <c r="AH43" i="7"/>
  <c r="AI43" i="7"/>
  <c r="B44" i="7"/>
  <c r="C44" i="7"/>
  <c r="E44" i="7"/>
  <c r="F44" i="7"/>
  <c r="G44" i="7"/>
  <c r="J44" i="7"/>
  <c r="K44" i="7"/>
  <c r="L44" i="7"/>
  <c r="N44" i="7"/>
  <c r="O44" i="7"/>
  <c r="P44" i="7"/>
  <c r="R44" i="7"/>
  <c r="S44" i="7"/>
  <c r="T44" i="7"/>
  <c r="U44" i="7"/>
  <c r="W44" i="7"/>
  <c r="X44" i="7"/>
  <c r="Y44" i="7"/>
  <c r="Z44" i="7"/>
  <c r="AA44" i="7"/>
  <c r="AB44" i="7"/>
  <c r="AD44" i="7"/>
  <c r="AE44" i="7"/>
  <c r="AF44" i="7"/>
  <c r="AG44" i="7"/>
  <c r="AH44" i="7"/>
  <c r="AI44" i="7"/>
  <c r="B45" i="7"/>
  <c r="C45" i="7"/>
  <c r="E45" i="7"/>
  <c r="F45" i="7"/>
  <c r="G45" i="7"/>
  <c r="J45" i="7"/>
  <c r="K45" i="7"/>
  <c r="L45" i="7"/>
  <c r="N45" i="7"/>
  <c r="O45" i="7"/>
  <c r="P45" i="7"/>
  <c r="R45" i="7"/>
  <c r="S45" i="7"/>
  <c r="T45" i="7"/>
  <c r="U45" i="7"/>
  <c r="W45" i="7"/>
  <c r="X45" i="7"/>
  <c r="Y45" i="7"/>
  <c r="Z45" i="7"/>
  <c r="AA45" i="7"/>
  <c r="AB45" i="7"/>
  <c r="AD45" i="7"/>
  <c r="AE45" i="7"/>
  <c r="AF45" i="7"/>
  <c r="AG45" i="7"/>
  <c r="AH45" i="7"/>
  <c r="AI45" i="7"/>
  <c r="B46" i="7"/>
  <c r="C46" i="7"/>
  <c r="E46" i="7"/>
  <c r="F46" i="7"/>
  <c r="G46" i="7"/>
  <c r="J46" i="7"/>
  <c r="K46" i="7"/>
  <c r="L46" i="7"/>
  <c r="N46" i="7"/>
  <c r="O46" i="7"/>
  <c r="P46" i="7"/>
  <c r="R46" i="7"/>
  <c r="S46" i="7"/>
  <c r="T46" i="7"/>
  <c r="U46" i="7"/>
  <c r="W46" i="7"/>
  <c r="X46" i="7"/>
  <c r="Y46" i="7"/>
  <c r="Z46" i="7"/>
  <c r="AA46" i="7"/>
  <c r="AB46" i="7"/>
  <c r="AD46" i="7"/>
  <c r="AE46" i="7"/>
  <c r="AF46" i="7"/>
  <c r="AG46" i="7"/>
  <c r="AH46" i="7"/>
  <c r="AI46" i="7"/>
  <c r="B47" i="7"/>
  <c r="C47" i="7"/>
  <c r="E47" i="7"/>
  <c r="F47" i="7"/>
  <c r="G47" i="7"/>
  <c r="J47" i="7"/>
  <c r="K47" i="7"/>
  <c r="L47" i="7"/>
  <c r="N47" i="7"/>
  <c r="O47" i="7"/>
  <c r="P47" i="7"/>
  <c r="R47" i="7"/>
  <c r="S47" i="7"/>
  <c r="T47" i="7"/>
  <c r="U47" i="7"/>
  <c r="W47" i="7"/>
  <c r="X47" i="7"/>
  <c r="Y47" i="7"/>
  <c r="Z47" i="7"/>
  <c r="AA47" i="7"/>
  <c r="AB47" i="7"/>
  <c r="AD47" i="7"/>
  <c r="AE47" i="7"/>
  <c r="AF47" i="7"/>
  <c r="AG47" i="7"/>
  <c r="AH47" i="7"/>
  <c r="AI47" i="7"/>
  <c r="B48" i="7"/>
  <c r="C48" i="7"/>
  <c r="E48" i="7"/>
  <c r="F48" i="7"/>
  <c r="G48" i="7"/>
  <c r="J48" i="7"/>
  <c r="K48" i="7"/>
  <c r="L48" i="7"/>
  <c r="N48" i="7"/>
  <c r="O48" i="7"/>
  <c r="P48" i="7"/>
  <c r="R48" i="7"/>
  <c r="S48" i="7"/>
  <c r="T48" i="7"/>
  <c r="U48" i="7"/>
  <c r="W48" i="7"/>
  <c r="X48" i="7"/>
  <c r="Y48" i="7"/>
  <c r="Z48" i="7"/>
  <c r="AA48" i="7"/>
  <c r="AB48" i="7"/>
  <c r="AD48" i="7"/>
  <c r="AE48" i="7"/>
  <c r="AF48" i="7"/>
  <c r="AG48" i="7"/>
  <c r="AH48" i="7"/>
  <c r="AI48" i="7"/>
  <c r="B49" i="7"/>
  <c r="C49" i="7"/>
  <c r="E49" i="7"/>
  <c r="F49" i="7"/>
  <c r="G49" i="7"/>
  <c r="J49" i="7"/>
  <c r="K49" i="7"/>
  <c r="L49" i="7"/>
  <c r="N49" i="7"/>
  <c r="O49" i="7"/>
  <c r="P49" i="7"/>
  <c r="R49" i="7"/>
  <c r="S49" i="7"/>
  <c r="T49" i="7"/>
  <c r="U49" i="7"/>
  <c r="W49" i="7"/>
  <c r="X49" i="7"/>
  <c r="Y49" i="7"/>
  <c r="Z49" i="7"/>
  <c r="AA49" i="7"/>
  <c r="AB49" i="7"/>
  <c r="AD49" i="7"/>
  <c r="AE49" i="7"/>
  <c r="AF49" i="7"/>
  <c r="AG49" i="7"/>
  <c r="AH49" i="7"/>
  <c r="AI49" i="7"/>
  <c r="B50" i="7"/>
  <c r="C50" i="7"/>
  <c r="E50" i="7"/>
  <c r="F50" i="7"/>
  <c r="G50" i="7"/>
  <c r="J50" i="7"/>
  <c r="K50" i="7"/>
  <c r="L50" i="7"/>
  <c r="N50" i="7"/>
  <c r="O50" i="7"/>
  <c r="P50" i="7"/>
  <c r="R50" i="7"/>
  <c r="S50" i="7"/>
  <c r="T50" i="7"/>
  <c r="U50" i="7"/>
  <c r="W50" i="7"/>
  <c r="X50" i="7"/>
  <c r="Y50" i="7"/>
  <c r="Z50" i="7"/>
  <c r="AA50" i="7"/>
  <c r="AB50" i="7"/>
  <c r="AD50" i="7"/>
  <c r="AE50" i="7"/>
  <c r="AF50" i="7"/>
  <c r="AG50" i="7"/>
  <c r="AH50" i="7"/>
  <c r="AI50" i="7"/>
  <c r="B51" i="7"/>
  <c r="C51" i="7"/>
  <c r="E51" i="7"/>
  <c r="F51" i="7"/>
  <c r="G51" i="7"/>
  <c r="J51" i="7"/>
  <c r="K51" i="7"/>
  <c r="L51" i="7"/>
  <c r="N51" i="7"/>
  <c r="O51" i="7"/>
  <c r="P51" i="7"/>
  <c r="R51" i="7"/>
  <c r="S51" i="7"/>
  <c r="T51" i="7"/>
  <c r="U51" i="7"/>
  <c r="W51" i="7"/>
  <c r="X51" i="7"/>
  <c r="Y51" i="7"/>
  <c r="Z51" i="7"/>
  <c r="AA51" i="7"/>
  <c r="AB51" i="7"/>
  <c r="AD51" i="7"/>
  <c r="AE51" i="7"/>
  <c r="AF51" i="7"/>
  <c r="AG51" i="7"/>
  <c r="AH51" i="7"/>
  <c r="AI51" i="7"/>
  <c r="B52" i="7"/>
  <c r="C52" i="7"/>
  <c r="E52" i="7"/>
  <c r="F52" i="7"/>
  <c r="G52" i="7"/>
  <c r="J52" i="7"/>
  <c r="K52" i="7"/>
  <c r="L52" i="7"/>
  <c r="N52" i="7"/>
  <c r="O52" i="7"/>
  <c r="P52" i="7"/>
  <c r="R52" i="7"/>
  <c r="S52" i="7"/>
  <c r="T52" i="7"/>
  <c r="U52" i="7"/>
  <c r="W52" i="7"/>
  <c r="X52" i="7"/>
  <c r="Y52" i="7"/>
  <c r="Z52" i="7"/>
  <c r="AA52" i="7"/>
  <c r="AB52" i="7"/>
  <c r="AD52" i="7"/>
  <c r="AE52" i="7"/>
  <c r="AF52" i="7"/>
  <c r="AG52" i="7"/>
  <c r="AH52" i="7"/>
  <c r="AI52" i="7"/>
  <c r="B53" i="7"/>
  <c r="C53" i="7"/>
  <c r="E53" i="7"/>
  <c r="F53" i="7"/>
  <c r="G53" i="7"/>
  <c r="J53" i="7"/>
  <c r="K53" i="7"/>
  <c r="L53" i="7"/>
  <c r="N53" i="7"/>
  <c r="O53" i="7"/>
  <c r="P53" i="7"/>
  <c r="R53" i="7"/>
  <c r="S53" i="7"/>
  <c r="T53" i="7"/>
  <c r="U53" i="7"/>
  <c r="W53" i="7"/>
  <c r="X53" i="7"/>
  <c r="Y53" i="7"/>
  <c r="Z53" i="7"/>
  <c r="AA53" i="7"/>
  <c r="AB53" i="7"/>
  <c r="AD53" i="7"/>
  <c r="AE53" i="7"/>
  <c r="AF53" i="7"/>
  <c r="AG53" i="7"/>
  <c r="AH53" i="7"/>
  <c r="AI53" i="7"/>
  <c r="B54" i="7"/>
  <c r="C54" i="7"/>
  <c r="E54" i="7"/>
  <c r="F54" i="7"/>
  <c r="G54" i="7"/>
  <c r="J54" i="7"/>
  <c r="K54" i="7"/>
  <c r="L54" i="7"/>
  <c r="N54" i="7"/>
  <c r="O54" i="7"/>
  <c r="P54" i="7"/>
  <c r="R54" i="7"/>
  <c r="S54" i="7"/>
  <c r="T54" i="7"/>
  <c r="U54" i="7"/>
  <c r="W54" i="7"/>
  <c r="X54" i="7"/>
  <c r="Y54" i="7"/>
  <c r="Z54" i="7"/>
  <c r="AA54" i="7"/>
  <c r="AB54" i="7"/>
  <c r="AD54" i="7"/>
  <c r="AE54" i="7"/>
  <c r="AF54" i="7"/>
  <c r="AG54" i="7"/>
  <c r="AH54" i="7"/>
  <c r="AI54" i="7"/>
  <c r="B55" i="7"/>
  <c r="C55" i="7"/>
  <c r="E55" i="7"/>
  <c r="F55" i="7"/>
  <c r="G55" i="7"/>
  <c r="J55" i="7"/>
  <c r="K55" i="7"/>
  <c r="L55" i="7"/>
  <c r="N55" i="7"/>
  <c r="O55" i="7"/>
  <c r="P55" i="7"/>
  <c r="R55" i="7"/>
  <c r="S55" i="7"/>
  <c r="T55" i="7"/>
  <c r="U55" i="7"/>
  <c r="W55" i="7"/>
  <c r="X55" i="7"/>
  <c r="Y55" i="7"/>
  <c r="Z55" i="7"/>
  <c r="AA55" i="7"/>
  <c r="AB55" i="7"/>
  <c r="AD55" i="7"/>
  <c r="AE55" i="7"/>
  <c r="AF55" i="7"/>
  <c r="AG55" i="7"/>
  <c r="AH55" i="7"/>
  <c r="AI55" i="7"/>
  <c r="B56" i="7"/>
  <c r="C56" i="7"/>
  <c r="E56" i="7"/>
  <c r="F56" i="7"/>
  <c r="G56" i="7"/>
  <c r="J56" i="7"/>
  <c r="K56" i="7"/>
  <c r="L56" i="7"/>
  <c r="N56" i="7"/>
  <c r="O56" i="7"/>
  <c r="P56" i="7"/>
  <c r="R56" i="7"/>
  <c r="S56" i="7"/>
  <c r="T56" i="7"/>
  <c r="U56" i="7"/>
  <c r="W56" i="7"/>
  <c r="X56" i="7"/>
  <c r="Y56" i="7"/>
  <c r="Z56" i="7"/>
  <c r="AA56" i="7"/>
  <c r="AB56" i="7"/>
  <c r="AD56" i="7"/>
  <c r="AE56" i="7"/>
  <c r="AF56" i="7"/>
  <c r="AG56" i="7"/>
  <c r="AH56" i="7"/>
  <c r="AI56" i="7"/>
  <c r="B57" i="7"/>
  <c r="C57" i="7"/>
  <c r="E57" i="7"/>
  <c r="F57" i="7"/>
  <c r="G57" i="7"/>
  <c r="J57" i="7"/>
  <c r="K57" i="7"/>
  <c r="L57" i="7"/>
  <c r="N57" i="7"/>
  <c r="O57" i="7"/>
  <c r="P57" i="7"/>
  <c r="R57" i="7"/>
  <c r="S57" i="7"/>
  <c r="T57" i="7"/>
  <c r="U57" i="7"/>
  <c r="W57" i="7"/>
  <c r="X57" i="7"/>
  <c r="Y57" i="7"/>
  <c r="Z57" i="7"/>
  <c r="AA57" i="7"/>
  <c r="AB57" i="7"/>
  <c r="AD57" i="7"/>
  <c r="AE57" i="7"/>
  <c r="AF57" i="7"/>
  <c r="AG57" i="7"/>
  <c r="AH57" i="7"/>
  <c r="AI57" i="7"/>
  <c r="B58" i="7"/>
  <c r="C58" i="7"/>
  <c r="E58" i="7"/>
  <c r="F58" i="7"/>
  <c r="G58" i="7"/>
  <c r="J58" i="7"/>
  <c r="K58" i="7"/>
  <c r="L58" i="7"/>
  <c r="N58" i="7"/>
  <c r="O58" i="7"/>
  <c r="P58" i="7"/>
  <c r="R58" i="7"/>
  <c r="S58" i="7"/>
  <c r="T58" i="7"/>
  <c r="U58" i="7"/>
  <c r="W58" i="7"/>
  <c r="X58" i="7"/>
  <c r="Y58" i="7"/>
  <c r="Z58" i="7"/>
  <c r="AA58" i="7"/>
  <c r="AB58" i="7"/>
  <c r="AD58" i="7"/>
  <c r="AE58" i="7"/>
  <c r="AF58" i="7"/>
  <c r="AG58" i="7"/>
  <c r="AH58" i="7"/>
  <c r="AI58" i="7"/>
  <c r="B59" i="7"/>
  <c r="C59" i="7"/>
  <c r="E59" i="7"/>
  <c r="F59" i="7"/>
  <c r="G59" i="7"/>
  <c r="J59" i="7"/>
  <c r="K59" i="7"/>
  <c r="L59" i="7"/>
  <c r="N59" i="7"/>
  <c r="O59" i="7"/>
  <c r="P59" i="7"/>
  <c r="R59" i="7"/>
  <c r="S59" i="7"/>
  <c r="T59" i="7"/>
  <c r="U59" i="7"/>
  <c r="W59" i="7"/>
  <c r="X59" i="7"/>
  <c r="Y59" i="7"/>
  <c r="Z59" i="7"/>
  <c r="AA59" i="7"/>
  <c r="AB59" i="7"/>
  <c r="AD59" i="7"/>
  <c r="AE59" i="7"/>
  <c r="AF59" i="7"/>
  <c r="AG59" i="7"/>
  <c r="AH59" i="7"/>
  <c r="AI59" i="7"/>
  <c r="B60" i="7"/>
  <c r="C60" i="7"/>
  <c r="E60" i="7"/>
  <c r="F60" i="7"/>
  <c r="G60" i="7"/>
  <c r="J60" i="7"/>
  <c r="K60" i="7"/>
  <c r="L60" i="7"/>
  <c r="N60" i="7"/>
  <c r="O60" i="7"/>
  <c r="P60" i="7"/>
  <c r="R60" i="7"/>
  <c r="S60" i="7"/>
  <c r="T60" i="7"/>
  <c r="U60" i="7"/>
  <c r="W60" i="7"/>
  <c r="X60" i="7"/>
  <c r="Y60" i="7"/>
  <c r="Z60" i="7"/>
  <c r="AA60" i="7"/>
  <c r="AB60" i="7"/>
  <c r="AD60" i="7"/>
  <c r="AE60" i="7"/>
  <c r="AF60" i="7"/>
  <c r="AG60" i="7"/>
  <c r="AH60" i="7"/>
  <c r="AI60" i="7"/>
  <c r="B61" i="7"/>
  <c r="C61" i="7"/>
  <c r="E61" i="7"/>
  <c r="F61" i="7"/>
  <c r="G61" i="7"/>
  <c r="J61" i="7"/>
  <c r="K61" i="7"/>
  <c r="L61" i="7"/>
  <c r="N61" i="7"/>
  <c r="O61" i="7"/>
  <c r="P61" i="7"/>
  <c r="R61" i="7"/>
  <c r="S61" i="7"/>
  <c r="T61" i="7"/>
  <c r="U61" i="7"/>
  <c r="W61" i="7"/>
  <c r="X61" i="7"/>
  <c r="Y61" i="7"/>
  <c r="Z61" i="7"/>
  <c r="AA61" i="7"/>
  <c r="AB61" i="7"/>
  <c r="AD61" i="7"/>
  <c r="AE61" i="7"/>
  <c r="AF61" i="7"/>
  <c r="AG61" i="7"/>
  <c r="AH61" i="7"/>
  <c r="AI61" i="7"/>
  <c r="B62" i="7"/>
  <c r="C62" i="7"/>
  <c r="E62" i="7"/>
  <c r="F62" i="7"/>
  <c r="G62" i="7"/>
  <c r="J62" i="7"/>
  <c r="K62" i="7"/>
  <c r="L62" i="7"/>
  <c r="N62" i="7"/>
  <c r="O62" i="7"/>
  <c r="P62" i="7"/>
  <c r="R62" i="7"/>
  <c r="S62" i="7"/>
  <c r="T62" i="7"/>
  <c r="U62" i="7"/>
  <c r="W62" i="7"/>
  <c r="X62" i="7"/>
  <c r="Y62" i="7"/>
  <c r="Z62" i="7"/>
  <c r="AA62" i="7"/>
  <c r="AB62" i="7"/>
  <c r="AD62" i="7"/>
  <c r="AE62" i="7"/>
  <c r="AF62" i="7"/>
  <c r="AG62" i="7"/>
  <c r="AH62" i="7"/>
  <c r="AI62" i="7"/>
  <c r="B63" i="7"/>
  <c r="C63" i="7"/>
  <c r="E63" i="7"/>
  <c r="F63" i="7"/>
  <c r="G63" i="7"/>
  <c r="J63" i="7"/>
  <c r="K63" i="7"/>
  <c r="L63" i="7"/>
  <c r="N63" i="7"/>
  <c r="O63" i="7"/>
  <c r="P63" i="7"/>
  <c r="R63" i="7"/>
  <c r="S63" i="7"/>
  <c r="T63" i="7"/>
  <c r="U63" i="7"/>
  <c r="W63" i="7"/>
  <c r="X63" i="7"/>
  <c r="Y63" i="7"/>
  <c r="Z63" i="7"/>
  <c r="AA63" i="7"/>
  <c r="AB63" i="7"/>
  <c r="AD63" i="7"/>
  <c r="AE63" i="7"/>
  <c r="AF63" i="7"/>
  <c r="AG63" i="7"/>
  <c r="AH63" i="7"/>
  <c r="AI63" i="7"/>
  <c r="B64" i="7"/>
  <c r="C64" i="7"/>
  <c r="E64" i="7"/>
  <c r="F64" i="7"/>
  <c r="G64" i="7"/>
  <c r="J64" i="7"/>
  <c r="K64" i="7"/>
  <c r="L64" i="7"/>
  <c r="N64" i="7"/>
  <c r="O64" i="7"/>
  <c r="P64" i="7"/>
  <c r="R64" i="7"/>
  <c r="S64" i="7"/>
  <c r="T64" i="7"/>
  <c r="U64" i="7"/>
  <c r="W64" i="7"/>
  <c r="X64" i="7"/>
  <c r="Y64" i="7"/>
  <c r="Z64" i="7"/>
  <c r="AA64" i="7"/>
  <c r="AB64" i="7"/>
  <c r="AD64" i="7"/>
  <c r="AE64" i="7"/>
  <c r="AF64" i="7"/>
  <c r="AG64" i="7"/>
  <c r="AH64" i="7"/>
  <c r="AI64" i="7"/>
  <c r="B65" i="7"/>
  <c r="C65" i="7"/>
  <c r="E65" i="7"/>
  <c r="F65" i="7"/>
  <c r="G65" i="7"/>
  <c r="J65" i="7"/>
  <c r="K65" i="7"/>
  <c r="L65" i="7"/>
  <c r="N65" i="7"/>
  <c r="O65" i="7"/>
  <c r="P65" i="7"/>
  <c r="R65" i="7"/>
  <c r="S65" i="7"/>
  <c r="T65" i="7"/>
  <c r="U65" i="7"/>
  <c r="W65" i="7"/>
  <c r="X65" i="7"/>
  <c r="Y65" i="7"/>
  <c r="Z65" i="7"/>
  <c r="AA65" i="7"/>
  <c r="AB65" i="7"/>
  <c r="AD65" i="7"/>
  <c r="AE65" i="7"/>
  <c r="AF65" i="7"/>
  <c r="AG65" i="7"/>
  <c r="AH65" i="7"/>
  <c r="AI65" i="7"/>
  <c r="B66" i="7"/>
  <c r="C66" i="7"/>
  <c r="E66" i="7"/>
  <c r="F66" i="7"/>
  <c r="G66" i="7"/>
  <c r="J66" i="7"/>
  <c r="K66" i="7"/>
  <c r="L66" i="7"/>
  <c r="N66" i="7"/>
  <c r="O66" i="7"/>
  <c r="P66" i="7"/>
  <c r="R66" i="7"/>
  <c r="S66" i="7"/>
  <c r="T66" i="7"/>
  <c r="U66" i="7"/>
  <c r="W66" i="7"/>
  <c r="X66" i="7"/>
  <c r="Y66" i="7"/>
  <c r="Z66" i="7"/>
  <c r="AA66" i="7"/>
  <c r="AB66" i="7"/>
  <c r="AD66" i="7"/>
  <c r="AE66" i="7"/>
  <c r="AF66" i="7"/>
  <c r="AG66" i="7"/>
  <c r="AH66" i="7"/>
  <c r="AI66" i="7"/>
  <c r="B67" i="7"/>
  <c r="C67" i="7"/>
  <c r="E67" i="7"/>
  <c r="F67" i="7"/>
  <c r="G67" i="7"/>
  <c r="J67" i="7"/>
  <c r="K67" i="7"/>
  <c r="L67" i="7"/>
  <c r="N67" i="7"/>
  <c r="O67" i="7"/>
  <c r="P67" i="7"/>
  <c r="R67" i="7"/>
  <c r="S67" i="7"/>
  <c r="T67" i="7"/>
  <c r="U67" i="7"/>
  <c r="W67" i="7"/>
  <c r="X67" i="7"/>
  <c r="Y67" i="7"/>
  <c r="Z67" i="7"/>
  <c r="AA67" i="7"/>
  <c r="AB67" i="7"/>
  <c r="AD67" i="7"/>
  <c r="AE67" i="7"/>
  <c r="AF67" i="7"/>
  <c r="AG67" i="7"/>
  <c r="AH67" i="7"/>
  <c r="AI67" i="7"/>
  <c r="B68" i="7"/>
  <c r="C68" i="7"/>
  <c r="E68" i="7"/>
  <c r="F68" i="7"/>
  <c r="G68" i="7"/>
  <c r="J68" i="7"/>
  <c r="K68" i="7"/>
  <c r="L68" i="7"/>
  <c r="N68" i="7"/>
  <c r="O68" i="7"/>
  <c r="P68" i="7"/>
  <c r="R68" i="7"/>
  <c r="S68" i="7"/>
  <c r="T68" i="7"/>
  <c r="U68" i="7"/>
  <c r="W68" i="7"/>
  <c r="X68" i="7"/>
  <c r="Y68" i="7"/>
  <c r="Z68" i="7"/>
  <c r="AA68" i="7"/>
  <c r="AB68" i="7"/>
  <c r="AD68" i="7"/>
  <c r="AE68" i="7"/>
  <c r="AF68" i="7"/>
  <c r="AG68" i="7"/>
  <c r="AH68" i="7"/>
  <c r="AI68" i="7"/>
  <c r="B69" i="7"/>
  <c r="C69" i="7"/>
  <c r="E69" i="7"/>
  <c r="F69" i="7"/>
  <c r="G69" i="7"/>
  <c r="J69" i="7"/>
  <c r="K69" i="7"/>
  <c r="L69" i="7"/>
  <c r="N69" i="7"/>
  <c r="O69" i="7"/>
  <c r="P69" i="7"/>
  <c r="R69" i="7"/>
  <c r="S69" i="7"/>
  <c r="T69" i="7"/>
  <c r="U69" i="7"/>
  <c r="W69" i="7"/>
  <c r="X69" i="7"/>
  <c r="Y69" i="7"/>
  <c r="Z69" i="7"/>
  <c r="AA69" i="7"/>
  <c r="AB69" i="7"/>
  <c r="AD69" i="7"/>
  <c r="AE69" i="7"/>
  <c r="AF69" i="7"/>
  <c r="AG69" i="7"/>
  <c r="AH69" i="7"/>
  <c r="AI69" i="7"/>
  <c r="B70" i="7"/>
  <c r="C70" i="7"/>
  <c r="E70" i="7"/>
  <c r="F70" i="7"/>
  <c r="G70" i="7"/>
  <c r="J70" i="7"/>
  <c r="K70" i="7"/>
  <c r="L70" i="7"/>
  <c r="N70" i="7"/>
  <c r="O70" i="7"/>
  <c r="P70" i="7"/>
  <c r="R70" i="7"/>
  <c r="S70" i="7"/>
  <c r="T70" i="7"/>
  <c r="U70" i="7"/>
  <c r="W70" i="7"/>
  <c r="X70" i="7"/>
  <c r="Y70" i="7"/>
  <c r="Z70" i="7"/>
  <c r="AA70" i="7"/>
  <c r="AB70" i="7"/>
  <c r="AD70" i="7"/>
  <c r="AE70" i="7"/>
  <c r="AF70" i="7"/>
  <c r="AG70" i="7"/>
  <c r="AH70" i="7"/>
  <c r="AI70" i="7"/>
  <c r="B71" i="7"/>
  <c r="C71" i="7"/>
  <c r="E71" i="7"/>
  <c r="F71" i="7"/>
  <c r="G71" i="7"/>
  <c r="J71" i="7"/>
  <c r="K71" i="7"/>
  <c r="L71" i="7"/>
  <c r="N71" i="7"/>
  <c r="O71" i="7"/>
  <c r="P71" i="7"/>
  <c r="R71" i="7"/>
  <c r="S71" i="7"/>
  <c r="T71" i="7"/>
  <c r="U71" i="7"/>
  <c r="W71" i="7"/>
  <c r="X71" i="7"/>
  <c r="Y71" i="7"/>
  <c r="Z71" i="7"/>
  <c r="AA71" i="7"/>
  <c r="AB71" i="7"/>
  <c r="AD71" i="7"/>
  <c r="AE71" i="7"/>
  <c r="AF71" i="7"/>
  <c r="AG71" i="7"/>
  <c r="AH71" i="7"/>
  <c r="AI71" i="7"/>
  <c r="B72" i="7"/>
  <c r="C72" i="7"/>
  <c r="E72" i="7"/>
  <c r="F72" i="7"/>
  <c r="G72" i="7"/>
  <c r="J72" i="7"/>
  <c r="K72" i="7"/>
  <c r="L72" i="7"/>
  <c r="N72" i="7"/>
  <c r="O72" i="7"/>
  <c r="P72" i="7"/>
  <c r="R72" i="7"/>
  <c r="S72" i="7"/>
  <c r="T72" i="7"/>
  <c r="U72" i="7"/>
  <c r="W72" i="7"/>
  <c r="X72" i="7"/>
  <c r="Y72" i="7"/>
  <c r="Z72" i="7"/>
  <c r="AA72" i="7"/>
  <c r="AB72" i="7"/>
  <c r="AD72" i="7"/>
  <c r="AE72" i="7"/>
  <c r="AF72" i="7"/>
  <c r="AG72" i="7"/>
  <c r="AH72" i="7"/>
  <c r="AI72" i="7"/>
  <c r="B73" i="7"/>
  <c r="C73" i="7"/>
  <c r="E73" i="7"/>
  <c r="F73" i="7"/>
  <c r="G73" i="7"/>
  <c r="J73" i="7"/>
  <c r="K73" i="7"/>
  <c r="L73" i="7"/>
  <c r="N73" i="7"/>
  <c r="O73" i="7"/>
  <c r="P73" i="7"/>
  <c r="R73" i="7"/>
  <c r="S73" i="7"/>
  <c r="T73" i="7"/>
  <c r="U73" i="7"/>
  <c r="W73" i="7"/>
  <c r="X73" i="7"/>
  <c r="Y73" i="7"/>
  <c r="Z73" i="7"/>
  <c r="AA73" i="7"/>
  <c r="AB73" i="7"/>
  <c r="AD73" i="7"/>
  <c r="AE73" i="7"/>
  <c r="AF73" i="7"/>
  <c r="AG73" i="7"/>
  <c r="AH73" i="7"/>
  <c r="AI73" i="7"/>
  <c r="B74" i="7"/>
  <c r="C74" i="7"/>
  <c r="E74" i="7"/>
  <c r="F74" i="7"/>
  <c r="G74" i="7"/>
  <c r="J74" i="7"/>
  <c r="K74" i="7"/>
  <c r="L74" i="7"/>
  <c r="N74" i="7"/>
  <c r="O74" i="7"/>
  <c r="P74" i="7"/>
  <c r="R74" i="7"/>
  <c r="S74" i="7"/>
  <c r="T74" i="7"/>
  <c r="U74" i="7"/>
  <c r="W74" i="7"/>
  <c r="X74" i="7"/>
  <c r="Y74" i="7"/>
  <c r="Z74" i="7"/>
  <c r="AA74" i="7"/>
  <c r="AB74" i="7"/>
  <c r="AD74" i="7"/>
  <c r="AE74" i="7"/>
  <c r="AF74" i="7"/>
  <c r="AG74" i="7"/>
  <c r="AH74" i="7"/>
  <c r="AI74" i="7"/>
  <c r="B75" i="7"/>
  <c r="C75" i="7"/>
  <c r="E75" i="7"/>
  <c r="F75" i="7"/>
  <c r="G75" i="7"/>
  <c r="J75" i="7"/>
  <c r="K75" i="7"/>
  <c r="L75" i="7"/>
  <c r="N75" i="7"/>
  <c r="O75" i="7"/>
  <c r="P75" i="7"/>
  <c r="R75" i="7"/>
  <c r="S75" i="7"/>
  <c r="T75" i="7"/>
  <c r="U75" i="7"/>
  <c r="W75" i="7"/>
  <c r="X75" i="7"/>
  <c r="Y75" i="7"/>
  <c r="Z75" i="7"/>
  <c r="AA75" i="7"/>
  <c r="AB75" i="7"/>
  <c r="AD75" i="7"/>
  <c r="AE75" i="7"/>
  <c r="AF75" i="7"/>
  <c r="AG75" i="7"/>
  <c r="AH75" i="7"/>
  <c r="AI75" i="7"/>
  <c r="B76" i="7"/>
  <c r="C76" i="7"/>
  <c r="E76" i="7"/>
  <c r="F76" i="7"/>
  <c r="G76" i="7"/>
  <c r="J76" i="7"/>
  <c r="K76" i="7"/>
  <c r="L76" i="7"/>
  <c r="N76" i="7"/>
  <c r="O76" i="7"/>
  <c r="P76" i="7"/>
  <c r="R76" i="7"/>
  <c r="S76" i="7"/>
  <c r="T76" i="7"/>
  <c r="U76" i="7"/>
  <c r="W76" i="7"/>
  <c r="X76" i="7"/>
  <c r="Y76" i="7"/>
  <c r="Z76" i="7"/>
  <c r="AA76" i="7"/>
  <c r="AB76" i="7"/>
  <c r="AD76" i="7"/>
  <c r="AE76" i="7"/>
  <c r="AF76" i="7"/>
  <c r="AG76" i="7"/>
  <c r="AH76" i="7"/>
  <c r="AI76" i="7"/>
  <c r="B77" i="7"/>
  <c r="C77" i="7"/>
  <c r="E77" i="7"/>
  <c r="F77" i="7"/>
  <c r="G77" i="7"/>
  <c r="J77" i="7"/>
  <c r="K77" i="7"/>
  <c r="L77" i="7"/>
  <c r="N77" i="7"/>
  <c r="O77" i="7"/>
  <c r="P77" i="7"/>
  <c r="R77" i="7"/>
  <c r="S77" i="7"/>
  <c r="T77" i="7"/>
  <c r="U77" i="7"/>
  <c r="W77" i="7"/>
  <c r="X77" i="7"/>
  <c r="Y77" i="7"/>
  <c r="Z77" i="7"/>
  <c r="AA77" i="7"/>
  <c r="AB77" i="7"/>
  <c r="AD77" i="7"/>
  <c r="AE77" i="7"/>
  <c r="AF77" i="7"/>
  <c r="AG77" i="7"/>
  <c r="AH77" i="7"/>
  <c r="AI77" i="7"/>
  <c r="B78" i="7"/>
  <c r="C78" i="7"/>
  <c r="E78" i="7"/>
  <c r="F78" i="7"/>
  <c r="G78" i="7"/>
  <c r="J78" i="7"/>
  <c r="K78" i="7"/>
  <c r="L78" i="7"/>
  <c r="N78" i="7"/>
  <c r="O78" i="7"/>
  <c r="P78" i="7"/>
  <c r="R78" i="7"/>
  <c r="S78" i="7"/>
  <c r="T78" i="7"/>
  <c r="U78" i="7"/>
  <c r="W78" i="7"/>
  <c r="X78" i="7"/>
  <c r="Y78" i="7"/>
  <c r="Z78" i="7"/>
  <c r="AA78" i="7"/>
  <c r="AB78" i="7"/>
  <c r="AD78" i="7"/>
  <c r="AE78" i="7"/>
  <c r="AF78" i="7"/>
  <c r="AG78" i="7"/>
  <c r="AH78" i="7"/>
  <c r="AI78" i="7"/>
  <c r="B79" i="7"/>
  <c r="C79" i="7"/>
  <c r="E79" i="7"/>
  <c r="F79" i="7"/>
  <c r="G79" i="7"/>
  <c r="J79" i="7"/>
  <c r="K79" i="7"/>
  <c r="L79" i="7"/>
  <c r="N79" i="7"/>
  <c r="O79" i="7"/>
  <c r="P79" i="7"/>
  <c r="R79" i="7"/>
  <c r="S79" i="7"/>
  <c r="T79" i="7"/>
  <c r="U79" i="7"/>
  <c r="W79" i="7"/>
  <c r="X79" i="7"/>
  <c r="Y79" i="7"/>
  <c r="Z79" i="7"/>
  <c r="AA79" i="7"/>
  <c r="AB79" i="7"/>
  <c r="AD79" i="7"/>
  <c r="AE79" i="7"/>
  <c r="AF79" i="7"/>
  <c r="AG79" i="7"/>
  <c r="AH79" i="7"/>
  <c r="AI79" i="7"/>
  <c r="B80" i="7"/>
  <c r="C80" i="7"/>
  <c r="E80" i="7"/>
  <c r="F80" i="7"/>
  <c r="G80" i="7"/>
  <c r="J80" i="7"/>
  <c r="K80" i="7"/>
  <c r="L80" i="7"/>
  <c r="N80" i="7"/>
  <c r="O80" i="7"/>
  <c r="P80" i="7"/>
  <c r="R80" i="7"/>
  <c r="S80" i="7"/>
  <c r="T80" i="7"/>
  <c r="U80" i="7"/>
  <c r="W80" i="7"/>
  <c r="X80" i="7"/>
  <c r="Y80" i="7"/>
  <c r="Z80" i="7"/>
  <c r="AA80" i="7"/>
  <c r="AB80" i="7"/>
  <c r="AD80" i="7"/>
  <c r="AE80" i="7"/>
  <c r="AF80" i="7"/>
  <c r="AG80" i="7"/>
  <c r="AH80" i="7"/>
  <c r="AI80" i="7"/>
  <c r="B81" i="7"/>
  <c r="C81" i="7"/>
  <c r="E81" i="7"/>
  <c r="F81" i="7"/>
  <c r="G81" i="7"/>
  <c r="J81" i="7"/>
  <c r="K81" i="7"/>
  <c r="L81" i="7"/>
  <c r="N81" i="7"/>
  <c r="O81" i="7"/>
  <c r="P81" i="7"/>
  <c r="R81" i="7"/>
  <c r="S81" i="7"/>
  <c r="T81" i="7"/>
  <c r="U81" i="7"/>
  <c r="W81" i="7"/>
  <c r="X81" i="7"/>
  <c r="Y81" i="7"/>
  <c r="Z81" i="7"/>
  <c r="AA81" i="7"/>
  <c r="AB81" i="7"/>
  <c r="AD81" i="7"/>
  <c r="AE81" i="7"/>
  <c r="AF81" i="7"/>
  <c r="AG81" i="7"/>
  <c r="AH81" i="7"/>
  <c r="AI81" i="7"/>
  <c r="B82" i="7"/>
  <c r="C82" i="7"/>
  <c r="E82" i="7"/>
  <c r="F82" i="7"/>
  <c r="G82" i="7"/>
  <c r="J82" i="7"/>
  <c r="K82" i="7"/>
  <c r="L82" i="7"/>
  <c r="N82" i="7"/>
  <c r="O82" i="7"/>
  <c r="P82" i="7"/>
  <c r="R82" i="7"/>
  <c r="S82" i="7"/>
  <c r="T82" i="7"/>
  <c r="U82" i="7"/>
  <c r="W82" i="7"/>
  <c r="X82" i="7"/>
  <c r="Y82" i="7"/>
  <c r="Z82" i="7"/>
  <c r="AA82" i="7"/>
  <c r="AB82" i="7"/>
  <c r="AD82" i="7"/>
  <c r="AE82" i="7"/>
  <c r="AF82" i="7"/>
  <c r="AG82" i="7"/>
  <c r="AH82" i="7"/>
  <c r="AI82" i="7"/>
  <c r="B83" i="7"/>
  <c r="C83" i="7"/>
  <c r="E83" i="7"/>
  <c r="F83" i="7"/>
  <c r="G83" i="7"/>
  <c r="J83" i="7"/>
  <c r="K83" i="7"/>
  <c r="L83" i="7"/>
  <c r="N83" i="7"/>
  <c r="O83" i="7"/>
  <c r="P83" i="7"/>
  <c r="R83" i="7"/>
  <c r="S83" i="7"/>
  <c r="T83" i="7"/>
  <c r="U83" i="7"/>
  <c r="W83" i="7"/>
  <c r="X83" i="7"/>
  <c r="Y83" i="7"/>
  <c r="Z83" i="7"/>
  <c r="AA83" i="7"/>
  <c r="AB83" i="7"/>
  <c r="AD83" i="7"/>
  <c r="AE83" i="7"/>
  <c r="AF83" i="7"/>
  <c r="AG83" i="7"/>
  <c r="AH83" i="7"/>
  <c r="AI83" i="7"/>
  <c r="B84" i="7"/>
  <c r="C84" i="7"/>
  <c r="E84" i="7"/>
  <c r="F84" i="7"/>
  <c r="G84" i="7"/>
  <c r="J84" i="7"/>
  <c r="K84" i="7"/>
  <c r="L84" i="7"/>
  <c r="N84" i="7"/>
  <c r="O84" i="7"/>
  <c r="P84" i="7"/>
  <c r="R84" i="7"/>
  <c r="S84" i="7"/>
  <c r="T84" i="7"/>
  <c r="U84" i="7"/>
  <c r="W84" i="7"/>
  <c r="X84" i="7"/>
  <c r="Y84" i="7"/>
  <c r="Z84" i="7"/>
  <c r="AA84" i="7"/>
  <c r="AB84" i="7"/>
  <c r="AD84" i="7"/>
  <c r="AE84" i="7"/>
  <c r="AF84" i="7"/>
  <c r="AG84" i="7"/>
  <c r="AH84" i="7"/>
  <c r="AI84" i="7"/>
  <c r="B85" i="7"/>
  <c r="C85" i="7"/>
  <c r="E85" i="7"/>
  <c r="F85" i="7"/>
  <c r="G85" i="7"/>
  <c r="J85" i="7"/>
  <c r="K85" i="7"/>
  <c r="L85" i="7"/>
  <c r="N85" i="7"/>
  <c r="O85" i="7"/>
  <c r="P85" i="7"/>
  <c r="R85" i="7"/>
  <c r="S85" i="7"/>
  <c r="T85" i="7"/>
  <c r="U85" i="7"/>
  <c r="W85" i="7"/>
  <c r="X85" i="7"/>
  <c r="Y85" i="7"/>
  <c r="Z85" i="7"/>
  <c r="AA85" i="7"/>
  <c r="AB85" i="7"/>
  <c r="AD85" i="7"/>
  <c r="AE85" i="7"/>
  <c r="AF85" i="7"/>
  <c r="AG85" i="7"/>
  <c r="AH85" i="7"/>
  <c r="AI85" i="7"/>
  <c r="B86" i="7"/>
  <c r="C86" i="7"/>
  <c r="E86" i="7"/>
  <c r="F86" i="7"/>
  <c r="G86" i="7"/>
  <c r="J86" i="7"/>
  <c r="K86" i="7"/>
  <c r="L86" i="7"/>
  <c r="N86" i="7"/>
  <c r="O86" i="7"/>
  <c r="P86" i="7"/>
  <c r="R86" i="7"/>
  <c r="S86" i="7"/>
  <c r="T86" i="7"/>
  <c r="U86" i="7"/>
  <c r="W86" i="7"/>
  <c r="X86" i="7"/>
  <c r="Y86" i="7"/>
  <c r="Z86" i="7"/>
  <c r="AA86" i="7"/>
  <c r="AB86" i="7"/>
  <c r="AD86" i="7"/>
  <c r="AE86" i="7"/>
  <c r="AF86" i="7"/>
  <c r="AG86" i="7"/>
  <c r="AH86" i="7"/>
  <c r="AI86" i="7"/>
  <c r="B87" i="7"/>
  <c r="C87" i="7"/>
  <c r="E87" i="7"/>
  <c r="F87" i="7"/>
  <c r="G87" i="7"/>
  <c r="J87" i="7"/>
  <c r="K87" i="7"/>
  <c r="L87" i="7"/>
  <c r="N87" i="7"/>
  <c r="O87" i="7"/>
  <c r="P87" i="7"/>
  <c r="R87" i="7"/>
  <c r="S87" i="7"/>
  <c r="T87" i="7"/>
  <c r="U87" i="7"/>
  <c r="W87" i="7"/>
  <c r="X87" i="7"/>
  <c r="Y87" i="7"/>
  <c r="Z87" i="7"/>
  <c r="AA87" i="7"/>
  <c r="AB87" i="7"/>
  <c r="AD87" i="7"/>
  <c r="AE87" i="7"/>
  <c r="AF87" i="7"/>
  <c r="AG87" i="7"/>
  <c r="AH87" i="7"/>
  <c r="AI87" i="7"/>
  <c r="B88" i="7"/>
  <c r="C88" i="7"/>
  <c r="E88" i="7"/>
  <c r="F88" i="7"/>
  <c r="G88" i="7"/>
  <c r="J88" i="7"/>
  <c r="K88" i="7"/>
  <c r="L88" i="7"/>
  <c r="N88" i="7"/>
  <c r="O88" i="7"/>
  <c r="P88" i="7"/>
  <c r="R88" i="7"/>
  <c r="S88" i="7"/>
  <c r="T88" i="7"/>
  <c r="U88" i="7"/>
  <c r="W88" i="7"/>
  <c r="X88" i="7"/>
  <c r="Y88" i="7"/>
  <c r="Z88" i="7"/>
  <c r="AA88" i="7"/>
  <c r="AB88" i="7"/>
  <c r="AD88" i="7"/>
  <c r="AE88" i="7"/>
  <c r="AF88" i="7"/>
  <c r="AG88" i="7"/>
  <c r="AH88" i="7"/>
  <c r="AI88" i="7"/>
  <c r="B89" i="7"/>
  <c r="C89" i="7"/>
  <c r="E89" i="7"/>
  <c r="F89" i="7"/>
  <c r="G89" i="7"/>
  <c r="J89" i="7"/>
  <c r="K89" i="7"/>
  <c r="L89" i="7"/>
  <c r="N89" i="7"/>
  <c r="O89" i="7"/>
  <c r="P89" i="7"/>
  <c r="R89" i="7"/>
  <c r="S89" i="7"/>
  <c r="T89" i="7"/>
  <c r="U89" i="7"/>
  <c r="W89" i="7"/>
  <c r="X89" i="7"/>
  <c r="Y89" i="7"/>
  <c r="Z89" i="7"/>
  <c r="AA89" i="7"/>
  <c r="AB89" i="7"/>
  <c r="AD89" i="7"/>
  <c r="AE89" i="7"/>
  <c r="AF89" i="7"/>
  <c r="AG89" i="7"/>
  <c r="AH89" i="7"/>
  <c r="AI89" i="7"/>
  <c r="B90" i="7"/>
  <c r="C90" i="7"/>
  <c r="E90" i="7"/>
  <c r="F90" i="7"/>
  <c r="G90" i="7"/>
  <c r="J90" i="7"/>
  <c r="K90" i="7"/>
  <c r="L90" i="7"/>
  <c r="N90" i="7"/>
  <c r="O90" i="7"/>
  <c r="P90" i="7"/>
  <c r="R90" i="7"/>
  <c r="S90" i="7"/>
  <c r="T90" i="7"/>
  <c r="U90" i="7"/>
  <c r="W90" i="7"/>
  <c r="X90" i="7"/>
  <c r="Y90" i="7"/>
  <c r="Z90" i="7"/>
  <c r="AA90" i="7"/>
  <c r="AB90" i="7"/>
  <c r="AD90" i="7"/>
  <c r="AE90" i="7"/>
  <c r="AF90" i="7"/>
  <c r="AG90" i="7"/>
  <c r="AH90" i="7"/>
  <c r="AI90" i="7"/>
  <c r="B91" i="7"/>
  <c r="C91" i="7"/>
  <c r="E91" i="7"/>
  <c r="F91" i="7"/>
  <c r="G91" i="7"/>
  <c r="J91" i="7"/>
  <c r="K91" i="7"/>
  <c r="L91" i="7"/>
  <c r="N91" i="7"/>
  <c r="O91" i="7"/>
  <c r="P91" i="7"/>
  <c r="R91" i="7"/>
  <c r="S91" i="7"/>
  <c r="T91" i="7"/>
  <c r="U91" i="7"/>
  <c r="W91" i="7"/>
  <c r="X91" i="7"/>
  <c r="Y91" i="7"/>
  <c r="Z91" i="7"/>
  <c r="AA91" i="7"/>
  <c r="AB91" i="7"/>
  <c r="AD91" i="7"/>
  <c r="AE91" i="7"/>
  <c r="AF91" i="7"/>
  <c r="AG91" i="7"/>
  <c r="AH91" i="7"/>
  <c r="AI91" i="7"/>
  <c r="B92" i="7"/>
  <c r="C92" i="7"/>
  <c r="E92" i="7"/>
  <c r="F92" i="7"/>
  <c r="G92" i="7"/>
  <c r="J92" i="7"/>
  <c r="K92" i="7"/>
  <c r="L92" i="7"/>
  <c r="N92" i="7"/>
  <c r="O92" i="7"/>
  <c r="P92" i="7"/>
  <c r="R92" i="7"/>
  <c r="S92" i="7"/>
  <c r="T92" i="7"/>
  <c r="U92" i="7"/>
  <c r="W92" i="7"/>
  <c r="X92" i="7"/>
  <c r="Y92" i="7"/>
  <c r="Z92" i="7"/>
  <c r="AA92" i="7"/>
  <c r="AB92" i="7"/>
  <c r="AD92" i="7"/>
  <c r="AE92" i="7"/>
  <c r="AF92" i="7"/>
  <c r="AG92" i="7"/>
  <c r="AH92" i="7"/>
  <c r="AI92" i="7"/>
  <c r="B93" i="7"/>
  <c r="C93" i="7"/>
  <c r="E93" i="7"/>
  <c r="F93" i="7"/>
  <c r="G93" i="7"/>
  <c r="J93" i="7"/>
  <c r="K93" i="7"/>
  <c r="L93" i="7"/>
  <c r="N93" i="7"/>
  <c r="O93" i="7"/>
  <c r="P93" i="7"/>
  <c r="R93" i="7"/>
  <c r="S93" i="7"/>
  <c r="T93" i="7"/>
  <c r="U93" i="7"/>
  <c r="W93" i="7"/>
  <c r="X93" i="7"/>
  <c r="Y93" i="7"/>
  <c r="Z93" i="7"/>
  <c r="AA93" i="7"/>
  <c r="AB93" i="7"/>
  <c r="AD93" i="7"/>
  <c r="AE93" i="7"/>
  <c r="AF93" i="7"/>
  <c r="AG93" i="7"/>
  <c r="AH93" i="7"/>
  <c r="AI93" i="7"/>
  <c r="B94" i="7"/>
  <c r="C94" i="7"/>
  <c r="E94" i="7"/>
  <c r="F94" i="7"/>
  <c r="G94" i="7"/>
  <c r="J94" i="7"/>
  <c r="K94" i="7"/>
  <c r="L94" i="7"/>
  <c r="N94" i="7"/>
  <c r="O94" i="7"/>
  <c r="P94" i="7"/>
  <c r="R94" i="7"/>
  <c r="S94" i="7"/>
  <c r="T94" i="7"/>
  <c r="U94" i="7"/>
  <c r="W94" i="7"/>
  <c r="X94" i="7"/>
  <c r="Y94" i="7"/>
  <c r="Z94" i="7"/>
  <c r="AA94" i="7"/>
  <c r="AB94" i="7"/>
  <c r="AD94" i="7"/>
  <c r="AE94" i="7"/>
  <c r="AF94" i="7"/>
  <c r="AG94" i="7"/>
  <c r="AH94" i="7"/>
  <c r="AI94" i="7"/>
  <c r="B95" i="7"/>
  <c r="C95" i="7"/>
  <c r="E95" i="7"/>
  <c r="F95" i="7"/>
  <c r="G95" i="7"/>
  <c r="J95" i="7"/>
  <c r="K95" i="7"/>
  <c r="L95" i="7"/>
  <c r="N95" i="7"/>
  <c r="O95" i="7"/>
  <c r="P95" i="7"/>
  <c r="R95" i="7"/>
  <c r="S95" i="7"/>
  <c r="T95" i="7"/>
  <c r="U95" i="7"/>
  <c r="W95" i="7"/>
  <c r="X95" i="7"/>
  <c r="Y95" i="7"/>
  <c r="Z95" i="7"/>
  <c r="AA95" i="7"/>
  <c r="AB95" i="7"/>
  <c r="AD95" i="7"/>
  <c r="AE95" i="7"/>
  <c r="AF95" i="7"/>
  <c r="AG95" i="7"/>
  <c r="AH95" i="7"/>
  <c r="AI95" i="7"/>
  <c r="B96" i="7"/>
  <c r="C96" i="7"/>
  <c r="E96" i="7"/>
  <c r="F96" i="7"/>
  <c r="G96" i="7"/>
  <c r="J96" i="7"/>
  <c r="K96" i="7"/>
  <c r="L96" i="7"/>
  <c r="N96" i="7"/>
  <c r="O96" i="7"/>
  <c r="P96" i="7"/>
  <c r="R96" i="7"/>
  <c r="S96" i="7"/>
  <c r="T96" i="7"/>
  <c r="U96" i="7"/>
  <c r="W96" i="7"/>
  <c r="X96" i="7"/>
  <c r="Y96" i="7"/>
  <c r="Z96" i="7"/>
  <c r="AA96" i="7"/>
  <c r="AB96" i="7"/>
  <c r="AD96" i="7"/>
  <c r="AE96" i="7"/>
  <c r="AF96" i="7"/>
  <c r="AG96" i="7"/>
  <c r="AH96" i="7"/>
  <c r="AI96" i="7"/>
  <c r="B97" i="7"/>
  <c r="C97" i="7"/>
  <c r="E97" i="7"/>
  <c r="F97" i="7"/>
  <c r="G97" i="7"/>
  <c r="J97" i="7"/>
  <c r="K97" i="7"/>
  <c r="L97" i="7"/>
  <c r="N97" i="7"/>
  <c r="O97" i="7"/>
  <c r="P97" i="7"/>
  <c r="R97" i="7"/>
  <c r="S97" i="7"/>
  <c r="T97" i="7"/>
  <c r="U97" i="7"/>
  <c r="W97" i="7"/>
  <c r="X97" i="7"/>
  <c r="Y97" i="7"/>
  <c r="Z97" i="7"/>
  <c r="AA97" i="7"/>
  <c r="AB97" i="7"/>
  <c r="AD97" i="7"/>
  <c r="AE97" i="7"/>
  <c r="AF97" i="7"/>
  <c r="AG97" i="7"/>
  <c r="AH97" i="7"/>
  <c r="AI97" i="7"/>
  <c r="B98" i="7"/>
  <c r="C98" i="7"/>
  <c r="E98" i="7"/>
  <c r="F98" i="7"/>
  <c r="G98" i="7"/>
  <c r="J98" i="7"/>
  <c r="K98" i="7"/>
  <c r="L98" i="7"/>
  <c r="N98" i="7"/>
  <c r="O98" i="7"/>
  <c r="P98" i="7"/>
  <c r="R98" i="7"/>
  <c r="S98" i="7"/>
  <c r="T98" i="7"/>
  <c r="U98" i="7"/>
  <c r="W98" i="7"/>
  <c r="X98" i="7"/>
  <c r="Y98" i="7"/>
  <c r="Z98" i="7"/>
  <c r="AA98" i="7"/>
  <c r="AB98" i="7"/>
  <c r="AD98" i="7"/>
  <c r="AE98" i="7"/>
  <c r="AF98" i="7"/>
  <c r="AG98" i="7"/>
  <c r="AH98" i="7"/>
  <c r="AI98" i="7"/>
  <c r="B99" i="7"/>
  <c r="C99" i="7"/>
  <c r="E99" i="7"/>
  <c r="F99" i="7"/>
  <c r="G99" i="7"/>
  <c r="J99" i="7"/>
  <c r="K99" i="7"/>
  <c r="L99" i="7"/>
  <c r="N99" i="7"/>
  <c r="O99" i="7"/>
  <c r="P99" i="7"/>
  <c r="R99" i="7"/>
  <c r="S99" i="7"/>
  <c r="T99" i="7"/>
  <c r="U99" i="7"/>
  <c r="W99" i="7"/>
  <c r="X99" i="7"/>
  <c r="Y99" i="7"/>
  <c r="Z99" i="7"/>
  <c r="AA99" i="7"/>
  <c r="AB99" i="7"/>
  <c r="AD99" i="7"/>
  <c r="AE99" i="7"/>
  <c r="AF99" i="7"/>
  <c r="AG99" i="7"/>
  <c r="AH99" i="7"/>
  <c r="AI99" i="7"/>
  <c r="B100" i="7"/>
  <c r="C100" i="7"/>
  <c r="E100" i="7"/>
  <c r="F100" i="7"/>
  <c r="G100" i="7"/>
  <c r="J100" i="7"/>
  <c r="K100" i="7"/>
  <c r="L100" i="7"/>
  <c r="N100" i="7"/>
  <c r="O100" i="7"/>
  <c r="P100" i="7"/>
  <c r="R100" i="7"/>
  <c r="S100" i="7"/>
  <c r="T100" i="7"/>
  <c r="U100" i="7"/>
  <c r="W100" i="7"/>
  <c r="X100" i="7"/>
  <c r="Y100" i="7"/>
  <c r="Z100" i="7"/>
  <c r="AA100" i="7"/>
  <c r="AB100" i="7"/>
  <c r="AD100" i="7"/>
  <c r="AE100" i="7"/>
  <c r="AF100" i="7"/>
  <c r="AG100" i="7"/>
  <c r="AH100" i="7"/>
  <c r="AI100" i="7"/>
  <c r="B101" i="7"/>
  <c r="C101" i="7"/>
  <c r="E101" i="7"/>
  <c r="F101" i="7"/>
  <c r="G101" i="7"/>
  <c r="J101" i="7"/>
  <c r="K101" i="7"/>
  <c r="L101" i="7"/>
  <c r="N101" i="7"/>
  <c r="O101" i="7"/>
  <c r="P101" i="7"/>
  <c r="R101" i="7"/>
  <c r="S101" i="7"/>
  <c r="T101" i="7"/>
  <c r="U101" i="7"/>
  <c r="W101" i="7"/>
  <c r="X101" i="7"/>
  <c r="Y101" i="7"/>
  <c r="Z101" i="7"/>
  <c r="AA101" i="7"/>
  <c r="AB101" i="7"/>
  <c r="AD101" i="7"/>
  <c r="AE101" i="7"/>
  <c r="AF101" i="7"/>
  <c r="AG101" i="7"/>
  <c r="AH101" i="7"/>
  <c r="AI101" i="7"/>
  <c r="B102" i="7"/>
  <c r="C102" i="7"/>
  <c r="E102" i="7"/>
  <c r="F102" i="7"/>
  <c r="G102" i="7"/>
  <c r="J102" i="7"/>
  <c r="K102" i="7"/>
  <c r="L102" i="7"/>
  <c r="N102" i="7"/>
  <c r="O102" i="7"/>
  <c r="P102" i="7"/>
  <c r="R102" i="7"/>
  <c r="S102" i="7"/>
  <c r="T102" i="7"/>
  <c r="U102" i="7"/>
  <c r="W102" i="7"/>
  <c r="X102" i="7"/>
  <c r="Y102" i="7"/>
  <c r="Z102" i="7"/>
  <c r="AA102" i="7"/>
  <c r="AB102" i="7"/>
  <c r="AD102" i="7"/>
  <c r="AE102" i="7"/>
  <c r="AF102" i="7"/>
  <c r="AG102" i="7"/>
  <c r="AH102" i="7"/>
  <c r="AI102" i="7"/>
  <c r="B103" i="7"/>
  <c r="C103" i="7"/>
  <c r="E103" i="7"/>
  <c r="F103" i="7"/>
  <c r="G103" i="7"/>
  <c r="J103" i="7"/>
  <c r="K103" i="7"/>
  <c r="L103" i="7"/>
  <c r="N103" i="7"/>
  <c r="O103" i="7"/>
  <c r="P103" i="7"/>
  <c r="R103" i="7"/>
  <c r="S103" i="7"/>
  <c r="T103" i="7"/>
  <c r="U103" i="7"/>
  <c r="W103" i="7"/>
  <c r="X103" i="7"/>
  <c r="Y103" i="7"/>
  <c r="Z103" i="7"/>
  <c r="AA103" i="7"/>
  <c r="AB103" i="7"/>
  <c r="AD103" i="7"/>
  <c r="AE103" i="7"/>
  <c r="AF103" i="7"/>
  <c r="AG103" i="7"/>
  <c r="AH103" i="7"/>
  <c r="AI103" i="7"/>
  <c r="B104" i="7"/>
  <c r="C104" i="7"/>
  <c r="E104" i="7"/>
  <c r="F104" i="7"/>
  <c r="G104" i="7"/>
  <c r="J104" i="7"/>
  <c r="K104" i="7"/>
  <c r="L104" i="7"/>
  <c r="N104" i="7"/>
  <c r="O104" i="7"/>
  <c r="P104" i="7"/>
  <c r="R104" i="7"/>
  <c r="S104" i="7"/>
  <c r="T104" i="7"/>
  <c r="U104" i="7"/>
  <c r="W104" i="7"/>
  <c r="X104" i="7"/>
  <c r="Y104" i="7"/>
  <c r="Z104" i="7"/>
  <c r="AA104" i="7"/>
  <c r="AB104" i="7"/>
  <c r="AD104" i="7"/>
  <c r="AE104" i="7"/>
  <c r="AF104" i="7"/>
  <c r="AG104" i="7"/>
  <c r="AH104" i="7"/>
  <c r="AI104" i="7"/>
  <c r="B105" i="7"/>
  <c r="C105" i="7"/>
  <c r="E105" i="7"/>
  <c r="F105" i="7"/>
  <c r="G105" i="7"/>
  <c r="J105" i="7"/>
  <c r="K105" i="7"/>
  <c r="L105" i="7"/>
  <c r="N105" i="7"/>
  <c r="O105" i="7"/>
  <c r="P105" i="7"/>
  <c r="R105" i="7"/>
  <c r="S105" i="7"/>
  <c r="T105" i="7"/>
  <c r="U105" i="7"/>
  <c r="W105" i="7"/>
  <c r="X105" i="7"/>
  <c r="Y105" i="7"/>
  <c r="Z105" i="7"/>
  <c r="AA105" i="7"/>
  <c r="AB105" i="7"/>
  <c r="AD105" i="7"/>
  <c r="AE105" i="7"/>
  <c r="AF105" i="7"/>
  <c r="AG105" i="7"/>
  <c r="AH105" i="7"/>
  <c r="AI105" i="7"/>
  <c r="B106" i="7"/>
  <c r="C106" i="7"/>
  <c r="E106" i="7"/>
  <c r="F106" i="7"/>
  <c r="G106" i="7"/>
  <c r="J106" i="7"/>
  <c r="K106" i="7"/>
  <c r="L106" i="7"/>
  <c r="N106" i="7"/>
  <c r="O106" i="7"/>
  <c r="P106" i="7"/>
  <c r="R106" i="7"/>
  <c r="S106" i="7"/>
  <c r="T106" i="7"/>
  <c r="U106" i="7"/>
  <c r="W106" i="7"/>
  <c r="X106" i="7"/>
  <c r="Y106" i="7"/>
  <c r="Z106" i="7"/>
  <c r="AA106" i="7"/>
  <c r="AB106" i="7"/>
  <c r="AD106" i="7"/>
  <c r="AE106" i="7"/>
  <c r="AF106" i="7"/>
  <c r="AG106" i="7"/>
  <c r="AH106" i="7"/>
  <c r="AI106" i="7"/>
  <c r="B107" i="7"/>
  <c r="C107" i="7"/>
  <c r="E107" i="7"/>
  <c r="F107" i="7"/>
  <c r="G107" i="7"/>
  <c r="J107" i="7"/>
  <c r="K107" i="7"/>
  <c r="L107" i="7"/>
  <c r="N107" i="7"/>
  <c r="O107" i="7"/>
  <c r="P107" i="7"/>
  <c r="R107" i="7"/>
  <c r="S107" i="7"/>
  <c r="T107" i="7"/>
  <c r="U107" i="7"/>
  <c r="W107" i="7"/>
  <c r="X107" i="7"/>
  <c r="Y107" i="7"/>
  <c r="Z107" i="7"/>
  <c r="AA107" i="7"/>
  <c r="AB107" i="7"/>
  <c r="AD107" i="7"/>
  <c r="AE107" i="7"/>
  <c r="AF107" i="7"/>
  <c r="AG107" i="7"/>
  <c r="AH107" i="7"/>
  <c r="AI107" i="7"/>
  <c r="B108" i="7"/>
  <c r="C108" i="7"/>
  <c r="E108" i="7"/>
  <c r="F108" i="7"/>
  <c r="G108" i="7"/>
  <c r="J108" i="7"/>
  <c r="K108" i="7"/>
  <c r="L108" i="7"/>
  <c r="N108" i="7"/>
  <c r="O108" i="7"/>
  <c r="P108" i="7"/>
  <c r="R108" i="7"/>
  <c r="S108" i="7"/>
  <c r="T108" i="7"/>
  <c r="U108" i="7"/>
  <c r="W108" i="7"/>
  <c r="X108" i="7"/>
  <c r="Y108" i="7"/>
  <c r="Z108" i="7"/>
  <c r="AA108" i="7"/>
  <c r="AB108" i="7"/>
  <c r="AD108" i="7"/>
  <c r="AE108" i="7"/>
  <c r="AF108" i="7"/>
  <c r="AG108" i="7"/>
  <c r="AH108" i="7"/>
  <c r="AI108" i="7"/>
  <c r="B109" i="7"/>
  <c r="C109" i="7"/>
  <c r="E109" i="7"/>
  <c r="F109" i="7"/>
  <c r="G109" i="7"/>
  <c r="J109" i="7"/>
  <c r="K109" i="7"/>
  <c r="L109" i="7"/>
  <c r="N109" i="7"/>
  <c r="O109" i="7"/>
  <c r="P109" i="7"/>
  <c r="R109" i="7"/>
  <c r="S109" i="7"/>
  <c r="T109" i="7"/>
  <c r="U109" i="7"/>
  <c r="W109" i="7"/>
  <c r="X109" i="7"/>
  <c r="Y109" i="7"/>
  <c r="Z109" i="7"/>
  <c r="AA109" i="7"/>
  <c r="AB109" i="7"/>
  <c r="AD109" i="7"/>
  <c r="AE109" i="7"/>
  <c r="AF109" i="7"/>
  <c r="AG109" i="7"/>
  <c r="AH109" i="7"/>
  <c r="AI109" i="7"/>
  <c r="B110" i="7"/>
  <c r="C110" i="7"/>
  <c r="E110" i="7"/>
  <c r="F110" i="7"/>
  <c r="G110" i="7"/>
  <c r="J110" i="7"/>
  <c r="K110" i="7"/>
  <c r="L110" i="7"/>
  <c r="N110" i="7"/>
  <c r="O110" i="7"/>
  <c r="P110" i="7"/>
  <c r="R110" i="7"/>
  <c r="S110" i="7"/>
  <c r="T110" i="7"/>
  <c r="U110" i="7"/>
  <c r="W110" i="7"/>
  <c r="X110" i="7"/>
  <c r="Y110" i="7"/>
  <c r="Z110" i="7"/>
  <c r="AA110" i="7"/>
  <c r="AB110" i="7"/>
  <c r="AD110" i="7"/>
  <c r="AE110" i="7"/>
  <c r="AF110" i="7"/>
  <c r="AG110" i="7"/>
  <c r="AH110" i="7"/>
  <c r="AI110" i="7"/>
  <c r="B111" i="7"/>
  <c r="C111" i="7"/>
  <c r="E111" i="7"/>
  <c r="F111" i="7"/>
  <c r="G111" i="7"/>
  <c r="J111" i="7"/>
  <c r="K111" i="7"/>
  <c r="L111" i="7"/>
  <c r="N111" i="7"/>
  <c r="O111" i="7"/>
  <c r="P111" i="7"/>
  <c r="R111" i="7"/>
  <c r="S111" i="7"/>
  <c r="T111" i="7"/>
  <c r="U111" i="7"/>
  <c r="W111" i="7"/>
  <c r="X111" i="7"/>
  <c r="Y111" i="7"/>
  <c r="Z111" i="7"/>
  <c r="AA111" i="7"/>
  <c r="AB111" i="7"/>
  <c r="AD111" i="7"/>
  <c r="AE111" i="7"/>
  <c r="AF111" i="7"/>
  <c r="AG111" i="7"/>
  <c r="AH111" i="7"/>
  <c r="AI111" i="7"/>
  <c r="B112" i="7"/>
  <c r="C112" i="7"/>
  <c r="E112" i="7"/>
  <c r="F112" i="7"/>
  <c r="G112" i="7"/>
  <c r="J112" i="7"/>
  <c r="K112" i="7"/>
  <c r="L112" i="7"/>
  <c r="N112" i="7"/>
  <c r="O112" i="7"/>
  <c r="P112" i="7"/>
  <c r="R112" i="7"/>
  <c r="S112" i="7"/>
  <c r="T112" i="7"/>
  <c r="U112" i="7"/>
  <c r="W112" i="7"/>
  <c r="X112" i="7"/>
  <c r="Y112" i="7"/>
  <c r="Z112" i="7"/>
  <c r="AA112" i="7"/>
  <c r="AB112" i="7"/>
  <c r="AD112" i="7"/>
  <c r="AE112" i="7"/>
  <c r="AF112" i="7"/>
  <c r="AG112" i="7"/>
  <c r="AH112" i="7"/>
  <c r="AI112" i="7"/>
  <c r="B113" i="7"/>
  <c r="C113" i="7"/>
  <c r="E113" i="7"/>
  <c r="F113" i="7"/>
  <c r="G113" i="7"/>
  <c r="J113" i="7"/>
  <c r="K113" i="7"/>
  <c r="L113" i="7"/>
  <c r="N113" i="7"/>
  <c r="O113" i="7"/>
  <c r="P113" i="7"/>
  <c r="R113" i="7"/>
  <c r="S113" i="7"/>
  <c r="T113" i="7"/>
  <c r="U113" i="7"/>
  <c r="W113" i="7"/>
  <c r="X113" i="7"/>
  <c r="Y113" i="7"/>
  <c r="Z113" i="7"/>
  <c r="AA113" i="7"/>
  <c r="AB113" i="7"/>
  <c r="AD113" i="7"/>
  <c r="AE113" i="7"/>
  <c r="AF113" i="7"/>
  <c r="AG113" i="7"/>
  <c r="AH113" i="7"/>
  <c r="AI113" i="7"/>
  <c r="B114" i="7"/>
  <c r="C114" i="7"/>
  <c r="E114" i="7"/>
  <c r="F114" i="7"/>
  <c r="G114" i="7"/>
  <c r="J114" i="7"/>
  <c r="K114" i="7"/>
  <c r="L114" i="7"/>
  <c r="N114" i="7"/>
  <c r="O114" i="7"/>
  <c r="P114" i="7"/>
  <c r="R114" i="7"/>
  <c r="S114" i="7"/>
  <c r="T114" i="7"/>
  <c r="U114" i="7"/>
  <c r="W114" i="7"/>
  <c r="X114" i="7"/>
  <c r="Y114" i="7"/>
  <c r="Z114" i="7"/>
  <c r="AA114" i="7"/>
  <c r="AB114" i="7"/>
  <c r="AD114" i="7"/>
  <c r="AE114" i="7"/>
  <c r="AF114" i="7"/>
  <c r="AG114" i="7"/>
  <c r="AH114" i="7"/>
  <c r="AI114" i="7"/>
  <c r="B115" i="7"/>
  <c r="C115" i="7"/>
  <c r="E115" i="7"/>
  <c r="F115" i="7"/>
  <c r="G115" i="7"/>
  <c r="J115" i="7"/>
  <c r="K115" i="7"/>
  <c r="L115" i="7"/>
  <c r="N115" i="7"/>
  <c r="O115" i="7"/>
  <c r="P115" i="7"/>
  <c r="R115" i="7"/>
  <c r="S115" i="7"/>
  <c r="T115" i="7"/>
  <c r="U115" i="7"/>
  <c r="W115" i="7"/>
  <c r="X115" i="7"/>
  <c r="Y115" i="7"/>
  <c r="Z115" i="7"/>
  <c r="AA115" i="7"/>
  <c r="AB115" i="7"/>
  <c r="AD115" i="7"/>
  <c r="AE115" i="7"/>
  <c r="AF115" i="7"/>
  <c r="AG115" i="7"/>
  <c r="AH115" i="7"/>
  <c r="AI115" i="7"/>
  <c r="B116" i="7"/>
  <c r="C116" i="7"/>
  <c r="E116" i="7"/>
  <c r="F116" i="7"/>
  <c r="G116" i="7"/>
  <c r="J116" i="7"/>
  <c r="K116" i="7"/>
  <c r="L116" i="7"/>
  <c r="N116" i="7"/>
  <c r="O116" i="7"/>
  <c r="P116" i="7"/>
  <c r="R116" i="7"/>
  <c r="S116" i="7"/>
  <c r="T116" i="7"/>
  <c r="U116" i="7"/>
  <c r="W116" i="7"/>
  <c r="X116" i="7"/>
  <c r="Y116" i="7"/>
  <c r="Z116" i="7"/>
  <c r="AA116" i="7"/>
  <c r="AB116" i="7"/>
  <c r="AD116" i="7"/>
  <c r="AE116" i="7"/>
  <c r="AF116" i="7"/>
  <c r="AG116" i="7"/>
  <c r="AH116" i="7"/>
  <c r="AI116" i="7"/>
  <c r="B117" i="7"/>
  <c r="C117" i="7"/>
  <c r="E117" i="7"/>
  <c r="F117" i="7"/>
  <c r="G117" i="7"/>
  <c r="J117" i="7"/>
  <c r="K117" i="7"/>
  <c r="L117" i="7"/>
  <c r="N117" i="7"/>
  <c r="O117" i="7"/>
  <c r="P117" i="7"/>
  <c r="R117" i="7"/>
  <c r="S117" i="7"/>
  <c r="T117" i="7"/>
  <c r="U117" i="7"/>
  <c r="W117" i="7"/>
  <c r="X117" i="7"/>
  <c r="Y117" i="7"/>
  <c r="Z117" i="7"/>
  <c r="AA117" i="7"/>
  <c r="AB117" i="7"/>
  <c r="AD117" i="7"/>
  <c r="AE117" i="7"/>
  <c r="AF117" i="7"/>
  <c r="AG117" i="7"/>
  <c r="AH117" i="7"/>
  <c r="AI117" i="7"/>
  <c r="B118" i="7"/>
  <c r="C118" i="7"/>
  <c r="E118" i="7"/>
  <c r="F118" i="7"/>
  <c r="G118" i="7"/>
  <c r="J118" i="7"/>
  <c r="K118" i="7"/>
  <c r="L118" i="7"/>
  <c r="N118" i="7"/>
  <c r="O118" i="7"/>
  <c r="P118" i="7"/>
  <c r="R118" i="7"/>
  <c r="S118" i="7"/>
  <c r="T118" i="7"/>
  <c r="U118" i="7"/>
  <c r="W118" i="7"/>
  <c r="X118" i="7"/>
  <c r="Y118" i="7"/>
  <c r="Z118" i="7"/>
  <c r="AA118" i="7"/>
  <c r="AB118" i="7"/>
  <c r="AD118" i="7"/>
  <c r="AE118" i="7"/>
  <c r="AF118" i="7"/>
  <c r="AG118" i="7"/>
  <c r="AH118" i="7"/>
  <c r="AI118" i="7"/>
  <c r="B119" i="7"/>
  <c r="C119" i="7"/>
  <c r="E119" i="7"/>
  <c r="F119" i="7"/>
  <c r="G119" i="7"/>
  <c r="J119" i="7"/>
  <c r="K119" i="7"/>
  <c r="L119" i="7"/>
  <c r="N119" i="7"/>
  <c r="O119" i="7"/>
  <c r="P119" i="7"/>
  <c r="R119" i="7"/>
  <c r="S119" i="7"/>
  <c r="T119" i="7"/>
  <c r="U119" i="7"/>
  <c r="W119" i="7"/>
  <c r="X119" i="7"/>
  <c r="Y119" i="7"/>
  <c r="Z119" i="7"/>
  <c r="AA119" i="7"/>
  <c r="AB119" i="7"/>
  <c r="AD119" i="7"/>
  <c r="AE119" i="7"/>
  <c r="AF119" i="7"/>
  <c r="AG119" i="7"/>
  <c r="AH119" i="7"/>
  <c r="AI119" i="7"/>
  <c r="B120" i="7"/>
  <c r="C120" i="7"/>
  <c r="E120" i="7"/>
  <c r="F120" i="7"/>
  <c r="G120" i="7"/>
  <c r="J120" i="7"/>
  <c r="K120" i="7"/>
  <c r="L120" i="7"/>
  <c r="N120" i="7"/>
  <c r="O120" i="7"/>
  <c r="P120" i="7"/>
  <c r="R120" i="7"/>
  <c r="S120" i="7"/>
  <c r="T120" i="7"/>
  <c r="U120" i="7"/>
  <c r="W120" i="7"/>
  <c r="X120" i="7"/>
  <c r="Y120" i="7"/>
  <c r="Z120" i="7"/>
  <c r="AA120" i="7"/>
  <c r="AB120" i="7"/>
  <c r="AD120" i="7"/>
  <c r="AE120" i="7"/>
  <c r="AF120" i="7"/>
  <c r="AG120" i="7"/>
  <c r="AH120" i="7"/>
  <c r="AI120" i="7"/>
  <c r="B121" i="7"/>
  <c r="C121" i="7"/>
  <c r="E121" i="7"/>
  <c r="F121" i="7"/>
  <c r="G121" i="7"/>
  <c r="J121" i="7"/>
  <c r="K121" i="7"/>
  <c r="L121" i="7"/>
  <c r="N121" i="7"/>
  <c r="O121" i="7"/>
  <c r="P121" i="7"/>
  <c r="R121" i="7"/>
  <c r="S121" i="7"/>
  <c r="T121" i="7"/>
  <c r="U121" i="7"/>
  <c r="W121" i="7"/>
  <c r="X121" i="7"/>
  <c r="Y121" i="7"/>
  <c r="Z121" i="7"/>
  <c r="AA121" i="7"/>
  <c r="AB121" i="7"/>
  <c r="AD121" i="7"/>
  <c r="AE121" i="7"/>
  <c r="AF121" i="7"/>
  <c r="AG121" i="7"/>
  <c r="AH121" i="7"/>
  <c r="AI121" i="7"/>
  <c r="B122" i="7"/>
  <c r="C122" i="7"/>
  <c r="E122" i="7"/>
  <c r="F122" i="7"/>
  <c r="G122" i="7"/>
  <c r="J122" i="7"/>
  <c r="K122" i="7"/>
  <c r="L122" i="7"/>
  <c r="N122" i="7"/>
  <c r="O122" i="7"/>
  <c r="P122" i="7"/>
  <c r="R122" i="7"/>
  <c r="S122" i="7"/>
  <c r="T122" i="7"/>
  <c r="U122" i="7"/>
  <c r="W122" i="7"/>
  <c r="X122" i="7"/>
  <c r="Y122" i="7"/>
  <c r="Z122" i="7"/>
  <c r="AA122" i="7"/>
  <c r="AB122" i="7"/>
  <c r="AD122" i="7"/>
  <c r="AE122" i="7"/>
  <c r="AF122" i="7"/>
  <c r="AG122" i="7"/>
  <c r="AH122" i="7"/>
  <c r="AI122" i="7"/>
  <c r="B123" i="7"/>
  <c r="C123" i="7"/>
  <c r="E123" i="7"/>
  <c r="F123" i="7"/>
  <c r="G123" i="7"/>
  <c r="J123" i="7"/>
  <c r="K123" i="7"/>
  <c r="L123" i="7"/>
  <c r="N123" i="7"/>
  <c r="O123" i="7"/>
  <c r="P123" i="7"/>
  <c r="R123" i="7"/>
  <c r="S123" i="7"/>
  <c r="T123" i="7"/>
  <c r="U123" i="7"/>
  <c r="W123" i="7"/>
  <c r="X123" i="7"/>
  <c r="Y123" i="7"/>
  <c r="Z123" i="7"/>
  <c r="AA123" i="7"/>
  <c r="AB123" i="7"/>
  <c r="AD123" i="7"/>
  <c r="AE123" i="7"/>
  <c r="AF123" i="7"/>
  <c r="AG123" i="7"/>
  <c r="AH123" i="7"/>
  <c r="AI123" i="7"/>
  <c r="B124" i="7"/>
  <c r="C124" i="7"/>
  <c r="E124" i="7"/>
  <c r="F124" i="7"/>
  <c r="G124" i="7"/>
  <c r="J124" i="7"/>
  <c r="K124" i="7"/>
  <c r="L124" i="7"/>
  <c r="N124" i="7"/>
  <c r="O124" i="7"/>
  <c r="P124" i="7"/>
  <c r="R124" i="7"/>
  <c r="S124" i="7"/>
  <c r="T124" i="7"/>
  <c r="U124" i="7"/>
  <c r="W124" i="7"/>
  <c r="X124" i="7"/>
  <c r="Y124" i="7"/>
  <c r="Z124" i="7"/>
  <c r="AA124" i="7"/>
  <c r="AB124" i="7"/>
  <c r="AD124" i="7"/>
  <c r="AE124" i="7"/>
  <c r="AF124" i="7"/>
  <c r="AG124" i="7"/>
  <c r="AH124" i="7"/>
  <c r="AI124" i="7"/>
  <c r="B125" i="7"/>
  <c r="C125" i="7"/>
  <c r="E125" i="7"/>
  <c r="F125" i="7"/>
  <c r="G125" i="7"/>
  <c r="J125" i="7"/>
  <c r="K125" i="7"/>
  <c r="L125" i="7"/>
  <c r="N125" i="7"/>
  <c r="O125" i="7"/>
  <c r="P125" i="7"/>
  <c r="R125" i="7"/>
  <c r="S125" i="7"/>
  <c r="T125" i="7"/>
  <c r="U125" i="7"/>
  <c r="W125" i="7"/>
  <c r="X125" i="7"/>
  <c r="Y125" i="7"/>
  <c r="Z125" i="7"/>
  <c r="AA125" i="7"/>
  <c r="AB125" i="7"/>
  <c r="AD125" i="7"/>
  <c r="AE125" i="7"/>
  <c r="AF125" i="7"/>
  <c r="AG125" i="7"/>
  <c r="AH125" i="7"/>
  <c r="AI125" i="7"/>
  <c r="B126" i="7"/>
  <c r="C126" i="7"/>
  <c r="E126" i="7"/>
  <c r="F126" i="7"/>
  <c r="G126" i="7"/>
  <c r="J126" i="7"/>
  <c r="K126" i="7"/>
  <c r="L126" i="7"/>
  <c r="N126" i="7"/>
  <c r="O126" i="7"/>
  <c r="P126" i="7"/>
  <c r="R126" i="7"/>
  <c r="S126" i="7"/>
  <c r="T126" i="7"/>
  <c r="U126" i="7"/>
  <c r="W126" i="7"/>
  <c r="X126" i="7"/>
  <c r="Y126" i="7"/>
  <c r="Z126" i="7"/>
  <c r="AA126" i="7"/>
  <c r="AB126" i="7"/>
  <c r="AD126" i="7"/>
  <c r="AE126" i="7"/>
  <c r="AF126" i="7"/>
  <c r="AG126" i="7"/>
  <c r="AH126" i="7"/>
  <c r="AI126" i="7"/>
  <c r="B127" i="7"/>
  <c r="C127" i="7"/>
  <c r="E127" i="7"/>
  <c r="F127" i="7"/>
  <c r="G127" i="7"/>
  <c r="J127" i="7"/>
  <c r="K127" i="7"/>
  <c r="L127" i="7"/>
  <c r="N127" i="7"/>
  <c r="O127" i="7"/>
  <c r="P127" i="7"/>
  <c r="R127" i="7"/>
  <c r="S127" i="7"/>
  <c r="T127" i="7"/>
  <c r="U127" i="7"/>
  <c r="W127" i="7"/>
  <c r="X127" i="7"/>
  <c r="Y127" i="7"/>
  <c r="Z127" i="7"/>
  <c r="AA127" i="7"/>
  <c r="AB127" i="7"/>
  <c r="AD127" i="7"/>
  <c r="AE127" i="7"/>
  <c r="AF127" i="7"/>
  <c r="AG127" i="7"/>
  <c r="AH127" i="7"/>
  <c r="AI127" i="7"/>
  <c r="B128" i="7"/>
  <c r="C128" i="7"/>
  <c r="E128" i="7"/>
  <c r="F128" i="7"/>
  <c r="G128" i="7"/>
  <c r="J128" i="7"/>
  <c r="K128" i="7"/>
  <c r="L128" i="7"/>
  <c r="N128" i="7"/>
  <c r="O128" i="7"/>
  <c r="P128" i="7"/>
  <c r="R128" i="7"/>
  <c r="S128" i="7"/>
  <c r="T128" i="7"/>
  <c r="U128" i="7"/>
  <c r="W128" i="7"/>
  <c r="X128" i="7"/>
  <c r="Y128" i="7"/>
  <c r="Z128" i="7"/>
  <c r="AA128" i="7"/>
  <c r="AB128" i="7"/>
  <c r="AD128" i="7"/>
  <c r="AE128" i="7"/>
  <c r="AF128" i="7"/>
  <c r="AG128" i="7"/>
  <c r="AH128" i="7"/>
  <c r="AI128" i="7"/>
  <c r="B129" i="7"/>
  <c r="C129" i="7"/>
  <c r="E129" i="7"/>
  <c r="F129" i="7"/>
  <c r="G129" i="7"/>
  <c r="J129" i="7"/>
  <c r="K129" i="7"/>
  <c r="L129" i="7"/>
  <c r="N129" i="7"/>
  <c r="O129" i="7"/>
  <c r="P129" i="7"/>
  <c r="R129" i="7"/>
  <c r="S129" i="7"/>
  <c r="T129" i="7"/>
  <c r="U129" i="7"/>
  <c r="W129" i="7"/>
  <c r="X129" i="7"/>
  <c r="Y129" i="7"/>
  <c r="Z129" i="7"/>
  <c r="AA129" i="7"/>
  <c r="AB129" i="7"/>
  <c r="AD129" i="7"/>
  <c r="AE129" i="7"/>
  <c r="AF129" i="7"/>
  <c r="AG129" i="7"/>
  <c r="AH129" i="7"/>
  <c r="AI129" i="7"/>
  <c r="B130" i="7"/>
  <c r="C130" i="7"/>
  <c r="E130" i="7"/>
  <c r="F130" i="7"/>
  <c r="G130" i="7"/>
  <c r="J130" i="7"/>
  <c r="K130" i="7"/>
  <c r="L130" i="7"/>
  <c r="N130" i="7"/>
  <c r="O130" i="7"/>
  <c r="P130" i="7"/>
  <c r="R130" i="7"/>
  <c r="S130" i="7"/>
  <c r="T130" i="7"/>
  <c r="U130" i="7"/>
  <c r="W130" i="7"/>
  <c r="X130" i="7"/>
  <c r="Y130" i="7"/>
  <c r="Z130" i="7"/>
  <c r="AA130" i="7"/>
  <c r="AB130" i="7"/>
  <c r="AD130" i="7"/>
  <c r="AE130" i="7"/>
  <c r="AF130" i="7"/>
  <c r="AG130" i="7"/>
  <c r="AH130" i="7"/>
  <c r="AI130" i="7"/>
  <c r="B131" i="7"/>
  <c r="C131" i="7"/>
  <c r="E131" i="7"/>
  <c r="F131" i="7"/>
  <c r="G131" i="7"/>
  <c r="J131" i="7"/>
  <c r="K131" i="7"/>
  <c r="L131" i="7"/>
  <c r="N131" i="7"/>
  <c r="O131" i="7"/>
  <c r="P131" i="7"/>
  <c r="R131" i="7"/>
  <c r="S131" i="7"/>
  <c r="T131" i="7"/>
  <c r="U131" i="7"/>
  <c r="W131" i="7"/>
  <c r="X131" i="7"/>
  <c r="Y131" i="7"/>
  <c r="Z131" i="7"/>
  <c r="AA131" i="7"/>
  <c r="AB131" i="7"/>
  <c r="AD131" i="7"/>
  <c r="AE131" i="7"/>
  <c r="AF131" i="7"/>
  <c r="AG131" i="7"/>
  <c r="AH131" i="7"/>
  <c r="AI131" i="7"/>
  <c r="B132" i="7"/>
  <c r="C132" i="7"/>
  <c r="E132" i="7"/>
  <c r="F132" i="7"/>
  <c r="G132" i="7"/>
  <c r="J132" i="7"/>
  <c r="K132" i="7"/>
  <c r="L132" i="7"/>
  <c r="N132" i="7"/>
  <c r="O132" i="7"/>
  <c r="P132" i="7"/>
  <c r="R132" i="7"/>
  <c r="S132" i="7"/>
  <c r="T132" i="7"/>
  <c r="U132" i="7"/>
  <c r="W132" i="7"/>
  <c r="X132" i="7"/>
  <c r="Y132" i="7"/>
  <c r="Z132" i="7"/>
  <c r="AA132" i="7"/>
  <c r="AB132" i="7"/>
  <c r="AD132" i="7"/>
  <c r="AE132" i="7"/>
  <c r="AF132" i="7"/>
  <c r="AG132" i="7"/>
  <c r="AH132" i="7"/>
  <c r="AI132" i="7"/>
  <c r="B133" i="7"/>
  <c r="C133" i="7"/>
  <c r="E133" i="7"/>
  <c r="F133" i="7"/>
  <c r="G133" i="7"/>
  <c r="J133" i="7"/>
  <c r="K133" i="7"/>
  <c r="L133" i="7"/>
  <c r="N133" i="7"/>
  <c r="O133" i="7"/>
  <c r="P133" i="7"/>
  <c r="R133" i="7"/>
  <c r="S133" i="7"/>
  <c r="T133" i="7"/>
  <c r="U133" i="7"/>
  <c r="W133" i="7"/>
  <c r="X133" i="7"/>
  <c r="Y133" i="7"/>
  <c r="Z133" i="7"/>
  <c r="AA133" i="7"/>
  <c r="AB133" i="7"/>
  <c r="AD133" i="7"/>
  <c r="AE133" i="7"/>
  <c r="AF133" i="7"/>
  <c r="AG133" i="7"/>
  <c r="AH133" i="7"/>
  <c r="AI133" i="7"/>
  <c r="B134" i="7"/>
  <c r="C134" i="7"/>
  <c r="E134" i="7"/>
  <c r="F134" i="7"/>
  <c r="G134" i="7"/>
  <c r="J134" i="7"/>
  <c r="K134" i="7"/>
  <c r="L134" i="7"/>
  <c r="N134" i="7"/>
  <c r="O134" i="7"/>
  <c r="P134" i="7"/>
  <c r="R134" i="7"/>
  <c r="S134" i="7"/>
  <c r="T134" i="7"/>
  <c r="U134" i="7"/>
  <c r="W134" i="7"/>
  <c r="X134" i="7"/>
  <c r="Y134" i="7"/>
  <c r="Z134" i="7"/>
  <c r="AA134" i="7"/>
  <c r="AB134" i="7"/>
  <c r="AD134" i="7"/>
  <c r="AE134" i="7"/>
  <c r="AF134" i="7"/>
  <c r="AG134" i="7"/>
  <c r="AH134" i="7"/>
  <c r="AI134" i="7"/>
  <c r="B135" i="7"/>
  <c r="C135" i="7"/>
  <c r="E135" i="7"/>
  <c r="F135" i="7"/>
  <c r="G135" i="7"/>
  <c r="J135" i="7"/>
  <c r="K135" i="7"/>
  <c r="L135" i="7"/>
  <c r="N135" i="7"/>
  <c r="O135" i="7"/>
  <c r="P135" i="7"/>
  <c r="R135" i="7"/>
  <c r="S135" i="7"/>
  <c r="T135" i="7"/>
  <c r="U135" i="7"/>
  <c r="W135" i="7"/>
  <c r="X135" i="7"/>
  <c r="Y135" i="7"/>
  <c r="Z135" i="7"/>
  <c r="AA135" i="7"/>
  <c r="AB135" i="7"/>
  <c r="AD135" i="7"/>
  <c r="AE135" i="7"/>
  <c r="AF135" i="7"/>
  <c r="AG135" i="7"/>
  <c r="AH135" i="7"/>
  <c r="AI135" i="7"/>
  <c r="B136" i="7"/>
  <c r="C136" i="7"/>
  <c r="E136" i="7"/>
  <c r="F136" i="7"/>
  <c r="G136" i="7"/>
  <c r="J136" i="7"/>
  <c r="K136" i="7"/>
  <c r="L136" i="7"/>
  <c r="N136" i="7"/>
  <c r="O136" i="7"/>
  <c r="P136" i="7"/>
  <c r="R136" i="7"/>
  <c r="S136" i="7"/>
  <c r="T136" i="7"/>
  <c r="U136" i="7"/>
  <c r="W136" i="7"/>
  <c r="X136" i="7"/>
  <c r="Y136" i="7"/>
  <c r="Z136" i="7"/>
  <c r="AA136" i="7"/>
  <c r="AB136" i="7"/>
  <c r="AD136" i="7"/>
  <c r="AE136" i="7"/>
  <c r="AF136" i="7"/>
  <c r="AG136" i="7"/>
  <c r="AH136" i="7"/>
  <c r="AI136" i="7"/>
  <c r="B137" i="7"/>
  <c r="C137" i="7"/>
  <c r="E137" i="7"/>
  <c r="F137" i="7"/>
  <c r="G137" i="7"/>
  <c r="J137" i="7"/>
  <c r="K137" i="7"/>
  <c r="L137" i="7"/>
  <c r="N137" i="7"/>
  <c r="O137" i="7"/>
  <c r="P137" i="7"/>
  <c r="R137" i="7"/>
  <c r="S137" i="7"/>
  <c r="T137" i="7"/>
  <c r="U137" i="7"/>
  <c r="W137" i="7"/>
  <c r="X137" i="7"/>
  <c r="Y137" i="7"/>
  <c r="Z137" i="7"/>
  <c r="AA137" i="7"/>
  <c r="AB137" i="7"/>
  <c r="AD137" i="7"/>
  <c r="AE137" i="7"/>
  <c r="AF137" i="7"/>
  <c r="AG137" i="7"/>
  <c r="AH137" i="7"/>
  <c r="AI137" i="7"/>
  <c r="B138" i="7"/>
  <c r="C138" i="7"/>
  <c r="E138" i="7"/>
  <c r="F138" i="7"/>
  <c r="G138" i="7"/>
  <c r="J138" i="7"/>
  <c r="K138" i="7"/>
  <c r="L138" i="7"/>
  <c r="N138" i="7"/>
  <c r="O138" i="7"/>
  <c r="P138" i="7"/>
  <c r="R138" i="7"/>
  <c r="S138" i="7"/>
  <c r="T138" i="7"/>
  <c r="U138" i="7"/>
  <c r="W138" i="7"/>
  <c r="X138" i="7"/>
  <c r="Y138" i="7"/>
  <c r="Z138" i="7"/>
  <c r="AA138" i="7"/>
  <c r="AB138" i="7"/>
  <c r="AD138" i="7"/>
  <c r="AE138" i="7"/>
  <c r="AF138" i="7"/>
  <c r="AG138" i="7"/>
  <c r="AH138" i="7"/>
  <c r="AI138" i="7"/>
  <c r="B139" i="7"/>
  <c r="C139" i="7"/>
  <c r="E139" i="7"/>
  <c r="F139" i="7"/>
  <c r="G139" i="7"/>
  <c r="J139" i="7"/>
  <c r="K139" i="7"/>
  <c r="L139" i="7"/>
  <c r="N139" i="7"/>
  <c r="O139" i="7"/>
  <c r="P139" i="7"/>
  <c r="R139" i="7"/>
  <c r="S139" i="7"/>
  <c r="T139" i="7"/>
  <c r="U139" i="7"/>
  <c r="W139" i="7"/>
  <c r="X139" i="7"/>
  <c r="Y139" i="7"/>
  <c r="Z139" i="7"/>
  <c r="AA139" i="7"/>
  <c r="AB139" i="7"/>
  <c r="AD139" i="7"/>
  <c r="AE139" i="7"/>
  <c r="AF139" i="7"/>
  <c r="AG139" i="7"/>
  <c r="AH139" i="7"/>
  <c r="AI139" i="7"/>
  <c r="B140" i="7"/>
  <c r="C140" i="7"/>
  <c r="E140" i="7"/>
  <c r="F140" i="7"/>
  <c r="G140" i="7"/>
  <c r="J140" i="7"/>
  <c r="K140" i="7"/>
  <c r="L140" i="7"/>
  <c r="N140" i="7"/>
  <c r="O140" i="7"/>
  <c r="P140" i="7"/>
  <c r="R140" i="7"/>
  <c r="S140" i="7"/>
  <c r="T140" i="7"/>
  <c r="U140" i="7"/>
  <c r="W140" i="7"/>
  <c r="X140" i="7"/>
  <c r="Y140" i="7"/>
  <c r="Z140" i="7"/>
  <c r="AA140" i="7"/>
  <c r="AB140" i="7"/>
  <c r="AD140" i="7"/>
  <c r="AE140" i="7"/>
  <c r="AF140" i="7"/>
  <c r="AG140" i="7"/>
  <c r="AH140" i="7"/>
  <c r="AI140" i="7"/>
  <c r="B141" i="7"/>
  <c r="C141" i="7"/>
  <c r="E141" i="7"/>
  <c r="F141" i="7"/>
  <c r="G141" i="7"/>
  <c r="J141" i="7"/>
  <c r="K141" i="7"/>
  <c r="L141" i="7"/>
  <c r="N141" i="7"/>
  <c r="O141" i="7"/>
  <c r="P141" i="7"/>
  <c r="R141" i="7"/>
  <c r="S141" i="7"/>
  <c r="T141" i="7"/>
  <c r="U141" i="7"/>
  <c r="W141" i="7"/>
  <c r="X141" i="7"/>
  <c r="Y141" i="7"/>
  <c r="Z141" i="7"/>
  <c r="AA141" i="7"/>
  <c r="AB141" i="7"/>
  <c r="AD141" i="7"/>
  <c r="AE141" i="7"/>
  <c r="AF141" i="7"/>
  <c r="AG141" i="7"/>
  <c r="AH141" i="7"/>
  <c r="AI141" i="7"/>
  <c r="B142" i="7"/>
  <c r="C142" i="7"/>
  <c r="E142" i="7"/>
  <c r="F142" i="7"/>
  <c r="G142" i="7"/>
  <c r="J142" i="7"/>
  <c r="K142" i="7"/>
  <c r="L142" i="7"/>
  <c r="N142" i="7"/>
  <c r="O142" i="7"/>
  <c r="P142" i="7"/>
  <c r="R142" i="7"/>
  <c r="S142" i="7"/>
  <c r="T142" i="7"/>
  <c r="U142" i="7"/>
  <c r="W142" i="7"/>
  <c r="X142" i="7"/>
  <c r="Y142" i="7"/>
  <c r="Z142" i="7"/>
  <c r="AA142" i="7"/>
  <c r="AB142" i="7"/>
  <c r="AD142" i="7"/>
  <c r="AE142" i="7"/>
  <c r="AF142" i="7"/>
  <c r="AG142" i="7"/>
  <c r="AH142" i="7"/>
  <c r="AI142" i="7"/>
  <c r="B143" i="7"/>
  <c r="C143" i="7"/>
  <c r="E143" i="7"/>
  <c r="F143" i="7"/>
  <c r="G143" i="7"/>
  <c r="J143" i="7"/>
  <c r="K143" i="7"/>
  <c r="L143" i="7"/>
  <c r="N143" i="7"/>
  <c r="O143" i="7"/>
  <c r="P143" i="7"/>
  <c r="R143" i="7"/>
  <c r="S143" i="7"/>
  <c r="T143" i="7"/>
  <c r="U143" i="7"/>
  <c r="W143" i="7"/>
  <c r="X143" i="7"/>
  <c r="Y143" i="7"/>
  <c r="Z143" i="7"/>
  <c r="AA143" i="7"/>
  <c r="AB143" i="7"/>
  <c r="AD143" i="7"/>
  <c r="AE143" i="7"/>
  <c r="AF143" i="7"/>
  <c r="AG143" i="7"/>
  <c r="AH143" i="7"/>
  <c r="AI143" i="7"/>
  <c r="B144" i="7"/>
  <c r="C144" i="7"/>
  <c r="E144" i="7"/>
  <c r="F144" i="7"/>
  <c r="G144" i="7"/>
  <c r="J144" i="7"/>
  <c r="K144" i="7"/>
  <c r="L144" i="7"/>
  <c r="N144" i="7"/>
  <c r="O144" i="7"/>
  <c r="P144" i="7"/>
  <c r="R144" i="7"/>
  <c r="S144" i="7"/>
  <c r="T144" i="7"/>
  <c r="U144" i="7"/>
  <c r="W144" i="7"/>
  <c r="X144" i="7"/>
  <c r="Y144" i="7"/>
  <c r="Z144" i="7"/>
  <c r="AA144" i="7"/>
  <c r="AB144" i="7"/>
  <c r="AD144" i="7"/>
  <c r="AE144" i="7"/>
  <c r="AF144" i="7"/>
  <c r="AG144" i="7"/>
  <c r="AH144" i="7"/>
  <c r="AI144" i="7"/>
  <c r="B145" i="7"/>
  <c r="C145" i="7"/>
  <c r="E145" i="7"/>
  <c r="F145" i="7"/>
  <c r="G145" i="7"/>
  <c r="J145" i="7"/>
  <c r="K145" i="7"/>
  <c r="L145" i="7"/>
  <c r="N145" i="7"/>
  <c r="O145" i="7"/>
  <c r="P145" i="7"/>
  <c r="R145" i="7"/>
  <c r="S145" i="7"/>
  <c r="T145" i="7"/>
  <c r="U145" i="7"/>
  <c r="W145" i="7"/>
  <c r="X145" i="7"/>
  <c r="Y145" i="7"/>
  <c r="Z145" i="7"/>
  <c r="AA145" i="7"/>
  <c r="AB145" i="7"/>
  <c r="AD145" i="7"/>
  <c r="AE145" i="7"/>
  <c r="AF145" i="7"/>
  <c r="AG145" i="7"/>
  <c r="AH145" i="7"/>
  <c r="AI145" i="7"/>
  <c r="B146" i="7"/>
  <c r="C146" i="7"/>
  <c r="E146" i="7"/>
  <c r="F146" i="7"/>
  <c r="G146" i="7"/>
  <c r="J146" i="7"/>
  <c r="K146" i="7"/>
  <c r="L146" i="7"/>
  <c r="N146" i="7"/>
  <c r="O146" i="7"/>
  <c r="P146" i="7"/>
  <c r="R146" i="7"/>
  <c r="S146" i="7"/>
  <c r="T146" i="7"/>
  <c r="U146" i="7"/>
  <c r="W146" i="7"/>
  <c r="X146" i="7"/>
  <c r="Y146" i="7"/>
  <c r="Z146" i="7"/>
  <c r="AA146" i="7"/>
  <c r="AB146" i="7"/>
  <c r="AD146" i="7"/>
  <c r="AE146" i="7"/>
  <c r="AF146" i="7"/>
  <c r="AG146" i="7"/>
  <c r="AH146" i="7"/>
  <c r="AI146" i="7"/>
  <c r="B147" i="7"/>
  <c r="C147" i="7"/>
  <c r="E147" i="7"/>
  <c r="F147" i="7"/>
  <c r="G147" i="7"/>
  <c r="J147" i="7"/>
  <c r="K147" i="7"/>
  <c r="L147" i="7"/>
  <c r="N147" i="7"/>
  <c r="O147" i="7"/>
  <c r="P147" i="7"/>
  <c r="R147" i="7"/>
  <c r="S147" i="7"/>
  <c r="T147" i="7"/>
  <c r="U147" i="7"/>
  <c r="W147" i="7"/>
  <c r="X147" i="7"/>
  <c r="Y147" i="7"/>
  <c r="Z147" i="7"/>
  <c r="AA147" i="7"/>
  <c r="AB147" i="7"/>
  <c r="AD147" i="7"/>
  <c r="AE147" i="7"/>
  <c r="AF147" i="7"/>
  <c r="AG147" i="7"/>
  <c r="AH147" i="7"/>
  <c r="AI147" i="7"/>
  <c r="B148" i="7"/>
  <c r="C148" i="7"/>
  <c r="E148" i="7"/>
  <c r="F148" i="7"/>
  <c r="G148" i="7"/>
  <c r="J148" i="7"/>
  <c r="K148" i="7"/>
  <c r="L148" i="7"/>
  <c r="N148" i="7"/>
  <c r="O148" i="7"/>
  <c r="P148" i="7"/>
  <c r="R148" i="7"/>
  <c r="S148" i="7"/>
  <c r="T148" i="7"/>
  <c r="U148" i="7"/>
  <c r="W148" i="7"/>
  <c r="X148" i="7"/>
  <c r="Y148" i="7"/>
  <c r="Z148" i="7"/>
  <c r="AA148" i="7"/>
  <c r="AB148" i="7"/>
  <c r="AD148" i="7"/>
  <c r="AE148" i="7"/>
  <c r="AF148" i="7"/>
  <c r="AG148" i="7"/>
  <c r="AH148" i="7"/>
  <c r="AI148" i="7"/>
  <c r="B149" i="7"/>
  <c r="C149" i="7"/>
  <c r="E149" i="7"/>
  <c r="F149" i="7"/>
  <c r="G149" i="7"/>
  <c r="J149" i="7"/>
  <c r="K149" i="7"/>
  <c r="L149" i="7"/>
  <c r="N149" i="7"/>
  <c r="O149" i="7"/>
  <c r="P149" i="7"/>
  <c r="R149" i="7"/>
  <c r="S149" i="7"/>
  <c r="T149" i="7"/>
  <c r="U149" i="7"/>
  <c r="W149" i="7"/>
  <c r="X149" i="7"/>
  <c r="Y149" i="7"/>
  <c r="Z149" i="7"/>
  <c r="AA149" i="7"/>
  <c r="AB149" i="7"/>
  <c r="AD149" i="7"/>
  <c r="AE149" i="7"/>
  <c r="AF149" i="7"/>
  <c r="AG149" i="7"/>
  <c r="AH149" i="7"/>
  <c r="AI149" i="7"/>
  <c r="B150" i="7"/>
  <c r="C150" i="7"/>
  <c r="E150" i="7"/>
  <c r="F150" i="7"/>
  <c r="G150" i="7"/>
  <c r="J150" i="7"/>
  <c r="K150" i="7"/>
  <c r="L150" i="7"/>
  <c r="N150" i="7"/>
  <c r="O150" i="7"/>
  <c r="P150" i="7"/>
  <c r="R150" i="7"/>
  <c r="S150" i="7"/>
  <c r="T150" i="7"/>
  <c r="U150" i="7"/>
  <c r="W150" i="7"/>
  <c r="X150" i="7"/>
  <c r="Y150" i="7"/>
  <c r="Z150" i="7"/>
  <c r="AA150" i="7"/>
  <c r="AB150" i="7"/>
  <c r="AD150" i="7"/>
  <c r="AE150" i="7"/>
  <c r="AF150" i="7"/>
  <c r="AG150" i="7"/>
  <c r="AH150" i="7"/>
  <c r="AI150" i="7"/>
  <c r="B151" i="7"/>
  <c r="C151" i="7"/>
  <c r="E151" i="7"/>
  <c r="F151" i="7"/>
  <c r="G151" i="7"/>
  <c r="J151" i="7"/>
  <c r="K151" i="7"/>
  <c r="L151" i="7"/>
  <c r="N151" i="7"/>
  <c r="O151" i="7"/>
  <c r="P151" i="7"/>
  <c r="R151" i="7"/>
  <c r="S151" i="7"/>
  <c r="T151" i="7"/>
  <c r="U151" i="7"/>
  <c r="W151" i="7"/>
  <c r="X151" i="7"/>
  <c r="Y151" i="7"/>
  <c r="Z151" i="7"/>
  <c r="AA151" i="7"/>
  <c r="AB151" i="7"/>
  <c r="AD151" i="7"/>
  <c r="AE151" i="7"/>
  <c r="AF151" i="7"/>
  <c r="AG151" i="7"/>
  <c r="AH151" i="7"/>
  <c r="AI151" i="7"/>
  <c r="B152" i="7"/>
  <c r="C152" i="7"/>
  <c r="E152" i="7"/>
  <c r="F152" i="7"/>
  <c r="G152" i="7"/>
  <c r="J152" i="7"/>
  <c r="K152" i="7"/>
  <c r="L152" i="7"/>
  <c r="N152" i="7"/>
  <c r="O152" i="7"/>
  <c r="P152" i="7"/>
  <c r="R152" i="7"/>
  <c r="S152" i="7"/>
  <c r="T152" i="7"/>
  <c r="U152" i="7"/>
  <c r="W152" i="7"/>
  <c r="X152" i="7"/>
  <c r="Y152" i="7"/>
  <c r="Z152" i="7"/>
  <c r="AA152" i="7"/>
  <c r="AB152" i="7"/>
  <c r="AD152" i="7"/>
  <c r="AE152" i="7"/>
  <c r="AF152" i="7"/>
  <c r="AG152" i="7"/>
  <c r="AH152" i="7"/>
  <c r="AI152" i="7"/>
  <c r="B153" i="7"/>
  <c r="C153" i="7"/>
  <c r="E153" i="7"/>
  <c r="F153" i="7"/>
  <c r="G153" i="7"/>
  <c r="J153" i="7"/>
  <c r="K153" i="7"/>
  <c r="L153" i="7"/>
  <c r="N153" i="7"/>
  <c r="O153" i="7"/>
  <c r="P153" i="7"/>
  <c r="R153" i="7"/>
  <c r="S153" i="7"/>
  <c r="T153" i="7"/>
  <c r="U153" i="7"/>
  <c r="W153" i="7"/>
  <c r="X153" i="7"/>
  <c r="Y153" i="7"/>
  <c r="Z153" i="7"/>
  <c r="AA153" i="7"/>
  <c r="AB153" i="7"/>
  <c r="AD153" i="7"/>
  <c r="AE153" i="7"/>
  <c r="AF153" i="7"/>
  <c r="AG153" i="7"/>
  <c r="AH153" i="7"/>
  <c r="AI153" i="7"/>
  <c r="B154" i="7"/>
  <c r="C154" i="7"/>
  <c r="E154" i="7"/>
  <c r="F154" i="7"/>
  <c r="G154" i="7"/>
  <c r="J154" i="7"/>
  <c r="K154" i="7"/>
  <c r="L154" i="7"/>
  <c r="N154" i="7"/>
  <c r="O154" i="7"/>
  <c r="P154" i="7"/>
  <c r="R154" i="7"/>
  <c r="S154" i="7"/>
  <c r="T154" i="7"/>
  <c r="U154" i="7"/>
  <c r="W154" i="7"/>
  <c r="X154" i="7"/>
  <c r="Y154" i="7"/>
  <c r="Z154" i="7"/>
  <c r="AA154" i="7"/>
  <c r="AB154" i="7"/>
  <c r="AD154" i="7"/>
  <c r="AE154" i="7"/>
  <c r="AF154" i="7"/>
  <c r="AG154" i="7"/>
  <c r="AH154" i="7"/>
  <c r="AI154" i="7"/>
  <c r="B155" i="7"/>
  <c r="C155" i="7"/>
  <c r="E155" i="7"/>
  <c r="F155" i="7"/>
  <c r="G155" i="7"/>
  <c r="J155" i="7"/>
  <c r="K155" i="7"/>
  <c r="L155" i="7"/>
  <c r="N155" i="7"/>
  <c r="O155" i="7"/>
  <c r="P155" i="7"/>
  <c r="R155" i="7"/>
  <c r="S155" i="7"/>
  <c r="T155" i="7"/>
  <c r="U155" i="7"/>
  <c r="W155" i="7"/>
  <c r="X155" i="7"/>
  <c r="Y155" i="7"/>
  <c r="Z155" i="7"/>
  <c r="AA155" i="7"/>
  <c r="AB155" i="7"/>
  <c r="AD155" i="7"/>
  <c r="AE155" i="7"/>
  <c r="AF155" i="7"/>
  <c r="AG155" i="7"/>
  <c r="AH155" i="7"/>
  <c r="AI155" i="7"/>
  <c r="B156" i="7"/>
  <c r="C156" i="7"/>
  <c r="E156" i="7"/>
  <c r="F156" i="7"/>
  <c r="G156" i="7"/>
  <c r="J156" i="7"/>
  <c r="K156" i="7"/>
  <c r="L156" i="7"/>
  <c r="N156" i="7"/>
  <c r="O156" i="7"/>
  <c r="P156" i="7"/>
  <c r="R156" i="7"/>
  <c r="S156" i="7"/>
  <c r="T156" i="7"/>
  <c r="U156" i="7"/>
  <c r="W156" i="7"/>
  <c r="X156" i="7"/>
  <c r="Y156" i="7"/>
  <c r="Z156" i="7"/>
  <c r="AA156" i="7"/>
  <c r="AB156" i="7"/>
  <c r="AD156" i="7"/>
  <c r="AE156" i="7"/>
  <c r="AF156" i="7"/>
  <c r="AG156" i="7"/>
  <c r="AH156" i="7"/>
  <c r="AI156" i="7"/>
  <c r="B157" i="7"/>
  <c r="C157" i="7"/>
  <c r="E157" i="7"/>
  <c r="F157" i="7"/>
  <c r="G157" i="7"/>
  <c r="J157" i="7"/>
  <c r="K157" i="7"/>
  <c r="L157" i="7"/>
  <c r="N157" i="7"/>
  <c r="O157" i="7"/>
  <c r="P157" i="7"/>
  <c r="R157" i="7"/>
  <c r="S157" i="7"/>
  <c r="T157" i="7"/>
  <c r="U157" i="7"/>
  <c r="W157" i="7"/>
  <c r="X157" i="7"/>
  <c r="Y157" i="7"/>
  <c r="Z157" i="7"/>
  <c r="AA157" i="7"/>
  <c r="AB157" i="7"/>
  <c r="AD157" i="7"/>
  <c r="AE157" i="7"/>
  <c r="AF157" i="7"/>
  <c r="AG157" i="7"/>
  <c r="AH157" i="7"/>
  <c r="AI157" i="7"/>
  <c r="B158" i="7"/>
  <c r="C158" i="7"/>
  <c r="E158" i="7"/>
  <c r="F158" i="7"/>
  <c r="G158" i="7"/>
  <c r="J158" i="7"/>
  <c r="K158" i="7"/>
  <c r="L158" i="7"/>
  <c r="N158" i="7"/>
  <c r="O158" i="7"/>
  <c r="P158" i="7"/>
  <c r="R158" i="7"/>
  <c r="S158" i="7"/>
  <c r="T158" i="7"/>
  <c r="U158" i="7"/>
  <c r="W158" i="7"/>
  <c r="X158" i="7"/>
  <c r="Y158" i="7"/>
  <c r="Z158" i="7"/>
  <c r="AA158" i="7"/>
  <c r="AB158" i="7"/>
  <c r="AD158" i="7"/>
  <c r="AE158" i="7"/>
  <c r="AF158" i="7"/>
  <c r="AG158" i="7"/>
  <c r="AH158" i="7"/>
  <c r="AI158" i="7"/>
  <c r="B159" i="7"/>
  <c r="C159" i="7"/>
  <c r="E159" i="7"/>
  <c r="F159" i="7"/>
  <c r="G159" i="7"/>
  <c r="J159" i="7"/>
  <c r="K159" i="7"/>
  <c r="L159" i="7"/>
  <c r="N159" i="7"/>
  <c r="O159" i="7"/>
  <c r="P159" i="7"/>
  <c r="R159" i="7"/>
  <c r="S159" i="7"/>
  <c r="T159" i="7"/>
  <c r="U159" i="7"/>
  <c r="W159" i="7"/>
  <c r="X159" i="7"/>
  <c r="Y159" i="7"/>
  <c r="Z159" i="7"/>
  <c r="AA159" i="7"/>
  <c r="AB159" i="7"/>
  <c r="AD159" i="7"/>
  <c r="AE159" i="7"/>
  <c r="AF159" i="7"/>
  <c r="AG159" i="7"/>
  <c r="AH159" i="7"/>
  <c r="AI159" i="7"/>
  <c r="B160" i="7"/>
  <c r="C160" i="7"/>
  <c r="E160" i="7"/>
  <c r="F160" i="7"/>
  <c r="G160" i="7"/>
  <c r="J160" i="7"/>
  <c r="K160" i="7"/>
  <c r="L160" i="7"/>
  <c r="N160" i="7"/>
  <c r="O160" i="7"/>
  <c r="P160" i="7"/>
  <c r="R160" i="7"/>
  <c r="S160" i="7"/>
  <c r="T160" i="7"/>
  <c r="U160" i="7"/>
  <c r="W160" i="7"/>
  <c r="X160" i="7"/>
  <c r="Y160" i="7"/>
  <c r="Z160" i="7"/>
  <c r="AA160" i="7"/>
  <c r="AB160" i="7"/>
  <c r="AD160" i="7"/>
  <c r="AE160" i="7"/>
  <c r="AF160" i="7"/>
  <c r="AG160" i="7"/>
  <c r="AH160" i="7"/>
  <c r="AI160" i="7"/>
  <c r="B161" i="7"/>
  <c r="C161" i="7"/>
  <c r="E161" i="7"/>
  <c r="F161" i="7"/>
  <c r="G161" i="7"/>
  <c r="J161" i="7"/>
  <c r="K161" i="7"/>
  <c r="L161" i="7"/>
  <c r="N161" i="7"/>
  <c r="O161" i="7"/>
  <c r="P161" i="7"/>
  <c r="R161" i="7"/>
  <c r="S161" i="7"/>
  <c r="T161" i="7"/>
  <c r="U161" i="7"/>
  <c r="W161" i="7"/>
  <c r="X161" i="7"/>
  <c r="Y161" i="7"/>
  <c r="Z161" i="7"/>
  <c r="AA161" i="7"/>
  <c r="AB161" i="7"/>
  <c r="AD161" i="7"/>
  <c r="AE161" i="7"/>
  <c r="AF161" i="7"/>
  <c r="AG161" i="7"/>
  <c r="AH161" i="7"/>
  <c r="AI161" i="7"/>
  <c r="B162" i="7"/>
  <c r="C162" i="7"/>
  <c r="E162" i="7"/>
  <c r="F162" i="7"/>
  <c r="G162" i="7"/>
  <c r="J162" i="7"/>
  <c r="K162" i="7"/>
  <c r="L162" i="7"/>
  <c r="N162" i="7"/>
  <c r="O162" i="7"/>
  <c r="P162" i="7"/>
  <c r="R162" i="7"/>
  <c r="S162" i="7"/>
  <c r="T162" i="7"/>
  <c r="U162" i="7"/>
  <c r="W162" i="7"/>
  <c r="X162" i="7"/>
  <c r="Y162" i="7"/>
  <c r="Z162" i="7"/>
  <c r="AA162" i="7"/>
  <c r="AB162" i="7"/>
  <c r="AD162" i="7"/>
  <c r="AE162" i="7"/>
  <c r="AF162" i="7"/>
  <c r="AG162" i="7"/>
  <c r="AH162" i="7"/>
  <c r="AI162" i="7"/>
  <c r="B163" i="7"/>
  <c r="C163" i="7"/>
  <c r="E163" i="7"/>
  <c r="F163" i="7"/>
  <c r="G163" i="7"/>
  <c r="J163" i="7"/>
  <c r="K163" i="7"/>
  <c r="L163" i="7"/>
  <c r="N163" i="7"/>
  <c r="O163" i="7"/>
  <c r="P163" i="7"/>
  <c r="R163" i="7"/>
  <c r="S163" i="7"/>
  <c r="T163" i="7"/>
  <c r="U163" i="7"/>
  <c r="W163" i="7"/>
  <c r="X163" i="7"/>
  <c r="Y163" i="7"/>
  <c r="Z163" i="7"/>
  <c r="AA163" i="7"/>
  <c r="AB163" i="7"/>
  <c r="AD163" i="7"/>
  <c r="AE163" i="7"/>
  <c r="AF163" i="7"/>
  <c r="AG163" i="7"/>
  <c r="AH163" i="7"/>
  <c r="AI163" i="7"/>
  <c r="B164" i="7"/>
  <c r="C164" i="7"/>
  <c r="E164" i="7"/>
  <c r="F164" i="7"/>
  <c r="G164" i="7"/>
  <c r="J164" i="7"/>
  <c r="K164" i="7"/>
  <c r="L164" i="7"/>
  <c r="N164" i="7"/>
  <c r="O164" i="7"/>
  <c r="P164" i="7"/>
  <c r="R164" i="7"/>
  <c r="S164" i="7"/>
  <c r="T164" i="7"/>
  <c r="U164" i="7"/>
  <c r="W164" i="7"/>
  <c r="X164" i="7"/>
  <c r="Y164" i="7"/>
  <c r="Z164" i="7"/>
  <c r="AA164" i="7"/>
  <c r="AB164" i="7"/>
  <c r="AD164" i="7"/>
  <c r="AE164" i="7"/>
  <c r="AF164" i="7"/>
  <c r="AG164" i="7"/>
  <c r="AH164" i="7"/>
  <c r="AI164" i="7"/>
  <c r="B165" i="7"/>
  <c r="C165" i="7"/>
  <c r="E165" i="7"/>
  <c r="F165" i="7"/>
  <c r="G165" i="7"/>
  <c r="J165" i="7"/>
  <c r="K165" i="7"/>
  <c r="L165" i="7"/>
  <c r="N165" i="7"/>
  <c r="O165" i="7"/>
  <c r="P165" i="7"/>
  <c r="R165" i="7"/>
  <c r="S165" i="7"/>
  <c r="T165" i="7"/>
  <c r="U165" i="7"/>
  <c r="W165" i="7"/>
  <c r="X165" i="7"/>
  <c r="Y165" i="7"/>
  <c r="Z165" i="7"/>
  <c r="AA165" i="7"/>
  <c r="AB165" i="7"/>
  <c r="AD165" i="7"/>
  <c r="AE165" i="7"/>
  <c r="AF165" i="7"/>
  <c r="AG165" i="7"/>
  <c r="AH165" i="7"/>
  <c r="AI165" i="7"/>
  <c r="B166" i="7"/>
  <c r="C166" i="7"/>
  <c r="E166" i="7"/>
  <c r="F166" i="7"/>
  <c r="G166" i="7"/>
  <c r="J166" i="7"/>
  <c r="K166" i="7"/>
  <c r="L166" i="7"/>
  <c r="N166" i="7"/>
  <c r="O166" i="7"/>
  <c r="P166" i="7"/>
  <c r="R166" i="7"/>
  <c r="S166" i="7"/>
  <c r="T166" i="7"/>
  <c r="U166" i="7"/>
  <c r="W166" i="7"/>
  <c r="X166" i="7"/>
  <c r="Y166" i="7"/>
  <c r="Z166" i="7"/>
  <c r="AA166" i="7"/>
  <c r="AB166" i="7"/>
  <c r="AD166" i="7"/>
  <c r="AE166" i="7"/>
  <c r="AF166" i="7"/>
  <c r="AG166" i="7"/>
  <c r="AH166" i="7"/>
  <c r="AI166" i="7"/>
  <c r="B167" i="7"/>
  <c r="C167" i="7"/>
  <c r="E167" i="7"/>
  <c r="F167" i="7"/>
  <c r="G167" i="7"/>
  <c r="J167" i="7"/>
  <c r="K167" i="7"/>
  <c r="L167" i="7"/>
  <c r="N167" i="7"/>
  <c r="O167" i="7"/>
  <c r="P167" i="7"/>
  <c r="R167" i="7"/>
  <c r="S167" i="7"/>
  <c r="T167" i="7"/>
  <c r="U167" i="7"/>
  <c r="W167" i="7"/>
  <c r="X167" i="7"/>
  <c r="Y167" i="7"/>
  <c r="Z167" i="7"/>
  <c r="AA167" i="7"/>
  <c r="AB167" i="7"/>
  <c r="AD167" i="7"/>
  <c r="AE167" i="7"/>
  <c r="AF167" i="7"/>
  <c r="AG167" i="7"/>
  <c r="AH167" i="7"/>
  <c r="AI167" i="7"/>
  <c r="B168" i="7"/>
  <c r="C168" i="7"/>
  <c r="E168" i="7"/>
  <c r="F168" i="7"/>
  <c r="G168" i="7"/>
  <c r="J168" i="7"/>
  <c r="K168" i="7"/>
  <c r="L168" i="7"/>
  <c r="N168" i="7"/>
  <c r="O168" i="7"/>
  <c r="P168" i="7"/>
  <c r="R168" i="7"/>
  <c r="S168" i="7"/>
  <c r="T168" i="7"/>
  <c r="U168" i="7"/>
  <c r="W168" i="7"/>
  <c r="X168" i="7"/>
  <c r="Y168" i="7"/>
  <c r="Z168" i="7"/>
  <c r="AA168" i="7"/>
  <c r="AB168" i="7"/>
  <c r="AD168" i="7"/>
  <c r="AE168" i="7"/>
  <c r="AF168" i="7"/>
  <c r="AG168" i="7"/>
  <c r="AH168" i="7"/>
  <c r="AI168" i="7"/>
  <c r="B169" i="7"/>
  <c r="C169" i="7"/>
  <c r="E169" i="7"/>
  <c r="F169" i="7"/>
  <c r="G169" i="7"/>
  <c r="J169" i="7"/>
  <c r="K169" i="7"/>
  <c r="L169" i="7"/>
  <c r="N169" i="7"/>
  <c r="O169" i="7"/>
  <c r="P169" i="7"/>
  <c r="R169" i="7"/>
  <c r="S169" i="7"/>
  <c r="T169" i="7"/>
  <c r="U169" i="7"/>
  <c r="W169" i="7"/>
  <c r="X169" i="7"/>
  <c r="Y169" i="7"/>
  <c r="Z169" i="7"/>
  <c r="AA169" i="7"/>
  <c r="AB169" i="7"/>
  <c r="AD169" i="7"/>
  <c r="AE169" i="7"/>
  <c r="AF169" i="7"/>
  <c r="AG169" i="7"/>
  <c r="AH169" i="7"/>
  <c r="AI169" i="7"/>
  <c r="B170" i="7"/>
  <c r="C170" i="7"/>
  <c r="E170" i="7"/>
  <c r="F170" i="7"/>
  <c r="G170" i="7"/>
  <c r="J170" i="7"/>
  <c r="K170" i="7"/>
  <c r="L170" i="7"/>
  <c r="N170" i="7"/>
  <c r="O170" i="7"/>
  <c r="P170" i="7"/>
  <c r="R170" i="7"/>
  <c r="S170" i="7"/>
  <c r="T170" i="7"/>
  <c r="U170" i="7"/>
  <c r="W170" i="7"/>
  <c r="X170" i="7"/>
  <c r="Y170" i="7"/>
  <c r="Z170" i="7"/>
  <c r="AA170" i="7"/>
  <c r="AB170" i="7"/>
  <c r="AD170" i="7"/>
  <c r="AE170" i="7"/>
  <c r="AF170" i="7"/>
  <c r="AG170" i="7"/>
  <c r="AH170" i="7"/>
  <c r="AI170" i="7"/>
  <c r="B171" i="7"/>
  <c r="C171" i="7"/>
  <c r="E171" i="7"/>
  <c r="F171" i="7"/>
  <c r="G171" i="7"/>
  <c r="J171" i="7"/>
  <c r="K171" i="7"/>
  <c r="L171" i="7"/>
  <c r="N171" i="7"/>
  <c r="O171" i="7"/>
  <c r="P171" i="7"/>
  <c r="R171" i="7"/>
  <c r="S171" i="7"/>
  <c r="T171" i="7"/>
  <c r="U171" i="7"/>
  <c r="W171" i="7"/>
  <c r="X171" i="7"/>
  <c r="Y171" i="7"/>
  <c r="Z171" i="7"/>
  <c r="AA171" i="7"/>
  <c r="AB171" i="7"/>
  <c r="AD171" i="7"/>
  <c r="AE171" i="7"/>
  <c r="AF171" i="7"/>
  <c r="AG171" i="7"/>
  <c r="AH171" i="7"/>
  <c r="AI171" i="7"/>
  <c r="B172" i="7"/>
  <c r="C172" i="7"/>
  <c r="E172" i="7"/>
  <c r="F172" i="7"/>
  <c r="G172" i="7"/>
  <c r="J172" i="7"/>
  <c r="K172" i="7"/>
  <c r="L172" i="7"/>
  <c r="N172" i="7"/>
  <c r="O172" i="7"/>
  <c r="P172" i="7"/>
  <c r="R172" i="7"/>
  <c r="S172" i="7"/>
  <c r="T172" i="7"/>
  <c r="U172" i="7"/>
  <c r="W172" i="7"/>
  <c r="X172" i="7"/>
  <c r="Y172" i="7"/>
  <c r="Z172" i="7"/>
  <c r="AA172" i="7"/>
  <c r="AB172" i="7"/>
  <c r="AD172" i="7"/>
  <c r="AE172" i="7"/>
  <c r="AF172" i="7"/>
  <c r="AG172" i="7"/>
  <c r="AH172" i="7"/>
  <c r="AI172" i="7"/>
  <c r="B173" i="7"/>
  <c r="C173" i="7"/>
  <c r="E173" i="7"/>
  <c r="F173" i="7"/>
  <c r="G173" i="7"/>
  <c r="J173" i="7"/>
  <c r="K173" i="7"/>
  <c r="L173" i="7"/>
  <c r="N173" i="7"/>
  <c r="O173" i="7"/>
  <c r="P173" i="7"/>
  <c r="R173" i="7"/>
  <c r="S173" i="7"/>
  <c r="T173" i="7"/>
  <c r="U173" i="7"/>
  <c r="W173" i="7"/>
  <c r="X173" i="7"/>
  <c r="Y173" i="7"/>
  <c r="Z173" i="7"/>
  <c r="AA173" i="7"/>
  <c r="AB173" i="7"/>
  <c r="AD173" i="7"/>
  <c r="AE173" i="7"/>
  <c r="AF173" i="7"/>
  <c r="AG173" i="7"/>
  <c r="AH173" i="7"/>
  <c r="AI173" i="7"/>
  <c r="B174" i="7"/>
  <c r="C174" i="7"/>
  <c r="E174" i="7"/>
  <c r="F174" i="7"/>
  <c r="G174" i="7"/>
  <c r="J174" i="7"/>
  <c r="K174" i="7"/>
  <c r="L174" i="7"/>
  <c r="N174" i="7"/>
  <c r="O174" i="7"/>
  <c r="P174" i="7"/>
  <c r="R174" i="7"/>
  <c r="S174" i="7"/>
  <c r="T174" i="7"/>
  <c r="U174" i="7"/>
  <c r="W174" i="7"/>
  <c r="X174" i="7"/>
  <c r="Y174" i="7"/>
  <c r="Z174" i="7"/>
  <c r="AA174" i="7"/>
  <c r="AB174" i="7"/>
  <c r="AD174" i="7"/>
  <c r="AE174" i="7"/>
  <c r="AF174" i="7"/>
  <c r="AG174" i="7"/>
  <c r="AH174" i="7"/>
  <c r="AI174" i="7"/>
  <c r="B175" i="7"/>
  <c r="C175" i="7"/>
  <c r="E175" i="7"/>
  <c r="F175" i="7"/>
  <c r="G175" i="7"/>
  <c r="J175" i="7"/>
  <c r="K175" i="7"/>
  <c r="L175" i="7"/>
  <c r="N175" i="7"/>
  <c r="O175" i="7"/>
  <c r="P175" i="7"/>
  <c r="R175" i="7"/>
  <c r="S175" i="7"/>
  <c r="T175" i="7"/>
  <c r="U175" i="7"/>
  <c r="W175" i="7"/>
  <c r="X175" i="7"/>
  <c r="Y175" i="7"/>
  <c r="Z175" i="7"/>
  <c r="AA175" i="7"/>
  <c r="AB175" i="7"/>
  <c r="AD175" i="7"/>
  <c r="AE175" i="7"/>
  <c r="AF175" i="7"/>
  <c r="AG175" i="7"/>
  <c r="AH175" i="7"/>
  <c r="AI175" i="7"/>
  <c r="B176" i="7"/>
  <c r="C176" i="7"/>
  <c r="E176" i="7"/>
  <c r="F176" i="7"/>
  <c r="G176" i="7"/>
  <c r="J176" i="7"/>
  <c r="K176" i="7"/>
  <c r="L176" i="7"/>
  <c r="N176" i="7"/>
  <c r="O176" i="7"/>
  <c r="P176" i="7"/>
  <c r="R176" i="7"/>
  <c r="S176" i="7"/>
  <c r="T176" i="7"/>
  <c r="U176" i="7"/>
  <c r="W176" i="7"/>
  <c r="X176" i="7"/>
  <c r="Y176" i="7"/>
  <c r="Z176" i="7"/>
  <c r="AA176" i="7"/>
  <c r="AB176" i="7"/>
  <c r="AD176" i="7"/>
  <c r="AE176" i="7"/>
  <c r="AF176" i="7"/>
  <c r="AG176" i="7"/>
  <c r="AH176" i="7"/>
  <c r="AI176" i="7"/>
  <c r="B177" i="7"/>
  <c r="C177" i="7"/>
  <c r="E177" i="7"/>
  <c r="F177" i="7"/>
  <c r="G177" i="7"/>
  <c r="J177" i="7"/>
  <c r="K177" i="7"/>
  <c r="L177" i="7"/>
  <c r="N177" i="7"/>
  <c r="O177" i="7"/>
  <c r="P177" i="7"/>
  <c r="R177" i="7"/>
  <c r="S177" i="7"/>
  <c r="T177" i="7"/>
  <c r="U177" i="7"/>
  <c r="W177" i="7"/>
  <c r="X177" i="7"/>
  <c r="Y177" i="7"/>
  <c r="Z177" i="7"/>
  <c r="AA177" i="7"/>
  <c r="AB177" i="7"/>
  <c r="AD177" i="7"/>
  <c r="AE177" i="7"/>
  <c r="AF177" i="7"/>
  <c r="AG177" i="7"/>
  <c r="AH177" i="7"/>
  <c r="AI177" i="7"/>
  <c r="B178" i="7"/>
  <c r="C178" i="7"/>
  <c r="E178" i="7"/>
  <c r="F178" i="7"/>
  <c r="G178" i="7"/>
  <c r="J178" i="7"/>
  <c r="K178" i="7"/>
  <c r="L178" i="7"/>
  <c r="N178" i="7"/>
  <c r="O178" i="7"/>
  <c r="P178" i="7"/>
  <c r="R178" i="7"/>
  <c r="S178" i="7"/>
  <c r="T178" i="7"/>
  <c r="U178" i="7"/>
  <c r="W178" i="7"/>
  <c r="X178" i="7"/>
  <c r="Y178" i="7"/>
  <c r="Z178" i="7"/>
  <c r="AA178" i="7"/>
  <c r="AB178" i="7"/>
  <c r="AD178" i="7"/>
  <c r="AE178" i="7"/>
  <c r="AF178" i="7"/>
  <c r="AG178" i="7"/>
  <c r="AH178" i="7"/>
  <c r="AI178" i="7"/>
  <c r="B179" i="7"/>
  <c r="C179" i="7"/>
  <c r="E179" i="7"/>
  <c r="F179" i="7"/>
  <c r="G179" i="7"/>
  <c r="J179" i="7"/>
  <c r="K179" i="7"/>
  <c r="L179" i="7"/>
  <c r="N179" i="7"/>
  <c r="O179" i="7"/>
  <c r="P179" i="7"/>
  <c r="R179" i="7"/>
  <c r="S179" i="7"/>
  <c r="T179" i="7"/>
  <c r="U179" i="7"/>
  <c r="W179" i="7"/>
  <c r="X179" i="7"/>
  <c r="Y179" i="7"/>
  <c r="Z179" i="7"/>
  <c r="AA179" i="7"/>
  <c r="AB179" i="7"/>
  <c r="AD179" i="7"/>
  <c r="AE179" i="7"/>
  <c r="AF179" i="7"/>
  <c r="AG179" i="7"/>
  <c r="AH179" i="7"/>
  <c r="AI179" i="7"/>
  <c r="B180" i="7"/>
  <c r="C180" i="7"/>
  <c r="E180" i="7"/>
  <c r="F180" i="7"/>
  <c r="G180" i="7"/>
  <c r="J180" i="7"/>
  <c r="K180" i="7"/>
  <c r="L180" i="7"/>
  <c r="N180" i="7"/>
  <c r="O180" i="7"/>
  <c r="P180" i="7"/>
  <c r="R180" i="7"/>
  <c r="S180" i="7"/>
  <c r="T180" i="7"/>
  <c r="U180" i="7"/>
  <c r="W180" i="7"/>
  <c r="X180" i="7"/>
  <c r="Y180" i="7"/>
  <c r="Z180" i="7"/>
  <c r="AA180" i="7"/>
  <c r="AB180" i="7"/>
  <c r="AD180" i="7"/>
  <c r="AE180" i="7"/>
  <c r="AF180" i="7"/>
  <c r="AG180" i="7"/>
  <c r="AH180" i="7"/>
  <c r="AI180" i="7"/>
  <c r="B181" i="7"/>
  <c r="C181" i="7"/>
  <c r="E181" i="7"/>
  <c r="F181" i="7"/>
  <c r="G181" i="7"/>
  <c r="J181" i="7"/>
  <c r="K181" i="7"/>
  <c r="L181" i="7"/>
  <c r="N181" i="7"/>
  <c r="O181" i="7"/>
  <c r="P181" i="7"/>
  <c r="R181" i="7"/>
  <c r="S181" i="7"/>
  <c r="T181" i="7"/>
  <c r="U181" i="7"/>
  <c r="W181" i="7"/>
  <c r="X181" i="7"/>
  <c r="Y181" i="7"/>
  <c r="Z181" i="7"/>
  <c r="AA181" i="7"/>
  <c r="AB181" i="7"/>
  <c r="AD181" i="7"/>
  <c r="AE181" i="7"/>
  <c r="AF181" i="7"/>
  <c r="AG181" i="7"/>
  <c r="AH181" i="7"/>
  <c r="AI181" i="7"/>
  <c r="B182" i="7"/>
  <c r="C182" i="7"/>
  <c r="E182" i="7"/>
  <c r="F182" i="7"/>
  <c r="G182" i="7"/>
  <c r="J182" i="7"/>
  <c r="K182" i="7"/>
  <c r="L182" i="7"/>
  <c r="N182" i="7"/>
  <c r="O182" i="7"/>
  <c r="P182" i="7"/>
  <c r="R182" i="7"/>
  <c r="S182" i="7"/>
  <c r="T182" i="7"/>
  <c r="U182" i="7"/>
  <c r="W182" i="7"/>
  <c r="X182" i="7"/>
  <c r="Y182" i="7"/>
  <c r="Z182" i="7"/>
  <c r="AA182" i="7"/>
  <c r="AB182" i="7"/>
  <c r="AD182" i="7"/>
  <c r="AE182" i="7"/>
  <c r="AF182" i="7"/>
  <c r="AG182" i="7"/>
  <c r="AH182" i="7"/>
  <c r="AI182" i="7"/>
  <c r="B183" i="7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J3" i="6"/>
  <c r="AL3" i="6"/>
  <c r="H4" i="6"/>
  <c r="J4" i="6"/>
  <c r="K4" i="6"/>
  <c r="N4" i="6"/>
  <c r="AL4" i="6"/>
  <c r="AS4" i="6"/>
  <c r="U5" i="6"/>
  <c r="U6" i="6"/>
  <c r="AO6" i="6"/>
  <c r="AQ6" i="6"/>
  <c r="AS6" i="6"/>
  <c r="AT6" i="6"/>
  <c r="AU6" i="6"/>
  <c r="F7" i="6"/>
  <c r="U7" i="6"/>
  <c r="AO7" i="6"/>
  <c r="AQ7" i="6"/>
  <c r="AS7" i="6"/>
  <c r="AT7" i="6"/>
  <c r="AU7" i="6"/>
  <c r="A8" i="6"/>
  <c r="B8" i="6"/>
  <c r="C8" i="6"/>
  <c r="E8" i="6"/>
  <c r="F8" i="6"/>
  <c r="H8" i="6"/>
  <c r="J8" i="6"/>
  <c r="K8" i="6"/>
  <c r="L8" i="6"/>
  <c r="N8" i="6"/>
  <c r="O8" i="6"/>
  <c r="P8" i="6"/>
  <c r="Q8" i="6"/>
  <c r="R8" i="6"/>
  <c r="S8" i="6"/>
  <c r="T8" i="6"/>
  <c r="U8" i="6"/>
  <c r="AJ8" i="6"/>
  <c r="AL8" i="6"/>
  <c r="AM8" i="6"/>
  <c r="AO8" i="6"/>
  <c r="AQ8" i="6"/>
  <c r="AS8" i="6"/>
  <c r="AT8" i="6"/>
  <c r="AU8" i="6"/>
  <c r="A9" i="6"/>
  <c r="B9" i="6"/>
  <c r="C9" i="6"/>
  <c r="E9" i="6"/>
  <c r="F9" i="6"/>
  <c r="H9" i="6"/>
  <c r="J9" i="6"/>
  <c r="K9" i="6"/>
  <c r="L9" i="6"/>
  <c r="N9" i="6"/>
  <c r="O9" i="6"/>
  <c r="P9" i="6"/>
  <c r="Q9" i="6"/>
  <c r="R9" i="6"/>
  <c r="S9" i="6"/>
  <c r="T9" i="6"/>
  <c r="U9" i="6"/>
  <c r="AJ9" i="6"/>
  <c r="AL9" i="6"/>
  <c r="AM9" i="6"/>
  <c r="AO9" i="6"/>
  <c r="AQ9" i="6"/>
  <c r="AS9" i="6"/>
  <c r="AT9" i="6"/>
  <c r="AU9" i="6"/>
  <c r="A10" i="6"/>
  <c r="B10" i="6"/>
  <c r="C10" i="6"/>
  <c r="E10" i="6"/>
  <c r="F10" i="6"/>
  <c r="H10" i="6"/>
  <c r="J10" i="6"/>
  <c r="K10" i="6"/>
  <c r="L10" i="6"/>
  <c r="N10" i="6"/>
  <c r="O10" i="6"/>
  <c r="P10" i="6"/>
  <c r="Q10" i="6"/>
  <c r="R10" i="6"/>
  <c r="S10" i="6"/>
  <c r="T10" i="6"/>
  <c r="U10" i="6"/>
  <c r="AJ10" i="6"/>
  <c r="AL10" i="6"/>
  <c r="AM10" i="6"/>
  <c r="AO10" i="6"/>
  <c r="AQ10" i="6"/>
  <c r="AS10" i="6"/>
  <c r="AT10" i="6"/>
  <c r="AU10" i="6"/>
  <c r="A11" i="6"/>
  <c r="B11" i="6"/>
  <c r="C11" i="6"/>
  <c r="E11" i="6"/>
  <c r="F11" i="6"/>
  <c r="H11" i="6"/>
  <c r="J11" i="6"/>
  <c r="K11" i="6"/>
  <c r="L11" i="6"/>
  <c r="N11" i="6"/>
  <c r="O11" i="6"/>
  <c r="P11" i="6"/>
  <c r="Q11" i="6"/>
  <c r="R11" i="6"/>
  <c r="S11" i="6"/>
  <c r="T11" i="6"/>
  <c r="U11" i="6"/>
  <c r="AJ11" i="6"/>
  <c r="AL11" i="6"/>
  <c r="AM11" i="6"/>
  <c r="AO11" i="6"/>
  <c r="AQ11" i="6"/>
  <c r="AS11" i="6"/>
  <c r="AT11" i="6"/>
  <c r="AU11" i="6"/>
  <c r="A12" i="6"/>
  <c r="B12" i="6"/>
  <c r="C12" i="6"/>
  <c r="E12" i="6"/>
  <c r="F12" i="6"/>
  <c r="H12" i="6"/>
  <c r="J12" i="6"/>
  <c r="K12" i="6"/>
  <c r="L12" i="6"/>
  <c r="N12" i="6"/>
  <c r="O12" i="6"/>
  <c r="P12" i="6"/>
  <c r="Q12" i="6"/>
  <c r="R12" i="6"/>
  <c r="S12" i="6"/>
  <c r="T12" i="6"/>
  <c r="U12" i="6"/>
  <c r="AJ12" i="6"/>
  <c r="AL12" i="6"/>
  <c r="AM12" i="6"/>
  <c r="AO12" i="6"/>
  <c r="AQ12" i="6"/>
  <c r="AS12" i="6"/>
  <c r="AT12" i="6"/>
  <c r="AU12" i="6"/>
  <c r="A13" i="6"/>
  <c r="B13" i="6"/>
  <c r="C13" i="6"/>
  <c r="E13" i="6"/>
  <c r="F13" i="6"/>
  <c r="H13" i="6"/>
  <c r="J13" i="6"/>
  <c r="K13" i="6"/>
  <c r="L13" i="6"/>
  <c r="N13" i="6"/>
  <c r="O13" i="6"/>
  <c r="P13" i="6"/>
  <c r="Q13" i="6"/>
  <c r="R13" i="6"/>
  <c r="S13" i="6"/>
  <c r="T13" i="6"/>
  <c r="U13" i="6"/>
  <c r="AJ13" i="6"/>
  <c r="AL13" i="6"/>
  <c r="AM13" i="6"/>
  <c r="AO13" i="6"/>
  <c r="AQ13" i="6"/>
  <c r="AS13" i="6"/>
  <c r="AT13" i="6"/>
  <c r="AU13" i="6"/>
  <c r="A14" i="6"/>
  <c r="B14" i="6"/>
  <c r="C14" i="6"/>
  <c r="E14" i="6"/>
  <c r="F14" i="6"/>
  <c r="H14" i="6"/>
  <c r="J14" i="6"/>
  <c r="K14" i="6"/>
  <c r="L14" i="6"/>
  <c r="N14" i="6"/>
  <c r="O14" i="6"/>
  <c r="P14" i="6"/>
  <c r="Q14" i="6"/>
  <c r="R14" i="6"/>
  <c r="S14" i="6"/>
  <c r="T14" i="6"/>
  <c r="U14" i="6"/>
  <c r="AJ14" i="6"/>
  <c r="AL14" i="6"/>
  <c r="AM14" i="6"/>
  <c r="AO14" i="6"/>
  <c r="AQ14" i="6"/>
  <c r="AS14" i="6"/>
  <c r="AT14" i="6"/>
  <c r="AU14" i="6"/>
  <c r="A15" i="6"/>
  <c r="B15" i="6"/>
  <c r="C15" i="6"/>
  <c r="E15" i="6"/>
  <c r="F15" i="6"/>
  <c r="H15" i="6"/>
  <c r="J15" i="6"/>
  <c r="K15" i="6"/>
  <c r="L15" i="6"/>
  <c r="N15" i="6"/>
  <c r="O15" i="6"/>
  <c r="P15" i="6"/>
  <c r="Q15" i="6"/>
  <c r="R15" i="6"/>
  <c r="S15" i="6"/>
  <c r="T15" i="6"/>
  <c r="U15" i="6"/>
  <c r="AJ15" i="6"/>
  <c r="AL15" i="6"/>
  <c r="AM15" i="6"/>
  <c r="AO15" i="6"/>
  <c r="AQ15" i="6"/>
  <c r="AS15" i="6"/>
  <c r="AT15" i="6"/>
  <c r="AU15" i="6"/>
  <c r="A16" i="6"/>
  <c r="B16" i="6"/>
  <c r="C16" i="6"/>
  <c r="E16" i="6"/>
  <c r="F16" i="6"/>
  <c r="H16" i="6"/>
  <c r="J16" i="6"/>
  <c r="K16" i="6"/>
  <c r="L16" i="6"/>
  <c r="N16" i="6"/>
  <c r="O16" i="6"/>
  <c r="P16" i="6"/>
  <c r="Q16" i="6"/>
  <c r="R16" i="6"/>
  <c r="S16" i="6"/>
  <c r="T16" i="6"/>
  <c r="U16" i="6"/>
  <c r="AJ16" i="6"/>
  <c r="AL16" i="6"/>
  <c r="AM16" i="6"/>
  <c r="AO16" i="6"/>
  <c r="AQ16" i="6"/>
  <c r="AS16" i="6"/>
  <c r="AT16" i="6"/>
  <c r="AU16" i="6"/>
  <c r="A17" i="6"/>
  <c r="B17" i="6"/>
  <c r="C17" i="6"/>
  <c r="E17" i="6"/>
  <c r="F17" i="6"/>
  <c r="H17" i="6"/>
  <c r="J17" i="6"/>
  <c r="K17" i="6"/>
  <c r="L17" i="6"/>
  <c r="N17" i="6"/>
  <c r="O17" i="6"/>
  <c r="P17" i="6"/>
  <c r="Q17" i="6"/>
  <c r="R17" i="6"/>
  <c r="S17" i="6"/>
  <c r="T17" i="6"/>
  <c r="U17" i="6"/>
  <c r="AJ17" i="6"/>
  <c r="AL17" i="6"/>
  <c r="AM17" i="6"/>
  <c r="AO17" i="6"/>
  <c r="AQ17" i="6"/>
  <c r="AS17" i="6"/>
  <c r="AT17" i="6"/>
  <c r="AU17" i="6"/>
  <c r="A18" i="6"/>
  <c r="B18" i="6"/>
  <c r="C18" i="6"/>
  <c r="E18" i="6"/>
  <c r="F18" i="6"/>
  <c r="H18" i="6"/>
  <c r="J18" i="6"/>
  <c r="K18" i="6"/>
  <c r="L18" i="6"/>
  <c r="N18" i="6"/>
  <c r="O18" i="6"/>
  <c r="P18" i="6"/>
  <c r="Q18" i="6"/>
  <c r="R18" i="6"/>
  <c r="S18" i="6"/>
  <c r="T18" i="6"/>
  <c r="U18" i="6"/>
  <c r="AJ18" i="6"/>
  <c r="AL18" i="6"/>
  <c r="AM18" i="6"/>
  <c r="AO18" i="6"/>
  <c r="AQ18" i="6"/>
  <c r="AS18" i="6"/>
  <c r="AT18" i="6"/>
  <c r="AU18" i="6"/>
  <c r="A19" i="6"/>
  <c r="B19" i="6"/>
  <c r="C19" i="6"/>
  <c r="E19" i="6"/>
  <c r="F19" i="6"/>
  <c r="H19" i="6"/>
  <c r="J19" i="6"/>
  <c r="K19" i="6"/>
  <c r="L19" i="6"/>
  <c r="N19" i="6"/>
  <c r="O19" i="6"/>
  <c r="P19" i="6"/>
  <c r="Q19" i="6"/>
  <c r="R19" i="6"/>
  <c r="S19" i="6"/>
  <c r="T19" i="6"/>
  <c r="U19" i="6"/>
  <c r="AJ19" i="6"/>
  <c r="AL19" i="6"/>
  <c r="AM19" i="6"/>
  <c r="AO19" i="6"/>
  <c r="AQ19" i="6"/>
  <c r="AS19" i="6"/>
  <c r="AT19" i="6"/>
  <c r="AU19" i="6"/>
  <c r="A20" i="6"/>
  <c r="B20" i="6"/>
  <c r="C20" i="6"/>
  <c r="E20" i="6"/>
  <c r="F20" i="6"/>
  <c r="H20" i="6"/>
  <c r="J20" i="6"/>
  <c r="K20" i="6"/>
  <c r="L20" i="6"/>
  <c r="N20" i="6"/>
  <c r="O20" i="6"/>
  <c r="P20" i="6"/>
  <c r="Q20" i="6"/>
  <c r="R20" i="6"/>
  <c r="S20" i="6"/>
  <c r="T20" i="6"/>
  <c r="U20" i="6"/>
  <c r="AJ20" i="6"/>
  <c r="AL20" i="6"/>
  <c r="AM20" i="6"/>
  <c r="AO20" i="6"/>
  <c r="AQ20" i="6"/>
  <c r="AS20" i="6"/>
  <c r="AT20" i="6"/>
  <c r="AU20" i="6"/>
  <c r="A21" i="6"/>
  <c r="B21" i="6"/>
  <c r="C21" i="6"/>
  <c r="E21" i="6"/>
  <c r="F21" i="6"/>
  <c r="H21" i="6"/>
  <c r="J21" i="6"/>
  <c r="K21" i="6"/>
  <c r="L21" i="6"/>
  <c r="N21" i="6"/>
  <c r="O21" i="6"/>
  <c r="P21" i="6"/>
  <c r="Q21" i="6"/>
  <c r="R21" i="6"/>
  <c r="S21" i="6"/>
  <c r="T21" i="6"/>
  <c r="U21" i="6"/>
  <c r="AJ21" i="6"/>
  <c r="AL21" i="6"/>
  <c r="AM21" i="6"/>
  <c r="AO21" i="6"/>
  <c r="AQ21" i="6"/>
  <c r="AS21" i="6"/>
  <c r="AT21" i="6"/>
  <c r="AU21" i="6"/>
  <c r="A22" i="6"/>
  <c r="B22" i="6"/>
  <c r="C22" i="6"/>
  <c r="E22" i="6"/>
  <c r="F22" i="6"/>
  <c r="H22" i="6"/>
  <c r="J22" i="6"/>
  <c r="K22" i="6"/>
  <c r="L22" i="6"/>
  <c r="N22" i="6"/>
  <c r="O22" i="6"/>
  <c r="P22" i="6"/>
  <c r="Q22" i="6"/>
  <c r="R22" i="6"/>
  <c r="S22" i="6"/>
  <c r="T22" i="6"/>
  <c r="U22" i="6"/>
  <c r="AJ22" i="6"/>
  <c r="AL22" i="6"/>
  <c r="AM22" i="6"/>
  <c r="AO22" i="6"/>
  <c r="AQ22" i="6"/>
  <c r="AS22" i="6"/>
  <c r="AT22" i="6"/>
  <c r="AU22" i="6"/>
  <c r="A23" i="6"/>
  <c r="B23" i="6"/>
  <c r="C23" i="6"/>
  <c r="E23" i="6"/>
  <c r="F23" i="6"/>
  <c r="H23" i="6"/>
  <c r="J23" i="6"/>
  <c r="K23" i="6"/>
  <c r="L23" i="6"/>
  <c r="N23" i="6"/>
  <c r="O23" i="6"/>
  <c r="P23" i="6"/>
  <c r="Q23" i="6"/>
  <c r="R23" i="6"/>
  <c r="S23" i="6"/>
  <c r="T23" i="6"/>
  <c r="U23" i="6"/>
  <c r="AJ23" i="6"/>
  <c r="AL23" i="6"/>
  <c r="AM23" i="6"/>
  <c r="AO23" i="6"/>
  <c r="AQ23" i="6"/>
  <c r="AS23" i="6"/>
  <c r="AT23" i="6"/>
  <c r="AU23" i="6"/>
  <c r="A24" i="6"/>
  <c r="B24" i="6"/>
  <c r="C24" i="6"/>
  <c r="E24" i="6"/>
  <c r="F24" i="6"/>
  <c r="H24" i="6"/>
  <c r="J24" i="6"/>
  <c r="K24" i="6"/>
  <c r="L24" i="6"/>
  <c r="N24" i="6"/>
  <c r="O24" i="6"/>
  <c r="P24" i="6"/>
  <c r="Q24" i="6"/>
  <c r="R24" i="6"/>
  <c r="S24" i="6"/>
  <c r="T24" i="6"/>
  <c r="U24" i="6"/>
  <c r="AJ24" i="6"/>
  <c r="AL24" i="6"/>
  <c r="AM24" i="6"/>
  <c r="AO24" i="6"/>
  <c r="AQ24" i="6"/>
  <c r="AS24" i="6"/>
  <c r="AT24" i="6"/>
  <c r="AU24" i="6"/>
  <c r="A25" i="6"/>
  <c r="B25" i="6"/>
  <c r="C25" i="6"/>
  <c r="E25" i="6"/>
  <c r="F25" i="6"/>
  <c r="H25" i="6"/>
  <c r="J25" i="6"/>
  <c r="K25" i="6"/>
  <c r="L25" i="6"/>
  <c r="N25" i="6"/>
  <c r="O25" i="6"/>
  <c r="P25" i="6"/>
  <c r="Q25" i="6"/>
  <c r="R25" i="6"/>
  <c r="S25" i="6"/>
  <c r="T25" i="6"/>
  <c r="U25" i="6"/>
  <c r="AJ25" i="6"/>
  <c r="AL25" i="6"/>
  <c r="AM25" i="6"/>
  <c r="AO25" i="6"/>
  <c r="AQ25" i="6"/>
  <c r="AS25" i="6"/>
  <c r="AT25" i="6"/>
  <c r="AU25" i="6"/>
  <c r="A26" i="6"/>
  <c r="B26" i="6"/>
  <c r="C26" i="6"/>
  <c r="E26" i="6"/>
  <c r="F26" i="6"/>
  <c r="H26" i="6"/>
  <c r="J26" i="6"/>
  <c r="K26" i="6"/>
  <c r="L26" i="6"/>
  <c r="N26" i="6"/>
  <c r="O26" i="6"/>
  <c r="P26" i="6"/>
  <c r="Q26" i="6"/>
  <c r="R26" i="6"/>
  <c r="S26" i="6"/>
  <c r="T26" i="6"/>
  <c r="U26" i="6"/>
  <c r="AJ26" i="6"/>
  <c r="AL26" i="6"/>
  <c r="AM26" i="6"/>
  <c r="AO26" i="6"/>
  <c r="AQ26" i="6"/>
  <c r="AS26" i="6"/>
  <c r="AT26" i="6"/>
  <c r="AU26" i="6"/>
  <c r="A27" i="6"/>
  <c r="B27" i="6"/>
  <c r="C27" i="6"/>
  <c r="E27" i="6"/>
  <c r="F27" i="6"/>
  <c r="H27" i="6"/>
  <c r="J27" i="6"/>
  <c r="K27" i="6"/>
  <c r="L27" i="6"/>
  <c r="N27" i="6"/>
  <c r="O27" i="6"/>
  <c r="P27" i="6"/>
  <c r="Q27" i="6"/>
  <c r="R27" i="6"/>
  <c r="S27" i="6"/>
  <c r="T27" i="6"/>
  <c r="U27" i="6"/>
  <c r="AJ27" i="6"/>
  <c r="AL27" i="6"/>
  <c r="AM27" i="6"/>
  <c r="AO27" i="6"/>
  <c r="AQ27" i="6"/>
  <c r="AS27" i="6"/>
  <c r="AT27" i="6"/>
  <c r="AU27" i="6"/>
  <c r="A28" i="6"/>
  <c r="B28" i="6"/>
  <c r="C28" i="6"/>
  <c r="E28" i="6"/>
  <c r="F28" i="6"/>
  <c r="H28" i="6"/>
  <c r="J28" i="6"/>
  <c r="K28" i="6"/>
  <c r="L28" i="6"/>
  <c r="N28" i="6"/>
  <c r="O28" i="6"/>
  <c r="P28" i="6"/>
  <c r="Q28" i="6"/>
  <c r="R28" i="6"/>
  <c r="S28" i="6"/>
  <c r="T28" i="6"/>
  <c r="U28" i="6"/>
  <c r="AJ28" i="6"/>
  <c r="AL28" i="6"/>
  <c r="AM28" i="6"/>
  <c r="AO28" i="6"/>
  <c r="AQ28" i="6"/>
  <c r="AS28" i="6"/>
  <c r="AT28" i="6"/>
  <c r="AU28" i="6"/>
  <c r="A29" i="6"/>
  <c r="B29" i="6"/>
  <c r="C29" i="6"/>
  <c r="E29" i="6"/>
  <c r="F29" i="6"/>
  <c r="H29" i="6"/>
  <c r="J29" i="6"/>
  <c r="K29" i="6"/>
  <c r="L29" i="6"/>
  <c r="N29" i="6"/>
  <c r="O29" i="6"/>
  <c r="P29" i="6"/>
  <c r="Q29" i="6"/>
  <c r="R29" i="6"/>
  <c r="S29" i="6"/>
  <c r="T29" i="6"/>
  <c r="U29" i="6"/>
  <c r="AJ29" i="6"/>
  <c r="AL29" i="6"/>
  <c r="AM29" i="6"/>
  <c r="AO29" i="6"/>
  <c r="AQ29" i="6"/>
  <c r="AS29" i="6"/>
  <c r="AT29" i="6"/>
  <c r="AU29" i="6"/>
  <c r="A30" i="6"/>
  <c r="B30" i="6"/>
  <c r="C30" i="6"/>
  <c r="E30" i="6"/>
  <c r="F30" i="6"/>
  <c r="H30" i="6"/>
  <c r="J30" i="6"/>
  <c r="K30" i="6"/>
  <c r="L30" i="6"/>
  <c r="N30" i="6"/>
  <c r="O30" i="6"/>
  <c r="P30" i="6"/>
  <c r="Q30" i="6"/>
  <c r="R30" i="6"/>
  <c r="S30" i="6"/>
  <c r="T30" i="6"/>
  <c r="U30" i="6"/>
  <c r="AJ30" i="6"/>
  <c r="AL30" i="6"/>
  <c r="AM30" i="6"/>
  <c r="AO30" i="6"/>
  <c r="AQ30" i="6"/>
  <c r="AS30" i="6"/>
  <c r="AT30" i="6"/>
  <c r="AU30" i="6"/>
  <c r="A31" i="6"/>
  <c r="B31" i="6"/>
  <c r="C31" i="6"/>
  <c r="E31" i="6"/>
  <c r="F31" i="6"/>
  <c r="H31" i="6"/>
  <c r="J31" i="6"/>
  <c r="K31" i="6"/>
  <c r="L31" i="6"/>
  <c r="N31" i="6"/>
  <c r="O31" i="6"/>
  <c r="P31" i="6"/>
  <c r="Q31" i="6"/>
  <c r="R31" i="6"/>
  <c r="S31" i="6"/>
  <c r="T31" i="6"/>
  <c r="U31" i="6"/>
  <c r="AJ31" i="6"/>
  <c r="AL31" i="6"/>
  <c r="AM31" i="6"/>
  <c r="AO31" i="6"/>
  <c r="AQ31" i="6"/>
  <c r="AS31" i="6"/>
  <c r="AT31" i="6"/>
  <c r="AU31" i="6"/>
  <c r="A32" i="6"/>
  <c r="B32" i="6"/>
  <c r="C32" i="6"/>
  <c r="E32" i="6"/>
  <c r="F32" i="6"/>
  <c r="H32" i="6"/>
  <c r="J32" i="6"/>
  <c r="K32" i="6"/>
  <c r="L32" i="6"/>
  <c r="N32" i="6"/>
  <c r="O32" i="6"/>
  <c r="P32" i="6"/>
  <c r="Q32" i="6"/>
  <c r="R32" i="6"/>
  <c r="S32" i="6"/>
  <c r="T32" i="6"/>
  <c r="U32" i="6"/>
  <c r="AJ32" i="6"/>
  <c r="AL32" i="6"/>
  <c r="AM32" i="6"/>
  <c r="AO32" i="6"/>
  <c r="AQ32" i="6"/>
  <c r="AS32" i="6"/>
  <c r="AT32" i="6"/>
  <c r="AU32" i="6"/>
  <c r="A33" i="6"/>
  <c r="B33" i="6"/>
  <c r="C33" i="6"/>
  <c r="E33" i="6"/>
  <c r="F33" i="6"/>
  <c r="H33" i="6"/>
  <c r="J33" i="6"/>
  <c r="K33" i="6"/>
  <c r="L33" i="6"/>
  <c r="N33" i="6"/>
  <c r="O33" i="6"/>
  <c r="P33" i="6"/>
  <c r="Q33" i="6"/>
  <c r="R33" i="6"/>
  <c r="S33" i="6"/>
  <c r="T33" i="6"/>
  <c r="U33" i="6"/>
  <c r="AJ33" i="6"/>
  <c r="AL33" i="6"/>
  <c r="AM33" i="6"/>
  <c r="AO33" i="6"/>
  <c r="AQ33" i="6"/>
  <c r="AS33" i="6"/>
  <c r="AT33" i="6"/>
  <c r="AU33" i="6"/>
  <c r="A34" i="6"/>
  <c r="B34" i="6"/>
  <c r="C34" i="6"/>
  <c r="E34" i="6"/>
  <c r="F34" i="6"/>
  <c r="H34" i="6"/>
  <c r="J34" i="6"/>
  <c r="K34" i="6"/>
  <c r="L34" i="6"/>
  <c r="N34" i="6"/>
  <c r="O34" i="6"/>
  <c r="P34" i="6"/>
  <c r="Q34" i="6"/>
  <c r="R34" i="6"/>
  <c r="S34" i="6"/>
  <c r="T34" i="6"/>
  <c r="U34" i="6"/>
  <c r="AJ34" i="6"/>
  <c r="AL34" i="6"/>
  <c r="AM34" i="6"/>
  <c r="AO34" i="6"/>
  <c r="AQ34" i="6"/>
  <c r="AS34" i="6"/>
  <c r="AT34" i="6"/>
  <c r="AU34" i="6"/>
  <c r="A35" i="6"/>
  <c r="B35" i="6"/>
  <c r="C35" i="6"/>
  <c r="E35" i="6"/>
  <c r="F35" i="6"/>
  <c r="H35" i="6"/>
  <c r="J35" i="6"/>
  <c r="K35" i="6"/>
  <c r="L35" i="6"/>
  <c r="N35" i="6"/>
  <c r="O35" i="6"/>
  <c r="P35" i="6"/>
  <c r="Q35" i="6"/>
  <c r="R35" i="6"/>
  <c r="S35" i="6"/>
  <c r="T35" i="6"/>
  <c r="U35" i="6"/>
  <c r="AJ35" i="6"/>
  <c r="AL35" i="6"/>
  <c r="AM35" i="6"/>
  <c r="AO35" i="6"/>
  <c r="AQ35" i="6"/>
  <c r="AS35" i="6"/>
  <c r="AT35" i="6"/>
  <c r="AU35" i="6"/>
  <c r="A36" i="6"/>
  <c r="B36" i="6"/>
  <c r="C36" i="6"/>
  <c r="E36" i="6"/>
  <c r="F36" i="6"/>
  <c r="H36" i="6"/>
  <c r="J36" i="6"/>
  <c r="K36" i="6"/>
  <c r="L36" i="6"/>
  <c r="N36" i="6"/>
  <c r="O36" i="6"/>
  <c r="P36" i="6"/>
  <c r="Q36" i="6"/>
  <c r="R36" i="6"/>
  <c r="S36" i="6"/>
  <c r="T36" i="6"/>
  <c r="U36" i="6"/>
  <c r="AJ36" i="6"/>
  <c r="AL36" i="6"/>
  <c r="AM36" i="6"/>
  <c r="AO36" i="6"/>
  <c r="AQ36" i="6"/>
  <c r="AS36" i="6"/>
  <c r="AT36" i="6"/>
  <c r="AU36" i="6"/>
  <c r="A37" i="6"/>
  <c r="B37" i="6"/>
  <c r="C37" i="6"/>
  <c r="E37" i="6"/>
  <c r="F37" i="6"/>
  <c r="H37" i="6"/>
  <c r="J37" i="6"/>
  <c r="K37" i="6"/>
  <c r="L37" i="6"/>
  <c r="N37" i="6"/>
  <c r="O37" i="6"/>
  <c r="P37" i="6"/>
  <c r="Q37" i="6"/>
  <c r="R37" i="6"/>
  <c r="S37" i="6"/>
  <c r="T37" i="6"/>
  <c r="U37" i="6"/>
  <c r="AJ37" i="6"/>
  <c r="AL37" i="6"/>
  <c r="AM37" i="6"/>
  <c r="AO37" i="6"/>
  <c r="AQ37" i="6"/>
  <c r="AS37" i="6"/>
  <c r="AT37" i="6"/>
  <c r="AU37" i="6"/>
  <c r="A38" i="6"/>
  <c r="B38" i="6"/>
  <c r="C38" i="6"/>
  <c r="E38" i="6"/>
  <c r="F38" i="6"/>
  <c r="H38" i="6"/>
  <c r="J38" i="6"/>
  <c r="K38" i="6"/>
  <c r="L38" i="6"/>
  <c r="N38" i="6"/>
  <c r="O38" i="6"/>
  <c r="P38" i="6"/>
  <c r="Q38" i="6"/>
  <c r="R38" i="6"/>
  <c r="S38" i="6"/>
  <c r="T38" i="6"/>
  <c r="U38" i="6"/>
  <c r="AJ38" i="6"/>
  <c r="AL38" i="6"/>
  <c r="AM38" i="6"/>
  <c r="AO38" i="6"/>
  <c r="AQ38" i="6"/>
  <c r="AS38" i="6"/>
  <c r="AT38" i="6"/>
  <c r="AU38" i="6"/>
  <c r="A39" i="6"/>
  <c r="B39" i="6"/>
  <c r="C39" i="6"/>
  <c r="E39" i="6"/>
  <c r="F39" i="6"/>
  <c r="H39" i="6"/>
  <c r="J39" i="6"/>
  <c r="K39" i="6"/>
  <c r="L39" i="6"/>
  <c r="N39" i="6"/>
  <c r="O39" i="6"/>
  <c r="P39" i="6"/>
  <c r="Q39" i="6"/>
  <c r="R39" i="6"/>
  <c r="S39" i="6"/>
  <c r="T39" i="6"/>
  <c r="U39" i="6"/>
  <c r="AJ39" i="6"/>
  <c r="AL39" i="6"/>
  <c r="AM39" i="6"/>
  <c r="AO39" i="6"/>
  <c r="AQ39" i="6"/>
  <c r="AS39" i="6"/>
  <c r="AT39" i="6"/>
  <c r="AU39" i="6"/>
  <c r="A40" i="6"/>
  <c r="B40" i="6"/>
  <c r="C40" i="6"/>
  <c r="E40" i="6"/>
  <c r="F40" i="6"/>
  <c r="H40" i="6"/>
  <c r="J40" i="6"/>
  <c r="K40" i="6"/>
  <c r="L40" i="6"/>
  <c r="N40" i="6"/>
  <c r="O40" i="6"/>
  <c r="P40" i="6"/>
  <c r="Q40" i="6"/>
  <c r="R40" i="6"/>
  <c r="S40" i="6"/>
  <c r="T40" i="6"/>
  <c r="U40" i="6"/>
  <c r="AJ40" i="6"/>
  <c r="AL40" i="6"/>
  <c r="AM40" i="6"/>
  <c r="AO40" i="6"/>
  <c r="AQ40" i="6"/>
  <c r="AS40" i="6"/>
  <c r="AT40" i="6"/>
  <c r="AU40" i="6"/>
  <c r="A41" i="6"/>
  <c r="B41" i="6"/>
  <c r="C41" i="6"/>
  <c r="E41" i="6"/>
  <c r="F41" i="6"/>
  <c r="H41" i="6"/>
  <c r="J41" i="6"/>
  <c r="K41" i="6"/>
  <c r="L41" i="6"/>
  <c r="N41" i="6"/>
  <c r="O41" i="6"/>
  <c r="P41" i="6"/>
  <c r="Q41" i="6"/>
  <c r="R41" i="6"/>
  <c r="S41" i="6"/>
  <c r="T41" i="6"/>
  <c r="U41" i="6"/>
  <c r="AJ41" i="6"/>
  <c r="AL41" i="6"/>
  <c r="AM41" i="6"/>
  <c r="AO41" i="6"/>
  <c r="AQ41" i="6"/>
  <c r="AS41" i="6"/>
  <c r="AT41" i="6"/>
  <c r="AU41" i="6"/>
  <c r="A42" i="6"/>
  <c r="B42" i="6"/>
  <c r="C42" i="6"/>
  <c r="E42" i="6"/>
  <c r="F42" i="6"/>
  <c r="H42" i="6"/>
  <c r="J42" i="6"/>
  <c r="K42" i="6"/>
  <c r="L42" i="6"/>
  <c r="N42" i="6"/>
  <c r="O42" i="6"/>
  <c r="P42" i="6"/>
  <c r="Q42" i="6"/>
  <c r="R42" i="6"/>
  <c r="S42" i="6"/>
  <c r="T42" i="6"/>
  <c r="U42" i="6"/>
  <c r="AJ42" i="6"/>
  <c r="AL42" i="6"/>
  <c r="AM42" i="6"/>
  <c r="AO42" i="6"/>
  <c r="AQ42" i="6"/>
  <c r="AS42" i="6"/>
  <c r="AT42" i="6"/>
  <c r="AU42" i="6"/>
  <c r="A43" i="6"/>
  <c r="B43" i="6"/>
  <c r="C43" i="6"/>
  <c r="E43" i="6"/>
  <c r="F43" i="6"/>
  <c r="H43" i="6"/>
  <c r="J43" i="6"/>
  <c r="K43" i="6"/>
  <c r="L43" i="6"/>
  <c r="N43" i="6"/>
  <c r="O43" i="6"/>
  <c r="P43" i="6"/>
  <c r="Q43" i="6"/>
  <c r="R43" i="6"/>
  <c r="S43" i="6"/>
  <c r="T43" i="6"/>
  <c r="U43" i="6"/>
  <c r="AJ43" i="6"/>
  <c r="AL43" i="6"/>
  <c r="AM43" i="6"/>
  <c r="AO43" i="6"/>
  <c r="AQ43" i="6"/>
  <c r="AS43" i="6"/>
  <c r="AT43" i="6"/>
  <c r="AU43" i="6"/>
  <c r="A44" i="6"/>
  <c r="B44" i="6"/>
  <c r="C44" i="6"/>
  <c r="E44" i="6"/>
  <c r="F44" i="6"/>
  <c r="H44" i="6"/>
  <c r="J44" i="6"/>
  <c r="K44" i="6"/>
  <c r="L44" i="6"/>
  <c r="N44" i="6"/>
  <c r="O44" i="6"/>
  <c r="P44" i="6"/>
  <c r="Q44" i="6"/>
  <c r="R44" i="6"/>
  <c r="S44" i="6"/>
  <c r="T44" i="6"/>
  <c r="U44" i="6"/>
  <c r="AJ44" i="6"/>
  <c r="AL44" i="6"/>
  <c r="AM44" i="6"/>
  <c r="AO44" i="6"/>
  <c r="AQ44" i="6"/>
  <c r="AS44" i="6"/>
  <c r="AT44" i="6"/>
  <c r="AU44" i="6"/>
  <c r="A45" i="6"/>
  <c r="B45" i="6"/>
  <c r="C45" i="6"/>
  <c r="E45" i="6"/>
  <c r="F45" i="6"/>
  <c r="H45" i="6"/>
  <c r="J45" i="6"/>
  <c r="K45" i="6"/>
  <c r="L45" i="6"/>
  <c r="N45" i="6"/>
  <c r="O45" i="6"/>
  <c r="P45" i="6"/>
  <c r="Q45" i="6"/>
  <c r="R45" i="6"/>
  <c r="S45" i="6"/>
  <c r="T45" i="6"/>
  <c r="U45" i="6"/>
  <c r="AJ45" i="6"/>
  <c r="AL45" i="6"/>
  <c r="AM45" i="6"/>
  <c r="AO45" i="6"/>
  <c r="AQ45" i="6"/>
  <c r="AS45" i="6"/>
  <c r="AT45" i="6"/>
  <c r="AU45" i="6"/>
  <c r="A46" i="6"/>
  <c r="B46" i="6"/>
  <c r="C46" i="6"/>
  <c r="E46" i="6"/>
  <c r="F46" i="6"/>
  <c r="H46" i="6"/>
  <c r="J46" i="6"/>
  <c r="K46" i="6"/>
  <c r="L46" i="6"/>
  <c r="N46" i="6"/>
  <c r="O46" i="6"/>
  <c r="P46" i="6"/>
  <c r="Q46" i="6"/>
  <c r="R46" i="6"/>
  <c r="S46" i="6"/>
  <c r="T46" i="6"/>
  <c r="U46" i="6"/>
  <c r="AJ46" i="6"/>
  <c r="AL46" i="6"/>
  <c r="AM46" i="6"/>
  <c r="AO46" i="6"/>
  <c r="AQ46" i="6"/>
  <c r="AS46" i="6"/>
  <c r="AT46" i="6"/>
  <c r="AU46" i="6"/>
  <c r="A47" i="6"/>
  <c r="B47" i="6"/>
  <c r="C47" i="6"/>
  <c r="E47" i="6"/>
  <c r="F47" i="6"/>
  <c r="H47" i="6"/>
  <c r="J47" i="6"/>
  <c r="K47" i="6"/>
  <c r="L47" i="6"/>
  <c r="N47" i="6"/>
  <c r="O47" i="6"/>
  <c r="P47" i="6"/>
  <c r="Q47" i="6"/>
  <c r="R47" i="6"/>
  <c r="S47" i="6"/>
  <c r="T47" i="6"/>
  <c r="U47" i="6"/>
  <c r="AJ47" i="6"/>
  <c r="AL47" i="6"/>
  <c r="AM47" i="6"/>
  <c r="AO47" i="6"/>
  <c r="AQ47" i="6"/>
  <c r="AS47" i="6"/>
  <c r="AT47" i="6"/>
  <c r="AU47" i="6"/>
  <c r="A48" i="6"/>
  <c r="B48" i="6"/>
  <c r="C48" i="6"/>
  <c r="E48" i="6"/>
  <c r="F48" i="6"/>
  <c r="H48" i="6"/>
  <c r="J48" i="6"/>
  <c r="K48" i="6"/>
  <c r="L48" i="6"/>
  <c r="N48" i="6"/>
  <c r="O48" i="6"/>
  <c r="P48" i="6"/>
  <c r="Q48" i="6"/>
  <c r="R48" i="6"/>
  <c r="S48" i="6"/>
  <c r="T48" i="6"/>
  <c r="U48" i="6"/>
  <c r="AJ48" i="6"/>
  <c r="AL48" i="6"/>
  <c r="AM48" i="6"/>
  <c r="AO48" i="6"/>
  <c r="AQ48" i="6"/>
  <c r="AS48" i="6"/>
  <c r="AT48" i="6"/>
  <c r="AU48" i="6"/>
  <c r="A49" i="6"/>
  <c r="B49" i="6"/>
  <c r="C49" i="6"/>
  <c r="E49" i="6"/>
  <c r="F49" i="6"/>
  <c r="H49" i="6"/>
  <c r="J49" i="6"/>
  <c r="K49" i="6"/>
  <c r="L49" i="6"/>
  <c r="N49" i="6"/>
  <c r="O49" i="6"/>
  <c r="P49" i="6"/>
  <c r="Q49" i="6"/>
  <c r="R49" i="6"/>
  <c r="S49" i="6"/>
  <c r="T49" i="6"/>
  <c r="U49" i="6"/>
  <c r="AJ49" i="6"/>
  <c r="AL49" i="6"/>
  <c r="AM49" i="6"/>
  <c r="AO49" i="6"/>
  <c r="AQ49" i="6"/>
  <c r="AS49" i="6"/>
  <c r="AT49" i="6"/>
  <c r="AU49" i="6"/>
  <c r="A50" i="6"/>
  <c r="B50" i="6"/>
  <c r="C50" i="6"/>
  <c r="E50" i="6"/>
  <c r="F50" i="6"/>
  <c r="H50" i="6"/>
  <c r="J50" i="6"/>
  <c r="K50" i="6"/>
  <c r="L50" i="6"/>
  <c r="N50" i="6"/>
  <c r="O50" i="6"/>
  <c r="P50" i="6"/>
  <c r="Q50" i="6"/>
  <c r="R50" i="6"/>
  <c r="S50" i="6"/>
  <c r="T50" i="6"/>
  <c r="U50" i="6"/>
  <c r="AJ50" i="6"/>
  <c r="AL50" i="6"/>
  <c r="AM50" i="6"/>
  <c r="AO50" i="6"/>
  <c r="AQ50" i="6"/>
  <c r="AS50" i="6"/>
  <c r="AT50" i="6"/>
  <c r="AU50" i="6"/>
  <c r="A51" i="6"/>
  <c r="B51" i="6"/>
  <c r="C51" i="6"/>
  <c r="E51" i="6"/>
  <c r="F51" i="6"/>
  <c r="H51" i="6"/>
  <c r="J51" i="6"/>
  <c r="K51" i="6"/>
  <c r="L51" i="6"/>
  <c r="N51" i="6"/>
  <c r="O51" i="6"/>
  <c r="P51" i="6"/>
  <c r="Q51" i="6"/>
  <c r="R51" i="6"/>
  <c r="S51" i="6"/>
  <c r="T51" i="6"/>
  <c r="U51" i="6"/>
  <c r="AJ51" i="6"/>
  <c r="AL51" i="6"/>
  <c r="AM51" i="6"/>
  <c r="AO51" i="6"/>
  <c r="AQ51" i="6"/>
  <c r="AS51" i="6"/>
  <c r="AT51" i="6"/>
  <c r="AU51" i="6"/>
  <c r="A52" i="6"/>
  <c r="B52" i="6"/>
  <c r="C52" i="6"/>
  <c r="E52" i="6"/>
  <c r="F52" i="6"/>
  <c r="H52" i="6"/>
  <c r="J52" i="6"/>
  <c r="K52" i="6"/>
  <c r="L52" i="6"/>
  <c r="N52" i="6"/>
  <c r="O52" i="6"/>
  <c r="P52" i="6"/>
  <c r="Q52" i="6"/>
  <c r="R52" i="6"/>
  <c r="S52" i="6"/>
  <c r="T52" i="6"/>
  <c r="U52" i="6"/>
  <c r="AJ52" i="6"/>
  <c r="AL52" i="6"/>
  <c r="AM52" i="6"/>
  <c r="AO52" i="6"/>
  <c r="AQ52" i="6"/>
  <c r="AS52" i="6"/>
  <c r="AT52" i="6"/>
  <c r="AU52" i="6"/>
  <c r="A53" i="6"/>
  <c r="B53" i="6"/>
  <c r="C53" i="6"/>
  <c r="E53" i="6"/>
  <c r="F53" i="6"/>
  <c r="H53" i="6"/>
  <c r="J53" i="6"/>
  <c r="K53" i="6"/>
  <c r="L53" i="6"/>
  <c r="N53" i="6"/>
  <c r="O53" i="6"/>
  <c r="P53" i="6"/>
  <c r="Q53" i="6"/>
  <c r="R53" i="6"/>
  <c r="S53" i="6"/>
  <c r="T53" i="6"/>
  <c r="U53" i="6"/>
  <c r="AJ53" i="6"/>
  <c r="AL53" i="6"/>
  <c r="AM53" i="6"/>
  <c r="AO53" i="6"/>
  <c r="AQ53" i="6"/>
  <c r="AS53" i="6"/>
  <c r="AT53" i="6"/>
  <c r="AU53" i="6"/>
  <c r="A54" i="6"/>
  <c r="B54" i="6"/>
  <c r="C54" i="6"/>
  <c r="E54" i="6"/>
  <c r="F54" i="6"/>
  <c r="H54" i="6"/>
  <c r="J54" i="6"/>
  <c r="K54" i="6"/>
  <c r="L54" i="6"/>
  <c r="N54" i="6"/>
  <c r="O54" i="6"/>
  <c r="P54" i="6"/>
  <c r="Q54" i="6"/>
  <c r="R54" i="6"/>
  <c r="S54" i="6"/>
  <c r="T54" i="6"/>
  <c r="U54" i="6"/>
  <c r="AJ54" i="6"/>
  <c r="AL54" i="6"/>
  <c r="AM54" i="6"/>
  <c r="AO54" i="6"/>
  <c r="AQ54" i="6"/>
  <c r="AS54" i="6"/>
  <c r="AT54" i="6"/>
  <c r="AU54" i="6"/>
  <c r="A55" i="6"/>
  <c r="B55" i="6"/>
  <c r="C55" i="6"/>
  <c r="E55" i="6"/>
  <c r="F55" i="6"/>
  <c r="H55" i="6"/>
  <c r="J55" i="6"/>
  <c r="K55" i="6"/>
  <c r="L55" i="6"/>
  <c r="N55" i="6"/>
  <c r="O55" i="6"/>
  <c r="P55" i="6"/>
  <c r="Q55" i="6"/>
  <c r="R55" i="6"/>
  <c r="S55" i="6"/>
  <c r="T55" i="6"/>
  <c r="U55" i="6"/>
  <c r="AJ55" i="6"/>
  <c r="AL55" i="6"/>
  <c r="AM55" i="6"/>
  <c r="AO55" i="6"/>
  <c r="AQ55" i="6"/>
  <c r="AS55" i="6"/>
  <c r="AT55" i="6"/>
  <c r="AU55" i="6"/>
  <c r="A56" i="6"/>
  <c r="B56" i="6"/>
  <c r="C56" i="6"/>
  <c r="E56" i="6"/>
  <c r="F56" i="6"/>
  <c r="H56" i="6"/>
  <c r="J56" i="6"/>
  <c r="K56" i="6"/>
  <c r="L56" i="6"/>
  <c r="N56" i="6"/>
  <c r="O56" i="6"/>
  <c r="P56" i="6"/>
  <c r="Q56" i="6"/>
  <c r="R56" i="6"/>
  <c r="S56" i="6"/>
  <c r="T56" i="6"/>
  <c r="U56" i="6"/>
  <c r="AJ56" i="6"/>
  <c r="AL56" i="6"/>
  <c r="AM56" i="6"/>
  <c r="AO56" i="6"/>
  <c r="AQ56" i="6"/>
  <c r="AS56" i="6"/>
  <c r="AT56" i="6"/>
  <c r="AU56" i="6"/>
  <c r="A57" i="6"/>
  <c r="B57" i="6"/>
  <c r="C57" i="6"/>
  <c r="E57" i="6"/>
  <c r="F57" i="6"/>
  <c r="H57" i="6"/>
  <c r="J57" i="6"/>
  <c r="K57" i="6"/>
  <c r="L57" i="6"/>
  <c r="N57" i="6"/>
  <c r="O57" i="6"/>
  <c r="P57" i="6"/>
  <c r="Q57" i="6"/>
  <c r="R57" i="6"/>
  <c r="S57" i="6"/>
  <c r="T57" i="6"/>
  <c r="U57" i="6"/>
  <c r="AJ57" i="6"/>
  <c r="AL57" i="6"/>
  <c r="AM57" i="6"/>
  <c r="AO57" i="6"/>
  <c r="AQ57" i="6"/>
  <c r="AS57" i="6"/>
  <c r="AT57" i="6"/>
  <c r="AU57" i="6"/>
  <c r="A58" i="6"/>
  <c r="B58" i="6"/>
  <c r="C58" i="6"/>
  <c r="E58" i="6"/>
  <c r="F58" i="6"/>
  <c r="H58" i="6"/>
  <c r="J58" i="6"/>
  <c r="K58" i="6"/>
  <c r="L58" i="6"/>
  <c r="N58" i="6"/>
  <c r="O58" i="6"/>
  <c r="P58" i="6"/>
  <c r="Q58" i="6"/>
  <c r="R58" i="6"/>
  <c r="S58" i="6"/>
  <c r="T58" i="6"/>
  <c r="U58" i="6"/>
  <c r="AJ58" i="6"/>
  <c r="AL58" i="6"/>
  <c r="AM58" i="6"/>
  <c r="AO58" i="6"/>
  <c r="AQ58" i="6"/>
  <c r="AS58" i="6"/>
  <c r="AT58" i="6"/>
  <c r="AU58" i="6"/>
  <c r="A59" i="6"/>
  <c r="B59" i="6"/>
  <c r="C59" i="6"/>
  <c r="E59" i="6"/>
  <c r="F59" i="6"/>
  <c r="H59" i="6"/>
  <c r="J59" i="6"/>
  <c r="K59" i="6"/>
  <c r="L59" i="6"/>
  <c r="N59" i="6"/>
  <c r="O59" i="6"/>
  <c r="P59" i="6"/>
  <c r="Q59" i="6"/>
  <c r="R59" i="6"/>
  <c r="S59" i="6"/>
  <c r="T59" i="6"/>
  <c r="U59" i="6"/>
  <c r="AJ59" i="6"/>
  <c r="AL59" i="6"/>
  <c r="AM59" i="6"/>
  <c r="AO59" i="6"/>
  <c r="AQ59" i="6"/>
  <c r="AS59" i="6"/>
  <c r="AT59" i="6"/>
  <c r="AU59" i="6"/>
  <c r="A60" i="6"/>
  <c r="B60" i="6"/>
  <c r="C60" i="6"/>
  <c r="E60" i="6"/>
  <c r="F60" i="6"/>
  <c r="H60" i="6"/>
  <c r="J60" i="6"/>
  <c r="K60" i="6"/>
  <c r="L60" i="6"/>
  <c r="N60" i="6"/>
  <c r="O60" i="6"/>
  <c r="P60" i="6"/>
  <c r="Q60" i="6"/>
  <c r="R60" i="6"/>
  <c r="S60" i="6"/>
  <c r="T60" i="6"/>
  <c r="U60" i="6"/>
  <c r="AJ60" i="6"/>
  <c r="AL60" i="6"/>
  <c r="AM60" i="6"/>
  <c r="AO60" i="6"/>
  <c r="AQ60" i="6"/>
  <c r="AS60" i="6"/>
  <c r="AT60" i="6"/>
  <c r="AU60" i="6"/>
  <c r="A61" i="6"/>
  <c r="B61" i="6"/>
  <c r="C61" i="6"/>
  <c r="E61" i="6"/>
  <c r="F61" i="6"/>
  <c r="H61" i="6"/>
  <c r="J61" i="6"/>
  <c r="K61" i="6"/>
  <c r="L61" i="6"/>
  <c r="N61" i="6"/>
  <c r="O61" i="6"/>
  <c r="P61" i="6"/>
  <c r="Q61" i="6"/>
  <c r="R61" i="6"/>
  <c r="S61" i="6"/>
  <c r="T61" i="6"/>
  <c r="U61" i="6"/>
  <c r="AJ61" i="6"/>
  <c r="AL61" i="6"/>
  <c r="AM61" i="6"/>
  <c r="AO61" i="6"/>
  <c r="AQ61" i="6"/>
  <c r="AS61" i="6"/>
  <c r="AT61" i="6"/>
  <c r="AU61" i="6"/>
  <c r="A62" i="6"/>
  <c r="B62" i="6"/>
  <c r="C62" i="6"/>
  <c r="E62" i="6"/>
  <c r="F62" i="6"/>
  <c r="H62" i="6"/>
  <c r="J62" i="6"/>
  <c r="K62" i="6"/>
  <c r="L62" i="6"/>
  <c r="N62" i="6"/>
  <c r="O62" i="6"/>
  <c r="P62" i="6"/>
  <c r="Q62" i="6"/>
  <c r="R62" i="6"/>
  <c r="S62" i="6"/>
  <c r="T62" i="6"/>
  <c r="U62" i="6"/>
  <c r="AJ62" i="6"/>
  <c r="AL62" i="6"/>
  <c r="AM62" i="6"/>
  <c r="AO62" i="6"/>
  <c r="AQ62" i="6"/>
  <c r="AS62" i="6"/>
  <c r="AT62" i="6"/>
  <c r="AU62" i="6"/>
  <c r="A63" i="6"/>
  <c r="B63" i="6"/>
  <c r="C63" i="6"/>
  <c r="E63" i="6"/>
  <c r="F63" i="6"/>
  <c r="H63" i="6"/>
  <c r="J63" i="6"/>
  <c r="K63" i="6"/>
  <c r="L63" i="6"/>
  <c r="N63" i="6"/>
  <c r="O63" i="6"/>
  <c r="P63" i="6"/>
  <c r="Q63" i="6"/>
  <c r="R63" i="6"/>
  <c r="S63" i="6"/>
  <c r="T63" i="6"/>
  <c r="U63" i="6"/>
  <c r="AJ63" i="6"/>
  <c r="AL63" i="6"/>
  <c r="AM63" i="6"/>
  <c r="AO63" i="6"/>
  <c r="AQ63" i="6"/>
  <c r="AS63" i="6"/>
  <c r="AT63" i="6"/>
  <c r="AU63" i="6"/>
  <c r="A64" i="6"/>
  <c r="B64" i="6"/>
  <c r="C64" i="6"/>
  <c r="E64" i="6"/>
  <c r="F64" i="6"/>
  <c r="H64" i="6"/>
  <c r="J64" i="6"/>
  <c r="K64" i="6"/>
  <c r="L64" i="6"/>
  <c r="N64" i="6"/>
  <c r="O64" i="6"/>
  <c r="P64" i="6"/>
  <c r="Q64" i="6"/>
  <c r="R64" i="6"/>
  <c r="S64" i="6"/>
  <c r="T64" i="6"/>
  <c r="U64" i="6"/>
  <c r="AJ64" i="6"/>
  <c r="AL64" i="6"/>
  <c r="AM64" i="6"/>
  <c r="AO64" i="6"/>
  <c r="AQ64" i="6"/>
  <c r="AS64" i="6"/>
  <c r="AT64" i="6"/>
  <c r="AU64" i="6"/>
  <c r="A65" i="6"/>
  <c r="B65" i="6"/>
  <c r="C65" i="6"/>
  <c r="E65" i="6"/>
  <c r="F65" i="6"/>
  <c r="H65" i="6"/>
  <c r="J65" i="6"/>
  <c r="K65" i="6"/>
  <c r="L65" i="6"/>
  <c r="N65" i="6"/>
  <c r="O65" i="6"/>
  <c r="P65" i="6"/>
  <c r="Q65" i="6"/>
  <c r="R65" i="6"/>
  <c r="S65" i="6"/>
  <c r="T65" i="6"/>
  <c r="U65" i="6"/>
  <c r="AJ65" i="6"/>
  <c r="AL65" i="6"/>
  <c r="AM65" i="6"/>
  <c r="AO65" i="6"/>
  <c r="AQ65" i="6"/>
  <c r="AS65" i="6"/>
  <c r="AT65" i="6"/>
  <c r="AU65" i="6"/>
  <c r="A66" i="6"/>
  <c r="B66" i="6"/>
  <c r="C66" i="6"/>
  <c r="E66" i="6"/>
  <c r="F66" i="6"/>
  <c r="H66" i="6"/>
  <c r="J66" i="6"/>
  <c r="K66" i="6"/>
  <c r="L66" i="6"/>
  <c r="N66" i="6"/>
  <c r="O66" i="6"/>
  <c r="P66" i="6"/>
  <c r="Q66" i="6"/>
  <c r="R66" i="6"/>
  <c r="S66" i="6"/>
  <c r="T66" i="6"/>
  <c r="U66" i="6"/>
  <c r="AJ66" i="6"/>
  <c r="AL66" i="6"/>
  <c r="AM66" i="6"/>
  <c r="AO66" i="6"/>
  <c r="AQ66" i="6"/>
  <c r="AS66" i="6"/>
  <c r="AT66" i="6"/>
  <c r="AU66" i="6"/>
  <c r="A67" i="6"/>
  <c r="B67" i="6"/>
  <c r="C67" i="6"/>
  <c r="E67" i="6"/>
  <c r="F67" i="6"/>
  <c r="H67" i="6"/>
  <c r="J67" i="6"/>
  <c r="K67" i="6"/>
  <c r="L67" i="6"/>
  <c r="N67" i="6"/>
  <c r="O67" i="6"/>
  <c r="P67" i="6"/>
  <c r="Q67" i="6"/>
  <c r="R67" i="6"/>
  <c r="S67" i="6"/>
  <c r="T67" i="6"/>
  <c r="U67" i="6"/>
  <c r="AJ67" i="6"/>
  <c r="AL67" i="6"/>
  <c r="AM67" i="6"/>
  <c r="AO67" i="6"/>
  <c r="AQ67" i="6"/>
  <c r="AS67" i="6"/>
  <c r="AT67" i="6"/>
  <c r="AU67" i="6"/>
  <c r="A68" i="6"/>
  <c r="B68" i="6"/>
  <c r="C68" i="6"/>
  <c r="E68" i="6"/>
  <c r="F68" i="6"/>
  <c r="H68" i="6"/>
  <c r="J68" i="6"/>
  <c r="K68" i="6"/>
  <c r="L68" i="6"/>
  <c r="N68" i="6"/>
  <c r="O68" i="6"/>
  <c r="P68" i="6"/>
  <c r="Q68" i="6"/>
  <c r="R68" i="6"/>
  <c r="S68" i="6"/>
  <c r="T68" i="6"/>
  <c r="U68" i="6"/>
  <c r="AJ68" i="6"/>
  <c r="AL68" i="6"/>
  <c r="AM68" i="6"/>
  <c r="AO68" i="6"/>
  <c r="AQ68" i="6"/>
  <c r="AS68" i="6"/>
  <c r="AT68" i="6"/>
  <c r="AU68" i="6"/>
  <c r="A69" i="6"/>
  <c r="B69" i="6"/>
  <c r="C69" i="6"/>
  <c r="E69" i="6"/>
  <c r="F69" i="6"/>
  <c r="H69" i="6"/>
  <c r="J69" i="6"/>
  <c r="K69" i="6"/>
  <c r="L69" i="6"/>
  <c r="N69" i="6"/>
  <c r="O69" i="6"/>
  <c r="P69" i="6"/>
  <c r="Q69" i="6"/>
  <c r="R69" i="6"/>
  <c r="S69" i="6"/>
  <c r="T69" i="6"/>
  <c r="U69" i="6"/>
  <c r="AJ69" i="6"/>
  <c r="AL69" i="6"/>
  <c r="AM69" i="6"/>
  <c r="AO69" i="6"/>
  <c r="AQ69" i="6"/>
  <c r="AS69" i="6"/>
  <c r="AT69" i="6"/>
  <c r="AU69" i="6"/>
  <c r="A70" i="6"/>
  <c r="B70" i="6"/>
  <c r="C70" i="6"/>
  <c r="E70" i="6"/>
  <c r="F70" i="6"/>
  <c r="H70" i="6"/>
  <c r="J70" i="6"/>
  <c r="K70" i="6"/>
  <c r="L70" i="6"/>
  <c r="N70" i="6"/>
  <c r="O70" i="6"/>
  <c r="P70" i="6"/>
  <c r="Q70" i="6"/>
  <c r="R70" i="6"/>
  <c r="S70" i="6"/>
  <c r="T70" i="6"/>
  <c r="U70" i="6"/>
  <c r="AJ70" i="6"/>
  <c r="AL70" i="6"/>
  <c r="AM70" i="6"/>
  <c r="AO70" i="6"/>
  <c r="AQ70" i="6"/>
  <c r="AS70" i="6"/>
  <c r="AT70" i="6"/>
  <c r="AU70" i="6"/>
  <c r="A71" i="6"/>
  <c r="B71" i="6"/>
  <c r="C71" i="6"/>
  <c r="E71" i="6"/>
  <c r="F71" i="6"/>
  <c r="H71" i="6"/>
  <c r="J71" i="6"/>
  <c r="K71" i="6"/>
  <c r="L71" i="6"/>
  <c r="N71" i="6"/>
  <c r="O71" i="6"/>
  <c r="P71" i="6"/>
  <c r="Q71" i="6"/>
  <c r="R71" i="6"/>
  <c r="S71" i="6"/>
  <c r="T71" i="6"/>
  <c r="U71" i="6"/>
  <c r="AJ71" i="6"/>
  <c r="AL71" i="6"/>
  <c r="AM71" i="6"/>
  <c r="AO71" i="6"/>
  <c r="AQ71" i="6"/>
  <c r="AS71" i="6"/>
  <c r="AT71" i="6"/>
  <c r="AU71" i="6"/>
  <c r="A72" i="6"/>
  <c r="B72" i="6"/>
  <c r="C72" i="6"/>
  <c r="E72" i="6"/>
  <c r="F72" i="6"/>
  <c r="H72" i="6"/>
  <c r="J72" i="6"/>
  <c r="K72" i="6"/>
  <c r="L72" i="6"/>
  <c r="N72" i="6"/>
  <c r="O72" i="6"/>
  <c r="P72" i="6"/>
  <c r="Q72" i="6"/>
  <c r="R72" i="6"/>
  <c r="S72" i="6"/>
  <c r="T72" i="6"/>
  <c r="U72" i="6"/>
  <c r="AJ72" i="6"/>
  <c r="AL72" i="6"/>
  <c r="AM72" i="6"/>
  <c r="AO72" i="6"/>
  <c r="AQ72" i="6"/>
  <c r="AS72" i="6"/>
  <c r="AT72" i="6"/>
  <c r="AU72" i="6"/>
  <c r="A73" i="6"/>
  <c r="B73" i="6"/>
  <c r="C73" i="6"/>
  <c r="E73" i="6"/>
  <c r="F73" i="6"/>
  <c r="H73" i="6"/>
  <c r="J73" i="6"/>
  <c r="K73" i="6"/>
  <c r="L73" i="6"/>
  <c r="N73" i="6"/>
  <c r="O73" i="6"/>
  <c r="P73" i="6"/>
  <c r="Q73" i="6"/>
  <c r="R73" i="6"/>
  <c r="S73" i="6"/>
  <c r="T73" i="6"/>
  <c r="U73" i="6"/>
  <c r="AJ73" i="6"/>
  <c r="AL73" i="6"/>
  <c r="AM73" i="6"/>
  <c r="AO73" i="6"/>
  <c r="AQ73" i="6"/>
  <c r="AS73" i="6"/>
  <c r="AT73" i="6"/>
  <c r="AU73" i="6"/>
  <c r="A74" i="6"/>
  <c r="B74" i="6"/>
  <c r="C74" i="6"/>
  <c r="E74" i="6"/>
  <c r="F74" i="6"/>
  <c r="H74" i="6"/>
  <c r="J74" i="6"/>
  <c r="K74" i="6"/>
  <c r="L74" i="6"/>
  <c r="N74" i="6"/>
  <c r="O74" i="6"/>
  <c r="P74" i="6"/>
  <c r="Q74" i="6"/>
  <c r="R74" i="6"/>
  <c r="S74" i="6"/>
  <c r="T74" i="6"/>
  <c r="U74" i="6"/>
  <c r="AJ74" i="6"/>
  <c r="AL74" i="6"/>
  <c r="AM74" i="6"/>
  <c r="AO74" i="6"/>
  <c r="AQ74" i="6"/>
  <c r="AS74" i="6"/>
  <c r="AT74" i="6"/>
  <c r="AU74" i="6"/>
  <c r="A75" i="6"/>
  <c r="B75" i="6"/>
  <c r="C75" i="6"/>
  <c r="E75" i="6"/>
  <c r="F75" i="6"/>
  <c r="H75" i="6"/>
  <c r="J75" i="6"/>
  <c r="K75" i="6"/>
  <c r="L75" i="6"/>
  <c r="N75" i="6"/>
  <c r="O75" i="6"/>
  <c r="P75" i="6"/>
  <c r="Q75" i="6"/>
  <c r="R75" i="6"/>
  <c r="S75" i="6"/>
  <c r="T75" i="6"/>
  <c r="U75" i="6"/>
  <c r="AJ75" i="6"/>
  <c r="AL75" i="6"/>
  <c r="AM75" i="6"/>
  <c r="AO75" i="6"/>
  <c r="AQ75" i="6"/>
  <c r="AS75" i="6"/>
  <c r="AT75" i="6"/>
  <c r="AU75" i="6"/>
  <c r="A76" i="6"/>
  <c r="B76" i="6"/>
  <c r="C76" i="6"/>
  <c r="E76" i="6"/>
  <c r="F76" i="6"/>
  <c r="H76" i="6"/>
  <c r="J76" i="6"/>
  <c r="K76" i="6"/>
  <c r="L76" i="6"/>
  <c r="N76" i="6"/>
  <c r="O76" i="6"/>
  <c r="P76" i="6"/>
  <c r="Q76" i="6"/>
  <c r="R76" i="6"/>
  <c r="S76" i="6"/>
  <c r="T76" i="6"/>
  <c r="U76" i="6"/>
  <c r="AJ76" i="6"/>
  <c r="AL76" i="6"/>
  <c r="AM76" i="6"/>
  <c r="AO76" i="6"/>
  <c r="AQ76" i="6"/>
  <c r="AS76" i="6"/>
  <c r="AT76" i="6"/>
  <c r="AU76" i="6"/>
  <c r="A77" i="6"/>
  <c r="B77" i="6"/>
  <c r="C77" i="6"/>
  <c r="E77" i="6"/>
  <c r="F77" i="6"/>
  <c r="H77" i="6"/>
  <c r="J77" i="6"/>
  <c r="K77" i="6"/>
  <c r="L77" i="6"/>
  <c r="N77" i="6"/>
  <c r="O77" i="6"/>
  <c r="P77" i="6"/>
  <c r="Q77" i="6"/>
  <c r="R77" i="6"/>
  <c r="S77" i="6"/>
  <c r="T77" i="6"/>
  <c r="U77" i="6"/>
  <c r="AJ77" i="6"/>
  <c r="AL77" i="6"/>
  <c r="AM77" i="6"/>
  <c r="AO77" i="6"/>
  <c r="AQ77" i="6"/>
  <c r="AS77" i="6"/>
  <c r="AT77" i="6"/>
  <c r="AU77" i="6"/>
  <c r="A78" i="6"/>
  <c r="B78" i="6"/>
  <c r="C78" i="6"/>
  <c r="E78" i="6"/>
  <c r="F78" i="6"/>
  <c r="H78" i="6"/>
  <c r="J78" i="6"/>
  <c r="K78" i="6"/>
  <c r="L78" i="6"/>
  <c r="N78" i="6"/>
  <c r="O78" i="6"/>
  <c r="P78" i="6"/>
  <c r="Q78" i="6"/>
  <c r="R78" i="6"/>
  <c r="S78" i="6"/>
  <c r="T78" i="6"/>
  <c r="U78" i="6"/>
  <c r="AJ78" i="6"/>
  <c r="AL78" i="6"/>
  <c r="AM78" i="6"/>
  <c r="AO78" i="6"/>
  <c r="AQ78" i="6"/>
  <c r="AS78" i="6"/>
  <c r="AT78" i="6"/>
  <c r="AU78" i="6"/>
  <c r="A79" i="6"/>
  <c r="B79" i="6"/>
  <c r="C79" i="6"/>
  <c r="E79" i="6"/>
  <c r="F79" i="6"/>
  <c r="H79" i="6"/>
  <c r="J79" i="6"/>
  <c r="K79" i="6"/>
  <c r="L79" i="6"/>
  <c r="N79" i="6"/>
  <c r="O79" i="6"/>
  <c r="P79" i="6"/>
  <c r="Q79" i="6"/>
  <c r="R79" i="6"/>
  <c r="S79" i="6"/>
  <c r="T79" i="6"/>
  <c r="U79" i="6"/>
  <c r="AJ79" i="6"/>
  <c r="AL79" i="6"/>
  <c r="AM79" i="6"/>
  <c r="AO79" i="6"/>
  <c r="AQ79" i="6"/>
  <c r="AS79" i="6"/>
  <c r="AT79" i="6"/>
  <c r="AU79" i="6"/>
  <c r="A80" i="6"/>
  <c r="B80" i="6"/>
  <c r="C80" i="6"/>
  <c r="E80" i="6"/>
  <c r="F80" i="6"/>
  <c r="H80" i="6"/>
  <c r="J80" i="6"/>
  <c r="K80" i="6"/>
  <c r="L80" i="6"/>
  <c r="N80" i="6"/>
  <c r="O80" i="6"/>
  <c r="P80" i="6"/>
  <c r="Q80" i="6"/>
  <c r="R80" i="6"/>
  <c r="S80" i="6"/>
  <c r="T80" i="6"/>
  <c r="U80" i="6"/>
  <c r="AJ80" i="6"/>
  <c r="AL80" i="6"/>
  <c r="AM80" i="6"/>
  <c r="AO80" i="6"/>
  <c r="AQ80" i="6"/>
  <c r="AS80" i="6"/>
  <c r="AT80" i="6"/>
  <c r="AU80" i="6"/>
  <c r="A81" i="6"/>
  <c r="B81" i="6"/>
  <c r="C81" i="6"/>
  <c r="E81" i="6"/>
  <c r="F81" i="6"/>
  <c r="H81" i="6"/>
  <c r="J81" i="6"/>
  <c r="K81" i="6"/>
  <c r="L81" i="6"/>
  <c r="N81" i="6"/>
  <c r="O81" i="6"/>
  <c r="P81" i="6"/>
  <c r="Q81" i="6"/>
  <c r="R81" i="6"/>
  <c r="S81" i="6"/>
  <c r="T81" i="6"/>
  <c r="U81" i="6"/>
  <c r="AJ81" i="6"/>
  <c r="AL81" i="6"/>
  <c r="AM81" i="6"/>
  <c r="AO81" i="6"/>
  <c r="AQ81" i="6"/>
  <c r="AS81" i="6"/>
  <c r="AT81" i="6"/>
  <c r="AU81" i="6"/>
  <c r="A82" i="6"/>
  <c r="B82" i="6"/>
  <c r="C82" i="6"/>
  <c r="E82" i="6"/>
  <c r="F82" i="6"/>
  <c r="H82" i="6"/>
  <c r="J82" i="6"/>
  <c r="K82" i="6"/>
  <c r="L82" i="6"/>
  <c r="N82" i="6"/>
  <c r="O82" i="6"/>
  <c r="P82" i="6"/>
  <c r="Q82" i="6"/>
  <c r="R82" i="6"/>
  <c r="S82" i="6"/>
  <c r="T82" i="6"/>
  <c r="U82" i="6"/>
  <c r="AJ82" i="6"/>
  <c r="AL82" i="6"/>
  <c r="AM82" i="6"/>
  <c r="AO82" i="6"/>
  <c r="AQ82" i="6"/>
  <c r="AS82" i="6"/>
  <c r="AT82" i="6"/>
  <c r="AU82" i="6"/>
  <c r="A83" i="6"/>
  <c r="B83" i="6"/>
  <c r="C83" i="6"/>
  <c r="E83" i="6"/>
  <c r="F83" i="6"/>
  <c r="H83" i="6"/>
  <c r="J83" i="6"/>
  <c r="K83" i="6"/>
  <c r="L83" i="6"/>
  <c r="N83" i="6"/>
  <c r="O83" i="6"/>
  <c r="P83" i="6"/>
  <c r="Q83" i="6"/>
  <c r="R83" i="6"/>
  <c r="S83" i="6"/>
  <c r="T83" i="6"/>
  <c r="U83" i="6"/>
  <c r="AJ83" i="6"/>
  <c r="AL83" i="6"/>
  <c r="AM83" i="6"/>
  <c r="AO83" i="6"/>
  <c r="AQ83" i="6"/>
  <c r="AS83" i="6"/>
  <c r="AT83" i="6"/>
  <c r="AU83" i="6"/>
  <c r="A84" i="6"/>
  <c r="B84" i="6"/>
  <c r="C84" i="6"/>
  <c r="E84" i="6"/>
  <c r="F84" i="6"/>
  <c r="H84" i="6"/>
  <c r="J84" i="6"/>
  <c r="K84" i="6"/>
  <c r="L84" i="6"/>
  <c r="N84" i="6"/>
  <c r="O84" i="6"/>
  <c r="P84" i="6"/>
  <c r="Q84" i="6"/>
  <c r="R84" i="6"/>
  <c r="S84" i="6"/>
  <c r="T84" i="6"/>
  <c r="U84" i="6"/>
  <c r="AJ84" i="6"/>
  <c r="AL84" i="6"/>
  <c r="AM84" i="6"/>
  <c r="AO84" i="6"/>
  <c r="AQ84" i="6"/>
  <c r="AS84" i="6"/>
  <c r="AT84" i="6"/>
  <c r="AU84" i="6"/>
  <c r="A85" i="6"/>
  <c r="B85" i="6"/>
  <c r="C85" i="6"/>
  <c r="E85" i="6"/>
  <c r="F85" i="6"/>
  <c r="H85" i="6"/>
  <c r="J85" i="6"/>
  <c r="K85" i="6"/>
  <c r="L85" i="6"/>
  <c r="N85" i="6"/>
  <c r="O85" i="6"/>
  <c r="P85" i="6"/>
  <c r="Q85" i="6"/>
  <c r="R85" i="6"/>
  <c r="S85" i="6"/>
  <c r="T85" i="6"/>
  <c r="U85" i="6"/>
  <c r="AJ85" i="6"/>
  <c r="AL85" i="6"/>
  <c r="AM85" i="6"/>
  <c r="AO85" i="6"/>
  <c r="AQ85" i="6"/>
  <c r="AS85" i="6"/>
  <c r="AT85" i="6"/>
  <c r="AU85" i="6"/>
  <c r="A86" i="6"/>
  <c r="B86" i="6"/>
  <c r="C86" i="6"/>
  <c r="E86" i="6"/>
  <c r="F86" i="6"/>
  <c r="H86" i="6"/>
  <c r="J86" i="6"/>
  <c r="K86" i="6"/>
  <c r="L86" i="6"/>
  <c r="N86" i="6"/>
  <c r="O86" i="6"/>
  <c r="P86" i="6"/>
  <c r="Q86" i="6"/>
  <c r="R86" i="6"/>
  <c r="S86" i="6"/>
  <c r="T86" i="6"/>
  <c r="U86" i="6"/>
  <c r="AJ86" i="6"/>
  <c r="AL86" i="6"/>
  <c r="AM86" i="6"/>
  <c r="AO86" i="6"/>
  <c r="AQ86" i="6"/>
  <c r="AS86" i="6"/>
  <c r="AT86" i="6"/>
  <c r="AU86" i="6"/>
  <c r="A87" i="6"/>
  <c r="B87" i="6"/>
  <c r="C87" i="6"/>
  <c r="E87" i="6"/>
  <c r="F87" i="6"/>
  <c r="H87" i="6"/>
  <c r="J87" i="6"/>
  <c r="K87" i="6"/>
  <c r="L87" i="6"/>
  <c r="N87" i="6"/>
  <c r="O87" i="6"/>
  <c r="P87" i="6"/>
  <c r="Q87" i="6"/>
  <c r="R87" i="6"/>
  <c r="S87" i="6"/>
  <c r="T87" i="6"/>
  <c r="U87" i="6"/>
  <c r="AJ87" i="6"/>
  <c r="AL87" i="6"/>
  <c r="AM87" i="6"/>
  <c r="AO87" i="6"/>
  <c r="AQ87" i="6"/>
  <c r="AS87" i="6"/>
  <c r="AT87" i="6"/>
  <c r="AU87" i="6"/>
  <c r="A88" i="6"/>
  <c r="B88" i="6"/>
  <c r="C88" i="6"/>
  <c r="E88" i="6"/>
  <c r="F88" i="6"/>
  <c r="H88" i="6"/>
  <c r="J88" i="6"/>
  <c r="K88" i="6"/>
  <c r="L88" i="6"/>
  <c r="N88" i="6"/>
  <c r="O88" i="6"/>
  <c r="P88" i="6"/>
  <c r="Q88" i="6"/>
  <c r="R88" i="6"/>
  <c r="S88" i="6"/>
  <c r="T88" i="6"/>
  <c r="U88" i="6"/>
  <c r="AJ88" i="6"/>
  <c r="AL88" i="6"/>
  <c r="AM88" i="6"/>
  <c r="AO88" i="6"/>
  <c r="AQ88" i="6"/>
  <c r="AS88" i="6"/>
  <c r="AT88" i="6"/>
  <c r="AU88" i="6"/>
  <c r="A89" i="6"/>
  <c r="B89" i="6"/>
  <c r="C89" i="6"/>
  <c r="E89" i="6"/>
  <c r="F89" i="6"/>
  <c r="H89" i="6"/>
  <c r="J89" i="6"/>
  <c r="K89" i="6"/>
  <c r="L89" i="6"/>
  <c r="N89" i="6"/>
  <c r="O89" i="6"/>
  <c r="P89" i="6"/>
  <c r="Q89" i="6"/>
  <c r="R89" i="6"/>
  <c r="S89" i="6"/>
  <c r="T89" i="6"/>
  <c r="U89" i="6"/>
  <c r="AJ89" i="6"/>
  <c r="AL89" i="6"/>
  <c r="AM89" i="6"/>
  <c r="AO89" i="6"/>
  <c r="AQ89" i="6"/>
  <c r="AS89" i="6"/>
  <c r="AT89" i="6"/>
  <c r="AU89" i="6"/>
  <c r="A90" i="6"/>
  <c r="B90" i="6"/>
  <c r="C90" i="6"/>
  <c r="E90" i="6"/>
  <c r="F90" i="6"/>
  <c r="H90" i="6"/>
  <c r="J90" i="6"/>
  <c r="K90" i="6"/>
  <c r="L90" i="6"/>
  <c r="N90" i="6"/>
  <c r="O90" i="6"/>
  <c r="P90" i="6"/>
  <c r="Q90" i="6"/>
  <c r="R90" i="6"/>
  <c r="S90" i="6"/>
  <c r="T90" i="6"/>
  <c r="U90" i="6"/>
  <c r="AJ90" i="6"/>
  <c r="AL90" i="6"/>
  <c r="AM90" i="6"/>
  <c r="AO90" i="6"/>
  <c r="AQ90" i="6"/>
  <c r="AS90" i="6"/>
  <c r="AT90" i="6"/>
  <c r="AU90" i="6"/>
  <c r="A91" i="6"/>
  <c r="B91" i="6"/>
  <c r="C91" i="6"/>
  <c r="E91" i="6"/>
  <c r="F91" i="6"/>
  <c r="H91" i="6"/>
  <c r="J91" i="6"/>
  <c r="K91" i="6"/>
  <c r="L91" i="6"/>
  <c r="N91" i="6"/>
  <c r="O91" i="6"/>
  <c r="P91" i="6"/>
  <c r="Q91" i="6"/>
  <c r="R91" i="6"/>
  <c r="S91" i="6"/>
  <c r="T91" i="6"/>
  <c r="U91" i="6"/>
  <c r="AJ91" i="6"/>
  <c r="AL91" i="6"/>
  <c r="AM91" i="6"/>
  <c r="AO91" i="6"/>
  <c r="AQ91" i="6"/>
  <c r="AS91" i="6"/>
  <c r="AT91" i="6"/>
  <c r="AU91" i="6"/>
  <c r="A92" i="6"/>
  <c r="B92" i="6"/>
  <c r="C92" i="6"/>
  <c r="E92" i="6"/>
  <c r="F92" i="6"/>
  <c r="H92" i="6"/>
  <c r="J92" i="6"/>
  <c r="K92" i="6"/>
  <c r="L92" i="6"/>
  <c r="N92" i="6"/>
  <c r="O92" i="6"/>
  <c r="P92" i="6"/>
  <c r="Q92" i="6"/>
  <c r="R92" i="6"/>
  <c r="S92" i="6"/>
  <c r="T92" i="6"/>
  <c r="U92" i="6"/>
  <c r="AJ92" i="6"/>
  <c r="AL92" i="6"/>
  <c r="AM92" i="6"/>
  <c r="AO92" i="6"/>
  <c r="AQ92" i="6"/>
  <c r="AS92" i="6"/>
  <c r="AT92" i="6"/>
  <c r="AU92" i="6"/>
  <c r="A93" i="6"/>
  <c r="B93" i="6"/>
  <c r="C93" i="6"/>
  <c r="E93" i="6"/>
  <c r="F93" i="6"/>
  <c r="H93" i="6"/>
  <c r="J93" i="6"/>
  <c r="K93" i="6"/>
  <c r="L93" i="6"/>
  <c r="N93" i="6"/>
  <c r="O93" i="6"/>
  <c r="P93" i="6"/>
  <c r="Q93" i="6"/>
  <c r="R93" i="6"/>
  <c r="S93" i="6"/>
  <c r="T93" i="6"/>
  <c r="U93" i="6"/>
  <c r="AJ93" i="6"/>
  <c r="AL93" i="6"/>
  <c r="AM93" i="6"/>
  <c r="AO93" i="6"/>
  <c r="AQ93" i="6"/>
  <c r="AS93" i="6"/>
  <c r="AT93" i="6"/>
  <c r="AU93" i="6"/>
  <c r="A94" i="6"/>
  <c r="B94" i="6"/>
  <c r="C94" i="6"/>
  <c r="E94" i="6"/>
  <c r="F94" i="6"/>
  <c r="H94" i="6"/>
  <c r="J94" i="6"/>
  <c r="K94" i="6"/>
  <c r="L94" i="6"/>
  <c r="N94" i="6"/>
  <c r="O94" i="6"/>
  <c r="P94" i="6"/>
  <c r="Q94" i="6"/>
  <c r="R94" i="6"/>
  <c r="S94" i="6"/>
  <c r="T94" i="6"/>
  <c r="U94" i="6"/>
  <c r="AJ94" i="6"/>
  <c r="AL94" i="6"/>
  <c r="AM94" i="6"/>
  <c r="AO94" i="6"/>
  <c r="AQ94" i="6"/>
  <c r="AS94" i="6"/>
  <c r="AT94" i="6"/>
  <c r="AU94" i="6"/>
  <c r="A95" i="6"/>
  <c r="B95" i="6"/>
  <c r="C95" i="6"/>
  <c r="E95" i="6"/>
  <c r="F95" i="6"/>
  <c r="H95" i="6"/>
  <c r="J95" i="6"/>
  <c r="K95" i="6"/>
  <c r="L95" i="6"/>
  <c r="N95" i="6"/>
  <c r="O95" i="6"/>
  <c r="P95" i="6"/>
  <c r="Q95" i="6"/>
  <c r="R95" i="6"/>
  <c r="S95" i="6"/>
  <c r="T95" i="6"/>
  <c r="U95" i="6"/>
  <c r="AJ95" i="6"/>
  <c r="AL95" i="6"/>
  <c r="AM95" i="6"/>
  <c r="AO95" i="6"/>
  <c r="AQ95" i="6"/>
  <c r="AS95" i="6"/>
  <c r="AT95" i="6"/>
  <c r="AU95" i="6"/>
  <c r="A96" i="6"/>
  <c r="B96" i="6"/>
  <c r="C96" i="6"/>
  <c r="E96" i="6"/>
  <c r="F96" i="6"/>
  <c r="H96" i="6"/>
  <c r="J96" i="6"/>
  <c r="K96" i="6"/>
  <c r="L96" i="6"/>
  <c r="N96" i="6"/>
  <c r="O96" i="6"/>
  <c r="P96" i="6"/>
  <c r="Q96" i="6"/>
  <c r="R96" i="6"/>
  <c r="S96" i="6"/>
  <c r="T96" i="6"/>
  <c r="U96" i="6"/>
  <c r="AJ96" i="6"/>
  <c r="AL96" i="6"/>
  <c r="AM96" i="6"/>
  <c r="AO96" i="6"/>
  <c r="AQ96" i="6"/>
  <c r="AS96" i="6"/>
  <c r="AT96" i="6"/>
  <c r="AU96" i="6"/>
  <c r="A97" i="6"/>
  <c r="B97" i="6"/>
  <c r="C97" i="6"/>
  <c r="E97" i="6"/>
  <c r="F97" i="6"/>
  <c r="H97" i="6"/>
  <c r="J97" i="6"/>
  <c r="K97" i="6"/>
  <c r="L97" i="6"/>
  <c r="N97" i="6"/>
  <c r="O97" i="6"/>
  <c r="P97" i="6"/>
  <c r="Q97" i="6"/>
  <c r="R97" i="6"/>
  <c r="S97" i="6"/>
  <c r="T97" i="6"/>
  <c r="U97" i="6"/>
  <c r="AJ97" i="6"/>
  <c r="AL97" i="6"/>
  <c r="AM97" i="6"/>
  <c r="AO97" i="6"/>
  <c r="AQ97" i="6"/>
  <c r="AS97" i="6"/>
  <c r="AT97" i="6"/>
  <c r="AU97" i="6"/>
  <c r="A98" i="6"/>
  <c r="B98" i="6"/>
  <c r="C98" i="6"/>
  <c r="E98" i="6"/>
  <c r="F98" i="6"/>
  <c r="H98" i="6"/>
  <c r="J98" i="6"/>
  <c r="K98" i="6"/>
  <c r="L98" i="6"/>
  <c r="N98" i="6"/>
  <c r="O98" i="6"/>
  <c r="P98" i="6"/>
  <c r="Q98" i="6"/>
  <c r="R98" i="6"/>
  <c r="S98" i="6"/>
  <c r="T98" i="6"/>
  <c r="U98" i="6"/>
  <c r="AJ98" i="6"/>
  <c r="AL98" i="6"/>
  <c r="AM98" i="6"/>
  <c r="AO98" i="6"/>
  <c r="AQ98" i="6"/>
  <c r="AS98" i="6"/>
  <c r="AT98" i="6"/>
  <c r="AU98" i="6"/>
  <c r="A99" i="6"/>
  <c r="B99" i="6"/>
  <c r="C99" i="6"/>
  <c r="E99" i="6"/>
  <c r="F99" i="6"/>
  <c r="H99" i="6"/>
  <c r="J99" i="6"/>
  <c r="K99" i="6"/>
  <c r="L99" i="6"/>
  <c r="N99" i="6"/>
  <c r="O99" i="6"/>
  <c r="P99" i="6"/>
  <c r="Q99" i="6"/>
  <c r="R99" i="6"/>
  <c r="S99" i="6"/>
  <c r="T99" i="6"/>
  <c r="U99" i="6"/>
  <c r="AJ99" i="6"/>
  <c r="AL99" i="6"/>
  <c r="AM99" i="6"/>
  <c r="AO99" i="6"/>
  <c r="AQ99" i="6"/>
  <c r="AS99" i="6"/>
  <c r="AT99" i="6"/>
  <c r="AU99" i="6"/>
  <c r="A100" i="6"/>
  <c r="B100" i="6"/>
  <c r="C100" i="6"/>
  <c r="E100" i="6"/>
  <c r="F100" i="6"/>
  <c r="H100" i="6"/>
  <c r="J100" i="6"/>
  <c r="K100" i="6"/>
  <c r="L100" i="6"/>
  <c r="N100" i="6"/>
  <c r="O100" i="6"/>
  <c r="P100" i="6"/>
  <c r="Q100" i="6"/>
  <c r="R100" i="6"/>
  <c r="S100" i="6"/>
  <c r="T100" i="6"/>
  <c r="U100" i="6"/>
  <c r="AJ100" i="6"/>
  <c r="AL100" i="6"/>
  <c r="AM100" i="6"/>
  <c r="AO100" i="6"/>
  <c r="AQ100" i="6"/>
  <c r="AS100" i="6"/>
  <c r="AT100" i="6"/>
  <c r="AU100" i="6"/>
  <c r="A101" i="6"/>
  <c r="B101" i="6"/>
  <c r="C101" i="6"/>
  <c r="E101" i="6"/>
  <c r="F101" i="6"/>
  <c r="H101" i="6"/>
  <c r="J101" i="6"/>
  <c r="K101" i="6"/>
  <c r="L101" i="6"/>
  <c r="N101" i="6"/>
  <c r="O101" i="6"/>
  <c r="P101" i="6"/>
  <c r="Q101" i="6"/>
  <c r="R101" i="6"/>
  <c r="S101" i="6"/>
  <c r="T101" i="6"/>
  <c r="U101" i="6"/>
  <c r="AJ101" i="6"/>
  <c r="AL101" i="6"/>
  <c r="AM101" i="6"/>
  <c r="AO101" i="6"/>
  <c r="AQ101" i="6"/>
  <c r="AS101" i="6"/>
  <c r="AT101" i="6"/>
  <c r="AU101" i="6"/>
  <c r="A102" i="6"/>
  <c r="B102" i="6"/>
  <c r="C102" i="6"/>
  <c r="E102" i="6"/>
  <c r="F102" i="6"/>
  <c r="H102" i="6"/>
  <c r="J102" i="6"/>
  <c r="K102" i="6"/>
  <c r="L102" i="6"/>
  <c r="N102" i="6"/>
  <c r="O102" i="6"/>
  <c r="P102" i="6"/>
  <c r="Q102" i="6"/>
  <c r="R102" i="6"/>
  <c r="S102" i="6"/>
  <c r="T102" i="6"/>
  <c r="U102" i="6"/>
  <c r="AJ102" i="6"/>
  <c r="AL102" i="6"/>
  <c r="AM102" i="6"/>
  <c r="AO102" i="6"/>
  <c r="AQ102" i="6"/>
  <c r="AS102" i="6"/>
  <c r="AT102" i="6"/>
  <c r="AU102" i="6"/>
  <c r="A103" i="6"/>
  <c r="B103" i="6"/>
  <c r="C103" i="6"/>
  <c r="E103" i="6"/>
  <c r="F103" i="6"/>
  <c r="H103" i="6"/>
  <c r="J103" i="6"/>
  <c r="K103" i="6"/>
  <c r="L103" i="6"/>
  <c r="N103" i="6"/>
  <c r="O103" i="6"/>
  <c r="P103" i="6"/>
  <c r="Q103" i="6"/>
  <c r="R103" i="6"/>
  <c r="S103" i="6"/>
  <c r="T103" i="6"/>
  <c r="U103" i="6"/>
  <c r="AJ103" i="6"/>
  <c r="AL103" i="6"/>
  <c r="AM103" i="6"/>
  <c r="AO103" i="6"/>
  <c r="AQ103" i="6"/>
  <c r="AS103" i="6"/>
  <c r="AT103" i="6"/>
  <c r="AU103" i="6"/>
  <c r="A104" i="6"/>
  <c r="B104" i="6"/>
  <c r="C104" i="6"/>
  <c r="E104" i="6"/>
  <c r="F104" i="6"/>
  <c r="H104" i="6"/>
  <c r="J104" i="6"/>
  <c r="K104" i="6"/>
  <c r="L104" i="6"/>
  <c r="N104" i="6"/>
  <c r="O104" i="6"/>
  <c r="P104" i="6"/>
  <c r="Q104" i="6"/>
  <c r="R104" i="6"/>
  <c r="S104" i="6"/>
  <c r="T104" i="6"/>
  <c r="U104" i="6"/>
  <c r="AJ104" i="6"/>
  <c r="AL104" i="6"/>
  <c r="AM104" i="6"/>
  <c r="AO104" i="6"/>
  <c r="AQ104" i="6"/>
  <c r="AS104" i="6"/>
  <c r="AT104" i="6"/>
  <c r="AU104" i="6"/>
  <c r="A105" i="6"/>
  <c r="B105" i="6"/>
  <c r="C105" i="6"/>
  <c r="E105" i="6"/>
  <c r="F105" i="6"/>
  <c r="H105" i="6"/>
  <c r="J105" i="6"/>
  <c r="K105" i="6"/>
  <c r="L105" i="6"/>
  <c r="N105" i="6"/>
  <c r="O105" i="6"/>
  <c r="P105" i="6"/>
  <c r="Q105" i="6"/>
  <c r="R105" i="6"/>
  <c r="S105" i="6"/>
  <c r="T105" i="6"/>
  <c r="U105" i="6"/>
  <c r="AJ105" i="6"/>
  <c r="AL105" i="6"/>
  <c r="AM105" i="6"/>
  <c r="AO105" i="6"/>
  <c r="AQ105" i="6"/>
  <c r="AS105" i="6"/>
  <c r="AT105" i="6"/>
  <c r="AU105" i="6"/>
  <c r="A106" i="6"/>
  <c r="B106" i="6"/>
  <c r="C106" i="6"/>
  <c r="E106" i="6"/>
  <c r="F106" i="6"/>
  <c r="H106" i="6"/>
  <c r="J106" i="6"/>
  <c r="K106" i="6"/>
  <c r="L106" i="6"/>
  <c r="N106" i="6"/>
  <c r="O106" i="6"/>
  <c r="P106" i="6"/>
  <c r="Q106" i="6"/>
  <c r="R106" i="6"/>
  <c r="S106" i="6"/>
  <c r="T106" i="6"/>
  <c r="U106" i="6"/>
  <c r="AJ106" i="6"/>
  <c r="AL106" i="6"/>
  <c r="AM106" i="6"/>
  <c r="AO106" i="6"/>
  <c r="AQ106" i="6"/>
  <c r="AS106" i="6"/>
  <c r="AT106" i="6"/>
  <c r="AU106" i="6"/>
  <c r="A107" i="6"/>
  <c r="B107" i="6"/>
  <c r="C107" i="6"/>
  <c r="E107" i="6"/>
  <c r="F107" i="6"/>
  <c r="H107" i="6"/>
  <c r="J107" i="6"/>
  <c r="K107" i="6"/>
  <c r="L107" i="6"/>
  <c r="N107" i="6"/>
  <c r="O107" i="6"/>
  <c r="P107" i="6"/>
  <c r="Q107" i="6"/>
  <c r="R107" i="6"/>
  <c r="S107" i="6"/>
  <c r="T107" i="6"/>
  <c r="U107" i="6"/>
  <c r="AJ107" i="6"/>
  <c r="AL107" i="6"/>
  <c r="AM107" i="6"/>
  <c r="AO107" i="6"/>
  <c r="AQ107" i="6"/>
  <c r="AS107" i="6"/>
  <c r="AT107" i="6"/>
  <c r="AU107" i="6"/>
  <c r="A108" i="6"/>
  <c r="B108" i="6"/>
  <c r="C108" i="6"/>
  <c r="E108" i="6"/>
  <c r="F108" i="6"/>
  <c r="H108" i="6"/>
  <c r="J108" i="6"/>
  <c r="K108" i="6"/>
  <c r="L108" i="6"/>
  <c r="N108" i="6"/>
  <c r="O108" i="6"/>
  <c r="P108" i="6"/>
  <c r="Q108" i="6"/>
  <c r="R108" i="6"/>
  <c r="S108" i="6"/>
  <c r="T108" i="6"/>
  <c r="U108" i="6"/>
  <c r="AJ108" i="6"/>
  <c r="AL108" i="6"/>
  <c r="AM108" i="6"/>
  <c r="AO108" i="6"/>
  <c r="AQ108" i="6"/>
  <c r="AS108" i="6"/>
  <c r="AT108" i="6"/>
  <c r="AU108" i="6"/>
  <c r="A109" i="6"/>
  <c r="B109" i="6"/>
  <c r="C109" i="6"/>
  <c r="E109" i="6"/>
  <c r="F109" i="6"/>
  <c r="H109" i="6"/>
  <c r="J109" i="6"/>
  <c r="K109" i="6"/>
  <c r="L109" i="6"/>
  <c r="N109" i="6"/>
  <c r="O109" i="6"/>
  <c r="P109" i="6"/>
  <c r="Q109" i="6"/>
  <c r="R109" i="6"/>
  <c r="S109" i="6"/>
  <c r="T109" i="6"/>
  <c r="U109" i="6"/>
  <c r="AJ109" i="6"/>
  <c r="AL109" i="6"/>
  <c r="AM109" i="6"/>
  <c r="AO109" i="6"/>
  <c r="AQ109" i="6"/>
  <c r="AS109" i="6"/>
  <c r="AT109" i="6"/>
  <c r="AU109" i="6"/>
  <c r="A110" i="6"/>
  <c r="B110" i="6"/>
  <c r="C110" i="6"/>
  <c r="E110" i="6"/>
  <c r="F110" i="6"/>
  <c r="H110" i="6"/>
  <c r="J110" i="6"/>
  <c r="K110" i="6"/>
  <c r="L110" i="6"/>
  <c r="N110" i="6"/>
  <c r="O110" i="6"/>
  <c r="P110" i="6"/>
  <c r="Q110" i="6"/>
  <c r="R110" i="6"/>
  <c r="S110" i="6"/>
  <c r="T110" i="6"/>
  <c r="U110" i="6"/>
  <c r="AJ110" i="6"/>
  <c r="AL110" i="6"/>
  <c r="AM110" i="6"/>
  <c r="AO110" i="6"/>
  <c r="AQ110" i="6"/>
  <c r="AS110" i="6"/>
  <c r="AT110" i="6"/>
  <c r="AU110" i="6"/>
  <c r="A111" i="6"/>
  <c r="B111" i="6"/>
  <c r="C111" i="6"/>
  <c r="E111" i="6"/>
  <c r="F111" i="6"/>
  <c r="H111" i="6"/>
  <c r="J111" i="6"/>
  <c r="K111" i="6"/>
  <c r="L111" i="6"/>
  <c r="N111" i="6"/>
  <c r="O111" i="6"/>
  <c r="P111" i="6"/>
  <c r="Q111" i="6"/>
  <c r="R111" i="6"/>
  <c r="S111" i="6"/>
  <c r="T111" i="6"/>
  <c r="U111" i="6"/>
  <c r="AJ111" i="6"/>
  <c r="AL111" i="6"/>
  <c r="AM111" i="6"/>
  <c r="AO111" i="6"/>
  <c r="AQ111" i="6"/>
  <c r="AS111" i="6"/>
  <c r="AT111" i="6"/>
  <c r="AU111" i="6"/>
  <c r="A112" i="6"/>
  <c r="B112" i="6"/>
  <c r="C112" i="6"/>
  <c r="E112" i="6"/>
  <c r="F112" i="6"/>
  <c r="H112" i="6"/>
  <c r="J112" i="6"/>
  <c r="K112" i="6"/>
  <c r="L112" i="6"/>
  <c r="N112" i="6"/>
  <c r="O112" i="6"/>
  <c r="P112" i="6"/>
  <c r="Q112" i="6"/>
  <c r="R112" i="6"/>
  <c r="S112" i="6"/>
  <c r="T112" i="6"/>
  <c r="U112" i="6"/>
  <c r="AJ112" i="6"/>
  <c r="AL112" i="6"/>
  <c r="AM112" i="6"/>
  <c r="AO112" i="6"/>
  <c r="AQ112" i="6"/>
  <c r="AS112" i="6"/>
  <c r="AT112" i="6"/>
  <c r="AU112" i="6"/>
  <c r="A113" i="6"/>
  <c r="B113" i="6"/>
  <c r="C113" i="6"/>
  <c r="E113" i="6"/>
  <c r="F113" i="6"/>
  <c r="H113" i="6"/>
  <c r="J113" i="6"/>
  <c r="K113" i="6"/>
  <c r="L113" i="6"/>
  <c r="N113" i="6"/>
  <c r="O113" i="6"/>
  <c r="P113" i="6"/>
  <c r="Q113" i="6"/>
  <c r="R113" i="6"/>
  <c r="S113" i="6"/>
  <c r="T113" i="6"/>
  <c r="U113" i="6"/>
  <c r="AJ113" i="6"/>
  <c r="AL113" i="6"/>
  <c r="AM113" i="6"/>
  <c r="AO113" i="6"/>
  <c r="AQ113" i="6"/>
  <c r="AS113" i="6"/>
  <c r="AT113" i="6"/>
  <c r="AU113" i="6"/>
  <c r="A114" i="6"/>
  <c r="B114" i="6"/>
  <c r="C114" i="6"/>
  <c r="E114" i="6"/>
  <c r="F114" i="6"/>
  <c r="H114" i="6"/>
  <c r="J114" i="6"/>
  <c r="K114" i="6"/>
  <c r="L114" i="6"/>
  <c r="N114" i="6"/>
  <c r="O114" i="6"/>
  <c r="P114" i="6"/>
  <c r="Q114" i="6"/>
  <c r="R114" i="6"/>
  <c r="S114" i="6"/>
  <c r="T114" i="6"/>
  <c r="U114" i="6"/>
  <c r="AJ114" i="6"/>
  <c r="AL114" i="6"/>
  <c r="AM114" i="6"/>
  <c r="AO114" i="6"/>
  <c r="AQ114" i="6"/>
  <c r="AS114" i="6"/>
  <c r="AT114" i="6"/>
  <c r="AU114" i="6"/>
  <c r="A115" i="6"/>
  <c r="B115" i="6"/>
  <c r="C115" i="6"/>
  <c r="E115" i="6"/>
  <c r="F115" i="6"/>
  <c r="H115" i="6"/>
  <c r="J115" i="6"/>
  <c r="K115" i="6"/>
  <c r="L115" i="6"/>
  <c r="N115" i="6"/>
  <c r="O115" i="6"/>
  <c r="P115" i="6"/>
  <c r="Q115" i="6"/>
  <c r="R115" i="6"/>
  <c r="S115" i="6"/>
  <c r="T115" i="6"/>
  <c r="U115" i="6"/>
  <c r="AJ115" i="6"/>
  <c r="AL115" i="6"/>
  <c r="AM115" i="6"/>
  <c r="AO115" i="6"/>
  <c r="AQ115" i="6"/>
  <c r="AS115" i="6"/>
  <c r="AT115" i="6"/>
  <c r="AU115" i="6"/>
  <c r="A116" i="6"/>
  <c r="B116" i="6"/>
  <c r="C116" i="6"/>
  <c r="E116" i="6"/>
  <c r="F116" i="6"/>
  <c r="H116" i="6"/>
  <c r="J116" i="6"/>
  <c r="K116" i="6"/>
  <c r="L116" i="6"/>
  <c r="N116" i="6"/>
  <c r="O116" i="6"/>
  <c r="P116" i="6"/>
  <c r="Q116" i="6"/>
  <c r="R116" i="6"/>
  <c r="S116" i="6"/>
  <c r="T116" i="6"/>
  <c r="U116" i="6"/>
  <c r="AJ116" i="6"/>
  <c r="AL116" i="6"/>
  <c r="AM116" i="6"/>
  <c r="AO116" i="6"/>
  <c r="AQ116" i="6"/>
  <c r="AS116" i="6"/>
  <c r="AT116" i="6"/>
  <c r="AU116" i="6"/>
  <c r="A117" i="6"/>
  <c r="B117" i="6"/>
  <c r="C117" i="6"/>
  <c r="E117" i="6"/>
  <c r="F117" i="6"/>
  <c r="H117" i="6"/>
  <c r="J117" i="6"/>
  <c r="K117" i="6"/>
  <c r="L117" i="6"/>
  <c r="N117" i="6"/>
  <c r="O117" i="6"/>
  <c r="P117" i="6"/>
  <c r="Q117" i="6"/>
  <c r="R117" i="6"/>
  <c r="S117" i="6"/>
  <c r="T117" i="6"/>
  <c r="U117" i="6"/>
  <c r="AJ117" i="6"/>
  <c r="AL117" i="6"/>
  <c r="AM117" i="6"/>
  <c r="AO117" i="6"/>
  <c r="AQ117" i="6"/>
  <c r="AS117" i="6"/>
  <c r="AT117" i="6"/>
  <c r="AU117" i="6"/>
  <c r="A118" i="6"/>
  <c r="B118" i="6"/>
  <c r="C118" i="6"/>
  <c r="E118" i="6"/>
  <c r="F118" i="6"/>
  <c r="H118" i="6"/>
  <c r="J118" i="6"/>
  <c r="K118" i="6"/>
  <c r="L118" i="6"/>
  <c r="N118" i="6"/>
  <c r="O118" i="6"/>
  <c r="P118" i="6"/>
  <c r="Q118" i="6"/>
  <c r="R118" i="6"/>
  <c r="S118" i="6"/>
  <c r="T118" i="6"/>
  <c r="U118" i="6"/>
  <c r="AJ118" i="6"/>
  <c r="AL118" i="6"/>
  <c r="AM118" i="6"/>
  <c r="AO118" i="6"/>
  <c r="AQ118" i="6"/>
  <c r="AS118" i="6"/>
  <c r="AT118" i="6"/>
  <c r="AU118" i="6"/>
  <c r="A119" i="6"/>
  <c r="B119" i="6"/>
  <c r="C119" i="6"/>
  <c r="E119" i="6"/>
  <c r="F119" i="6"/>
  <c r="H119" i="6"/>
  <c r="J119" i="6"/>
  <c r="K119" i="6"/>
  <c r="L119" i="6"/>
  <c r="N119" i="6"/>
  <c r="O119" i="6"/>
  <c r="P119" i="6"/>
  <c r="Q119" i="6"/>
  <c r="R119" i="6"/>
  <c r="S119" i="6"/>
  <c r="T119" i="6"/>
  <c r="U119" i="6"/>
  <c r="AJ119" i="6"/>
  <c r="AL119" i="6"/>
  <c r="AM119" i="6"/>
  <c r="AO119" i="6"/>
  <c r="AQ119" i="6"/>
  <c r="AS119" i="6"/>
  <c r="AT119" i="6"/>
  <c r="AU119" i="6"/>
  <c r="A120" i="6"/>
  <c r="B120" i="6"/>
  <c r="C120" i="6"/>
  <c r="E120" i="6"/>
  <c r="F120" i="6"/>
  <c r="H120" i="6"/>
  <c r="J120" i="6"/>
  <c r="K120" i="6"/>
  <c r="L120" i="6"/>
  <c r="N120" i="6"/>
  <c r="O120" i="6"/>
  <c r="P120" i="6"/>
  <c r="Q120" i="6"/>
  <c r="R120" i="6"/>
  <c r="S120" i="6"/>
  <c r="T120" i="6"/>
  <c r="U120" i="6"/>
  <c r="AJ120" i="6"/>
  <c r="AL120" i="6"/>
  <c r="AM120" i="6"/>
  <c r="AO120" i="6"/>
  <c r="AQ120" i="6"/>
  <c r="AS120" i="6"/>
  <c r="AT120" i="6"/>
  <c r="AU120" i="6"/>
  <c r="A121" i="6"/>
  <c r="B121" i="6"/>
  <c r="C121" i="6"/>
  <c r="E121" i="6"/>
  <c r="F121" i="6"/>
  <c r="H121" i="6"/>
  <c r="J121" i="6"/>
  <c r="K121" i="6"/>
  <c r="L121" i="6"/>
  <c r="N121" i="6"/>
  <c r="O121" i="6"/>
  <c r="P121" i="6"/>
  <c r="Q121" i="6"/>
  <c r="R121" i="6"/>
  <c r="S121" i="6"/>
  <c r="T121" i="6"/>
  <c r="U121" i="6"/>
  <c r="AJ121" i="6"/>
  <c r="AL121" i="6"/>
  <c r="AM121" i="6"/>
  <c r="AO121" i="6"/>
  <c r="AQ121" i="6"/>
  <c r="AS121" i="6"/>
  <c r="AT121" i="6"/>
  <c r="AU121" i="6"/>
  <c r="A122" i="6"/>
  <c r="B122" i="6"/>
  <c r="C122" i="6"/>
  <c r="E122" i="6"/>
  <c r="F122" i="6"/>
  <c r="H122" i="6"/>
  <c r="J122" i="6"/>
  <c r="K122" i="6"/>
  <c r="L122" i="6"/>
  <c r="N122" i="6"/>
  <c r="O122" i="6"/>
  <c r="P122" i="6"/>
  <c r="Q122" i="6"/>
  <c r="R122" i="6"/>
  <c r="S122" i="6"/>
  <c r="T122" i="6"/>
  <c r="U122" i="6"/>
  <c r="AJ122" i="6"/>
  <c r="AL122" i="6"/>
  <c r="AM122" i="6"/>
  <c r="AO122" i="6"/>
  <c r="AQ122" i="6"/>
  <c r="AS122" i="6"/>
  <c r="AT122" i="6"/>
  <c r="AU122" i="6"/>
  <c r="A123" i="6"/>
  <c r="B123" i="6"/>
  <c r="C123" i="6"/>
  <c r="E123" i="6"/>
  <c r="F123" i="6"/>
  <c r="H123" i="6"/>
  <c r="J123" i="6"/>
  <c r="K123" i="6"/>
  <c r="L123" i="6"/>
  <c r="N123" i="6"/>
  <c r="O123" i="6"/>
  <c r="P123" i="6"/>
  <c r="Q123" i="6"/>
  <c r="R123" i="6"/>
  <c r="S123" i="6"/>
  <c r="T123" i="6"/>
  <c r="U123" i="6"/>
  <c r="AJ123" i="6"/>
  <c r="AL123" i="6"/>
  <c r="AM123" i="6"/>
  <c r="AO123" i="6"/>
  <c r="AQ123" i="6"/>
  <c r="AS123" i="6"/>
  <c r="AT123" i="6"/>
  <c r="AU123" i="6"/>
  <c r="A124" i="6"/>
  <c r="B124" i="6"/>
  <c r="C124" i="6"/>
  <c r="E124" i="6"/>
  <c r="F124" i="6"/>
  <c r="H124" i="6"/>
  <c r="J124" i="6"/>
  <c r="K124" i="6"/>
  <c r="L124" i="6"/>
  <c r="N124" i="6"/>
  <c r="O124" i="6"/>
  <c r="P124" i="6"/>
  <c r="Q124" i="6"/>
  <c r="R124" i="6"/>
  <c r="S124" i="6"/>
  <c r="T124" i="6"/>
  <c r="U124" i="6"/>
  <c r="AJ124" i="6"/>
  <c r="AL124" i="6"/>
  <c r="AM124" i="6"/>
  <c r="AO124" i="6"/>
  <c r="AQ124" i="6"/>
  <c r="AS124" i="6"/>
  <c r="AT124" i="6"/>
  <c r="AU124" i="6"/>
  <c r="A125" i="6"/>
  <c r="B125" i="6"/>
  <c r="C125" i="6"/>
  <c r="E125" i="6"/>
  <c r="F125" i="6"/>
  <c r="H125" i="6"/>
  <c r="J125" i="6"/>
  <c r="K125" i="6"/>
  <c r="L125" i="6"/>
  <c r="N125" i="6"/>
  <c r="O125" i="6"/>
  <c r="P125" i="6"/>
  <c r="Q125" i="6"/>
  <c r="R125" i="6"/>
  <c r="S125" i="6"/>
  <c r="T125" i="6"/>
  <c r="U125" i="6"/>
  <c r="AJ125" i="6"/>
  <c r="AL125" i="6"/>
  <c r="AM125" i="6"/>
  <c r="AO125" i="6"/>
  <c r="AQ125" i="6"/>
  <c r="AS125" i="6"/>
  <c r="AT125" i="6"/>
  <c r="AU125" i="6"/>
  <c r="A126" i="6"/>
  <c r="B126" i="6"/>
  <c r="C126" i="6"/>
  <c r="E126" i="6"/>
  <c r="F126" i="6"/>
  <c r="H126" i="6"/>
  <c r="J126" i="6"/>
  <c r="K126" i="6"/>
  <c r="L126" i="6"/>
  <c r="N126" i="6"/>
  <c r="O126" i="6"/>
  <c r="P126" i="6"/>
  <c r="Q126" i="6"/>
  <c r="R126" i="6"/>
  <c r="S126" i="6"/>
  <c r="T126" i="6"/>
  <c r="U126" i="6"/>
  <c r="AJ126" i="6"/>
  <c r="AL126" i="6"/>
  <c r="AM126" i="6"/>
  <c r="AO126" i="6"/>
  <c r="AQ126" i="6"/>
  <c r="AS126" i="6"/>
  <c r="AT126" i="6"/>
  <c r="AU126" i="6"/>
  <c r="A127" i="6"/>
  <c r="B127" i="6"/>
  <c r="C127" i="6"/>
  <c r="E127" i="6"/>
  <c r="F127" i="6"/>
  <c r="H127" i="6"/>
  <c r="J127" i="6"/>
  <c r="K127" i="6"/>
  <c r="L127" i="6"/>
  <c r="N127" i="6"/>
  <c r="O127" i="6"/>
  <c r="P127" i="6"/>
  <c r="Q127" i="6"/>
  <c r="R127" i="6"/>
  <c r="S127" i="6"/>
  <c r="T127" i="6"/>
  <c r="U127" i="6"/>
  <c r="AJ127" i="6"/>
  <c r="AL127" i="6"/>
  <c r="AM127" i="6"/>
  <c r="AO127" i="6"/>
  <c r="AQ127" i="6"/>
  <c r="AS127" i="6"/>
  <c r="AT127" i="6"/>
  <c r="AU127" i="6"/>
  <c r="A128" i="6"/>
  <c r="B128" i="6"/>
  <c r="C128" i="6"/>
  <c r="E128" i="6"/>
  <c r="F128" i="6"/>
  <c r="H128" i="6"/>
  <c r="J128" i="6"/>
  <c r="K128" i="6"/>
  <c r="L128" i="6"/>
  <c r="N128" i="6"/>
  <c r="O128" i="6"/>
  <c r="P128" i="6"/>
  <c r="Q128" i="6"/>
  <c r="R128" i="6"/>
  <c r="S128" i="6"/>
  <c r="T128" i="6"/>
  <c r="U128" i="6"/>
  <c r="AJ128" i="6"/>
  <c r="AL128" i="6"/>
  <c r="AM128" i="6"/>
  <c r="AO128" i="6"/>
  <c r="AQ128" i="6"/>
  <c r="AS128" i="6"/>
  <c r="AT128" i="6"/>
  <c r="AU128" i="6"/>
  <c r="A129" i="6"/>
  <c r="B129" i="6"/>
  <c r="C129" i="6"/>
  <c r="E129" i="6"/>
  <c r="F129" i="6"/>
  <c r="H129" i="6"/>
  <c r="J129" i="6"/>
  <c r="K129" i="6"/>
  <c r="L129" i="6"/>
  <c r="N129" i="6"/>
  <c r="O129" i="6"/>
  <c r="P129" i="6"/>
  <c r="Q129" i="6"/>
  <c r="R129" i="6"/>
  <c r="S129" i="6"/>
  <c r="T129" i="6"/>
  <c r="U129" i="6"/>
  <c r="AJ129" i="6"/>
  <c r="AL129" i="6"/>
  <c r="AM129" i="6"/>
  <c r="AO129" i="6"/>
  <c r="AQ129" i="6"/>
  <c r="AS129" i="6"/>
  <c r="AT129" i="6"/>
  <c r="AU129" i="6"/>
  <c r="A130" i="6"/>
  <c r="B130" i="6"/>
  <c r="C130" i="6"/>
  <c r="E130" i="6"/>
  <c r="F130" i="6"/>
  <c r="H130" i="6"/>
  <c r="J130" i="6"/>
  <c r="K130" i="6"/>
  <c r="L130" i="6"/>
  <c r="N130" i="6"/>
  <c r="O130" i="6"/>
  <c r="P130" i="6"/>
  <c r="Q130" i="6"/>
  <c r="R130" i="6"/>
  <c r="S130" i="6"/>
  <c r="T130" i="6"/>
  <c r="U130" i="6"/>
  <c r="AJ130" i="6"/>
  <c r="AL130" i="6"/>
  <c r="AM130" i="6"/>
  <c r="AO130" i="6"/>
  <c r="AQ130" i="6"/>
  <c r="AS130" i="6"/>
  <c r="AT130" i="6"/>
  <c r="AU130" i="6"/>
  <c r="A131" i="6"/>
  <c r="B131" i="6"/>
  <c r="C131" i="6"/>
  <c r="E131" i="6"/>
  <c r="F131" i="6"/>
  <c r="H131" i="6"/>
  <c r="J131" i="6"/>
  <c r="K131" i="6"/>
  <c r="L131" i="6"/>
  <c r="N131" i="6"/>
  <c r="O131" i="6"/>
  <c r="P131" i="6"/>
  <c r="Q131" i="6"/>
  <c r="R131" i="6"/>
  <c r="S131" i="6"/>
  <c r="T131" i="6"/>
  <c r="U131" i="6"/>
  <c r="AJ131" i="6"/>
  <c r="AL131" i="6"/>
  <c r="AM131" i="6"/>
  <c r="AO131" i="6"/>
  <c r="AQ131" i="6"/>
  <c r="AS131" i="6"/>
  <c r="AT131" i="6"/>
  <c r="AU131" i="6"/>
  <c r="A132" i="6"/>
  <c r="B132" i="6"/>
  <c r="C132" i="6"/>
  <c r="E132" i="6"/>
  <c r="F132" i="6"/>
  <c r="H132" i="6"/>
  <c r="J132" i="6"/>
  <c r="K132" i="6"/>
  <c r="L132" i="6"/>
  <c r="N132" i="6"/>
  <c r="O132" i="6"/>
  <c r="P132" i="6"/>
  <c r="Q132" i="6"/>
  <c r="R132" i="6"/>
  <c r="S132" i="6"/>
  <c r="T132" i="6"/>
  <c r="U132" i="6"/>
  <c r="AJ132" i="6"/>
  <c r="AL132" i="6"/>
  <c r="AM132" i="6"/>
  <c r="AO132" i="6"/>
  <c r="AQ132" i="6"/>
  <c r="AS132" i="6"/>
  <c r="AT132" i="6"/>
  <c r="AU132" i="6"/>
  <c r="A133" i="6"/>
  <c r="B133" i="6"/>
  <c r="C133" i="6"/>
  <c r="E133" i="6"/>
  <c r="F133" i="6"/>
  <c r="H133" i="6"/>
  <c r="J133" i="6"/>
  <c r="K133" i="6"/>
  <c r="L133" i="6"/>
  <c r="N133" i="6"/>
  <c r="O133" i="6"/>
  <c r="P133" i="6"/>
  <c r="Q133" i="6"/>
  <c r="R133" i="6"/>
  <c r="S133" i="6"/>
  <c r="T133" i="6"/>
  <c r="U133" i="6"/>
  <c r="AJ133" i="6"/>
  <c r="AL133" i="6"/>
  <c r="AM133" i="6"/>
  <c r="AO133" i="6"/>
  <c r="AQ133" i="6"/>
  <c r="AS133" i="6"/>
  <c r="AT133" i="6"/>
  <c r="AU133" i="6"/>
  <c r="A134" i="6"/>
  <c r="B134" i="6"/>
  <c r="C134" i="6"/>
  <c r="E134" i="6"/>
  <c r="F134" i="6"/>
  <c r="H134" i="6"/>
  <c r="J134" i="6"/>
  <c r="K134" i="6"/>
  <c r="L134" i="6"/>
  <c r="N134" i="6"/>
  <c r="O134" i="6"/>
  <c r="P134" i="6"/>
  <c r="Q134" i="6"/>
  <c r="R134" i="6"/>
  <c r="S134" i="6"/>
  <c r="T134" i="6"/>
  <c r="U134" i="6"/>
  <c r="AJ134" i="6"/>
  <c r="AL134" i="6"/>
  <c r="AM134" i="6"/>
  <c r="AO134" i="6"/>
  <c r="AQ134" i="6"/>
  <c r="AS134" i="6"/>
  <c r="AT134" i="6"/>
  <c r="AU134" i="6"/>
  <c r="A135" i="6"/>
  <c r="B135" i="6"/>
  <c r="C135" i="6"/>
  <c r="E135" i="6"/>
  <c r="F135" i="6"/>
  <c r="H135" i="6"/>
  <c r="J135" i="6"/>
  <c r="K135" i="6"/>
  <c r="L135" i="6"/>
  <c r="N135" i="6"/>
  <c r="O135" i="6"/>
  <c r="P135" i="6"/>
  <c r="Q135" i="6"/>
  <c r="R135" i="6"/>
  <c r="S135" i="6"/>
  <c r="T135" i="6"/>
  <c r="U135" i="6"/>
  <c r="AJ135" i="6"/>
  <c r="AL135" i="6"/>
  <c r="AM135" i="6"/>
  <c r="AO135" i="6"/>
  <c r="AQ135" i="6"/>
  <c r="AS135" i="6"/>
  <c r="AT135" i="6"/>
  <c r="AU135" i="6"/>
  <c r="A136" i="6"/>
  <c r="B136" i="6"/>
  <c r="C136" i="6"/>
  <c r="E136" i="6"/>
  <c r="F136" i="6"/>
  <c r="H136" i="6"/>
  <c r="J136" i="6"/>
  <c r="K136" i="6"/>
  <c r="L136" i="6"/>
  <c r="N136" i="6"/>
  <c r="O136" i="6"/>
  <c r="P136" i="6"/>
  <c r="Q136" i="6"/>
  <c r="R136" i="6"/>
  <c r="S136" i="6"/>
  <c r="T136" i="6"/>
  <c r="U136" i="6"/>
  <c r="AJ136" i="6"/>
  <c r="AL136" i="6"/>
  <c r="AM136" i="6"/>
  <c r="AO136" i="6"/>
  <c r="AQ136" i="6"/>
  <c r="AS136" i="6"/>
  <c r="AT136" i="6"/>
  <c r="AU136" i="6"/>
  <c r="A137" i="6"/>
  <c r="B137" i="6"/>
  <c r="C137" i="6"/>
  <c r="E137" i="6"/>
  <c r="F137" i="6"/>
  <c r="H137" i="6"/>
  <c r="J137" i="6"/>
  <c r="K137" i="6"/>
  <c r="L137" i="6"/>
  <c r="N137" i="6"/>
  <c r="O137" i="6"/>
  <c r="P137" i="6"/>
  <c r="Q137" i="6"/>
  <c r="R137" i="6"/>
  <c r="S137" i="6"/>
  <c r="T137" i="6"/>
  <c r="U137" i="6"/>
  <c r="AJ137" i="6"/>
  <c r="AL137" i="6"/>
  <c r="AM137" i="6"/>
  <c r="AO137" i="6"/>
  <c r="AQ137" i="6"/>
  <c r="AS137" i="6"/>
  <c r="AT137" i="6"/>
  <c r="AU137" i="6"/>
  <c r="A138" i="6"/>
  <c r="B138" i="6"/>
  <c r="C138" i="6"/>
  <c r="E138" i="6"/>
  <c r="F138" i="6"/>
  <c r="H138" i="6"/>
  <c r="J138" i="6"/>
  <c r="K138" i="6"/>
  <c r="L138" i="6"/>
  <c r="N138" i="6"/>
  <c r="O138" i="6"/>
  <c r="P138" i="6"/>
  <c r="Q138" i="6"/>
  <c r="R138" i="6"/>
  <c r="S138" i="6"/>
  <c r="T138" i="6"/>
  <c r="U138" i="6"/>
  <c r="AJ138" i="6"/>
  <c r="AL138" i="6"/>
  <c r="AM138" i="6"/>
  <c r="AO138" i="6"/>
  <c r="AQ138" i="6"/>
  <c r="AS138" i="6"/>
  <c r="AT138" i="6"/>
  <c r="AU138" i="6"/>
  <c r="A139" i="6"/>
  <c r="B139" i="6"/>
  <c r="C139" i="6"/>
  <c r="E139" i="6"/>
  <c r="F139" i="6"/>
  <c r="H139" i="6"/>
  <c r="J139" i="6"/>
  <c r="K139" i="6"/>
  <c r="L139" i="6"/>
  <c r="N139" i="6"/>
  <c r="O139" i="6"/>
  <c r="P139" i="6"/>
  <c r="Q139" i="6"/>
  <c r="R139" i="6"/>
  <c r="S139" i="6"/>
  <c r="T139" i="6"/>
  <c r="U139" i="6"/>
  <c r="AJ139" i="6"/>
  <c r="AL139" i="6"/>
  <c r="AM139" i="6"/>
  <c r="AO139" i="6"/>
  <c r="AQ139" i="6"/>
  <c r="AS139" i="6"/>
  <c r="AT139" i="6"/>
  <c r="AU139" i="6"/>
  <c r="A140" i="6"/>
  <c r="B140" i="6"/>
  <c r="C140" i="6"/>
  <c r="E140" i="6"/>
  <c r="F140" i="6"/>
  <c r="H140" i="6"/>
  <c r="J140" i="6"/>
  <c r="K140" i="6"/>
  <c r="L140" i="6"/>
  <c r="N140" i="6"/>
  <c r="O140" i="6"/>
  <c r="P140" i="6"/>
  <c r="Q140" i="6"/>
  <c r="R140" i="6"/>
  <c r="S140" i="6"/>
  <c r="T140" i="6"/>
  <c r="U140" i="6"/>
  <c r="AJ140" i="6"/>
  <c r="AL140" i="6"/>
  <c r="AM140" i="6"/>
  <c r="AO140" i="6"/>
  <c r="AQ140" i="6"/>
  <c r="AS140" i="6"/>
  <c r="AT140" i="6"/>
  <c r="AU140" i="6"/>
  <c r="A141" i="6"/>
  <c r="B141" i="6"/>
  <c r="C141" i="6"/>
  <c r="E141" i="6"/>
  <c r="F141" i="6"/>
  <c r="H141" i="6"/>
  <c r="J141" i="6"/>
  <c r="K141" i="6"/>
  <c r="L141" i="6"/>
  <c r="N141" i="6"/>
  <c r="O141" i="6"/>
  <c r="P141" i="6"/>
  <c r="Q141" i="6"/>
  <c r="R141" i="6"/>
  <c r="S141" i="6"/>
  <c r="T141" i="6"/>
  <c r="U141" i="6"/>
  <c r="AJ141" i="6"/>
  <c r="AL141" i="6"/>
  <c r="AM141" i="6"/>
  <c r="AO141" i="6"/>
  <c r="AQ141" i="6"/>
  <c r="AS141" i="6"/>
  <c r="AT141" i="6"/>
  <c r="AU141" i="6"/>
  <c r="A142" i="6"/>
  <c r="B142" i="6"/>
  <c r="C142" i="6"/>
  <c r="E142" i="6"/>
  <c r="F142" i="6"/>
  <c r="H142" i="6"/>
  <c r="J142" i="6"/>
  <c r="K142" i="6"/>
  <c r="L142" i="6"/>
  <c r="N142" i="6"/>
  <c r="O142" i="6"/>
  <c r="P142" i="6"/>
  <c r="Q142" i="6"/>
  <c r="R142" i="6"/>
  <c r="S142" i="6"/>
  <c r="T142" i="6"/>
  <c r="U142" i="6"/>
  <c r="AJ142" i="6"/>
  <c r="AL142" i="6"/>
  <c r="AM142" i="6"/>
  <c r="AO142" i="6"/>
  <c r="AQ142" i="6"/>
  <c r="AS142" i="6"/>
  <c r="AT142" i="6"/>
  <c r="AU142" i="6"/>
  <c r="A143" i="6"/>
  <c r="B143" i="6"/>
  <c r="C143" i="6"/>
  <c r="E143" i="6"/>
  <c r="F143" i="6"/>
  <c r="H143" i="6"/>
  <c r="J143" i="6"/>
  <c r="K143" i="6"/>
  <c r="L143" i="6"/>
  <c r="N143" i="6"/>
  <c r="O143" i="6"/>
  <c r="P143" i="6"/>
  <c r="Q143" i="6"/>
  <c r="R143" i="6"/>
  <c r="S143" i="6"/>
  <c r="T143" i="6"/>
  <c r="U143" i="6"/>
  <c r="AJ143" i="6"/>
  <c r="AL143" i="6"/>
  <c r="AM143" i="6"/>
  <c r="AO143" i="6"/>
  <c r="AQ143" i="6"/>
  <c r="AS143" i="6"/>
  <c r="AT143" i="6"/>
  <c r="AU143" i="6"/>
  <c r="A144" i="6"/>
  <c r="B144" i="6"/>
  <c r="C144" i="6"/>
  <c r="E144" i="6"/>
  <c r="F144" i="6"/>
  <c r="H144" i="6"/>
  <c r="J144" i="6"/>
  <c r="K144" i="6"/>
  <c r="L144" i="6"/>
  <c r="N144" i="6"/>
  <c r="O144" i="6"/>
  <c r="P144" i="6"/>
  <c r="Q144" i="6"/>
  <c r="R144" i="6"/>
  <c r="S144" i="6"/>
  <c r="T144" i="6"/>
  <c r="U144" i="6"/>
  <c r="AJ144" i="6"/>
  <c r="AL144" i="6"/>
  <c r="AM144" i="6"/>
  <c r="AO144" i="6"/>
  <c r="AQ144" i="6"/>
  <c r="AS144" i="6"/>
  <c r="AT144" i="6"/>
  <c r="AU144" i="6"/>
  <c r="A145" i="6"/>
  <c r="B145" i="6"/>
  <c r="C145" i="6"/>
  <c r="E145" i="6"/>
  <c r="F145" i="6"/>
  <c r="H145" i="6"/>
  <c r="J145" i="6"/>
  <c r="K145" i="6"/>
  <c r="L145" i="6"/>
  <c r="N145" i="6"/>
  <c r="O145" i="6"/>
  <c r="P145" i="6"/>
  <c r="Q145" i="6"/>
  <c r="R145" i="6"/>
  <c r="S145" i="6"/>
  <c r="T145" i="6"/>
  <c r="U145" i="6"/>
  <c r="AJ145" i="6"/>
  <c r="AL145" i="6"/>
  <c r="AM145" i="6"/>
  <c r="AO145" i="6"/>
  <c r="AQ145" i="6"/>
  <c r="AS145" i="6"/>
  <c r="AT145" i="6"/>
  <c r="AU145" i="6"/>
  <c r="A146" i="6"/>
  <c r="B146" i="6"/>
  <c r="C146" i="6"/>
  <c r="E146" i="6"/>
  <c r="F146" i="6"/>
  <c r="H146" i="6"/>
  <c r="J146" i="6"/>
  <c r="K146" i="6"/>
  <c r="L146" i="6"/>
  <c r="N146" i="6"/>
  <c r="O146" i="6"/>
  <c r="P146" i="6"/>
  <c r="Q146" i="6"/>
  <c r="R146" i="6"/>
  <c r="S146" i="6"/>
  <c r="T146" i="6"/>
  <c r="U146" i="6"/>
  <c r="AJ146" i="6"/>
  <c r="AL146" i="6"/>
  <c r="AM146" i="6"/>
  <c r="AO146" i="6"/>
  <c r="AQ146" i="6"/>
  <c r="AS146" i="6"/>
  <c r="AT146" i="6"/>
  <c r="AU146" i="6"/>
  <c r="A147" i="6"/>
  <c r="B147" i="6"/>
  <c r="C147" i="6"/>
  <c r="E147" i="6"/>
  <c r="F147" i="6"/>
  <c r="H147" i="6"/>
  <c r="J147" i="6"/>
  <c r="K147" i="6"/>
  <c r="L147" i="6"/>
  <c r="N147" i="6"/>
  <c r="O147" i="6"/>
  <c r="P147" i="6"/>
  <c r="Q147" i="6"/>
  <c r="R147" i="6"/>
  <c r="S147" i="6"/>
  <c r="T147" i="6"/>
  <c r="U147" i="6"/>
  <c r="AJ147" i="6"/>
  <c r="AL147" i="6"/>
  <c r="AM147" i="6"/>
  <c r="AO147" i="6"/>
  <c r="AQ147" i="6"/>
  <c r="AS147" i="6"/>
  <c r="AT147" i="6"/>
  <c r="AU147" i="6"/>
  <c r="A148" i="6"/>
  <c r="B148" i="6"/>
  <c r="C148" i="6"/>
  <c r="E148" i="6"/>
  <c r="F148" i="6"/>
  <c r="H148" i="6"/>
  <c r="J148" i="6"/>
  <c r="K148" i="6"/>
  <c r="L148" i="6"/>
  <c r="N148" i="6"/>
  <c r="O148" i="6"/>
  <c r="P148" i="6"/>
  <c r="Q148" i="6"/>
  <c r="R148" i="6"/>
  <c r="S148" i="6"/>
  <c r="T148" i="6"/>
  <c r="U148" i="6"/>
  <c r="AJ148" i="6"/>
  <c r="AL148" i="6"/>
  <c r="AM148" i="6"/>
  <c r="AO148" i="6"/>
  <c r="AQ148" i="6"/>
  <c r="AS148" i="6"/>
  <c r="AT148" i="6"/>
  <c r="AU148" i="6"/>
  <c r="A149" i="6"/>
  <c r="B149" i="6"/>
  <c r="C149" i="6"/>
  <c r="E149" i="6"/>
  <c r="F149" i="6"/>
  <c r="H149" i="6"/>
  <c r="J149" i="6"/>
  <c r="K149" i="6"/>
  <c r="L149" i="6"/>
  <c r="N149" i="6"/>
  <c r="O149" i="6"/>
  <c r="P149" i="6"/>
  <c r="Q149" i="6"/>
  <c r="R149" i="6"/>
  <c r="S149" i="6"/>
  <c r="T149" i="6"/>
  <c r="U149" i="6"/>
  <c r="AJ149" i="6"/>
  <c r="AL149" i="6"/>
  <c r="AM149" i="6"/>
  <c r="AO149" i="6"/>
  <c r="AQ149" i="6"/>
  <c r="AS149" i="6"/>
  <c r="AT149" i="6"/>
  <c r="AU149" i="6"/>
  <c r="A150" i="6"/>
  <c r="B150" i="6"/>
  <c r="C150" i="6"/>
  <c r="E150" i="6"/>
  <c r="F150" i="6"/>
  <c r="H150" i="6"/>
  <c r="J150" i="6"/>
  <c r="K150" i="6"/>
  <c r="L150" i="6"/>
  <c r="N150" i="6"/>
  <c r="O150" i="6"/>
  <c r="P150" i="6"/>
  <c r="Q150" i="6"/>
  <c r="R150" i="6"/>
  <c r="S150" i="6"/>
  <c r="T150" i="6"/>
  <c r="U150" i="6"/>
  <c r="AJ150" i="6"/>
  <c r="AL150" i="6"/>
  <c r="AM150" i="6"/>
  <c r="AO150" i="6"/>
  <c r="AQ150" i="6"/>
  <c r="AS150" i="6"/>
  <c r="AT150" i="6"/>
  <c r="AU150" i="6"/>
  <c r="A151" i="6"/>
  <c r="B151" i="6"/>
  <c r="C151" i="6"/>
  <c r="E151" i="6"/>
  <c r="F151" i="6"/>
  <c r="H151" i="6"/>
  <c r="J151" i="6"/>
  <c r="K151" i="6"/>
  <c r="L151" i="6"/>
  <c r="N151" i="6"/>
  <c r="O151" i="6"/>
  <c r="P151" i="6"/>
  <c r="Q151" i="6"/>
  <c r="R151" i="6"/>
  <c r="S151" i="6"/>
  <c r="T151" i="6"/>
  <c r="U151" i="6"/>
  <c r="AJ151" i="6"/>
  <c r="AL151" i="6"/>
  <c r="AM151" i="6"/>
  <c r="AO151" i="6"/>
  <c r="AQ151" i="6"/>
  <c r="AS151" i="6"/>
  <c r="AT151" i="6"/>
  <c r="AU151" i="6"/>
  <c r="A152" i="6"/>
  <c r="B152" i="6"/>
  <c r="C152" i="6"/>
  <c r="E152" i="6"/>
  <c r="F152" i="6"/>
  <c r="H152" i="6"/>
  <c r="J152" i="6"/>
  <c r="K152" i="6"/>
  <c r="L152" i="6"/>
  <c r="N152" i="6"/>
  <c r="O152" i="6"/>
  <c r="P152" i="6"/>
  <c r="Q152" i="6"/>
  <c r="R152" i="6"/>
  <c r="S152" i="6"/>
  <c r="T152" i="6"/>
  <c r="U152" i="6"/>
  <c r="AJ152" i="6"/>
  <c r="AL152" i="6"/>
  <c r="AM152" i="6"/>
  <c r="AO152" i="6"/>
  <c r="AQ152" i="6"/>
  <c r="AS152" i="6"/>
  <c r="AT152" i="6"/>
  <c r="AU152" i="6"/>
  <c r="A153" i="6"/>
  <c r="B153" i="6"/>
  <c r="C153" i="6"/>
  <c r="E153" i="6"/>
  <c r="F153" i="6"/>
  <c r="H153" i="6"/>
  <c r="J153" i="6"/>
  <c r="K153" i="6"/>
  <c r="L153" i="6"/>
  <c r="N153" i="6"/>
  <c r="O153" i="6"/>
  <c r="P153" i="6"/>
  <c r="Q153" i="6"/>
  <c r="R153" i="6"/>
  <c r="S153" i="6"/>
  <c r="T153" i="6"/>
  <c r="U153" i="6"/>
  <c r="AJ153" i="6"/>
  <c r="AL153" i="6"/>
  <c r="AM153" i="6"/>
  <c r="AO153" i="6"/>
  <c r="AQ153" i="6"/>
  <c r="AS153" i="6"/>
  <c r="AT153" i="6"/>
  <c r="AU153" i="6"/>
  <c r="A154" i="6"/>
  <c r="B154" i="6"/>
  <c r="C154" i="6"/>
  <c r="E154" i="6"/>
  <c r="F154" i="6"/>
  <c r="H154" i="6"/>
  <c r="J154" i="6"/>
  <c r="K154" i="6"/>
  <c r="L154" i="6"/>
  <c r="N154" i="6"/>
  <c r="O154" i="6"/>
  <c r="P154" i="6"/>
  <c r="Q154" i="6"/>
  <c r="R154" i="6"/>
  <c r="S154" i="6"/>
  <c r="T154" i="6"/>
  <c r="U154" i="6"/>
  <c r="AJ154" i="6"/>
  <c r="AL154" i="6"/>
  <c r="AM154" i="6"/>
  <c r="AO154" i="6"/>
  <c r="AQ154" i="6"/>
  <c r="AS154" i="6"/>
  <c r="AT154" i="6"/>
  <c r="AU154" i="6"/>
  <c r="A155" i="6"/>
  <c r="B155" i="6"/>
  <c r="C155" i="6"/>
  <c r="E155" i="6"/>
  <c r="F155" i="6"/>
  <c r="H155" i="6"/>
  <c r="J155" i="6"/>
  <c r="K155" i="6"/>
  <c r="L155" i="6"/>
  <c r="N155" i="6"/>
  <c r="O155" i="6"/>
  <c r="P155" i="6"/>
  <c r="Q155" i="6"/>
  <c r="R155" i="6"/>
  <c r="S155" i="6"/>
  <c r="T155" i="6"/>
  <c r="U155" i="6"/>
  <c r="AJ155" i="6"/>
  <c r="AL155" i="6"/>
  <c r="AM155" i="6"/>
  <c r="AO155" i="6"/>
  <c r="AQ155" i="6"/>
  <c r="AS155" i="6"/>
  <c r="AT155" i="6"/>
  <c r="AU155" i="6"/>
  <c r="A156" i="6"/>
  <c r="B156" i="6"/>
  <c r="C156" i="6"/>
  <c r="E156" i="6"/>
  <c r="F156" i="6"/>
  <c r="H156" i="6"/>
  <c r="J156" i="6"/>
  <c r="K156" i="6"/>
  <c r="L156" i="6"/>
  <c r="N156" i="6"/>
  <c r="O156" i="6"/>
  <c r="P156" i="6"/>
  <c r="Q156" i="6"/>
  <c r="R156" i="6"/>
  <c r="S156" i="6"/>
  <c r="T156" i="6"/>
  <c r="U156" i="6"/>
  <c r="AJ156" i="6"/>
  <c r="AL156" i="6"/>
  <c r="AM156" i="6"/>
  <c r="AO156" i="6"/>
  <c r="AQ156" i="6"/>
  <c r="AS156" i="6"/>
  <c r="AT156" i="6"/>
  <c r="AU156" i="6"/>
  <c r="A157" i="6"/>
  <c r="B157" i="6"/>
  <c r="C157" i="6"/>
  <c r="E157" i="6"/>
  <c r="F157" i="6"/>
  <c r="H157" i="6"/>
  <c r="J157" i="6"/>
  <c r="K157" i="6"/>
  <c r="L157" i="6"/>
  <c r="N157" i="6"/>
  <c r="O157" i="6"/>
  <c r="P157" i="6"/>
  <c r="Q157" i="6"/>
  <c r="R157" i="6"/>
  <c r="S157" i="6"/>
  <c r="T157" i="6"/>
  <c r="U157" i="6"/>
  <c r="AJ157" i="6"/>
  <c r="AL157" i="6"/>
  <c r="AM157" i="6"/>
  <c r="AO157" i="6"/>
  <c r="AQ157" i="6"/>
  <c r="AS157" i="6"/>
  <c r="AT157" i="6"/>
  <c r="AU157" i="6"/>
  <c r="A158" i="6"/>
  <c r="B158" i="6"/>
  <c r="C158" i="6"/>
  <c r="E158" i="6"/>
  <c r="F158" i="6"/>
  <c r="H158" i="6"/>
  <c r="J158" i="6"/>
  <c r="K158" i="6"/>
  <c r="L158" i="6"/>
  <c r="N158" i="6"/>
  <c r="O158" i="6"/>
  <c r="P158" i="6"/>
  <c r="Q158" i="6"/>
  <c r="R158" i="6"/>
  <c r="S158" i="6"/>
  <c r="T158" i="6"/>
  <c r="U158" i="6"/>
  <c r="AJ158" i="6"/>
  <c r="AL158" i="6"/>
  <c r="AM158" i="6"/>
  <c r="AO158" i="6"/>
  <c r="AQ158" i="6"/>
  <c r="AS158" i="6"/>
  <c r="AT158" i="6"/>
  <c r="AU158" i="6"/>
  <c r="A159" i="6"/>
  <c r="B159" i="6"/>
  <c r="C159" i="6"/>
  <c r="E159" i="6"/>
  <c r="F159" i="6"/>
  <c r="H159" i="6"/>
  <c r="J159" i="6"/>
  <c r="K159" i="6"/>
  <c r="L159" i="6"/>
  <c r="N159" i="6"/>
  <c r="O159" i="6"/>
  <c r="P159" i="6"/>
  <c r="Q159" i="6"/>
  <c r="R159" i="6"/>
  <c r="S159" i="6"/>
  <c r="T159" i="6"/>
  <c r="U159" i="6"/>
  <c r="AJ159" i="6"/>
  <c r="AL159" i="6"/>
  <c r="AM159" i="6"/>
  <c r="AO159" i="6"/>
  <c r="AQ159" i="6"/>
  <c r="AS159" i="6"/>
  <c r="AT159" i="6"/>
  <c r="AU159" i="6"/>
  <c r="A160" i="6"/>
  <c r="B160" i="6"/>
  <c r="C160" i="6"/>
  <c r="E160" i="6"/>
  <c r="F160" i="6"/>
  <c r="H160" i="6"/>
  <c r="J160" i="6"/>
  <c r="K160" i="6"/>
  <c r="L160" i="6"/>
  <c r="N160" i="6"/>
  <c r="O160" i="6"/>
  <c r="P160" i="6"/>
  <c r="Q160" i="6"/>
  <c r="R160" i="6"/>
  <c r="S160" i="6"/>
  <c r="T160" i="6"/>
  <c r="U160" i="6"/>
  <c r="AJ160" i="6"/>
  <c r="AL160" i="6"/>
  <c r="AM160" i="6"/>
  <c r="AO160" i="6"/>
  <c r="AQ160" i="6"/>
  <c r="AS160" i="6"/>
  <c r="AT160" i="6"/>
  <c r="AU160" i="6"/>
  <c r="A161" i="6"/>
  <c r="B161" i="6"/>
  <c r="C161" i="6"/>
  <c r="E161" i="6"/>
  <c r="F161" i="6"/>
  <c r="H161" i="6"/>
  <c r="J161" i="6"/>
  <c r="K161" i="6"/>
  <c r="L161" i="6"/>
  <c r="N161" i="6"/>
  <c r="O161" i="6"/>
  <c r="P161" i="6"/>
  <c r="Q161" i="6"/>
  <c r="R161" i="6"/>
  <c r="S161" i="6"/>
  <c r="T161" i="6"/>
  <c r="U161" i="6"/>
  <c r="AJ161" i="6"/>
  <c r="AL161" i="6"/>
  <c r="AM161" i="6"/>
  <c r="AO161" i="6"/>
  <c r="AQ161" i="6"/>
  <c r="AS161" i="6"/>
  <c r="AT161" i="6"/>
  <c r="AU161" i="6"/>
  <c r="A162" i="6"/>
  <c r="B162" i="6"/>
  <c r="C162" i="6"/>
  <c r="E162" i="6"/>
  <c r="F162" i="6"/>
  <c r="H162" i="6"/>
  <c r="J162" i="6"/>
  <c r="K162" i="6"/>
  <c r="L162" i="6"/>
  <c r="N162" i="6"/>
  <c r="O162" i="6"/>
  <c r="P162" i="6"/>
  <c r="Q162" i="6"/>
  <c r="R162" i="6"/>
  <c r="S162" i="6"/>
  <c r="T162" i="6"/>
  <c r="U162" i="6"/>
  <c r="AJ162" i="6"/>
  <c r="AL162" i="6"/>
  <c r="AM162" i="6"/>
  <c r="AO162" i="6"/>
  <c r="AQ162" i="6"/>
  <c r="AS162" i="6"/>
  <c r="AT162" i="6"/>
  <c r="AU162" i="6"/>
  <c r="A163" i="6"/>
  <c r="B163" i="6"/>
  <c r="C163" i="6"/>
  <c r="E163" i="6"/>
  <c r="F163" i="6"/>
  <c r="H163" i="6"/>
  <c r="J163" i="6"/>
  <c r="K163" i="6"/>
  <c r="L163" i="6"/>
  <c r="N163" i="6"/>
  <c r="O163" i="6"/>
  <c r="P163" i="6"/>
  <c r="Q163" i="6"/>
  <c r="R163" i="6"/>
  <c r="S163" i="6"/>
  <c r="T163" i="6"/>
  <c r="U163" i="6"/>
  <c r="AJ163" i="6"/>
  <c r="AL163" i="6"/>
  <c r="AM163" i="6"/>
  <c r="AO163" i="6"/>
  <c r="AQ163" i="6"/>
  <c r="AS163" i="6"/>
  <c r="AT163" i="6"/>
  <c r="AU163" i="6"/>
  <c r="A164" i="6"/>
  <c r="B164" i="6"/>
  <c r="C164" i="6"/>
  <c r="E164" i="6"/>
  <c r="F164" i="6"/>
  <c r="H164" i="6"/>
  <c r="J164" i="6"/>
  <c r="K164" i="6"/>
  <c r="L164" i="6"/>
  <c r="N164" i="6"/>
  <c r="O164" i="6"/>
  <c r="P164" i="6"/>
  <c r="Q164" i="6"/>
  <c r="R164" i="6"/>
  <c r="S164" i="6"/>
  <c r="T164" i="6"/>
  <c r="U164" i="6"/>
  <c r="AJ164" i="6"/>
  <c r="AL164" i="6"/>
  <c r="AM164" i="6"/>
  <c r="AO164" i="6"/>
  <c r="AQ164" i="6"/>
  <c r="AS164" i="6"/>
  <c r="AT164" i="6"/>
  <c r="AU164" i="6"/>
  <c r="A165" i="6"/>
  <c r="B165" i="6"/>
  <c r="C165" i="6"/>
  <c r="E165" i="6"/>
  <c r="F165" i="6"/>
  <c r="H165" i="6"/>
  <c r="J165" i="6"/>
  <c r="K165" i="6"/>
  <c r="L165" i="6"/>
  <c r="N165" i="6"/>
  <c r="O165" i="6"/>
  <c r="P165" i="6"/>
  <c r="Q165" i="6"/>
  <c r="R165" i="6"/>
  <c r="S165" i="6"/>
  <c r="T165" i="6"/>
  <c r="U165" i="6"/>
  <c r="AJ165" i="6"/>
  <c r="AL165" i="6"/>
  <c r="AM165" i="6"/>
  <c r="AO165" i="6"/>
  <c r="AQ165" i="6"/>
  <c r="AS165" i="6"/>
  <c r="AT165" i="6"/>
  <c r="AU165" i="6"/>
  <c r="A166" i="6"/>
  <c r="B166" i="6"/>
  <c r="C166" i="6"/>
  <c r="E166" i="6"/>
  <c r="F166" i="6"/>
  <c r="H166" i="6"/>
  <c r="J166" i="6"/>
  <c r="K166" i="6"/>
  <c r="L166" i="6"/>
  <c r="N166" i="6"/>
  <c r="O166" i="6"/>
  <c r="P166" i="6"/>
  <c r="Q166" i="6"/>
  <c r="R166" i="6"/>
  <c r="S166" i="6"/>
  <c r="T166" i="6"/>
  <c r="U166" i="6"/>
  <c r="AJ166" i="6"/>
  <c r="AL166" i="6"/>
  <c r="AM166" i="6"/>
  <c r="AO166" i="6"/>
  <c r="AQ166" i="6"/>
  <c r="AS166" i="6"/>
  <c r="AT166" i="6"/>
  <c r="AU166" i="6"/>
  <c r="A167" i="6"/>
  <c r="B167" i="6"/>
  <c r="C167" i="6"/>
  <c r="E167" i="6"/>
  <c r="F167" i="6"/>
  <c r="H167" i="6"/>
  <c r="J167" i="6"/>
  <c r="K167" i="6"/>
  <c r="L167" i="6"/>
  <c r="N167" i="6"/>
  <c r="O167" i="6"/>
  <c r="P167" i="6"/>
  <c r="Q167" i="6"/>
  <c r="R167" i="6"/>
  <c r="S167" i="6"/>
  <c r="T167" i="6"/>
  <c r="U167" i="6"/>
  <c r="AJ167" i="6"/>
  <c r="AL167" i="6"/>
  <c r="AM167" i="6"/>
  <c r="AO167" i="6"/>
  <c r="AQ167" i="6"/>
  <c r="AS167" i="6"/>
  <c r="AT167" i="6"/>
  <c r="AU167" i="6"/>
  <c r="A168" i="6"/>
  <c r="B168" i="6"/>
  <c r="C168" i="6"/>
  <c r="E168" i="6"/>
  <c r="F168" i="6"/>
  <c r="H168" i="6"/>
  <c r="J168" i="6"/>
  <c r="K168" i="6"/>
  <c r="L168" i="6"/>
  <c r="N168" i="6"/>
  <c r="O168" i="6"/>
  <c r="P168" i="6"/>
  <c r="Q168" i="6"/>
  <c r="R168" i="6"/>
  <c r="S168" i="6"/>
  <c r="T168" i="6"/>
  <c r="U168" i="6"/>
  <c r="AJ168" i="6"/>
  <c r="AL168" i="6"/>
  <c r="AM168" i="6"/>
  <c r="AO168" i="6"/>
  <c r="AQ168" i="6"/>
  <c r="AS168" i="6"/>
  <c r="AT168" i="6"/>
  <c r="AU168" i="6"/>
  <c r="A169" i="6"/>
  <c r="B169" i="6"/>
  <c r="C169" i="6"/>
  <c r="E169" i="6"/>
  <c r="F169" i="6"/>
  <c r="H169" i="6"/>
  <c r="J169" i="6"/>
  <c r="K169" i="6"/>
  <c r="L169" i="6"/>
  <c r="N169" i="6"/>
  <c r="O169" i="6"/>
  <c r="P169" i="6"/>
  <c r="Q169" i="6"/>
  <c r="R169" i="6"/>
  <c r="S169" i="6"/>
  <c r="T169" i="6"/>
  <c r="U169" i="6"/>
  <c r="AJ169" i="6"/>
  <c r="AL169" i="6"/>
  <c r="AM169" i="6"/>
  <c r="AO169" i="6"/>
  <c r="AQ169" i="6"/>
  <c r="AS169" i="6"/>
  <c r="AT169" i="6"/>
  <c r="AU169" i="6"/>
  <c r="A170" i="6"/>
  <c r="B170" i="6"/>
  <c r="C170" i="6"/>
  <c r="E170" i="6"/>
  <c r="F170" i="6"/>
  <c r="H170" i="6"/>
  <c r="J170" i="6"/>
  <c r="K170" i="6"/>
  <c r="L170" i="6"/>
  <c r="N170" i="6"/>
  <c r="O170" i="6"/>
  <c r="P170" i="6"/>
  <c r="Q170" i="6"/>
  <c r="R170" i="6"/>
  <c r="S170" i="6"/>
  <c r="T170" i="6"/>
  <c r="U170" i="6"/>
  <c r="AJ170" i="6"/>
  <c r="AL170" i="6"/>
  <c r="AM170" i="6"/>
  <c r="AO170" i="6"/>
  <c r="AQ170" i="6"/>
  <c r="AS170" i="6"/>
  <c r="AT170" i="6"/>
  <c r="AU170" i="6"/>
  <c r="A171" i="6"/>
  <c r="B171" i="6"/>
  <c r="C171" i="6"/>
  <c r="E171" i="6"/>
  <c r="F171" i="6"/>
  <c r="H171" i="6"/>
  <c r="J171" i="6"/>
  <c r="K171" i="6"/>
  <c r="L171" i="6"/>
  <c r="N171" i="6"/>
  <c r="O171" i="6"/>
  <c r="P171" i="6"/>
  <c r="Q171" i="6"/>
  <c r="R171" i="6"/>
  <c r="S171" i="6"/>
  <c r="T171" i="6"/>
  <c r="U171" i="6"/>
  <c r="AJ171" i="6"/>
  <c r="AL171" i="6"/>
  <c r="AM171" i="6"/>
  <c r="AO171" i="6"/>
  <c r="AQ171" i="6"/>
  <c r="AS171" i="6"/>
  <c r="AT171" i="6"/>
  <c r="AU171" i="6"/>
  <c r="A172" i="6"/>
  <c r="B172" i="6"/>
  <c r="C172" i="6"/>
  <c r="E172" i="6"/>
  <c r="F172" i="6"/>
  <c r="H172" i="6"/>
  <c r="J172" i="6"/>
  <c r="K172" i="6"/>
  <c r="L172" i="6"/>
  <c r="N172" i="6"/>
  <c r="O172" i="6"/>
  <c r="P172" i="6"/>
  <c r="Q172" i="6"/>
  <c r="R172" i="6"/>
  <c r="S172" i="6"/>
  <c r="T172" i="6"/>
  <c r="U172" i="6"/>
  <c r="AJ172" i="6"/>
  <c r="AL172" i="6"/>
  <c r="AM172" i="6"/>
  <c r="AO172" i="6"/>
  <c r="AQ172" i="6"/>
  <c r="AS172" i="6"/>
  <c r="AT172" i="6"/>
  <c r="AU172" i="6"/>
  <c r="A173" i="6"/>
  <c r="B173" i="6"/>
  <c r="C173" i="6"/>
  <c r="E173" i="6"/>
  <c r="F173" i="6"/>
  <c r="H173" i="6"/>
  <c r="J173" i="6"/>
  <c r="K173" i="6"/>
  <c r="L173" i="6"/>
  <c r="N173" i="6"/>
  <c r="O173" i="6"/>
  <c r="P173" i="6"/>
  <c r="Q173" i="6"/>
  <c r="R173" i="6"/>
  <c r="S173" i="6"/>
  <c r="T173" i="6"/>
  <c r="U173" i="6"/>
  <c r="AJ173" i="6"/>
  <c r="AL173" i="6"/>
  <c r="AM173" i="6"/>
  <c r="AO173" i="6"/>
  <c r="AQ173" i="6"/>
  <c r="AS173" i="6"/>
  <c r="AT173" i="6"/>
  <c r="AU173" i="6"/>
  <c r="A174" i="6"/>
  <c r="B174" i="6"/>
  <c r="C174" i="6"/>
  <c r="E174" i="6"/>
  <c r="F174" i="6"/>
  <c r="H174" i="6"/>
  <c r="J174" i="6"/>
  <c r="K174" i="6"/>
  <c r="L174" i="6"/>
  <c r="N174" i="6"/>
  <c r="O174" i="6"/>
  <c r="P174" i="6"/>
  <c r="Q174" i="6"/>
  <c r="R174" i="6"/>
  <c r="S174" i="6"/>
  <c r="T174" i="6"/>
  <c r="U174" i="6"/>
  <c r="AJ174" i="6"/>
  <c r="AL174" i="6"/>
  <c r="AM174" i="6"/>
  <c r="AO174" i="6"/>
  <c r="AQ174" i="6"/>
  <c r="AS174" i="6"/>
  <c r="AT174" i="6"/>
  <c r="AU174" i="6"/>
  <c r="A175" i="6"/>
  <c r="B175" i="6"/>
  <c r="C175" i="6"/>
  <c r="E175" i="6"/>
  <c r="F175" i="6"/>
  <c r="H175" i="6"/>
  <c r="J175" i="6"/>
  <c r="K175" i="6"/>
  <c r="L175" i="6"/>
  <c r="N175" i="6"/>
  <c r="O175" i="6"/>
  <c r="P175" i="6"/>
  <c r="Q175" i="6"/>
  <c r="R175" i="6"/>
  <c r="S175" i="6"/>
  <c r="T175" i="6"/>
  <c r="U175" i="6"/>
  <c r="AJ175" i="6"/>
  <c r="AL175" i="6"/>
  <c r="AM175" i="6"/>
  <c r="AO175" i="6"/>
  <c r="AQ175" i="6"/>
  <c r="AS175" i="6"/>
  <c r="AT175" i="6"/>
  <c r="AU175" i="6"/>
  <c r="A176" i="6"/>
  <c r="B176" i="6"/>
  <c r="C176" i="6"/>
  <c r="E176" i="6"/>
  <c r="F176" i="6"/>
  <c r="H176" i="6"/>
  <c r="J176" i="6"/>
  <c r="K176" i="6"/>
  <c r="L176" i="6"/>
  <c r="N176" i="6"/>
  <c r="O176" i="6"/>
  <c r="P176" i="6"/>
  <c r="Q176" i="6"/>
  <c r="R176" i="6"/>
  <c r="S176" i="6"/>
  <c r="T176" i="6"/>
  <c r="U176" i="6"/>
  <c r="AJ176" i="6"/>
  <c r="AL176" i="6"/>
  <c r="AM176" i="6"/>
  <c r="AO176" i="6"/>
  <c r="AQ176" i="6"/>
  <c r="AS176" i="6"/>
  <c r="AT176" i="6"/>
  <c r="AU176" i="6"/>
  <c r="A177" i="6"/>
  <c r="B177" i="6"/>
  <c r="C177" i="6"/>
  <c r="E177" i="6"/>
  <c r="F177" i="6"/>
  <c r="H177" i="6"/>
  <c r="J177" i="6"/>
  <c r="K177" i="6"/>
  <c r="L177" i="6"/>
  <c r="N177" i="6"/>
  <c r="O177" i="6"/>
  <c r="P177" i="6"/>
  <c r="Q177" i="6"/>
  <c r="R177" i="6"/>
  <c r="S177" i="6"/>
  <c r="T177" i="6"/>
  <c r="U177" i="6"/>
  <c r="AJ177" i="6"/>
  <c r="AL177" i="6"/>
  <c r="AM177" i="6"/>
  <c r="AO177" i="6"/>
  <c r="AQ177" i="6"/>
  <c r="AS177" i="6"/>
  <c r="AT177" i="6"/>
  <c r="AU177" i="6"/>
  <c r="A178" i="6"/>
  <c r="B178" i="6"/>
  <c r="C178" i="6"/>
  <c r="E178" i="6"/>
  <c r="F178" i="6"/>
  <c r="H178" i="6"/>
  <c r="J178" i="6"/>
  <c r="K178" i="6"/>
  <c r="L178" i="6"/>
  <c r="N178" i="6"/>
  <c r="O178" i="6"/>
  <c r="P178" i="6"/>
  <c r="Q178" i="6"/>
  <c r="R178" i="6"/>
  <c r="S178" i="6"/>
  <c r="T178" i="6"/>
  <c r="U178" i="6"/>
  <c r="AJ178" i="6"/>
  <c r="AL178" i="6"/>
  <c r="AM178" i="6"/>
  <c r="AO178" i="6"/>
  <c r="AQ178" i="6"/>
  <c r="AS178" i="6"/>
  <c r="AT178" i="6"/>
  <c r="AU178" i="6"/>
  <c r="A179" i="6"/>
  <c r="B179" i="6"/>
  <c r="C179" i="6"/>
  <c r="E179" i="6"/>
  <c r="F179" i="6"/>
  <c r="H179" i="6"/>
  <c r="J179" i="6"/>
  <c r="K179" i="6"/>
  <c r="L179" i="6"/>
  <c r="N179" i="6"/>
  <c r="O179" i="6"/>
  <c r="P179" i="6"/>
  <c r="Q179" i="6"/>
  <c r="R179" i="6"/>
  <c r="S179" i="6"/>
  <c r="T179" i="6"/>
  <c r="U179" i="6"/>
  <c r="AJ179" i="6"/>
  <c r="AL179" i="6"/>
  <c r="AM179" i="6"/>
  <c r="AO179" i="6"/>
  <c r="AQ179" i="6"/>
  <c r="AS179" i="6"/>
  <c r="AT179" i="6"/>
  <c r="AU179" i="6"/>
  <c r="A180" i="6"/>
  <c r="B180" i="6"/>
  <c r="C180" i="6"/>
  <c r="E180" i="6"/>
  <c r="F180" i="6"/>
  <c r="H180" i="6"/>
  <c r="J180" i="6"/>
  <c r="K180" i="6"/>
  <c r="L180" i="6"/>
  <c r="N180" i="6"/>
  <c r="O180" i="6"/>
  <c r="P180" i="6"/>
  <c r="Q180" i="6"/>
  <c r="R180" i="6"/>
  <c r="S180" i="6"/>
  <c r="T180" i="6"/>
  <c r="U180" i="6"/>
  <c r="AJ180" i="6"/>
  <c r="AL180" i="6"/>
  <c r="AM180" i="6"/>
  <c r="AO180" i="6"/>
  <c r="AQ180" i="6"/>
  <c r="AS180" i="6"/>
  <c r="AT180" i="6"/>
  <c r="AU180" i="6"/>
  <c r="A181" i="6"/>
  <c r="B181" i="6"/>
  <c r="C181" i="6"/>
  <c r="E181" i="6"/>
  <c r="F181" i="6"/>
  <c r="H181" i="6"/>
  <c r="J181" i="6"/>
  <c r="K181" i="6"/>
  <c r="L181" i="6"/>
  <c r="N181" i="6"/>
  <c r="O181" i="6"/>
  <c r="P181" i="6"/>
  <c r="Q181" i="6"/>
  <c r="R181" i="6"/>
  <c r="S181" i="6"/>
  <c r="T181" i="6"/>
  <c r="U181" i="6"/>
  <c r="AJ181" i="6"/>
  <c r="AL181" i="6"/>
  <c r="AM181" i="6"/>
  <c r="AO181" i="6"/>
  <c r="AQ181" i="6"/>
  <c r="AS181" i="6"/>
  <c r="AT181" i="6"/>
  <c r="AU181" i="6"/>
  <c r="A182" i="6"/>
  <c r="B182" i="6"/>
  <c r="C182" i="6"/>
  <c r="E182" i="6"/>
  <c r="F182" i="6"/>
  <c r="H182" i="6"/>
  <c r="J182" i="6"/>
  <c r="K182" i="6"/>
  <c r="L182" i="6"/>
  <c r="N182" i="6"/>
  <c r="O182" i="6"/>
  <c r="P182" i="6"/>
  <c r="Q182" i="6"/>
  <c r="R182" i="6"/>
  <c r="S182" i="6"/>
  <c r="T182" i="6"/>
  <c r="U182" i="6"/>
  <c r="AJ182" i="6"/>
  <c r="AL182" i="6"/>
  <c r="AM182" i="6"/>
  <c r="AO182" i="6"/>
  <c r="AQ182" i="6"/>
  <c r="AS182" i="6"/>
  <c r="AT182" i="6"/>
  <c r="AU182" i="6"/>
  <c r="A183" i="6"/>
  <c r="B183" i="6"/>
  <c r="C183" i="6"/>
  <c r="E183" i="6"/>
  <c r="F183" i="6"/>
  <c r="H183" i="6"/>
  <c r="J183" i="6"/>
  <c r="K183" i="6"/>
  <c r="L183" i="6"/>
  <c r="N183" i="6"/>
  <c r="O183" i="6"/>
  <c r="P183" i="6"/>
  <c r="Q183" i="6"/>
  <c r="R183" i="6"/>
  <c r="S183" i="6"/>
  <c r="T183" i="6"/>
  <c r="U183" i="6"/>
  <c r="AJ183" i="6"/>
  <c r="AL183" i="6"/>
  <c r="AM183" i="6"/>
  <c r="AO183" i="6"/>
  <c r="AQ183" i="6"/>
  <c r="AS183" i="6"/>
  <c r="AT183" i="6"/>
  <c r="AU183" i="6"/>
  <c r="A184" i="6"/>
  <c r="B184" i="6"/>
  <c r="C184" i="6"/>
  <c r="E184" i="6"/>
  <c r="F184" i="6"/>
  <c r="H184" i="6"/>
  <c r="J184" i="6"/>
  <c r="K184" i="6"/>
  <c r="L184" i="6"/>
  <c r="N184" i="6"/>
  <c r="O184" i="6"/>
  <c r="P184" i="6"/>
  <c r="Q184" i="6"/>
  <c r="R184" i="6"/>
  <c r="S184" i="6"/>
  <c r="T184" i="6"/>
  <c r="U184" i="6"/>
  <c r="AJ184" i="6"/>
  <c r="AL184" i="6"/>
  <c r="AM184" i="6"/>
  <c r="AO184" i="6"/>
  <c r="AQ184" i="6"/>
  <c r="AS184" i="6"/>
  <c r="AT184" i="6"/>
  <c r="AU184" i="6"/>
  <c r="A185" i="6"/>
  <c r="B185" i="6"/>
  <c r="C185" i="6"/>
  <c r="E185" i="6"/>
  <c r="F185" i="6"/>
  <c r="H185" i="6"/>
  <c r="J185" i="6"/>
  <c r="K185" i="6"/>
  <c r="L185" i="6"/>
  <c r="N185" i="6"/>
  <c r="O185" i="6"/>
  <c r="P185" i="6"/>
  <c r="Q185" i="6"/>
  <c r="R185" i="6"/>
  <c r="S185" i="6"/>
  <c r="T185" i="6"/>
  <c r="U185" i="6"/>
  <c r="AJ185" i="6"/>
  <c r="AL185" i="6"/>
  <c r="AM185" i="6"/>
  <c r="AO185" i="6"/>
  <c r="AQ185" i="6"/>
  <c r="AS185" i="6"/>
  <c r="AT185" i="6"/>
  <c r="AU185" i="6"/>
  <c r="A186" i="6"/>
  <c r="B186" i="6"/>
  <c r="C186" i="6"/>
  <c r="E186" i="6"/>
  <c r="F186" i="6"/>
  <c r="H186" i="6"/>
  <c r="J186" i="6"/>
  <c r="K186" i="6"/>
  <c r="L186" i="6"/>
  <c r="N186" i="6"/>
  <c r="O186" i="6"/>
  <c r="P186" i="6"/>
  <c r="Q186" i="6"/>
  <c r="R186" i="6"/>
  <c r="S186" i="6"/>
  <c r="T186" i="6"/>
  <c r="U186" i="6"/>
  <c r="AJ186" i="6"/>
  <c r="AL186" i="6"/>
  <c r="AM186" i="6"/>
  <c r="AO186" i="6"/>
  <c r="AQ186" i="6"/>
  <c r="AS186" i="6"/>
  <c r="AT186" i="6"/>
  <c r="AU186" i="6"/>
  <c r="A187" i="6"/>
  <c r="B187" i="6"/>
  <c r="C187" i="6"/>
  <c r="E187" i="6"/>
  <c r="F187" i="6"/>
  <c r="H187" i="6"/>
  <c r="J187" i="6"/>
  <c r="K187" i="6"/>
  <c r="L187" i="6"/>
  <c r="N187" i="6"/>
  <c r="O187" i="6"/>
  <c r="P187" i="6"/>
  <c r="Q187" i="6"/>
  <c r="R187" i="6"/>
  <c r="S187" i="6"/>
  <c r="T187" i="6"/>
  <c r="U187" i="6"/>
  <c r="AJ187" i="6"/>
  <c r="AL187" i="6"/>
  <c r="AM187" i="6"/>
  <c r="AO187" i="6"/>
  <c r="AQ187" i="6"/>
  <c r="AS187" i="6"/>
  <c r="AT187" i="6"/>
  <c r="AU187" i="6"/>
  <c r="A188" i="6"/>
  <c r="B188" i="6"/>
  <c r="C188" i="6"/>
  <c r="E188" i="6"/>
  <c r="F188" i="6"/>
  <c r="H188" i="6"/>
  <c r="J188" i="6"/>
  <c r="K188" i="6"/>
  <c r="L188" i="6"/>
  <c r="N188" i="6"/>
  <c r="O188" i="6"/>
  <c r="P188" i="6"/>
  <c r="Q188" i="6"/>
  <c r="R188" i="6"/>
  <c r="S188" i="6"/>
  <c r="T188" i="6"/>
  <c r="U188" i="6"/>
  <c r="AJ188" i="6"/>
  <c r="AL188" i="6"/>
  <c r="AM188" i="6"/>
  <c r="AO188" i="6"/>
  <c r="AQ188" i="6"/>
  <c r="AS188" i="6"/>
  <c r="AT188" i="6"/>
  <c r="AU188" i="6"/>
  <c r="A189" i="6"/>
  <c r="B189" i="6"/>
  <c r="C189" i="6"/>
  <c r="E189" i="6"/>
  <c r="F189" i="6"/>
  <c r="H189" i="6"/>
  <c r="J189" i="6"/>
  <c r="K189" i="6"/>
  <c r="L189" i="6"/>
  <c r="N189" i="6"/>
  <c r="O189" i="6"/>
  <c r="P189" i="6"/>
  <c r="Q189" i="6"/>
  <c r="R189" i="6"/>
  <c r="S189" i="6"/>
  <c r="T189" i="6"/>
  <c r="U189" i="6"/>
  <c r="AJ189" i="6"/>
  <c r="AL189" i="6"/>
  <c r="AM189" i="6"/>
  <c r="AO189" i="6"/>
  <c r="AQ189" i="6"/>
  <c r="AS189" i="6"/>
  <c r="AT189" i="6"/>
  <c r="AU189" i="6"/>
  <c r="A190" i="6"/>
  <c r="B190" i="6"/>
  <c r="C190" i="6"/>
  <c r="E190" i="6"/>
  <c r="F190" i="6"/>
  <c r="H190" i="6"/>
  <c r="J190" i="6"/>
  <c r="K190" i="6"/>
  <c r="L190" i="6"/>
  <c r="N190" i="6"/>
  <c r="O190" i="6"/>
  <c r="P190" i="6"/>
  <c r="Q190" i="6"/>
  <c r="R190" i="6"/>
  <c r="S190" i="6"/>
  <c r="T190" i="6"/>
  <c r="U190" i="6"/>
  <c r="AJ190" i="6"/>
  <c r="AL190" i="6"/>
  <c r="AM190" i="6"/>
  <c r="AO190" i="6"/>
  <c r="AQ190" i="6"/>
  <c r="AS190" i="6"/>
  <c r="AT190" i="6"/>
  <c r="AU190" i="6"/>
  <c r="A191" i="6"/>
  <c r="B191" i="6"/>
  <c r="C191" i="6"/>
  <c r="E191" i="6"/>
  <c r="F191" i="6"/>
  <c r="H191" i="6"/>
  <c r="J191" i="6"/>
  <c r="K191" i="6"/>
  <c r="L191" i="6"/>
  <c r="N191" i="6"/>
  <c r="O191" i="6"/>
  <c r="P191" i="6"/>
  <c r="Q191" i="6"/>
  <c r="R191" i="6"/>
  <c r="S191" i="6"/>
  <c r="T191" i="6"/>
  <c r="U191" i="6"/>
  <c r="AJ191" i="6"/>
  <c r="AL191" i="6"/>
  <c r="AM191" i="6"/>
  <c r="AO191" i="6"/>
  <c r="AQ191" i="6"/>
  <c r="AS191" i="6"/>
  <c r="AT191" i="6"/>
  <c r="AU191" i="6"/>
  <c r="A192" i="6"/>
  <c r="B192" i="6"/>
  <c r="C192" i="6"/>
  <c r="E192" i="6"/>
  <c r="F192" i="6"/>
  <c r="H192" i="6"/>
  <c r="J192" i="6"/>
  <c r="K192" i="6"/>
  <c r="L192" i="6"/>
  <c r="N192" i="6"/>
  <c r="O192" i="6"/>
  <c r="P192" i="6"/>
  <c r="Q192" i="6"/>
  <c r="R192" i="6"/>
  <c r="S192" i="6"/>
  <c r="T192" i="6"/>
  <c r="U192" i="6"/>
  <c r="AJ192" i="6"/>
  <c r="AL192" i="6"/>
  <c r="AM192" i="6"/>
  <c r="AO192" i="6"/>
  <c r="AQ192" i="6"/>
  <c r="AS192" i="6"/>
  <c r="AT192" i="6"/>
  <c r="AU192" i="6"/>
  <c r="A193" i="6"/>
  <c r="B193" i="6"/>
  <c r="C193" i="6"/>
  <c r="E193" i="6"/>
  <c r="F193" i="6"/>
  <c r="H193" i="6"/>
  <c r="J193" i="6"/>
  <c r="K193" i="6"/>
  <c r="L193" i="6"/>
  <c r="N193" i="6"/>
  <c r="O193" i="6"/>
  <c r="P193" i="6"/>
  <c r="Q193" i="6"/>
  <c r="R193" i="6"/>
  <c r="S193" i="6"/>
  <c r="T193" i="6"/>
  <c r="U193" i="6"/>
  <c r="AJ193" i="6"/>
  <c r="AL193" i="6"/>
  <c r="AM193" i="6"/>
  <c r="AO193" i="6"/>
  <c r="AQ193" i="6"/>
  <c r="AS193" i="6"/>
  <c r="AT193" i="6"/>
  <c r="AU193" i="6"/>
  <c r="A194" i="6"/>
  <c r="B194" i="6"/>
  <c r="C194" i="6"/>
  <c r="E194" i="6"/>
  <c r="F194" i="6"/>
  <c r="H194" i="6"/>
  <c r="J194" i="6"/>
  <c r="K194" i="6"/>
  <c r="L194" i="6"/>
  <c r="N194" i="6"/>
  <c r="O194" i="6"/>
  <c r="P194" i="6"/>
  <c r="Q194" i="6"/>
  <c r="R194" i="6"/>
  <c r="S194" i="6"/>
  <c r="T194" i="6"/>
  <c r="U194" i="6"/>
  <c r="AJ194" i="6"/>
  <c r="AL194" i="6"/>
  <c r="AM194" i="6"/>
  <c r="AO194" i="6"/>
  <c r="AQ194" i="6"/>
  <c r="AS194" i="6"/>
  <c r="AT194" i="6"/>
  <c r="AU194" i="6"/>
  <c r="A195" i="6"/>
  <c r="B195" i="6"/>
  <c r="C195" i="6"/>
  <c r="E195" i="6"/>
  <c r="F195" i="6"/>
  <c r="H195" i="6"/>
  <c r="J195" i="6"/>
  <c r="K195" i="6"/>
  <c r="L195" i="6"/>
  <c r="N195" i="6"/>
  <c r="O195" i="6"/>
  <c r="P195" i="6"/>
  <c r="Q195" i="6"/>
  <c r="R195" i="6"/>
  <c r="S195" i="6"/>
  <c r="T195" i="6"/>
  <c r="U195" i="6"/>
  <c r="AJ195" i="6"/>
  <c r="AL195" i="6"/>
  <c r="AM195" i="6"/>
  <c r="AO195" i="6"/>
  <c r="AQ195" i="6"/>
  <c r="AS195" i="6"/>
  <c r="AT195" i="6"/>
  <c r="AU195" i="6"/>
  <c r="A196" i="6"/>
  <c r="B196" i="6"/>
  <c r="C196" i="6"/>
  <c r="E196" i="6"/>
  <c r="F196" i="6"/>
  <c r="H196" i="6"/>
  <c r="J196" i="6"/>
  <c r="K196" i="6"/>
  <c r="L196" i="6"/>
  <c r="N196" i="6"/>
  <c r="O196" i="6"/>
  <c r="P196" i="6"/>
  <c r="Q196" i="6"/>
  <c r="R196" i="6"/>
  <c r="S196" i="6"/>
  <c r="T196" i="6"/>
  <c r="U196" i="6"/>
  <c r="AJ196" i="6"/>
  <c r="AL196" i="6"/>
  <c r="AM196" i="6"/>
  <c r="AO196" i="6"/>
  <c r="AQ196" i="6"/>
  <c r="AS196" i="6"/>
  <c r="AT196" i="6"/>
  <c r="AU196" i="6"/>
  <c r="A197" i="6"/>
  <c r="B197" i="6"/>
  <c r="C197" i="6"/>
  <c r="E197" i="6"/>
  <c r="F197" i="6"/>
  <c r="H197" i="6"/>
  <c r="J197" i="6"/>
  <c r="K197" i="6"/>
  <c r="L197" i="6"/>
  <c r="N197" i="6"/>
  <c r="O197" i="6"/>
  <c r="P197" i="6"/>
  <c r="Q197" i="6"/>
  <c r="R197" i="6"/>
  <c r="S197" i="6"/>
  <c r="T197" i="6"/>
  <c r="U197" i="6"/>
  <c r="AJ197" i="6"/>
  <c r="AL197" i="6"/>
  <c r="AM197" i="6"/>
  <c r="AO197" i="6"/>
  <c r="AQ197" i="6"/>
  <c r="AS197" i="6"/>
  <c r="AT197" i="6"/>
  <c r="AU197" i="6"/>
  <c r="A198" i="6"/>
  <c r="B198" i="6"/>
  <c r="C198" i="6"/>
  <c r="E198" i="6"/>
  <c r="F198" i="6"/>
  <c r="H198" i="6"/>
  <c r="J198" i="6"/>
  <c r="K198" i="6"/>
  <c r="L198" i="6"/>
  <c r="N198" i="6"/>
  <c r="O198" i="6"/>
  <c r="P198" i="6"/>
  <c r="Q198" i="6"/>
  <c r="R198" i="6"/>
  <c r="S198" i="6"/>
  <c r="T198" i="6"/>
  <c r="U198" i="6"/>
  <c r="AJ198" i="6"/>
  <c r="AL198" i="6"/>
  <c r="AM198" i="6"/>
  <c r="AO198" i="6"/>
  <c r="AQ198" i="6"/>
  <c r="AS198" i="6"/>
  <c r="AT198" i="6"/>
  <c r="AU198" i="6"/>
  <c r="A199" i="6"/>
  <c r="B199" i="6"/>
  <c r="C199" i="6"/>
  <c r="E199" i="6"/>
  <c r="F199" i="6"/>
  <c r="H199" i="6"/>
  <c r="J199" i="6"/>
  <c r="K199" i="6"/>
  <c r="L199" i="6"/>
  <c r="N199" i="6"/>
  <c r="O199" i="6"/>
  <c r="P199" i="6"/>
  <c r="Q199" i="6"/>
  <c r="R199" i="6"/>
  <c r="S199" i="6"/>
  <c r="T199" i="6"/>
  <c r="U199" i="6"/>
  <c r="AJ199" i="6"/>
  <c r="AL199" i="6"/>
  <c r="AM199" i="6"/>
  <c r="AO199" i="6"/>
  <c r="AQ199" i="6"/>
  <c r="AS199" i="6"/>
  <c r="AT199" i="6"/>
  <c r="AU199" i="6"/>
  <c r="A200" i="6"/>
  <c r="B200" i="6"/>
  <c r="C200" i="6"/>
  <c r="E200" i="6"/>
  <c r="F200" i="6"/>
  <c r="H200" i="6"/>
  <c r="J200" i="6"/>
  <c r="K200" i="6"/>
  <c r="L200" i="6"/>
  <c r="N200" i="6"/>
  <c r="O200" i="6"/>
  <c r="P200" i="6"/>
  <c r="Q200" i="6"/>
  <c r="R200" i="6"/>
  <c r="S200" i="6"/>
  <c r="T200" i="6"/>
  <c r="U200" i="6"/>
  <c r="AJ200" i="6"/>
  <c r="AL200" i="6"/>
  <c r="AM200" i="6"/>
  <c r="AO200" i="6"/>
  <c r="AQ200" i="6"/>
  <c r="AS200" i="6"/>
  <c r="AT200" i="6"/>
  <c r="AU200" i="6"/>
  <c r="A201" i="6"/>
  <c r="B201" i="6"/>
  <c r="C201" i="6"/>
  <c r="E201" i="6"/>
  <c r="F201" i="6"/>
  <c r="H201" i="6"/>
  <c r="J201" i="6"/>
  <c r="K201" i="6"/>
  <c r="L201" i="6"/>
  <c r="N201" i="6"/>
  <c r="O201" i="6"/>
  <c r="P201" i="6"/>
  <c r="Q201" i="6"/>
  <c r="R201" i="6"/>
  <c r="S201" i="6"/>
  <c r="T201" i="6"/>
  <c r="U201" i="6"/>
  <c r="AJ201" i="6"/>
  <c r="AL201" i="6"/>
  <c r="AM201" i="6"/>
  <c r="AO201" i="6"/>
  <c r="AQ201" i="6"/>
  <c r="AS201" i="6"/>
  <c r="AT201" i="6"/>
  <c r="AU201" i="6"/>
  <c r="A202" i="6"/>
  <c r="B202" i="6"/>
  <c r="C202" i="6"/>
  <c r="E202" i="6"/>
  <c r="F202" i="6"/>
  <c r="H202" i="6"/>
  <c r="J202" i="6"/>
  <c r="K202" i="6"/>
  <c r="L202" i="6"/>
  <c r="N202" i="6"/>
  <c r="O202" i="6"/>
  <c r="P202" i="6"/>
  <c r="Q202" i="6"/>
  <c r="R202" i="6"/>
  <c r="S202" i="6"/>
  <c r="T202" i="6"/>
  <c r="U202" i="6"/>
  <c r="AJ202" i="6"/>
  <c r="AL202" i="6"/>
  <c r="AM202" i="6"/>
  <c r="AO202" i="6"/>
  <c r="AQ202" i="6"/>
  <c r="AS202" i="6"/>
  <c r="AT202" i="6"/>
  <c r="AU202" i="6"/>
  <c r="A203" i="6"/>
  <c r="B203" i="6"/>
  <c r="C203" i="6"/>
  <c r="E203" i="6"/>
  <c r="F203" i="6"/>
  <c r="H203" i="6"/>
  <c r="J203" i="6"/>
  <c r="K203" i="6"/>
  <c r="L203" i="6"/>
  <c r="N203" i="6"/>
  <c r="O203" i="6"/>
  <c r="P203" i="6"/>
  <c r="Q203" i="6"/>
  <c r="R203" i="6"/>
  <c r="S203" i="6"/>
  <c r="T203" i="6"/>
  <c r="U203" i="6"/>
  <c r="AJ203" i="6"/>
  <c r="AL203" i="6"/>
  <c r="AM203" i="6"/>
  <c r="AO203" i="6"/>
  <c r="AQ203" i="6"/>
  <c r="AS203" i="6"/>
  <c r="AT203" i="6"/>
  <c r="AU203" i="6"/>
  <c r="A204" i="6"/>
  <c r="B204" i="6"/>
  <c r="C204" i="6"/>
  <c r="E204" i="6"/>
  <c r="F204" i="6"/>
  <c r="H204" i="6"/>
  <c r="J204" i="6"/>
  <c r="K204" i="6"/>
  <c r="L204" i="6"/>
  <c r="N204" i="6"/>
  <c r="O204" i="6"/>
  <c r="P204" i="6"/>
  <c r="Q204" i="6"/>
  <c r="R204" i="6"/>
  <c r="S204" i="6"/>
  <c r="T204" i="6"/>
  <c r="U204" i="6"/>
  <c r="AJ204" i="6"/>
  <c r="AL204" i="6"/>
  <c r="AM204" i="6"/>
  <c r="AO204" i="6"/>
  <c r="AQ204" i="6"/>
  <c r="AS204" i="6"/>
  <c r="AT204" i="6"/>
  <c r="AU204" i="6"/>
  <c r="A205" i="6"/>
  <c r="B205" i="6"/>
  <c r="C205" i="6"/>
  <c r="E205" i="6"/>
  <c r="F205" i="6"/>
  <c r="H205" i="6"/>
  <c r="J205" i="6"/>
  <c r="K205" i="6"/>
  <c r="L205" i="6"/>
  <c r="N205" i="6"/>
  <c r="O205" i="6"/>
  <c r="P205" i="6"/>
  <c r="Q205" i="6"/>
  <c r="R205" i="6"/>
  <c r="S205" i="6"/>
  <c r="T205" i="6"/>
  <c r="U205" i="6"/>
  <c r="AJ205" i="6"/>
  <c r="AL205" i="6"/>
  <c r="AM205" i="6"/>
  <c r="AO205" i="6"/>
  <c r="AQ205" i="6"/>
  <c r="AS205" i="6"/>
  <c r="AT205" i="6"/>
  <c r="AU205" i="6"/>
  <c r="A206" i="6"/>
  <c r="B206" i="6"/>
  <c r="C206" i="6"/>
  <c r="E206" i="6"/>
  <c r="F206" i="6"/>
  <c r="H206" i="6"/>
  <c r="J206" i="6"/>
  <c r="K206" i="6"/>
  <c r="L206" i="6"/>
  <c r="N206" i="6"/>
  <c r="O206" i="6"/>
  <c r="P206" i="6"/>
  <c r="Q206" i="6"/>
  <c r="R206" i="6"/>
  <c r="S206" i="6"/>
  <c r="T206" i="6"/>
  <c r="U206" i="6"/>
  <c r="AJ206" i="6"/>
  <c r="AL206" i="6"/>
  <c r="AM206" i="6"/>
  <c r="AO206" i="6"/>
  <c r="AQ206" i="6"/>
  <c r="AS206" i="6"/>
  <c r="AT206" i="6"/>
  <c r="AU206" i="6"/>
  <c r="A207" i="6"/>
  <c r="B207" i="6"/>
  <c r="C207" i="6"/>
  <c r="E207" i="6"/>
  <c r="F207" i="6"/>
  <c r="H207" i="6"/>
  <c r="J207" i="6"/>
  <c r="K207" i="6"/>
  <c r="L207" i="6"/>
  <c r="N207" i="6"/>
  <c r="O207" i="6"/>
  <c r="P207" i="6"/>
  <c r="Q207" i="6"/>
  <c r="R207" i="6"/>
  <c r="S207" i="6"/>
  <c r="T207" i="6"/>
  <c r="U207" i="6"/>
  <c r="AJ207" i="6"/>
  <c r="AL207" i="6"/>
  <c r="AM207" i="6"/>
  <c r="AO207" i="6"/>
  <c r="AQ207" i="6"/>
  <c r="AS207" i="6"/>
  <c r="AT207" i="6"/>
  <c r="AU207" i="6"/>
  <c r="A208" i="6"/>
  <c r="B208" i="6"/>
  <c r="C208" i="6"/>
  <c r="E208" i="6"/>
  <c r="F208" i="6"/>
  <c r="H208" i="6"/>
  <c r="J208" i="6"/>
  <c r="K208" i="6"/>
  <c r="L208" i="6"/>
  <c r="N208" i="6"/>
  <c r="O208" i="6"/>
  <c r="P208" i="6"/>
  <c r="Q208" i="6"/>
  <c r="R208" i="6"/>
  <c r="S208" i="6"/>
  <c r="T208" i="6"/>
  <c r="U208" i="6"/>
  <c r="AJ208" i="6"/>
  <c r="AL208" i="6"/>
  <c r="AM208" i="6"/>
  <c r="AO208" i="6"/>
  <c r="AQ208" i="6"/>
  <c r="AS208" i="6"/>
  <c r="AT208" i="6"/>
  <c r="AU208" i="6"/>
  <c r="A209" i="6"/>
  <c r="B209" i="6"/>
  <c r="C209" i="6"/>
  <c r="E209" i="6"/>
  <c r="F209" i="6"/>
  <c r="H209" i="6"/>
  <c r="J209" i="6"/>
  <c r="K209" i="6"/>
  <c r="L209" i="6"/>
  <c r="N209" i="6"/>
  <c r="O209" i="6"/>
  <c r="P209" i="6"/>
  <c r="Q209" i="6"/>
  <c r="R209" i="6"/>
  <c r="S209" i="6"/>
  <c r="T209" i="6"/>
  <c r="U209" i="6"/>
  <c r="AJ209" i="6"/>
  <c r="AL209" i="6"/>
  <c r="AM209" i="6"/>
  <c r="AO209" i="6"/>
  <c r="AQ209" i="6"/>
  <c r="AS209" i="6"/>
  <c r="AT209" i="6"/>
  <c r="AU209" i="6"/>
  <c r="A210" i="6"/>
  <c r="B210" i="6"/>
  <c r="C210" i="6"/>
  <c r="E210" i="6"/>
  <c r="F210" i="6"/>
  <c r="H210" i="6"/>
  <c r="J210" i="6"/>
  <c r="K210" i="6"/>
  <c r="L210" i="6"/>
  <c r="N210" i="6"/>
  <c r="O210" i="6"/>
  <c r="P210" i="6"/>
  <c r="Q210" i="6"/>
  <c r="R210" i="6"/>
  <c r="S210" i="6"/>
  <c r="T210" i="6"/>
  <c r="U210" i="6"/>
  <c r="AJ210" i="6"/>
  <c r="AL210" i="6"/>
  <c r="AM210" i="6"/>
  <c r="AO210" i="6"/>
  <c r="AQ210" i="6"/>
  <c r="AS210" i="6"/>
  <c r="AT210" i="6"/>
  <c r="AU210" i="6"/>
  <c r="A211" i="6"/>
  <c r="B211" i="6"/>
  <c r="C211" i="6"/>
  <c r="E211" i="6"/>
  <c r="F211" i="6"/>
  <c r="H211" i="6"/>
  <c r="J211" i="6"/>
  <c r="K211" i="6"/>
  <c r="L211" i="6"/>
  <c r="N211" i="6"/>
  <c r="O211" i="6"/>
  <c r="P211" i="6"/>
  <c r="Q211" i="6"/>
  <c r="R211" i="6"/>
  <c r="S211" i="6"/>
  <c r="T211" i="6"/>
  <c r="U211" i="6"/>
  <c r="AJ211" i="6"/>
  <c r="AL211" i="6"/>
  <c r="AM211" i="6"/>
  <c r="AO211" i="6"/>
  <c r="AQ211" i="6"/>
  <c r="AS211" i="6"/>
  <c r="AT211" i="6"/>
  <c r="AU211" i="6"/>
  <c r="A212" i="6"/>
  <c r="B212" i="6"/>
  <c r="C212" i="6"/>
  <c r="E212" i="6"/>
  <c r="F212" i="6"/>
  <c r="H212" i="6"/>
  <c r="J212" i="6"/>
  <c r="K212" i="6"/>
  <c r="L212" i="6"/>
  <c r="N212" i="6"/>
  <c r="O212" i="6"/>
  <c r="P212" i="6"/>
  <c r="Q212" i="6"/>
  <c r="R212" i="6"/>
  <c r="S212" i="6"/>
  <c r="T212" i="6"/>
  <c r="U212" i="6"/>
  <c r="AJ212" i="6"/>
  <c r="AL212" i="6"/>
  <c r="AM212" i="6"/>
  <c r="AO212" i="6"/>
  <c r="AQ212" i="6"/>
  <c r="AS212" i="6"/>
  <c r="AT212" i="6"/>
  <c r="AU212" i="6"/>
  <c r="A213" i="6"/>
  <c r="B213" i="6"/>
  <c r="C213" i="6"/>
  <c r="E213" i="6"/>
  <c r="F213" i="6"/>
  <c r="H213" i="6"/>
  <c r="J213" i="6"/>
  <c r="K213" i="6"/>
  <c r="L213" i="6"/>
  <c r="N213" i="6"/>
  <c r="O213" i="6"/>
  <c r="P213" i="6"/>
  <c r="Q213" i="6"/>
  <c r="R213" i="6"/>
  <c r="S213" i="6"/>
  <c r="T213" i="6"/>
  <c r="U213" i="6"/>
  <c r="AJ213" i="6"/>
  <c r="AL213" i="6"/>
  <c r="AM213" i="6"/>
  <c r="AO213" i="6"/>
  <c r="AQ213" i="6"/>
  <c r="AS213" i="6"/>
  <c r="AT213" i="6"/>
  <c r="AU213" i="6"/>
  <c r="A214" i="6"/>
  <c r="B214" i="6"/>
  <c r="C214" i="6"/>
  <c r="E214" i="6"/>
  <c r="F214" i="6"/>
  <c r="H214" i="6"/>
  <c r="J214" i="6"/>
  <c r="K214" i="6"/>
  <c r="L214" i="6"/>
  <c r="N214" i="6"/>
  <c r="O214" i="6"/>
  <c r="P214" i="6"/>
  <c r="Q214" i="6"/>
  <c r="R214" i="6"/>
  <c r="S214" i="6"/>
  <c r="T214" i="6"/>
  <c r="U214" i="6"/>
  <c r="AJ214" i="6"/>
  <c r="AL214" i="6"/>
  <c r="AM214" i="6"/>
  <c r="AO214" i="6"/>
  <c r="AQ214" i="6"/>
  <c r="AS214" i="6"/>
  <c r="AT214" i="6"/>
  <c r="AU214" i="6"/>
  <c r="A215" i="6"/>
  <c r="B215" i="6"/>
  <c r="C215" i="6"/>
  <c r="E215" i="6"/>
  <c r="F215" i="6"/>
  <c r="H215" i="6"/>
  <c r="J215" i="6"/>
  <c r="K215" i="6"/>
  <c r="L215" i="6"/>
  <c r="N215" i="6"/>
  <c r="O215" i="6"/>
  <c r="P215" i="6"/>
  <c r="Q215" i="6"/>
  <c r="R215" i="6"/>
  <c r="S215" i="6"/>
  <c r="T215" i="6"/>
  <c r="U215" i="6"/>
  <c r="AJ215" i="6"/>
  <c r="AL215" i="6"/>
  <c r="AM215" i="6"/>
  <c r="AO215" i="6"/>
  <c r="AQ215" i="6"/>
  <c r="AS215" i="6"/>
  <c r="AT215" i="6"/>
  <c r="AU215" i="6"/>
  <c r="A216" i="6"/>
  <c r="B216" i="6"/>
  <c r="C216" i="6"/>
  <c r="E216" i="6"/>
  <c r="F216" i="6"/>
  <c r="H216" i="6"/>
  <c r="J216" i="6"/>
  <c r="K216" i="6"/>
  <c r="L216" i="6"/>
  <c r="N216" i="6"/>
  <c r="O216" i="6"/>
  <c r="P216" i="6"/>
  <c r="Q216" i="6"/>
  <c r="R216" i="6"/>
  <c r="S216" i="6"/>
  <c r="T216" i="6"/>
  <c r="U216" i="6"/>
  <c r="AJ216" i="6"/>
  <c r="AL216" i="6"/>
  <c r="AM216" i="6"/>
  <c r="AO216" i="6"/>
  <c r="AQ216" i="6"/>
  <c r="AS216" i="6"/>
  <c r="AT216" i="6"/>
  <c r="AU216" i="6"/>
  <c r="A217" i="6"/>
  <c r="B217" i="6"/>
  <c r="C217" i="6"/>
  <c r="E217" i="6"/>
  <c r="F217" i="6"/>
  <c r="H217" i="6"/>
  <c r="J217" i="6"/>
  <c r="K217" i="6"/>
  <c r="L217" i="6"/>
  <c r="N217" i="6"/>
  <c r="O217" i="6"/>
  <c r="P217" i="6"/>
  <c r="Q217" i="6"/>
  <c r="R217" i="6"/>
  <c r="S217" i="6"/>
  <c r="T217" i="6"/>
  <c r="U217" i="6"/>
  <c r="AJ217" i="6"/>
  <c r="AL217" i="6"/>
  <c r="AM217" i="6"/>
  <c r="AO217" i="6"/>
  <c r="AQ217" i="6"/>
  <c r="AS217" i="6"/>
  <c r="AT217" i="6"/>
  <c r="AU217" i="6"/>
  <c r="A218" i="6"/>
  <c r="B218" i="6"/>
  <c r="C218" i="6"/>
  <c r="E218" i="6"/>
  <c r="F218" i="6"/>
  <c r="H218" i="6"/>
  <c r="J218" i="6"/>
  <c r="K218" i="6"/>
  <c r="L218" i="6"/>
  <c r="N218" i="6"/>
  <c r="O218" i="6"/>
  <c r="P218" i="6"/>
  <c r="Q218" i="6"/>
  <c r="R218" i="6"/>
  <c r="S218" i="6"/>
  <c r="T218" i="6"/>
  <c r="U218" i="6"/>
  <c r="AJ218" i="6"/>
  <c r="AL218" i="6"/>
  <c r="AM218" i="6"/>
  <c r="AO218" i="6"/>
  <c r="AQ218" i="6"/>
  <c r="AS218" i="6"/>
  <c r="AT218" i="6"/>
  <c r="AU218" i="6"/>
  <c r="A219" i="6"/>
  <c r="B219" i="6"/>
  <c r="C219" i="6"/>
  <c r="E219" i="6"/>
  <c r="F219" i="6"/>
  <c r="H219" i="6"/>
  <c r="J219" i="6"/>
  <c r="K219" i="6"/>
  <c r="L219" i="6"/>
  <c r="N219" i="6"/>
  <c r="O219" i="6"/>
  <c r="P219" i="6"/>
  <c r="Q219" i="6"/>
  <c r="R219" i="6"/>
  <c r="S219" i="6"/>
  <c r="T219" i="6"/>
  <c r="U219" i="6"/>
  <c r="AJ219" i="6"/>
  <c r="AL219" i="6"/>
  <c r="AM219" i="6"/>
  <c r="AO219" i="6"/>
  <c r="AQ219" i="6"/>
  <c r="AS219" i="6"/>
  <c r="AT219" i="6"/>
  <c r="AU219" i="6"/>
  <c r="A220" i="6"/>
  <c r="B220" i="6"/>
  <c r="C220" i="6"/>
  <c r="E220" i="6"/>
  <c r="F220" i="6"/>
  <c r="H220" i="6"/>
  <c r="J220" i="6"/>
  <c r="K220" i="6"/>
  <c r="L220" i="6"/>
  <c r="N220" i="6"/>
  <c r="O220" i="6"/>
  <c r="P220" i="6"/>
  <c r="Q220" i="6"/>
  <c r="R220" i="6"/>
  <c r="S220" i="6"/>
  <c r="T220" i="6"/>
  <c r="U220" i="6"/>
  <c r="AJ220" i="6"/>
  <c r="AL220" i="6"/>
  <c r="AM220" i="6"/>
  <c r="AO220" i="6"/>
  <c r="AQ220" i="6"/>
  <c r="AS220" i="6"/>
  <c r="AT220" i="6"/>
  <c r="AU220" i="6"/>
  <c r="A221" i="6"/>
  <c r="B221" i="6"/>
  <c r="C221" i="6"/>
  <c r="E221" i="6"/>
  <c r="F221" i="6"/>
  <c r="H221" i="6"/>
  <c r="J221" i="6"/>
  <c r="K221" i="6"/>
  <c r="L221" i="6"/>
  <c r="N221" i="6"/>
  <c r="O221" i="6"/>
  <c r="P221" i="6"/>
  <c r="Q221" i="6"/>
  <c r="R221" i="6"/>
  <c r="S221" i="6"/>
  <c r="T221" i="6"/>
  <c r="U221" i="6"/>
  <c r="AJ221" i="6"/>
  <c r="AL221" i="6"/>
  <c r="AM221" i="6"/>
  <c r="AO221" i="6"/>
  <c r="AQ221" i="6"/>
  <c r="AS221" i="6"/>
  <c r="AT221" i="6"/>
  <c r="AU221" i="6"/>
  <c r="A222" i="6"/>
  <c r="B222" i="6"/>
  <c r="C222" i="6"/>
  <c r="E222" i="6"/>
  <c r="F222" i="6"/>
  <c r="H222" i="6"/>
  <c r="J222" i="6"/>
  <c r="K222" i="6"/>
  <c r="L222" i="6"/>
  <c r="N222" i="6"/>
  <c r="O222" i="6"/>
  <c r="P222" i="6"/>
  <c r="Q222" i="6"/>
  <c r="R222" i="6"/>
  <c r="S222" i="6"/>
  <c r="T222" i="6"/>
  <c r="U222" i="6"/>
  <c r="AJ222" i="6"/>
  <c r="AL222" i="6"/>
  <c r="AM222" i="6"/>
  <c r="AO222" i="6"/>
  <c r="AQ222" i="6"/>
  <c r="AS222" i="6"/>
  <c r="AT222" i="6"/>
  <c r="AU222" i="6"/>
  <c r="A223" i="6"/>
  <c r="B223" i="6"/>
  <c r="C223" i="6"/>
  <c r="E223" i="6"/>
  <c r="F223" i="6"/>
  <c r="H223" i="6"/>
  <c r="J223" i="6"/>
  <c r="K223" i="6"/>
  <c r="L223" i="6"/>
  <c r="N223" i="6"/>
  <c r="O223" i="6"/>
  <c r="P223" i="6"/>
  <c r="Q223" i="6"/>
  <c r="R223" i="6"/>
  <c r="S223" i="6"/>
  <c r="T223" i="6"/>
  <c r="U223" i="6"/>
  <c r="AJ223" i="6"/>
  <c r="AL223" i="6"/>
  <c r="AM223" i="6"/>
  <c r="AO223" i="6"/>
  <c r="AQ223" i="6"/>
  <c r="AS223" i="6"/>
  <c r="AT223" i="6"/>
  <c r="AU223" i="6"/>
  <c r="A224" i="6"/>
  <c r="B224" i="6"/>
  <c r="C224" i="6"/>
  <c r="E224" i="6"/>
  <c r="F224" i="6"/>
  <c r="H224" i="6"/>
  <c r="J224" i="6"/>
  <c r="K224" i="6"/>
  <c r="L224" i="6"/>
  <c r="N224" i="6"/>
  <c r="O224" i="6"/>
  <c r="P224" i="6"/>
  <c r="Q224" i="6"/>
  <c r="R224" i="6"/>
  <c r="S224" i="6"/>
  <c r="T224" i="6"/>
  <c r="U224" i="6"/>
  <c r="AJ224" i="6"/>
  <c r="AL224" i="6"/>
  <c r="AM224" i="6"/>
  <c r="AO224" i="6"/>
  <c r="AQ224" i="6"/>
  <c r="AS224" i="6"/>
  <c r="AT224" i="6"/>
  <c r="AU224" i="6"/>
  <c r="A225" i="6"/>
  <c r="B225" i="6"/>
  <c r="C225" i="6"/>
  <c r="E225" i="6"/>
  <c r="F225" i="6"/>
  <c r="H225" i="6"/>
  <c r="J225" i="6"/>
  <c r="K225" i="6"/>
  <c r="L225" i="6"/>
  <c r="N225" i="6"/>
  <c r="O225" i="6"/>
  <c r="P225" i="6"/>
  <c r="Q225" i="6"/>
  <c r="R225" i="6"/>
  <c r="S225" i="6"/>
  <c r="T225" i="6"/>
  <c r="U225" i="6"/>
  <c r="AJ225" i="6"/>
  <c r="AL225" i="6"/>
  <c r="AM225" i="6"/>
  <c r="AO225" i="6"/>
  <c r="AQ225" i="6"/>
  <c r="AS225" i="6"/>
  <c r="AT225" i="6"/>
  <c r="AU225" i="6"/>
  <c r="A226" i="6"/>
  <c r="B226" i="6"/>
  <c r="C226" i="6"/>
  <c r="E226" i="6"/>
  <c r="F226" i="6"/>
  <c r="H226" i="6"/>
  <c r="J226" i="6"/>
  <c r="K226" i="6"/>
  <c r="L226" i="6"/>
  <c r="N226" i="6"/>
  <c r="O226" i="6"/>
  <c r="P226" i="6"/>
  <c r="Q226" i="6"/>
  <c r="R226" i="6"/>
  <c r="S226" i="6"/>
  <c r="T226" i="6"/>
  <c r="U226" i="6"/>
  <c r="AJ226" i="6"/>
  <c r="AL226" i="6"/>
  <c r="AM226" i="6"/>
  <c r="AO226" i="6"/>
  <c r="AQ226" i="6"/>
  <c r="AS226" i="6"/>
  <c r="AT226" i="6"/>
  <c r="AU226" i="6"/>
  <c r="A227" i="6"/>
  <c r="B227" i="6"/>
  <c r="C227" i="6"/>
  <c r="E227" i="6"/>
  <c r="F227" i="6"/>
  <c r="H227" i="6"/>
  <c r="J227" i="6"/>
  <c r="K227" i="6"/>
  <c r="L227" i="6"/>
  <c r="N227" i="6"/>
  <c r="O227" i="6"/>
  <c r="P227" i="6"/>
  <c r="Q227" i="6"/>
  <c r="R227" i="6"/>
  <c r="S227" i="6"/>
  <c r="T227" i="6"/>
  <c r="U227" i="6"/>
  <c r="AJ227" i="6"/>
  <c r="AL227" i="6"/>
  <c r="AM227" i="6"/>
  <c r="AO227" i="6"/>
  <c r="AQ227" i="6"/>
  <c r="AS227" i="6"/>
  <c r="AT227" i="6"/>
  <c r="AU227" i="6"/>
  <c r="A228" i="6"/>
  <c r="B228" i="6"/>
  <c r="C228" i="6"/>
  <c r="E228" i="6"/>
  <c r="F228" i="6"/>
  <c r="H228" i="6"/>
  <c r="J228" i="6"/>
  <c r="K228" i="6"/>
  <c r="L228" i="6"/>
  <c r="N228" i="6"/>
  <c r="O228" i="6"/>
  <c r="P228" i="6"/>
  <c r="Q228" i="6"/>
  <c r="R228" i="6"/>
  <c r="S228" i="6"/>
  <c r="T228" i="6"/>
  <c r="U228" i="6"/>
  <c r="AJ228" i="6"/>
  <c r="AL228" i="6"/>
  <c r="AM228" i="6"/>
  <c r="AO228" i="6"/>
  <c r="AQ228" i="6"/>
  <c r="AS228" i="6"/>
  <c r="AT228" i="6"/>
  <c r="AU228" i="6"/>
  <c r="A229" i="6"/>
  <c r="B229" i="6"/>
  <c r="C229" i="6"/>
  <c r="E229" i="6"/>
  <c r="F229" i="6"/>
  <c r="H229" i="6"/>
  <c r="J229" i="6"/>
  <c r="K229" i="6"/>
  <c r="L229" i="6"/>
  <c r="N229" i="6"/>
  <c r="O229" i="6"/>
  <c r="P229" i="6"/>
  <c r="Q229" i="6"/>
  <c r="R229" i="6"/>
  <c r="S229" i="6"/>
  <c r="T229" i="6"/>
  <c r="U229" i="6"/>
  <c r="AJ229" i="6"/>
  <c r="AL229" i="6"/>
  <c r="AM229" i="6"/>
  <c r="AO229" i="6"/>
  <c r="AQ229" i="6"/>
  <c r="AS229" i="6"/>
  <c r="AT229" i="6"/>
  <c r="AU229" i="6"/>
  <c r="A230" i="6"/>
  <c r="B230" i="6"/>
  <c r="C230" i="6"/>
  <c r="E230" i="6"/>
  <c r="F230" i="6"/>
  <c r="H230" i="6"/>
  <c r="J230" i="6"/>
  <c r="K230" i="6"/>
  <c r="L230" i="6"/>
  <c r="N230" i="6"/>
  <c r="O230" i="6"/>
  <c r="P230" i="6"/>
  <c r="Q230" i="6"/>
  <c r="R230" i="6"/>
  <c r="S230" i="6"/>
  <c r="T230" i="6"/>
  <c r="U230" i="6"/>
  <c r="AJ230" i="6"/>
  <c r="AL230" i="6"/>
  <c r="AM230" i="6"/>
  <c r="AO230" i="6"/>
  <c r="AQ230" i="6"/>
  <c r="AS230" i="6"/>
  <c r="AT230" i="6"/>
  <c r="AU230" i="6"/>
  <c r="A231" i="6"/>
  <c r="B231" i="6"/>
  <c r="C231" i="6"/>
  <c r="E231" i="6"/>
  <c r="F231" i="6"/>
  <c r="H231" i="6"/>
  <c r="J231" i="6"/>
  <c r="K231" i="6"/>
  <c r="L231" i="6"/>
  <c r="N231" i="6"/>
  <c r="O231" i="6"/>
  <c r="P231" i="6"/>
  <c r="Q231" i="6"/>
  <c r="R231" i="6"/>
  <c r="S231" i="6"/>
  <c r="T231" i="6"/>
  <c r="U231" i="6"/>
  <c r="AJ231" i="6"/>
  <c r="AL231" i="6"/>
  <c r="AM231" i="6"/>
  <c r="AO231" i="6"/>
  <c r="AQ231" i="6"/>
  <c r="AS231" i="6"/>
  <c r="AT231" i="6"/>
  <c r="AU231" i="6"/>
  <c r="A232" i="6"/>
  <c r="B232" i="6"/>
  <c r="C232" i="6"/>
  <c r="E232" i="6"/>
  <c r="F232" i="6"/>
  <c r="H232" i="6"/>
  <c r="J232" i="6"/>
  <c r="K232" i="6"/>
  <c r="L232" i="6"/>
  <c r="N232" i="6"/>
  <c r="O232" i="6"/>
  <c r="P232" i="6"/>
  <c r="Q232" i="6"/>
  <c r="R232" i="6"/>
  <c r="S232" i="6"/>
  <c r="T232" i="6"/>
  <c r="U232" i="6"/>
  <c r="AJ232" i="6"/>
  <c r="AL232" i="6"/>
  <c r="AM232" i="6"/>
  <c r="AO232" i="6"/>
  <c r="AQ232" i="6"/>
  <c r="AS232" i="6"/>
  <c r="AT232" i="6"/>
  <c r="AU232" i="6"/>
  <c r="A233" i="6"/>
  <c r="B233" i="6"/>
  <c r="C233" i="6"/>
  <c r="E233" i="6"/>
  <c r="F233" i="6"/>
  <c r="H233" i="6"/>
  <c r="J233" i="6"/>
  <c r="K233" i="6"/>
  <c r="L233" i="6"/>
  <c r="N233" i="6"/>
  <c r="O233" i="6"/>
  <c r="P233" i="6"/>
  <c r="Q233" i="6"/>
  <c r="R233" i="6"/>
  <c r="S233" i="6"/>
  <c r="T233" i="6"/>
  <c r="U233" i="6"/>
  <c r="AJ233" i="6"/>
  <c r="AL233" i="6"/>
  <c r="AM233" i="6"/>
  <c r="AO233" i="6"/>
  <c r="AQ233" i="6"/>
  <c r="AS233" i="6"/>
  <c r="AT233" i="6"/>
  <c r="AU233" i="6"/>
  <c r="A234" i="6"/>
  <c r="B234" i="6"/>
  <c r="C234" i="6"/>
  <c r="E234" i="6"/>
  <c r="F234" i="6"/>
  <c r="H234" i="6"/>
  <c r="J234" i="6"/>
  <c r="K234" i="6"/>
  <c r="L234" i="6"/>
  <c r="N234" i="6"/>
  <c r="O234" i="6"/>
  <c r="P234" i="6"/>
  <c r="Q234" i="6"/>
  <c r="R234" i="6"/>
  <c r="S234" i="6"/>
  <c r="T234" i="6"/>
  <c r="U234" i="6"/>
  <c r="AJ234" i="6"/>
  <c r="AL234" i="6"/>
  <c r="AM234" i="6"/>
  <c r="AO234" i="6"/>
  <c r="AQ234" i="6"/>
  <c r="AS234" i="6"/>
  <c r="AT234" i="6"/>
  <c r="AU234" i="6"/>
  <c r="A235" i="6"/>
  <c r="B235" i="6"/>
  <c r="C235" i="6"/>
  <c r="E235" i="6"/>
  <c r="F235" i="6"/>
  <c r="H235" i="6"/>
  <c r="J235" i="6"/>
  <c r="K235" i="6"/>
  <c r="L235" i="6"/>
  <c r="N235" i="6"/>
  <c r="O235" i="6"/>
  <c r="P235" i="6"/>
  <c r="Q235" i="6"/>
  <c r="R235" i="6"/>
  <c r="S235" i="6"/>
  <c r="T235" i="6"/>
  <c r="U235" i="6"/>
  <c r="AJ235" i="6"/>
  <c r="AL235" i="6"/>
  <c r="AM235" i="6"/>
  <c r="AO235" i="6"/>
  <c r="AQ235" i="6"/>
  <c r="AS235" i="6"/>
  <c r="AT235" i="6"/>
  <c r="AU235" i="6"/>
  <c r="A236" i="6"/>
  <c r="B236" i="6"/>
  <c r="C236" i="6"/>
  <c r="E236" i="6"/>
  <c r="F236" i="6"/>
  <c r="H236" i="6"/>
  <c r="J236" i="6"/>
  <c r="K236" i="6"/>
  <c r="L236" i="6"/>
  <c r="N236" i="6"/>
  <c r="O236" i="6"/>
  <c r="P236" i="6"/>
  <c r="Q236" i="6"/>
  <c r="R236" i="6"/>
  <c r="S236" i="6"/>
  <c r="T236" i="6"/>
  <c r="U236" i="6"/>
  <c r="AJ236" i="6"/>
  <c r="AL236" i="6"/>
  <c r="AM236" i="6"/>
  <c r="AO236" i="6"/>
  <c r="AQ236" i="6"/>
  <c r="AS236" i="6"/>
  <c r="AT236" i="6"/>
  <c r="AU236" i="6"/>
  <c r="A237" i="6"/>
  <c r="B237" i="6"/>
  <c r="C237" i="6"/>
  <c r="E237" i="6"/>
  <c r="F237" i="6"/>
  <c r="H237" i="6"/>
  <c r="J237" i="6"/>
  <c r="K237" i="6"/>
  <c r="L237" i="6"/>
  <c r="N237" i="6"/>
  <c r="O237" i="6"/>
  <c r="P237" i="6"/>
  <c r="Q237" i="6"/>
  <c r="R237" i="6"/>
  <c r="S237" i="6"/>
  <c r="T237" i="6"/>
  <c r="U237" i="6"/>
  <c r="AJ237" i="6"/>
  <c r="AL237" i="6"/>
  <c r="AM237" i="6"/>
  <c r="AO237" i="6"/>
  <c r="AQ237" i="6"/>
  <c r="AS237" i="6"/>
  <c r="AT237" i="6"/>
  <c r="AU237" i="6"/>
  <c r="A238" i="6"/>
  <c r="B238" i="6"/>
  <c r="C238" i="6"/>
  <c r="E238" i="6"/>
  <c r="F238" i="6"/>
  <c r="H238" i="6"/>
  <c r="J238" i="6"/>
  <c r="K238" i="6"/>
  <c r="L238" i="6"/>
  <c r="N238" i="6"/>
  <c r="O238" i="6"/>
  <c r="P238" i="6"/>
  <c r="Q238" i="6"/>
  <c r="R238" i="6"/>
  <c r="S238" i="6"/>
  <c r="T238" i="6"/>
  <c r="U238" i="6"/>
  <c r="AJ238" i="6"/>
  <c r="AL238" i="6"/>
  <c r="AM238" i="6"/>
  <c r="AO238" i="6"/>
  <c r="AQ238" i="6"/>
  <c r="AS238" i="6"/>
  <c r="AT238" i="6"/>
  <c r="AU238" i="6"/>
  <c r="A239" i="6"/>
  <c r="B239" i="6"/>
  <c r="C239" i="6"/>
  <c r="E239" i="6"/>
  <c r="F239" i="6"/>
  <c r="H239" i="6"/>
  <c r="J239" i="6"/>
  <c r="K239" i="6"/>
  <c r="L239" i="6"/>
  <c r="N239" i="6"/>
  <c r="O239" i="6"/>
  <c r="P239" i="6"/>
  <c r="Q239" i="6"/>
  <c r="R239" i="6"/>
  <c r="S239" i="6"/>
  <c r="T239" i="6"/>
  <c r="U239" i="6"/>
  <c r="AJ239" i="6"/>
  <c r="AL239" i="6"/>
  <c r="AM239" i="6"/>
  <c r="AO239" i="6"/>
  <c r="AQ239" i="6"/>
  <c r="AS239" i="6"/>
  <c r="AT239" i="6"/>
  <c r="AU239" i="6"/>
  <c r="A240" i="6"/>
  <c r="B240" i="6"/>
  <c r="C240" i="6"/>
  <c r="E240" i="6"/>
  <c r="F240" i="6"/>
  <c r="H240" i="6"/>
  <c r="J240" i="6"/>
  <c r="K240" i="6"/>
  <c r="L240" i="6"/>
  <c r="N240" i="6"/>
  <c r="O240" i="6"/>
  <c r="P240" i="6"/>
  <c r="Q240" i="6"/>
  <c r="R240" i="6"/>
  <c r="S240" i="6"/>
  <c r="T240" i="6"/>
  <c r="U240" i="6"/>
  <c r="AJ240" i="6"/>
  <c r="AL240" i="6"/>
  <c r="AM240" i="6"/>
  <c r="AO240" i="6"/>
  <c r="AQ240" i="6"/>
  <c r="AS240" i="6"/>
  <c r="AT240" i="6"/>
  <c r="AU240" i="6"/>
  <c r="A241" i="6"/>
  <c r="B241" i="6"/>
  <c r="C241" i="6"/>
  <c r="E241" i="6"/>
  <c r="F241" i="6"/>
  <c r="H241" i="6"/>
  <c r="J241" i="6"/>
  <c r="K241" i="6"/>
  <c r="L241" i="6"/>
  <c r="N241" i="6"/>
  <c r="O241" i="6"/>
  <c r="P241" i="6"/>
  <c r="Q241" i="6"/>
  <c r="R241" i="6"/>
  <c r="S241" i="6"/>
  <c r="T241" i="6"/>
  <c r="U241" i="6"/>
  <c r="AJ241" i="6"/>
  <c r="AL241" i="6"/>
  <c r="AM241" i="6"/>
  <c r="AO241" i="6"/>
  <c r="AQ241" i="6"/>
  <c r="AS241" i="6"/>
  <c r="AT241" i="6"/>
  <c r="AU241" i="6"/>
  <c r="A242" i="6"/>
  <c r="B242" i="6"/>
  <c r="C242" i="6"/>
  <c r="E242" i="6"/>
  <c r="F242" i="6"/>
  <c r="H242" i="6"/>
  <c r="J242" i="6"/>
  <c r="K242" i="6"/>
  <c r="L242" i="6"/>
  <c r="N242" i="6"/>
  <c r="O242" i="6"/>
  <c r="P242" i="6"/>
  <c r="Q242" i="6"/>
  <c r="R242" i="6"/>
  <c r="S242" i="6"/>
  <c r="T242" i="6"/>
  <c r="U242" i="6"/>
  <c r="AJ242" i="6"/>
  <c r="AL242" i="6"/>
  <c r="AM242" i="6"/>
  <c r="AO242" i="6"/>
  <c r="AQ242" i="6"/>
  <c r="AS242" i="6"/>
  <c r="AT242" i="6"/>
  <c r="AU242" i="6"/>
  <c r="A243" i="6"/>
  <c r="B243" i="6"/>
  <c r="C243" i="6"/>
  <c r="E243" i="6"/>
  <c r="F243" i="6"/>
  <c r="H243" i="6"/>
  <c r="J243" i="6"/>
  <c r="K243" i="6"/>
  <c r="L243" i="6"/>
  <c r="N243" i="6"/>
  <c r="O243" i="6"/>
  <c r="P243" i="6"/>
  <c r="Q243" i="6"/>
  <c r="R243" i="6"/>
  <c r="S243" i="6"/>
  <c r="T243" i="6"/>
  <c r="U243" i="6"/>
  <c r="AJ243" i="6"/>
  <c r="AL243" i="6"/>
  <c r="AM243" i="6"/>
  <c r="AO243" i="6"/>
  <c r="AQ243" i="6"/>
  <c r="AS243" i="6"/>
  <c r="AT243" i="6"/>
  <c r="AU243" i="6"/>
  <c r="A244" i="6"/>
  <c r="B244" i="6"/>
  <c r="C244" i="6"/>
  <c r="E244" i="6"/>
  <c r="F244" i="6"/>
  <c r="H244" i="6"/>
  <c r="J244" i="6"/>
  <c r="K244" i="6"/>
  <c r="L244" i="6"/>
  <c r="N244" i="6"/>
  <c r="O244" i="6"/>
  <c r="P244" i="6"/>
  <c r="Q244" i="6"/>
  <c r="R244" i="6"/>
  <c r="S244" i="6"/>
  <c r="T244" i="6"/>
  <c r="U244" i="6"/>
  <c r="AJ244" i="6"/>
  <c r="AL244" i="6"/>
  <c r="AM244" i="6"/>
  <c r="AO244" i="6"/>
  <c r="AQ244" i="6"/>
  <c r="AS244" i="6"/>
  <c r="AT244" i="6"/>
  <c r="AU244" i="6"/>
  <c r="A245" i="6"/>
  <c r="B245" i="6"/>
  <c r="C245" i="6"/>
  <c r="E245" i="6"/>
  <c r="F245" i="6"/>
  <c r="H245" i="6"/>
  <c r="J245" i="6"/>
  <c r="K245" i="6"/>
  <c r="L245" i="6"/>
  <c r="N245" i="6"/>
  <c r="O245" i="6"/>
  <c r="P245" i="6"/>
  <c r="Q245" i="6"/>
  <c r="R245" i="6"/>
  <c r="S245" i="6"/>
  <c r="T245" i="6"/>
  <c r="U245" i="6"/>
  <c r="AJ245" i="6"/>
  <c r="AL245" i="6"/>
  <c r="AM245" i="6"/>
  <c r="AO245" i="6"/>
  <c r="AQ245" i="6"/>
  <c r="AS245" i="6"/>
  <c r="AT245" i="6"/>
  <c r="AU245" i="6"/>
  <c r="A246" i="6"/>
  <c r="B246" i="6"/>
  <c r="C246" i="6"/>
  <c r="E246" i="6"/>
  <c r="F246" i="6"/>
  <c r="H246" i="6"/>
  <c r="J246" i="6"/>
  <c r="K246" i="6"/>
  <c r="L246" i="6"/>
  <c r="N246" i="6"/>
  <c r="O246" i="6"/>
  <c r="P246" i="6"/>
  <c r="Q246" i="6"/>
  <c r="R246" i="6"/>
  <c r="S246" i="6"/>
  <c r="T246" i="6"/>
  <c r="U246" i="6"/>
  <c r="AJ246" i="6"/>
  <c r="AL246" i="6"/>
  <c r="AM246" i="6"/>
  <c r="AO246" i="6"/>
  <c r="AQ246" i="6"/>
  <c r="AS246" i="6"/>
  <c r="AT246" i="6"/>
  <c r="AU246" i="6"/>
  <c r="A247" i="6"/>
  <c r="B247" i="6"/>
  <c r="C247" i="6"/>
  <c r="E247" i="6"/>
  <c r="F247" i="6"/>
  <c r="H247" i="6"/>
  <c r="J247" i="6"/>
  <c r="K247" i="6"/>
  <c r="L247" i="6"/>
  <c r="N247" i="6"/>
  <c r="O247" i="6"/>
  <c r="P247" i="6"/>
  <c r="Q247" i="6"/>
  <c r="R247" i="6"/>
  <c r="S247" i="6"/>
  <c r="T247" i="6"/>
  <c r="U247" i="6"/>
  <c r="AJ247" i="6"/>
  <c r="AL247" i="6"/>
  <c r="AM247" i="6"/>
  <c r="AO247" i="6"/>
  <c r="AQ247" i="6"/>
  <c r="AS247" i="6"/>
  <c r="AT247" i="6"/>
  <c r="AU247" i="6"/>
  <c r="A248" i="6"/>
  <c r="B248" i="6"/>
  <c r="C248" i="6"/>
  <c r="E248" i="6"/>
  <c r="F248" i="6"/>
  <c r="H248" i="6"/>
  <c r="J248" i="6"/>
  <c r="K248" i="6"/>
  <c r="L248" i="6"/>
  <c r="N248" i="6"/>
  <c r="O248" i="6"/>
  <c r="P248" i="6"/>
  <c r="Q248" i="6"/>
  <c r="R248" i="6"/>
  <c r="S248" i="6"/>
  <c r="T248" i="6"/>
  <c r="U248" i="6"/>
  <c r="AJ248" i="6"/>
  <c r="AL248" i="6"/>
  <c r="AM248" i="6"/>
  <c r="AO248" i="6"/>
  <c r="AQ248" i="6"/>
  <c r="AS248" i="6"/>
  <c r="AT248" i="6"/>
  <c r="AU248" i="6"/>
  <c r="A249" i="6"/>
  <c r="B249" i="6"/>
  <c r="C249" i="6"/>
  <c r="E249" i="6"/>
  <c r="F249" i="6"/>
  <c r="H249" i="6"/>
  <c r="J249" i="6"/>
  <c r="K249" i="6"/>
  <c r="L249" i="6"/>
  <c r="N249" i="6"/>
  <c r="O249" i="6"/>
  <c r="P249" i="6"/>
  <c r="Q249" i="6"/>
  <c r="R249" i="6"/>
  <c r="S249" i="6"/>
  <c r="T249" i="6"/>
  <c r="U249" i="6"/>
  <c r="AJ249" i="6"/>
  <c r="AL249" i="6"/>
  <c r="AM249" i="6"/>
  <c r="AO249" i="6"/>
  <c r="AQ249" i="6"/>
  <c r="AS249" i="6"/>
  <c r="AT249" i="6"/>
  <c r="AU249" i="6"/>
  <c r="A250" i="6"/>
  <c r="B250" i="6"/>
  <c r="C250" i="6"/>
  <c r="E250" i="6"/>
  <c r="F250" i="6"/>
  <c r="H250" i="6"/>
  <c r="J250" i="6"/>
  <c r="K250" i="6"/>
  <c r="L250" i="6"/>
  <c r="N250" i="6"/>
  <c r="O250" i="6"/>
  <c r="P250" i="6"/>
  <c r="Q250" i="6"/>
  <c r="R250" i="6"/>
  <c r="S250" i="6"/>
  <c r="T250" i="6"/>
  <c r="U250" i="6"/>
  <c r="AJ250" i="6"/>
  <c r="AL250" i="6"/>
  <c r="AM250" i="6"/>
  <c r="AO250" i="6"/>
  <c r="AQ250" i="6"/>
  <c r="AS250" i="6"/>
  <c r="AT250" i="6"/>
  <c r="AU250" i="6"/>
  <c r="A251" i="6"/>
  <c r="B251" i="6"/>
  <c r="C251" i="6"/>
  <c r="E251" i="6"/>
  <c r="F251" i="6"/>
  <c r="H251" i="6"/>
  <c r="J251" i="6"/>
  <c r="K251" i="6"/>
  <c r="L251" i="6"/>
  <c r="N251" i="6"/>
  <c r="O251" i="6"/>
  <c r="P251" i="6"/>
  <c r="Q251" i="6"/>
  <c r="R251" i="6"/>
  <c r="S251" i="6"/>
  <c r="T251" i="6"/>
  <c r="U251" i="6"/>
  <c r="AJ251" i="6"/>
  <c r="AL251" i="6"/>
  <c r="AM251" i="6"/>
  <c r="AO251" i="6"/>
  <c r="AQ251" i="6"/>
  <c r="AS251" i="6"/>
  <c r="AT251" i="6"/>
  <c r="AU251" i="6"/>
  <c r="A252" i="6"/>
  <c r="B252" i="6"/>
  <c r="C252" i="6"/>
  <c r="E252" i="6"/>
  <c r="F252" i="6"/>
  <c r="H252" i="6"/>
  <c r="J252" i="6"/>
  <c r="K252" i="6"/>
  <c r="L252" i="6"/>
  <c r="N252" i="6"/>
  <c r="O252" i="6"/>
  <c r="P252" i="6"/>
  <c r="Q252" i="6"/>
  <c r="R252" i="6"/>
  <c r="S252" i="6"/>
  <c r="T252" i="6"/>
  <c r="U252" i="6"/>
  <c r="AJ252" i="6"/>
  <c r="AL252" i="6"/>
  <c r="AM252" i="6"/>
  <c r="AO252" i="6"/>
  <c r="AQ252" i="6"/>
  <c r="AS252" i="6"/>
  <c r="AT252" i="6"/>
  <c r="AU252" i="6"/>
  <c r="A253" i="6"/>
  <c r="B253" i="6"/>
  <c r="C253" i="6"/>
  <c r="E253" i="6"/>
  <c r="F253" i="6"/>
  <c r="H253" i="6"/>
  <c r="J253" i="6"/>
  <c r="K253" i="6"/>
  <c r="L253" i="6"/>
  <c r="N253" i="6"/>
  <c r="O253" i="6"/>
  <c r="P253" i="6"/>
  <c r="Q253" i="6"/>
  <c r="R253" i="6"/>
  <c r="S253" i="6"/>
  <c r="T253" i="6"/>
  <c r="U253" i="6"/>
  <c r="AJ253" i="6"/>
  <c r="AL253" i="6"/>
  <c r="AM253" i="6"/>
  <c r="AO253" i="6"/>
  <c r="AQ253" i="6"/>
  <c r="AS253" i="6"/>
  <c r="AT253" i="6"/>
  <c r="AU253" i="6"/>
  <c r="A254" i="6"/>
  <c r="B254" i="6"/>
  <c r="C254" i="6"/>
  <c r="E254" i="6"/>
  <c r="F254" i="6"/>
  <c r="H254" i="6"/>
  <c r="J254" i="6"/>
  <c r="K254" i="6"/>
  <c r="L254" i="6"/>
  <c r="N254" i="6"/>
  <c r="O254" i="6"/>
  <c r="P254" i="6"/>
  <c r="Q254" i="6"/>
  <c r="R254" i="6"/>
  <c r="S254" i="6"/>
  <c r="T254" i="6"/>
  <c r="U254" i="6"/>
  <c r="AJ254" i="6"/>
  <c r="AL254" i="6"/>
  <c r="AM254" i="6"/>
  <c r="AO254" i="6"/>
  <c r="AQ254" i="6"/>
  <c r="AS254" i="6"/>
  <c r="AT254" i="6"/>
  <c r="AU254" i="6"/>
  <c r="A255" i="6"/>
  <c r="B255" i="6"/>
  <c r="C255" i="6"/>
  <c r="E255" i="6"/>
  <c r="F255" i="6"/>
  <c r="H255" i="6"/>
  <c r="J255" i="6"/>
  <c r="K255" i="6"/>
  <c r="L255" i="6"/>
  <c r="N255" i="6"/>
  <c r="O255" i="6"/>
  <c r="P255" i="6"/>
  <c r="Q255" i="6"/>
  <c r="R255" i="6"/>
  <c r="S255" i="6"/>
  <c r="T255" i="6"/>
  <c r="U255" i="6"/>
  <c r="AJ255" i="6"/>
  <c r="AL255" i="6"/>
  <c r="AM255" i="6"/>
  <c r="AO255" i="6"/>
  <c r="AQ255" i="6"/>
  <c r="AS255" i="6"/>
  <c r="AT255" i="6"/>
  <c r="AU255" i="6"/>
  <c r="A256" i="6"/>
  <c r="B256" i="6"/>
  <c r="C256" i="6"/>
  <c r="E256" i="6"/>
  <c r="F256" i="6"/>
  <c r="H256" i="6"/>
  <c r="J256" i="6"/>
  <c r="K256" i="6"/>
  <c r="L256" i="6"/>
  <c r="N256" i="6"/>
  <c r="O256" i="6"/>
  <c r="P256" i="6"/>
  <c r="Q256" i="6"/>
  <c r="R256" i="6"/>
  <c r="S256" i="6"/>
  <c r="T256" i="6"/>
  <c r="U256" i="6"/>
  <c r="AJ256" i="6"/>
  <c r="AL256" i="6"/>
  <c r="AM256" i="6"/>
  <c r="AO256" i="6"/>
  <c r="AQ256" i="6"/>
  <c r="AS256" i="6"/>
  <c r="AT256" i="6"/>
  <c r="AU256" i="6"/>
  <c r="A257" i="6"/>
  <c r="B257" i="6"/>
  <c r="C257" i="6"/>
  <c r="E257" i="6"/>
  <c r="F257" i="6"/>
  <c r="H257" i="6"/>
  <c r="J257" i="6"/>
  <c r="K257" i="6"/>
  <c r="L257" i="6"/>
  <c r="N257" i="6"/>
  <c r="O257" i="6"/>
  <c r="P257" i="6"/>
  <c r="Q257" i="6"/>
  <c r="R257" i="6"/>
  <c r="S257" i="6"/>
  <c r="T257" i="6"/>
  <c r="U257" i="6"/>
  <c r="AJ257" i="6"/>
  <c r="AL257" i="6"/>
  <c r="AM257" i="6"/>
  <c r="AO257" i="6"/>
  <c r="AQ257" i="6"/>
  <c r="AS257" i="6"/>
  <c r="AT257" i="6"/>
  <c r="AU257" i="6"/>
  <c r="A258" i="6"/>
  <c r="B258" i="6"/>
  <c r="C258" i="6"/>
  <c r="E258" i="6"/>
  <c r="F258" i="6"/>
  <c r="H258" i="6"/>
  <c r="J258" i="6"/>
  <c r="K258" i="6"/>
  <c r="L258" i="6"/>
  <c r="N258" i="6"/>
  <c r="O258" i="6"/>
  <c r="P258" i="6"/>
  <c r="Q258" i="6"/>
  <c r="R258" i="6"/>
  <c r="S258" i="6"/>
  <c r="T258" i="6"/>
  <c r="U258" i="6"/>
  <c r="AJ258" i="6"/>
  <c r="AL258" i="6"/>
  <c r="AM258" i="6"/>
  <c r="AO258" i="6"/>
  <c r="AQ258" i="6"/>
  <c r="AS258" i="6"/>
  <c r="AT258" i="6"/>
  <c r="AU258" i="6"/>
  <c r="A259" i="6"/>
  <c r="B259" i="6"/>
  <c r="C259" i="6"/>
  <c r="E259" i="6"/>
  <c r="F259" i="6"/>
  <c r="H259" i="6"/>
  <c r="J259" i="6"/>
  <c r="K259" i="6"/>
  <c r="L259" i="6"/>
  <c r="N259" i="6"/>
  <c r="O259" i="6"/>
  <c r="P259" i="6"/>
  <c r="Q259" i="6"/>
  <c r="R259" i="6"/>
  <c r="S259" i="6"/>
  <c r="T259" i="6"/>
  <c r="U259" i="6"/>
  <c r="AJ259" i="6"/>
  <c r="AL259" i="6"/>
  <c r="AM259" i="6"/>
  <c r="AO259" i="6"/>
  <c r="AQ259" i="6"/>
  <c r="AS259" i="6"/>
  <c r="AT259" i="6"/>
  <c r="AU259" i="6"/>
  <c r="A260" i="6"/>
  <c r="B260" i="6"/>
  <c r="C260" i="6"/>
  <c r="E260" i="6"/>
  <c r="F260" i="6"/>
  <c r="H260" i="6"/>
  <c r="J260" i="6"/>
  <c r="K260" i="6"/>
  <c r="L260" i="6"/>
  <c r="N260" i="6"/>
  <c r="O260" i="6"/>
  <c r="P260" i="6"/>
  <c r="Q260" i="6"/>
  <c r="R260" i="6"/>
  <c r="S260" i="6"/>
  <c r="T260" i="6"/>
  <c r="U260" i="6"/>
  <c r="AJ260" i="6"/>
  <c r="AL260" i="6"/>
  <c r="AM260" i="6"/>
  <c r="AO260" i="6"/>
  <c r="AQ260" i="6"/>
  <c r="AS260" i="6"/>
  <c r="AT260" i="6"/>
  <c r="AU260" i="6"/>
  <c r="A261" i="6"/>
  <c r="B261" i="6"/>
  <c r="C261" i="6"/>
  <c r="E261" i="6"/>
  <c r="F261" i="6"/>
  <c r="H261" i="6"/>
  <c r="J261" i="6"/>
  <c r="K261" i="6"/>
  <c r="L261" i="6"/>
  <c r="N261" i="6"/>
  <c r="O261" i="6"/>
  <c r="P261" i="6"/>
  <c r="Q261" i="6"/>
  <c r="R261" i="6"/>
  <c r="S261" i="6"/>
  <c r="T261" i="6"/>
  <c r="U261" i="6"/>
  <c r="AJ261" i="6"/>
  <c r="AL261" i="6"/>
  <c r="AM261" i="6"/>
  <c r="AO261" i="6"/>
  <c r="AQ261" i="6"/>
  <c r="AS261" i="6"/>
  <c r="AT261" i="6"/>
  <c r="AU261" i="6"/>
  <c r="A262" i="6"/>
  <c r="B262" i="6"/>
  <c r="C262" i="6"/>
  <c r="E262" i="6"/>
  <c r="F262" i="6"/>
  <c r="H262" i="6"/>
  <c r="J262" i="6"/>
  <c r="K262" i="6"/>
  <c r="L262" i="6"/>
  <c r="N262" i="6"/>
  <c r="O262" i="6"/>
  <c r="P262" i="6"/>
  <c r="Q262" i="6"/>
  <c r="R262" i="6"/>
  <c r="S262" i="6"/>
  <c r="T262" i="6"/>
  <c r="U262" i="6"/>
  <c r="AJ262" i="6"/>
  <c r="AL262" i="6"/>
  <c r="AM262" i="6"/>
  <c r="AO262" i="6"/>
  <c r="AQ262" i="6"/>
  <c r="AS262" i="6"/>
  <c r="AT262" i="6"/>
  <c r="AU262" i="6"/>
  <c r="A263" i="6"/>
  <c r="B263" i="6"/>
  <c r="C263" i="6"/>
  <c r="E263" i="6"/>
  <c r="F263" i="6"/>
  <c r="H263" i="6"/>
  <c r="J263" i="6"/>
  <c r="K263" i="6"/>
  <c r="L263" i="6"/>
  <c r="N263" i="6"/>
  <c r="O263" i="6"/>
  <c r="P263" i="6"/>
  <c r="Q263" i="6"/>
  <c r="R263" i="6"/>
  <c r="S263" i="6"/>
  <c r="T263" i="6"/>
  <c r="U263" i="6"/>
  <c r="AJ263" i="6"/>
  <c r="AL263" i="6"/>
  <c r="AM263" i="6"/>
  <c r="AO263" i="6"/>
  <c r="AQ263" i="6"/>
  <c r="AS263" i="6"/>
  <c r="AT263" i="6"/>
  <c r="AU263" i="6"/>
  <c r="A264" i="6"/>
  <c r="B264" i="6"/>
  <c r="C264" i="6"/>
  <c r="E264" i="6"/>
  <c r="F264" i="6"/>
  <c r="H264" i="6"/>
  <c r="J264" i="6"/>
  <c r="K264" i="6"/>
  <c r="L264" i="6"/>
  <c r="N264" i="6"/>
  <c r="O264" i="6"/>
  <c r="P264" i="6"/>
  <c r="Q264" i="6"/>
  <c r="R264" i="6"/>
  <c r="S264" i="6"/>
  <c r="T264" i="6"/>
  <c r="U264" i="6"/>
  <c r="AJ264" i="6"/>
  <c r="AL264" i="6"/>
  <c r="AM264" i="6"/>
  <c r="AO264" i="6"/>
  <c r="AQ264" i="6"/>
  <c r="AS264" i="6"/>
  <c r="AT264" i="6"/>
  <c r="AU264" i="6"/>
  <c r="A265" i="6"/>
  <c r="B265" i="6"/>
  <c r="C265" i="6"/>
  <c r="E265" i="6"/>
  <c r="F265" i="6"/>
  <c r="H265" i="6"/>
  <c r="J265" i="6"/>
  <c r="K265" i="6"/>
  <c r="L265" i="6"/>
  <c r="N265" i="6"/>
  <c r="O265" i="6"/>
  <c r="P265" i="6"/>
  <c r="Q265" i="6"/>
  <c r="R265" i="6"/>
  <c r="S265" i="6"/>
  <c r="T265" i="6"/>
  <c r="U265" i="6"/>
  <c r="AJ265" i="6"/>
  <c r="AL265" i="6"/>
  <c r="AM265" i="6"/>
  <c r="AO265" i="6"/>
  <c r="AQ265" i="6"/>
  <c r="AS265" i="6"/>
  <c r="AT265" i="6"/>
  <c r="AU265" i="6"/>
  <c r="A266" i="6"/>
  <c r="B266" i="6"/>
  <c r="C266" i="6"/>
  <c r="E266" i="6"/>
  <c r="F266" i="6"/>
  <c r="H266" i="6"/>
  <c r="J266" i="6"/>
  <c r="K266" i="6"/>
  <c r="L266" i="6"/>
  <c r="N266" i="6"/>
  <c r="O266" i="6"/>
  <c r="P266" i="6"/>
  <c r="Q266" i="6"/>
  <c r="R266" i="6"/>
  <c r="S266" i="6"/>
  <c r="T266" i="6"/>
  <c r="U266" i="6"/>
  <c r="AJ266" i="6"/>
  <c r="AL266" i="6"/>
  <c r="AM266" i="6"/>
  <c r="AO266" i="6"/>
  <c r="AQ266" i="6"/>
  <c r="AS266" i="6"/>
  <c r="AT266" i="6"/>
  <c r="AU266" i="6"/>
  <c r="A267" i="6"/>
  <c r="B267" i="6"/>
  <c r="C267" i="6"/>
  <c r="E267" i="6"/>
  <c r="F267" i="6"/>
  <c r="H267" i="6"/>
  <c r="J267" i="6"/>
  <c r="K267" i="6"/>
  <c r="L267" i="6"/>
  <c r="N267" i="6"/>
  <c r="O267" i="6"/>
  <c r="P267" i="6"/>
  <c r="Q267" i="6"/>
  <c r="R267" i="6"/>
  <c r="S267" i="6"/>
  <c r="T267" i="6"/>
  <c r="U267" i="6"/>
  <c r="AJ267" i="6"/>
  <c r="AL267" i="6"/>
  <c r="AM267" i="6"/>
  <c r="AO267" i="6"/>
  <c r="AQ267" i="6"/>
  <c r="AS267" i="6"/>
  <c r="AT267" i="6"/>
  <c r="AU267" i="6"/>
  <c r="A268" i="6"/>
  <c r="B268" i="6"/>
  <c r="C268" i="6"/>
  <c r="E268" i="6"/>
  <c r="F268" i="6"/>
  <c r="H268" i="6"/>
  <c r="J268" i="6"/>
  <c r="K268" i="6"/>
  <c r="L268" i="6"/>
  <c r="N268" i="6"/>
  <c r="O268" i="6"/>
  <c r="P268" i="6"/>
  <c r="Q268" i="6"/>
  <c r="R268" i="6"/>
  <c r="S268" i="6"/>
  <c r="T268" i="6"/>
  <c r="U268" i="6"/>
  <c r="AJ268" i="6"/>
  <c r="AL268" i="6"/>
  <c r="AM268" i="6"/>
  <c r="AO268" i="6"/>
  <c r="AQ268" i="6"/>
  <c r="AS268" i="6"/>
  <c r="AT268" i="6"/>
  <c r="AU268" i="6"/>
  <c r="A269" i="6"/>
  <c r="B269" i="6"/>
  <c r="C269" i="6"/>
  <c r="E269" i="6"/>
  <c r="F269" i="6"/>
  <c r="H269" i="6"/>
  <c r="J269" i="6"/>
  <c r="K269" i="6"/>
  <c r="L269" i="6"/>
  <c r="N269" i="6"/>
  <c r="O269" i="6"/>
  <c r="P269" i="6"/>
  <c r="Q269" i="6"/>
  <c r="R269" i="6"/>
  <c r="S269" i="6"/>
  <c r="T269" i="6"/>
  <c r="U269" i="6"/>
  <c r="AJ269" i="6"/>
  <c r="AL269" i="6"/>
  <c r="AM269" i="6"/>
  <c r="AO269" i="6"/>
  <c r="AQ269" i="6"/>
  <c r="AS269" i="6"/>
  <c r="AT269" i="6"/>
  <c r="AU269" i="6"/>
  <c r="A270" i="6"/>
  <c r="B270" i="6"/>
  <c r="C270" i="6"/>
  <c r="E270" i="6"/>
  <c r="F270" i="6"/>
  <c r="H270" i="6"/>
  <c r="J270" i="6"/>
  <c r="K270" i="6"/>
  <c r="L270" i="6"/>
  <c r="N270" i="6"/>
  <c r="O270" i="6"/>
  <c r="P270" i="6"/>
  <c r="Q270" i="6"/>
  <c r="R270" i="6"/>
  <c r="S270" i="6"/>
  <c r="T270" i="6"/>
  <c r="U270" i="6"/>
  <c r="AJ270" i="6"/>
  <c r="AL270" i="6"/>
  <c r="AM270" i="6"/>
  <c r="AO270" i="6"/>
  <c r="AQ270" i="6"/>
  <c r="AS270" i="6"/>
  <c r="AT270" i="6"/>
  <c r="AU270" i="6"/>
  <c r="A271" i="6"/>
  <c r="B271" i="6"/>
  <c r="C271" i="6"/>
  <c r="E271" i="6"/>
  <c r="F271" i="6"/>
  <c r="H271" i="6"/>
  <c r="J271" i="6"/>
  <c r="K271" i="6"/>
  <c r="L271" i="6"/>
  <c r="N271" i="6"/>
  <c r="O271" i="6"/>
  <c r="P271" i="6"/>
  <c r="Q271" i="6"/>
  <c r="R271" i="6"/>
  <c r="S271" i="6"/>
  <c r="T271" i="6"/>
  <c r="U271" i="6"/>
  <c r="AJ271" i="6"/>
  <c r="AL271" i="6"/>
  <c r="AM271" i="6"/>
  <c r="AO271" i="6"/>
  <c r="AQ271" i="6"/>
  <c r="AS271" i="6"/>
  <c r="AT271" i="6"/>
  <c r="AU271" i="6"/>
  <c r="A272" i="6"/>
  <c r="B272" i="6"/>
  <c r="C272" i="6"/>
  <c r="E272" i="6"/>
  <c r="F272" i="6"/>
  <c r="H272" i="6"/>
  <c r="J272" i="6"/>
  <c r="K272" i="6"/>
  <c r="L272" i="6"/>
  <c r="N272" i="6"/>
  <c r="O272" i="6"/>
  <c r="P272" i="6"/>
  <c r="Q272" i="6"/>
  <c r="R272" i="6"/>
  <c r="S272" i="6"/>
  <c r="T272" i="6"/>
  <c r="U272" i="6"/>
  <c r="AJ272" i="6"/>
  <c r="AL272" i="6"/>
  <c r="AM272" i="6"/>
  <c r="AO272" i="6"/>
  <c r="AQ272" i="6"/>
  <c r="AS272" i="6"/>
  <c r="AT272" i="6"/>
  <c r="AU272" i="6"/>
  <c r="A273" i="6"/>
  <c r="B273" i="6"/>
  <c r="C273" i="6"/>
  <c r="E273" i="6"/>
  <c r="F273" i="6"/>
  <c r="H273" i="6"/>
  <c r="J273" i="6"/>
  <c r="K273" i="6"/>
  <c r="L273" i="6"/>
  <c r="N273" i="6"/>
  <c r="O273" i="6"/>
  <c r="P273" i="6"/>
  <c r="Q273" i="6"/>
  <c r="R273" i="6"/>
  <c r="S273" i="6"/>
  <c r="T273" i="6"/>
  <c r="U273" i="6"/>
  <c r="AJ273" i="6"/>
  <c r="AL273" i="6"/>
  <c r="AM273" i="6"/>
  <c r="AO273" i="6"/>
  <c r="AQ273" i="6"/>
  <c r="AS273" i="6"/>
  <c r="AT273" i="6"/>
  <c r="AU273" i="6"/>
  <c r="A274" i="6"/>
  <c r="B274" i="6"/>
  <c r="C274" i="6"/>
  <c r="E274" i="6"/>
  <c r="F274" i="6"/>
  <c r="H274" i="6"/>
  <c r="J274" i="6"/>
  <c r="K274" i="6"/>
  <c r="L274" i="6"/>
  <c r="N274" i="6"/>
  <c r="O274" i="6"/>
  <c r="P274" i="6"/>
  <c r="Q274" i="6"/>
  <c r="R274" i="6"/>
  <c r="S274" i="6"/>
  <c r="T274" i="6"/>
  <c r="U274" i="6"/>
  <c r="AJ274" i="6"/>
  <c r="AL274" i="6"/>
  <c r="AM274" i="6"/>
  <c r="AO274" i="6"/>
  <c r="AQ274" i="6"/>
  <c r="AS274" i="6"/>
  <c r="AT274" i="6"/>
  <c r="AU274" i="6"/>
  <c r="A275" i="6"/>
  <c r="B275" i="6"/>
  <c r="C275" i="6"/>
  <c r="E275" i="6"/>
  <c r="F275" i="6"/>
  <c r="H275" i="6"/>
  <c r="J275" i="6"/>
  <c r="K275" i="6"/>
  <c r="L275" i="6"/>
  <c r="N275" i="6"/>
  <c r="O275" i="6"/>
  <c r="P275" i="6"/>
  <c r="Q275" i="6"/>
  <c r="R275" i="6"/>
  <c r="S275" i="6"/>
  <c r="T275" i="6"/>
  <c r="U275" i="6"/>
  <c r="AJ275" i="6"/>
  <c r="AL275" i="6"/>
  <c r="AM275" i="6"/>
  <c r="AO275" i="6"/>
  <c r="AQ275" i="6"/>
  <c r="AS275" i="6"/>
  <c r="AT275" i="6"/>
  <c r="AU275" i="6"/>
  <c r="A276" i="6"/>
  <c r="B276" i="6"/>
  <c r="C276" i="6"/>
  <c r="E276" i="6"/>
  <c r="F276" i="6"/>
  <c r="H276" i="6"/>
  <c r="J276" i="6"/>
  <c r="K276" i="6"/>
  <c r="L276" i="6"/>
  <c r="N276" i="6"/>
  <c r="O276" i="6"/>
  <c r="P276" i="6"/>
  <c r="Q276" i="6"/>
  <c r="R276" i="6"/>
  <c r="S276" i="6"/>
  <c r="T276" i="6"/>
  <c r="U276" i="6"/>
  <c r="AJ276" i="6"/>
  <c r="AL276" i="6"/>
  <c r="AM276" i="6"/>
  <c r="AO276" i="6"/>
  <c r="AQ276" i="6"/>
  <c r="AS276" i="6"/>
  <c r="AT276" i="6"/>
  <c r="AU276" i="6"/>
  <c r="A277" i="6"/>
  <c r="B277" i="6"/>
  <c r="C277" i="6"/>
  <c r="E277" i="6"/>
  <c r="F277" i="6"/>
  <c r="H277" i="6"/>
  <c r="J277" i="6"/>
  <c r="K277" i="6"/>
  <c r="L277" i="6"/>
  <c r="N277" i="6"/>
  <c r="O277" i="6"/>
  <c r="P277" i="6"/>
  <c r="Q277" i="6"/>
  <c r="R277" i="6"/>
  <c r="S277" i="6"/>
  <c r="T277" i="6"/>
  <c r="U277" i="6"/>
  <c r="AJ277" i="6"/>
  <c r="AL277" i="6"/>
  <c r="AM277" i="6"/>
  <c r="AO277" i="6"/>
  <c r="AQ277" i="6"/>
  <c r="AS277" i="6"/>
  <c r="AT277" i="6"/>
  <c r="AU277" i="6"/>
  <c r="A278" i="6"/>
  <c r="B278" i="6"/>
  <c r="C278" i="6"/>
  <c r="E278" i="6"/>
  <c r="F278" i="6"/>
  <c r="H278" i="6"/>
  <c r="J278" i="6"/>
  <c r="K278" i="6"/>
  <c r="L278" i="6"/>
  <c r="N278" i="6"/>
  <c r="O278" i="6"/>
  <c r="P278" i="6"/>
  <c r="Q278" i="6"/>
  <c r="R278" i="6"/>
  <c r="S278" i="6"/>
  <c r="T278" i="6"/>
  <c r="U278" i="6"/>
  <c r="AJ278" i="6"/>
  <c r="AL278" i="6"/>
  <c r="AM278" i="6"/>
  <c r="AO278" i="6"/>
  <c r="AQ278" i="6"/>
  <c r="AS278" i="6"/>
  <c r="AT278" i="6"/>
  <c r="AU278" i="6"/>
  <c r="A279" i="6"/>
  <c r="B279" i="6"/>
  <c r="C279" i="6"/>
  <c r="E279" i="6"/>
  <c r="F279" i="6"/>
  <c r="H279" i="6"/>
  <c r="J279" i="6"/>
  <c r="K279" i="6"/>
  <c r="L279" i="6"/>
  <c r="N279" i="6"/>
  <c r="O279" i="6"/>
  <c r="P279" i="6"/>
  <c r="Q279" i="6"/>
  <c r="R279" i="6"/>
  <c r="S279" i="6"/>
  <c r="T279" i="6"/>
  <c r="U279" i="6"/>
  <c r="AJ279" i="6"/>
  <c r="AL279" i="6"/>
  <c r="AM279" i="6"/>
  <c r="AO279" i="6"/>
  <c r="AQ279" i="6"/>
  <c r="AS279" i="6"/>
  <c r="AT279" i="6"/>
  <c r="AU279" i="6"/>
  <c r="A280" i="6"/>
  <c r="B280" i="6"/>
  <c r="C280" i="6"/>
  <c r="E280" i="6"/>
  <c r="F280" i="6"/>
  <c r="H280" i="6"/>
  <c r="J280" i="6"/>
  <c r="K280" i="6"/>
  <c r="L280" i="6"/>
  <c r="N280" i="6"/>
  <c r="O280" i="6"/>
  <c r="P280" i="6"/>
  <c r="Q280" i="6"/>
  <c r="R280" i="6"/>
  <c r="S280" i="6"/>
  <c r="T280" i="6"/>
  <c r="U280" i="6"/>
  <c r="AJ280" i="6"/>
  <c r="AL280" i="6"/>
  <c r="AM280" i="6"/>
  <c r="AO280" i="6"/>
  <c r="AQ280" i="6"/>
  <c r="AS280" i="6"/>
  <c r="AT280" i="6"/>
  <c r="AU280" i="6"/>
  <c r="A281" i="6"/>
  <c r="B281" i="6"/>
  <c r="C281" i="6"/>
  <c r="E281" i="6"/>
  <c r="F281" i="6"/>
  <c r="H281" i="6"/>
  <c r="J281" i="6"/>
  <c r="K281" i="6"/>
  <c r="L281" i="6"/>
  <c r="N281" i="6"/>
  <c r="O281" i="6"/>
  <c r="P281" i="6"/>
  <c r="Q281" i="6"/>
  <c r="R281" i="6"/>
  <c r="S281" i="6"/>
  <c r="T281" i="6"/>
  <c r="U281" i="6"/>
  <c r="AJ281" i="6"/>
  <c r="AL281" i="6"/>
  <c r="AM281" i="6"/>
  <c r="AO281" i="6"/>
  <c r="AQ281" i="6"/>
  <c r="AS281" i="6"/>
  <c r="AT281" i="6"/>
  <c r="AU281" i="6"/>
  <c r="A282" i="6"/>
  <c r="B282" i="6"/>
  <c r="C282" i="6"/>
  <c r="E282" i="6"/>
  <c r="F282" i="6"/>
  <c r="H282" i="6"/>
  <c r="J282" i="6"/>
  <c r="K282" i="6"/>
  <c r="L282" i="6"/>
  <c r="N282" i="6"/>
  <c r="O282" i="6"/>
  <c r="P282" i="6"/>
  <c r="Q282" i="6"/>
  <c r="R282" i="6"/>
  <c r="S282" i="6"/>
  <c r="T282" i="6"/>
  <c r="U282" i="6"/>
  <c r="AJ282" i="6"/>
  <c r="AL282" i="6"/>
  <c r="AM282" i="6"/>
  <c r="AO282" i="6"/>
  <c r="AQ282" i="6"/>
  <c r="AS282" i="6"/>
  <c r="AT282" i="6"/>
  <c r="AU282" i="6"/>
  <c r="A283" i="6"/>
  <c r="B283" i="6"/>
  <c r="C283" i="6"/>
  <c r="E283" i="6"/>
  <c r="F283" i="6"/>
  <c r="H283" i="6"/>
  <c r="J283" i="6"/>
  <c r="K283" i="6"/>
  <c r="L283" i="6"/>
  <c r="N283" i="6"/>
  <c r="O283" i="6"/>
  <c r="P283" i="6"/>
  <c r="Q283" i="6"/>
  <c r="R283" i="6"/>
  <c r="S283" i="6"/>
  <c r="T283" i="6"/>
  <c r="U283" i="6"/>
  <c r="AJ283" i="6"/>
  <c r="AL283" i="6"/>
  <c r="AM283" i="6"/>
  <c r="AO283" i="6"/>
  <c r="AQ283" i="6"/>
  <c r="AS283" i="6"/>
  <c r="AT283" i="6"/>
  <c r="AU283" i="6"/>
  <c r="A284" i="6"/>
  <c r="B284" i="6"/>
  <c r="C284" i="6"/>
  <c r="E284" i="6"/>
  <c r="F284" i="6"/>
  <c r="H284" i="6"/>
  <c r="J284" i="6"/>
  <c r="K284" i="6"/>
  <c r="L284" i="6"/>
  <c r="N284" i="6"/>
  <c r="O284" i="6"/>
  <c r="P284" i="6"/>
  <c r="Q284" i="6"/>
  <c r="R284" i="6"/>
  <c r="S284" i="6"/>
  <c r="T284" i="6"/>
  <c r="U284" i="6"/>
  <c r="AJ284" i="6"/>
  <c r="AL284" i="6"/>
  <c r="AM284" i="6"/>
  <c r="AO284" i="6"/>
  <c r="AQ284" i="6"/>
  <c r="AS284" i="6"/>
  <c r="AT284" i="6"/>
  <c r="AU284" i="6"/>
  <c r="A285" i="6"/>
  <c r="B285" i="6"/>
  <c r="C285" i="6"/>
  <c r="E285" i="6"/>
  <c r="F285" i="6"/>
  <c r="H285" i="6"/>
  <c r="J285" i="6"/>
  <c r="K285" i="6"/>
  <c r="L285" i="6"/>
  <c r="N285" i="6"/>
  <c r="O285" i="6"/>
  <c r="P285" i="6"/>
  <c r="Q285" i="6"/>
  <c r="R285" i="6"/>
  <c r="S285" i="6"/>
  <c r="T285" i="6"/>
  <c r="U285" i="6"/>
  <c r="AJ285" i="6"/>
  <c r="AL285" i="6"/>
  <c r="AM285" i="6"/>
  <c r="AO285" i="6"/>
  <c r="AQ285" i="6"/>
  <c r="AS285" i="6"/>
  <c r="AT285" i="6"/>
  <c r="AU285" i="6"/>
  <c r="A286" i="6"/>
  <c r="B286" i="6"/>
  <c r="C286" i="6"/>
  <c r="E286" i="6"/>
  <c r="F286" i="6"/>
  <c r="H286" i="6"/>
  <c r="J286" i="6"/>
  <c r="K286" i="6"/>
  <c r="L286" i="6"/>
  <c r="N286" i="6"/>
  <c r="O286" i="6"/>
  <c r="P286" i="6"/>
  <c r="Q286" i="6"/>
  <c r="R286" i="6"/>
  <c r="S286" i="6"/>
  <c r="T286" i="6"/>
  <c r="U286" i="6"/>
  <c r="AJ286" i="6"/>
  <c r="AL286" i="6"/>
  <c r="AM286" i="6"/>
  <c r="AO286" i="6"/>
  <c r="AQ286" i="6"/>
  <c r="AS286" i="6"/>
  <c r="AT286" i="6"/>
  <c r="AU286" i="6"/>
  <c r="A287" i="6"/>
  <c r="B287" i="6"/>
  <c r="C287" i="6"/>
  <c r="E287" i="6"/>
  <c r="F287" i="6"/>
  <c r="H287" i="6"/>
  <c r="J287" i="6"/>
  <c r="K287" i="6"/>
  <c r="L287" i="6"/>
  <c r="N287" i="6"/>
  <c r="O287" i="6"/>
  <c r="P287" i="6"/>
  <c r="Q287" i="6"/>
  <c r="R287" i="6"/>
  <c r="S287" i="6"/>
  <c r="T287" i="6"/>
  <c r="U287" i="6"/>
  <c r="AJ287" i="6"/>
  <c r="AL287" i="6"/>
  <c r="AM287" i="6"/>
  <c r="AO287" i="6"/>
  <c r="AQ287" i="6"/>
  <c r="AS287" i="6"/>
  <c r="AT287" i="6"/>
  <c r="AU287" i="6"/>
  <c r="A288" i="6"/>
  <c r="B288" i="6"/>
  <c r="C288" i="6"/>
  <c r="E288" i="6"/>
  <c r="F288" i="6"/>
  <c r="H288" i="6"/>
  <c r="J288" i="6"/>
  <c r="K288" i="6"/>
  <c r="L288" i="6"/>
  <c r="N288" i="6"/>
  <c r="O288" i="6"/>
  <c r="P288" i="6"/>
  <c r="Q288" i="6"/>
  <c r="R288" i="6"/>
  <c r="S288" i="6"/>
  <c r="T288" i="6"/>
  <c r="U288" i="6"/>
  <c r="AJ288" i="6"/>
  <c r="AL288" i="6"/>
  <c r="AM288" i="6"/>
  <c r="AO288" i="6"/>
  <c r="AQ288" i="6"/>
  <c r="AS288" i="6"/>
  <c r="AT288" i="6"/>
  <c r="AU288" i="6"/>
  <c r="A289" i="6"/>
  <c r="B6" i="9"/>
  <c r="F6" i="9"/>
  <c r="B7" i="9"/>
  <c r="F7" i="9"/>
  <c r="B8" i="9"/>
  <c r="F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</calcChain>
</file>

<file path=xl/comments1.xml><?xml version="1.0" encoding="utf-8"?>
<comments xmlns="http://schemas.openxmlformats.org/spreadsheetml/2006/main">
  <authors>
    <author>Philip Polsky</author>
  </authors>
  <commentList>
    <comment ref="B25" authorId="0" shapeId="0">
      <text>
        <r>
          <rPr>
            <b/>
            <sz val="8"/>
            <color indexed="81"/>
            <rFont val="Tahoma"/>
          </rPr>
          <t>Philip Polsky:</t>
        </r>
        <r>
          <rPr>
            <sz val="8"/>
            <color indexed="81"/>
            <rFont val="Tahoma"/>
          </rPr>
          <t xml:space="preserve">
Enter a warning if they enter a weekend, holiday, etc.</t>
        </r>
      </text>
    </comment>
    <comment ref="C26" authorId="0" shapeId="0">
      <text>
        <r>
          <rPr>
            <b/>
            <sz val="8"/>
            <color indexed="81"/>
            <rFont val="Tahoma"/>
          </rPr>
          <t>Philip Polsky:</t>
        </r>
        <r>
          <rPr>
            <sz val="8"/>
            <color indexed="81"/>
            <rFont val="Tahoma"/>
          </rPr>
          <t xml:space="preserve">
Don't change this cell.  It will update automatically.</t>
        </r>
      </text>
    </comment>
  </commentList>
</comments>
</file>

<file path=xl/comments2.xml><?xml version="1.0" encoding="utf-8"?>
<comments xmlns="http://schemas.openxmlformats.org/spreadsheetml/2006/main">
  <authors>
    <author>Philip Polsky</author>
  </authors>
  <commentList>
    <comment ref="T5" authorId="0" shapeId="0">
      <text>
        <r>
          <rPr>
            <b/>
            <sz val="8"/>
            <color indexed="81"/>
            <rFont val="Tahoma"/>
          </rPr>
          <t>Philip Polsky:</t>
        </r>
        <r>
          <rPr>
            <sz val="8"/>
            <color indexed="81"/>
            <rFont val="Tahoma"/>
          </rPr>
          <t xml:space="preserve">
Note that the premium calc is a pv'd number already (as of today).  So to get an option value for the month you multiply it by the nominal volume for the month.  To get a swap number you need to divide the sum of this value by the Total PV Volume.</t>
        </r>
      </text>
    </comment>
    <comment ref="AG5" authorId="0" shapeId="0">
      <text>
        <r>
          <rPr>
            <b/>
            <sz val="8"/>
            <color indexed="81"/>
            <rFont val="Tahoma"/>
          </rPr>
          <t>Philip Polsky:</t>
        </r>
        <r>
          <rPr>
            <sz val="8"/>
            <color indexed="81"/>
            <rFont val="Tahoma"/>
          </rPr>
          <t xml:space="preserve">
Note that the premium calc is a pv'd number already (as of today).  So to get an option value for the month you multiply it by the nominal volume for the month.  To get a swap number you need to divide the sum of this value by the Total PV Volume.</t>
        </r>
      </text>
    </comment>
  </commentList>
</comments>
</file>

<file path=xl/sharedStrings.xml><?xml version="1.0" encoding="utf-8"?>
<sst xmlns="http://schemas.openxmlformats.org/spreadsheetml/2006/main" count="341" uniqueCount="175">
  <si>
    <t>Effective Date</t>
  </si>
  <si>
    <t>Prompt Month</t>
  </si>
  <si>
    <t>Curve Code</t>
  </si>
  <si>
    <t>NG</t>
  </si>
  <si>
    <t>IF-ELPO/SJ</t>
  </si>
  <si>
    <t>IF-ELPO/PERMIAN</t>
  </si>
  <si>
    <t>IF-NWPL_ROCKY_M</t>
  </si>
  <si>
    <t>CGPR-AECO/BASIS</t>
  </si>
  <si>
    <t>NGI-SOCAL</t>
  </si>
  <si>
    <t>NGI-MALIN</t>
  </si>
  <si>
    <t>NGI-PGE/CG</t>
  </si>
  <si>
    <t>IF-NTHWST/CANBR</t>
  </si>
  <si>
    <t>Curve Type</t>
  </si>
  <si>
    <t>PR</t>
  </si>
  <si>
    <t>Book Code 1</t>
  </si>
  <si>
    <t>P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</si>
  <si>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</si>
  <si>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</si>
  <si>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</si>
  <si>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</si>
  <si>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</si>
  <si>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</si>
  <si>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</si>
  <si>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</si>
  <si>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</si>
  <si>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</si>
  <si>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</si>
  <si>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Prior Day GD HH</t>
  </si>
  <si>
    <t>Holiday Schedule</t>
  </si>
  <si>
    <t>INTNS</t>
  </si>
  <si>
    <t>R</t>
  </si>
  <si>
    <t>AA</t>
  </si>
  <si>
    <t>Start Date</t>
  </si>
  <si>
    <t>End Date</t>
  </si>
  <si>
    <t>Valuation Date</t>
  </si>
  <si>
    <t>Delivery Date</t>
  </si>
  <si>
    <t>Payment Date</t>
  </si>
  <si>
    <t>Days in Delivery</t>
  </si>
  <si>
    <t>Physical or Financial</t>
  </si>
  <si>
    <t>Physical</t>
  </si>
  <si>
    <t>DO NOT TOUCH</t>
  </si>
  <si>
    <t>Financial</t>
  </si>
  <si>
    <t>Volume/Day</t>
  </si>
  <si>
    <t>Nominal Volume</t>
  </si>
  <si>
    <t>Custom</t>
  </si>
  <si>
    <t>Basis</t>
  </si>
  <si>
    <t>Index</t>
  </si>
  <si>
    <t>VO</t>
  </si>
  <si>
    <t>NGI-SOBDR-PG&amp;E</t>
  </si>
  <si>
    <t>IF-CIG/RKYMTN</t>
  </si>
  <si>
    <t>IF-KERN/RIVER</t>
  </si>
  <si>
    <t>IF-QUESTAR</t>
  </si>
  <si>
    <t>I</t>
  </si>
  <si>
    <t>Volume Source</t>
  </si>
  <si>
    <t>Flat</t>
  </si>
  <si>
    <t>Mid</t>
  </si>
  <si>
    <t>Nymex Source</t>
  </si>
  <si>
    <t>Nymex</t>
  </si>
  <si>
    <t>Receipt Point</t>
  </si>
  <si>
    <t>Libor</t>
  </si>
  <si>
    <t>Cost of Funds Charge</t>
  </si>
  <si>
    <t>PVIF</t>
  </si>
  <si>
    <t>Compounding Periods</t>
  </si>
  <si>
    <t>Days in Year</t>
  </si>
  <si>
    <t>Volume</t>
  </si>
  <si>
    <t>PV Calculations</t>
  </si>
  <si>
    <t>Total</t>
  </si>
  <si>
    <t>Spread</t>
  </si>
  <si>
    <t>SWAP</t>
  </si>
  <si>
    <t>Current Curve Date</t>
  </si>
  <si>
    <t>Desired Curve Date</t>
  </si>
  <si>
    <t>PV Volume</t>
  </si>
  <si>
    <t>Total Fixed</t>
  </si>
  <si>
    <t>VALUATION</t>
  </si>
  <si>
    <t>DEAL LENGTH AND VOLUMES</t>
  </si>
  <si>
    <t>PVIF CALCULATIONS</t>
  </si>
  <si>
    <t>CURVE SELECTION</t>
  </si>
  <si>
    <t>Total Spread Value</t>
  </si>
  <si>
    <t>Spread (Del - Rec)</t>
  </si>
  <si>
    <t>Desired Rec Pt Curve</t>
  </si>
  <si>
    <t>Deal Period (Months)</t>
  </si>
  <si>
    <t>Time Period Calculator</t>
  </si>
  <si>
    <t>Implied Period</t>
  </si>
  <si>
    <t>Origination Calculator</t>
  </si>
  <si>
    <t>Orig Margin ($/MMbtu)</t>
  </si>
  <si>
    <t>Total Origination</t>
  </si>
  <si>
    <t>Basis Source</t>
  </si>
  <si>
    <t>Index Source</t>
  </si>
  <si>
    <t>Known Volatility Curves</t>
  </si>
  <si>
    <t>Value Call or Put</t>
  </si>
  <si>
    <t>Call or Put</t>
  </si>
  <si>
    <t>Call</t>
  </si>
  <si>
    <t>Put</t>
  </si>
  <si>
    <t>Option Calculations</t>
  </si>
  <si>
    <t>Underlying</t>
  </si>
  <si>
    <t>Strike</t>
  </si>
  <si>
    <t>Days to Expiration</t>
  </si>
  <si>
    <t>Interest</t>
  </si>
  <si>
    <t>Yield</t>
  </si>
  <si>
    <t>Volatility</t>
  </si>
  <si>
    <t>Premium Calc</t>
  </si>
  <si>
    <t>Total Nominal Volume</t>
  </si>
  <si>
    <t>Desired Vol Mid Curve</t>
  </si>
  <si>
    <t>European Option Valuation Model</t>
  </si>
  <si>
    <t>Start</t>
  </si>
  <si>
    <t>End</t>
  </si>
  <si>
    <t>Put/Call</t>
  </si>
  <si>
    <t>Premium</t>
  </si>
  <si>
    <t>Option Value</t>
  </si>
  <si>
    <t>Option</t>
  </si>
  <si>
    <t>Phys/Fin</t>
  </si>
  <si>
    <t>Inputs</t>
  </si>
  <si>
    <t>Origination</t>
  </si>
  <si>
    <t>Incremental Margin</t>
  </si>
  <si>
    <t>Origination Value</t>
  </si>
  <si>
    <t xml:space="preserve">Swap Volume </t>
  </si>
  <si>
    <t>Forward Price Curves ($/MMBtu)</t>
  </si>
  <si>
    <t>Present Value Calcs</t>
  </si>
  <si>
    <t>Settle Date</t>
  </si>
  <si>
    <t>Do Not Touch!  Data Validation Cells</t>
  </si>
  <si>
    <t>Fixed Volume Assumption</t>
  </si>
  <si>
    <t>Use Custom Profile or Flat:</t>
  </si>
  <si>
    <t>Custom Profile (MMBtu/d)</t>
  </si>
  <si>
    <t>Modeled Volume (MMBtu/d)</t>
  </si>
  <si>
    <t>Nominal Volume (MMBtu/mo)</t>
  </si>
  <si>
    <t>PV Volume (MMBtu/mo)</t>
  </si>
  <si>
    <t>MMBtu/d</t>
  </si>
  <si>
    <t>Total NYMEX</t>
  </si>
  <si>
    <t>(Bid)/Offer Spread</t>
  </si>
  <si>
    <t>Curve Fetch</t>
  </si>
  <si>
    <t>Custom Defined</t>
  </si>
  <si>
    <t>Choose Pricing Point:</t>
  </si>
  <si>
    <t>Select Nymex Curve Source:</t>
  </si>
  <si>
    <t>Select Basis Curve Source Below:</t>
  </si>
  <si>
    <t>Select Index Curve Source Below:</t>
  </si>
  <si>
    <t>Total Basis</t>
  </si>
  <si>
    <t>Total Fixed Price</t>
  </si>
  <si>
    <t>Total Index</t>
  </si>
  <si>
    <t>FINANCIAL DEAL</t>
  </si>
  <si>
    <t>FUNCTION INACTIVE</t>
  </si>
  <si>
    <t>Desired Vol Curve</t>
  </si>
  <si>
    <t>Available Vol Curve</t>
  </si>
  <si>
    <t>Total Volatility</t>
  </si>
  <si>
    <t>Option Premium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</si>
  <si>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</si>
  <si>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</si>
  <si>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</si>
  <si>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</si>
  <si>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</si>
  <si>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</si>
  <si>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</si>
  <si>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</si>
  <si>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</si>
  <si>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</si>
  <si>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</si>
  <si>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</si>
  <si>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z8</t>
  </si>
  <si>
    <t>aa8</t>
  </si>
  <si>
    <t>ab8</t>
  </si>
  <si>
    <t>ac8</t>
  </si>
  <si>
    <t>ad8</t>
  </si>
  <si>
    <t>ae8</t>
  </si>
  <si>
    <t>af8</t>
  </si>
  <si>
    <t>ag8</t>
  </si>
  <si>
    <t>ah8</t>
  </si>
  <si>
    <t>ai8</t>
  </si>
  <si>
    <t>aj8</t>
  </si>
  <si>
    <t>Basis Lookup #</t>
  </si>
  <si>
    <t>Index Lookup #</t>
  </si>
  <si>
    <t>Vol Lookup #</t>
  </si>
  <si>
    <t>Curve Lookup Table</t>
  </si>
  <si>
    <t>Option Curves</t>
  </si>
  <si>
    <t xml:space="preserve">Underlying </t>
  </si>
  <si>
    <t>NYMEX</t>
  </si>
  <si>
    <t>Mid Curve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</si>
</sst>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\ h:mm:ss"/>
    <numFmt numFmtId="165" formatCode="mmm\-dd\-yy"/>
    <numFmt numFmtId="166" formatCode="0.000"/>
    <numFmt numFmtId="167" formatCode="dd\-mmm\-yy"/>
    <numFmt numFmtId="169" formatCode="_(* #,##0_);_(* \(#,##0\);_(* &quot;-&quot;??_);_(@_)"/>
    <numFmt numFmtId="171" formatCode="0.0000"/>
    <numFmt numFmtId="172" formatCode="_(&quot;$&quot;* #,##0.000_);_(&quot;$&quot;* \(#,##0.000\);_(&quot;$&quot;* &quot;-&quot;??_);_(@_)"/>
    <numFmt numFmtId="174" formatCode="0.000%"/>
    <numFmt numFmtId="175" formatCode="_(* #,##0.000_);_(* \(#,##0.000\);_(* &quot;-&quot;??_);_(@_)"/>
    <numFmt numFmtId="176" formatCode="_(* #,##0.0000_);_(* \(#,##0.0000\);_(* &quot;-&quot;??_);_(@_)"/>
    <numFmt numFmtId="179" formatCode="_(* #,##0.0000000_);_(* \(#,##0.0000000\);_(* &quot;-&quot;??_);_(@_)"/>
    <numFmt numFmtId="187" formatCode="_(&quot;$&quot;* #,##0_);_(&quot;$&quot;* \(#,##0\);_(&quot;$&quot;* &quot;-&quot;??_);_(@_)"/>
    <numFmt numFmtId="189" formatCode="_(&quot;$&quot;* #,##0.0000_);_(&quot;$&quot;* \(#,##0.0000\);_(&quot;$&quot;* &quot;-&quot;??_);_(@_)"/>
    <numFmt numFmtId="191" formatCode="_(&quot;$&quot;* #,##0.000000_);_(&quot;$&quot;* \(#,##0.000000\);_(&quot;$&quot;* &quot;-&quot;??_);_(@_)"/>
    <numFmt numFmtId="195" formatCode="mm/dd/yy"/>
    <numFmt numFmtId="199" formatCode="0.00000000"/>
    <numFmt numFmtId="206" formatCode="&quot;$&quot;#,##0.000_);\(&quot;$&quot;#,##0.000\)"/>
  </numFmts>
  <fonts count="5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sz val="10"/>
      <color indexed="32"/>
      <name val="Times New Roman"/>
      <family val="1"/>
    </font>
    <font>
      <b/>
      <sz val="10"/>
      <name val="Times New Roman"/>
      <family val="1"/>
    </font>
    <font>
      <u/>
      <sz val="10"/>
      <color indexed="36"/>
      <name val="Arial"/>
    </font>
    <font>
      <b/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b/>
      <i/>
      <sz val="12"/>
      <color indexed="17"/>
      <name val="Arial"/>
      <family val="2"/>
    </font>
    <font>
      <b/>
      <sz val="10"/>
      <color indexed="10"/>
      <name val="Arial"/>
      <family val="2"/>
    </font>
    <font>
      <b/>
      <i/>
      <sz val="10"/>
      <color indexed="10"/>
      <name val="Arial"/>
      <family val="2"/>
    </font>
    <font>
      <b/>
      <i/>
      <sz val="14"/>
      <color indexed="10"/>
      <name val="Arial"/>
      <family val="2"/>
    </font>
    <font>
      <b/>
      <i/>
      <sz val="10"/>
      <color indexed="17"/>
      <name val="Arial"/>
      <family val="2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10"/>
      <name val="Arial"/>
      <family val="2"/>
    </font>
    <font>
      <sz val="12"/>
      <color indexed="9"/>
      <name val="Arial Black"/>
      <family val="2"/>
    </font>
    <font>
      <sz val="10"/>
      <name val="Arial Narrow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b/>
      <sz val="16"/>
      <color indexed="9"/>
      <name val="Arial Narrow"/>
      <family val="2"/>
    </font>
    <font>
      <sz val="10"/>
      <color indexed="9"/>
      <name val="Arial"/>
    </font>
    <font>
      <sz val="10"/>
      <color indexed="12"/>
      <name val="Arial Narrow"/>
      <family val="2"/>
    </font>
    <font>
      <b/>
      <sz val="16"/>
      <color indexed="8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12"/>
      <color indexed="10"/>
      <name val="Arial"/>
      <family val="2"/>
    </font>
    <font>
      <b/>
      <sz val="10"/>
      <color indexed="9"/>
      <name val="Arial Narrow"/>
      <family val="2"/>
    </font>
    <font>
      <sz val="10"/>
      <color indexed="22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14"/>
      <color indexed="8"/>
      <name val="Arial Narrow"/>
      <family val="2"/>
    </font>
    <font>
      <b/>
      <sz val="10"/>
      <color indexed="22"/>
      <name val="Arial"/>
      <family val="2"/>
    </font>
    <font>
      <b/>
      <sz val="10"/>
      <color indexed="12"/>
      <name val="Arial Narrow"/>
      <family val="2"/>
    </font>
    <font>
      <sz val="10"/>
      <color indexed="22"/>
      <name val="Arial"/>
      <family val="2"/>
    </font>
    <font>
      <b/>
      <i/>
      <sz val="10"/>
      <name val="Arial Narrow"/>
      <family val="2"/>
    </font>
    <font>
      <i/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1">
    <xf numFmtId="0" fontId="0" fillId="0" borderId="0"/>
    <xf numFmtId="1" fontId="17" fillId="0" borderId="0"/>
    <xf numFmtId="0" fontId="18" fillId="2" borderId="1">
      <alignment horizontal="center" vertical="center"/>
    </xf>
    <xf numFmtId="0" fontId="19" fillId="0" borderId="2">
      <alignment horizont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0" fillId="0" borderId="0">
      <protection locked="0"/>
    </xf>
    <xf numFmtId="0" fontId="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38" fontId="21" fillId="3" borderId="0" applyNumberFormat="0" applyBorder="0" applyAlignment="0" applyProtection="0"/>
    <xf numFmtId="0" fontId="2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3" fillId="0" borderId="3" applyNumberFormat="0" applyFill="0" applyAlignment="0" applyProtection="0"/>
    <xf numFmtId="10" fontId="21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24" fillId="0" borderId="0"/>
    <xf numFmtId="0" fontId="25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5">
      <protection locked="0"/>
    </xf>
    <xf numFmtId="38" fontId="17" fillId="0" borderId="0" applyFont="0" applyFill="0" applyBorder="0" applyAlignment="0" applyProtection="0"/>
    <xf numFmtId="40" fontId="17" fillId="0" borderId="0" applyFont="0" applyFill="0" applyBorder="0" applyAlignment="0" applyProtection="0"/>
    <xf numFmtId="37" fontId="21" fillId="5" borderId="0" applyNumberFormat="0" applyBorder="0" applyAlignment="0" applyProtection="0"/>
    <xf numFmtId="37" fontId="26" fillId="0" borderId="0"/>
    <xf numFmtId="3" fontId="27" fillId="0" borderId="3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</cellStyleXfs>
  <cellXfs count="253">
    <xf numFmtId="0" fontId="0" fillId="0" borderId="0" xfId="0"/>
    <xf numFmtId="0" fontId="3" fillId="0" borderId="0" xfId="0" applyFont="1"/>
    <xf numFmtId="3" fontId="3" fillId="0" borderId="0" xfId="0" applyNumberFormat="1" applyFont="1"/>
    <xf numFmtId="14" fontId="3" fillId="0" borderId="4" xfId="0" applyNumberFormat="1" applyFont="1" applyBorder="1" applyAlignment="1" applyProtection="1">
      <alignment horizontal="right"/>
    </xf>
    <xf numFmtId="164" fontId="4" fillId="4" borderId="4" xfId="0" applyNumberFormat="1" applyFont="1" applyFill="1" applyBorder="1" applyAlignment="1">
      <alignment horizontal="right"/>
    </xf>
    <xf numFmtId="14" fontId="3" fillId="0" borderId="4" xfId="0" applyNumberFormat="1" applyFont="1" applyBorder="1" applyAlignment="1">
      <alignment horizontal="right"/>
    </xf>
    <xf numFmtId="17" fontId="3" fillId="0" borderId="4" xfId="0" applyNumberFormat="1" applyFont="1" applyBorder="1" applyAlignment="1" applyProtection="1">
      <alignment horizontal="right"/>
    </xf>
    <xf numFmtId="0" fontId="3" fillId="0" borderId="0" xfId="0" applyFont="1" applyBorder="1"/>
    <xf numFmtId="0" fontId="3" fillId="0" borderId="4" xfId="0" applyFont="1" applyBorder="1" applyAlignment="1">
      <alignment horizontal="right"/>
    </xf>
    <xf numFmtId="1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" fontId="3" fillId="0" borderId="0" xfId="0" applyNumberFormat="1" applyFont="1"/>
    <xf numFmtId="0" fontId="5" fillId="3" borderId="6" xfId="0" applyFont="1" applyFill="1" applyBorder="1" applyAlignment="1">
      <alignment horizontal="center"/>
    </xf>
    <xf numFmtId="14" fontId="3" fillId="4" borderId="7" xfId="0" applyNumberFormat="1" applyFont="1" applyFill="1" applyBorder="1"/>
    <xf numFmtId="14" fontId="3" fillId="4" borderId="8" xfId="0" applyNumberFormat="1" applyFont="1" applyFill="1" applyBorder="1"/>
    <xf numFmtId="14" fontId="3" fillId="4" borderId="9" xfId="0" applyNumberFormat="1" applyFont="1" applyFill="1" applyBorder="1"/>
    <xf numFmtId="14" fontId="3" fillId="6" borderId="4" xfId="0" applyNumberFormat="1" applyFont="1" applyFill="1" applyBorder="1" applyAlignment="1">
      <alignment horizontal="right"/>
    </xf>
    <xf numFmtId="0" fontId="2" fillId="0" borderId="0" xfId="0" applyFont="1"/>
    <xf numFmtId="17" fontId="0" fillId="0" borderId="0" xfId="0" applyNumberFormat="1"/>
    <xf numFmtId="15" fontId="0" fillId="0" borderId="0" xfId="0" applyNumberFormat="1"/>
    <xf numFmtId="0" fontId="0" fillId="0" borderId="0" xfId="0" applyNumberFormat="1"/>
    <xf numFmtId="3" fontId="0" fillId="0" borderId="0" xfId="4" applyNumberFormat="1" applyFont="1" applyAlignment="1">
      <alignment horizontal="center"/>
    </xf>
    <xf numFmtId="172" fontId="0" fillId="0" borderId="0" xfId="5" applyNumberFormat="1" applyFont="1"/>
    <xf numFmtId="174" fontId="0" fillId="0" borderId="0" xfId="21" applyNumberFormat="1" applyFont="1"/>
    <xf numFmtId="176" fontId="0" fillId="0" borderId="0" xfId="4" applyNumberFormat="1" applyFont="1"/>
    <xf numFmtId="169" fontId="0" fillId="0" borderId="0" xfId="0" applyNumberFormat="1" applyAlignment="1">
      <alignment horizontal="center"/>
    </xf>
    <xf numFmtId="187" fontId="0" fillId="0" borderId="0" xfId="5" applyNumberFormat="1" applyFont="1"/>
    <xf numFmtId="189" fontId="0" fillId="0" borderId="0" xfId="5" applyNumberFormat="1" applyFont="1"/>
    <xf numFmtId="169" fontId="2" fillId="0" borderId="0" xfId="0" applyNumberFormat="1" applyFont="1"/>
    <xf numFmtId="189" fontId="2" fillId="0" borderId="0" xfId="5" applyNumberFormat="1" applyFont="1"/>
    <xf numFmtId="191" fontId="2" fillId="0" borderId="0" xfId="5" applyNumberFormat="1" applyFont="1"/>
    <xf numFmtId="189" fontId="2" fillId="6" borderId="0" xfId="5" applyNumberFormat="1" applyFont="1" applyFill="1"/>
    <xf numFmtId="189" fontId="2" fillId="6" borderId="10" xfId="5" applyNumberFormat="1" applyFont="1" applyFill="1" applyBorder="1"/>
    <xf numFmtId="0" fontId="2" fillId="0" borderId="0" xfId="0" applyFont="1" applyFill="1"/>
    <xf numFmtId="0" fontId="0" fillId="0" borderId="0" xfId="0" applyFill="1"/>
    <xf numFmtId="189" fontId="7" fillId="0" borderId="0" xfId="5" applyNumberFormat="1" applyFont="1" applyFill="1"/>
    <xf numFmtId="187" fontId="2" fillId="0" borderId="0" xfId="5" applyNumberFormat="1" applyFont="1" applyFill="1"/>
    <xf numFmtId="0" fontId="2" fillId="0" borderId="0" xfId="0" applyFont="1" applyFill="1" applyAlignment="1">
      <alignment horizontal="right"/>
    </xf>
    <xf numFmtId="169" fontId="2" fillId="6" borderId="0" xfId="4" applyNumberFormat="1" applyFont="1" applyFill="1"/>
    <xf numFmtId="14" fontId="7" fillId="6" borderId="11" xfId="0" applyNumberFormat="1" applyFont="1" applyFill="1" applyBorder="1"/>
    <xf numFmtId="14" fontId="7" fillId="6" borderId="8" xfId="0" applyNumberFormat="1" applyFont="1" applyFill="1" applyBorder="1"/>
    <xf numFmtId="0" fontId="7" fillId="6" borderId="8" xfId="0" applyFont="1" applyFill="1" applyBorder="1"/>
    <xf numFmtId="0" fontId="7" fillId="6" borderId="9" xfId="0" applyFont="1" applyFill="1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3" fillId="0" borderId="15" xfId="0" applyFont="1" applyBorder="1"/>
    <xf numFmtId="0" fontId="0" fillId="0" borderId="16" xfId="0" applyBorder="1"/>
    <xf numFmtId="0" fontId="0" fillId="0" borderId="17" xfId="0" applyBorder="1"/>
    <xf numFmtId="0" fontId="14" fillId="0" borderId="18" xfId="0" applyFont="1" applyBorder="1"/>
    <xf numFmtId="167" fontId="7" fillId="0" borderId="0" xfId="0" applyNumberFormat="1" applyFont="1" applyFill="1" applyAlignment="1" applyProtection="1">
      <alignment horizontal="center"/>
      <protection locked="0"/>
    </xf>
    <xf numFmtId="0" fontId="7" fillId="0" borderId="0" xfId="0" applyFont="1" applyFill="1" applyAlignment="1" applyProtection="1">
      <alignment horizontal="center"/>
      <protection locked="0"/>
    </xf>
    <xf numFmtId="189" fontId="2" fillId="6" borderId="0" xfId="5" applyNumberFormat="1" applyFont="1" applyFill="1" applyProtection="1">
      <protection hidden="1"/>
    </xf>
    <xf numFmtId="14" fontId="2" fillId="0" borderId="0" xfId="0" applyNumberFormat="1" applyFont="1" applyFill="1" applyAlignment="1" applyProtection="1">
      <alignment horizontal="center"/>
      <protection locked="0"/>
    </xf>
    <xf numFmtId="17" fontId="2" fillId="0" borderId="0" xfId="0" applyNumberFormat="1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 applyProtection="1">
      <alignment horizontal="center"/>
    </xf>
    <xf numFmtId="9" fontId="2" fillId="0" borderId="0" xfId="0" applyNumberFormat="1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13" fillId="0" borderId="19" xfId="0" applyFont="1" applyBorder="1"/>
    <xf numFmtId="0" fontId="15" fillId="0" borderId="0" xfId="0" applyFont="1" applyAlignment="1">
      <alignment vertical="center"/>
    </xf>
    <xf numFmtId="0" fontId="2" fillId="0" borderId="0" xfId="0" applyFont="1" applyBorder="1"/>
    <xf numFmtId="0" fontId="2" fillId="0" borderId="0" xfId="0" applyFont="1" applyFill="1" applyBorder="1"/>
    <xf numFmtId="167" fontId="2" fillId="0" borderId="0" xfId="0" applyNumberFormat="1" applyFont="1" applyBorder="1"/>
    <xf numFmtId="0" fontId="2" fillId="0" borderId="0" xfId="0" applyFont="1" applyAlignment="1">
      <alignment horizontal="center"/>
    </xf>
    <xf numFmtId="44" fontId="7" fillId="0" borderId="0" xfId="5" applyFont="1" applyBorder="1"/>
    <xf numFmtId="179" fontId="0" fillId="0" borderId="0" xfId="4" applyNumberFormat="1" applyFont="1"/>
    <xf numFmtId="195" fontId="0" fillId="0" borderId="0" xfId="0" applyNumberFormat="1"/>
    <xf numFmtId="172" fontId="0" fillId="0" borderId="0" xfId="0" applyNumberFormat="1"/>
    <xf numFmtId="187" fontId="2" fillId="6" borderId="0" xfId="5" applyNumberFormat="1" applyFont="1" applyFill="1" applyBorder="1" applyAlignment="1">
      <alignment horizontal="center"/>
    </xf>
    <xf numFmtId="0" fontId="7" fillId="0" borderId="0" xfId="0" applyFont="1" applyBorder="1"/>
    <xf numFmtId="169" fontId="0" fillId="0" borderId="0" xfId="4" applyNumberFormat="1" applyFont="1"/>
    <xf numFmtId="10" fontId="0" fillId="0" borderId="0" xfId="21" applyNumberFormat="1" applyFont="1"/>
    <xf numFmtId="171" fontId="0" fillId="0" borderId="0" xfId="0" applyNumberFormat="1"/>
    <xf numFmtId="0" fontId="28" fillId="0" borderId="0" xfId="0" applyFont="1" applyBorder="1" applyAlignment="1">
      <alignment horizontal="center"/>
    </xf>
    <xf numFmtId="199" fontId="28" fillId="0" borderId="0" xfId="0" applyNumberFormat="1" applyFont="1" applyBorder="1" applyAlignment="1">
      <alignment horizontal="center"/>
    </xf>
    <xf numFmtId="172" fontId="7" fillId="0" borderId="0" xfId="5" applyNumberFormat="1" applyFont="1"/>
    <xf numFmtId="0" fontId="2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189" fontId="2" fillId="0" borderId="0" xfId="5" applyNumberFormat="1" applyFont="1" applyFill="1" applyBorder="1"/>
    <xf numFmtId="187" fontId="2" fillId="6" borderId="0" xfId="5" applyNumberFormat="1" applyFont="1" applyFill="1"/>
    <xf numFmtId="187" fontId="2" fillId="0" borderId="0" xfId="5" applyNumberFormat="1" applyFont="1" applyFill="1" applyBorder="1" applyAlignment="1">
      <alignment horizontal="center"/>
    </xf>
    <xf numFmtId="0" fontId="29" fillId="7" borderId="16" xfId="0" applyFont="1" applyFill="1" applyBorder="1"/>
    <xf numFmtId="0" fontId="30" fillId="0" borderId="0" xfId="0" applyFont="1"/>
    <xf numFmtId="0" fontId="0" fillId="0" borderId="0" xfId="0" applyFill="1" applyBorder="1"/>
    <xf numFmtId="0" fontId="31" fillId="0" borderId="0" xfId="0" applyFont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vertical="top"/>
    </xf>
    <xf numFmtId="0" fontId="13" fillId="0" borderId="0" xfId="0" applyFont="1"/>
    <xf numFmtId="14" fontId="13" fillId="0" borderId="0" xfId="0" applyNumberFormat="1" applyFont="1"/>
    <xf numFmtId="0" fontId="32" fillId="7" borderId="0" xfId="0" applyFont="1" applyFill="1"/>
    <xf numFmtId="0" fontId="33" fillId="7" borderId="0" xfId="0" applyFont="1" applyFill="1" applyBorder="1"/>
    <xf numFmtId="0" fontId="34" fillId="7" borderId="0" xfId="0" applyFont="1" applyFill="1"/>
    <xf numFmtId="0" fontId="0" fillId="0" borderId="0" xfId="0" applyFill="1" applyBorder="1" applyAlignment="1">
      <alignment horizontal="left" vertical="top" indent="5"/>
    </xf>
    <xf numFmtId="0" fontId="30" fillId="0" borderId="0" xfId="0" applyFont="1" applyFill="1" applyBorder="1" applyAlignment="1">
      <alignment vertical="top"/>
    </xf>
    <xf numFmtId="0" fontId="2" fillId="3" borderId="0" xfId="0" applyFont="1" applyFill="1"/>
    <xf numFmtId="175" fontId="36" fillId="6" borderId="0" xfId="4" applyNumberFormat="1" applyFont="1" applyFill="1" applyBorder="1"/>
    <xf numFmtId="0" fontId="0" fillId="3" borderId="0" xfId="0" applyFill="1"/>
    <xf numFmtId="175" fontId="36" fillId="6" borderId="20" xfId="4" applyNumberFormat="1" applyFont="1" applyFill="1" applyBorder="1"/>
    <xf numFmtId="172" fontId="36" fillId="6" borderId="0" xfId="5" applyNumberFormat="1" applyFont="1" applyFill="1" applyBorder="1"/>
    <xf numFmtId="0" fontId="33" fillId="7" borderId="21" xfId="0" applyFont="1" applyFill="1" applyBorder="1"/>
    <xf numFmtId="0" fontId="33" fillId="7" borderId="22" xfId="0" applyFont="1" applyFill="1" applyBorder="1"/>
    <xf numFmtId="0" fontId="34" fillId="7" borderId="23" xfId="0" applyFont="1" applyFill="1" applyBorder="1"/>
    <xf numFmtId="2" fontId="0" fillId="0" borderId="0" xfId="0" applyNumberFormat="1"/>
    <xf numFmtId="0" fontId="37" fillId="0" borderId="0" xfId="0" applyFont="1" applyFill="1" applyBorder="1"/>
    <xf numFmtId="172" fontId="23" fillId="5" borderId="0" xfId="5" applyNumberFormat="1" applyFont="1" applyFill="1" applyProtection="1">
      <protection locked="0"/>
    </xf>
    <xf numFmtId="0" fontId="0" fillId="0" borderId="0" xfId="0" applyFill="1" applyBorder="1" applyAlignment="1">
      <alignment vertical="top" wrapText="1"/>
    </xf>
    <xf numFmtId="0" fontId="38" fillId="0" borderId="0" xfId="0" applyFont="1" applyFill="1" applyBorder="1"/>
    <xf numFmtId="0" fontId="18" fillId="0" borderId="0" xfId="0" applyFont="1"/>
    <xf numFmtId="42" fontId="2" fillId="0" borderId="0" xfId="5" applyNumberFormat="1" applyFont="1"/>
    <xf numFmtId="0" fontId="39" fillId="0" borderId="0" xfId="0" applyFont="1"/>
    <xf numFmtId="0" fontId="30" fillId="0" borderId="21" xfId="0" applyFont="1" applyFill="1" applyBorder="1" applyAlignment="1">
      <alignment horizontal="right"/>
    </xf>
    <xf numFmtId="15" fontId="37" fillId="0" borderId="22" xfId="0" applyNumberFormat="1" applyFont="1" applyFill="1" applyBorder="1" applyAlignment="1">
      <alignment horizontal="center"/>
    </xf>
    <xf numFmtId="0" fontId="0" fillId="0" borderId="22" xfId="0" applyBorder="1"/>
    <xf numFmtId="0" fontId="30" fillId="0" borderId="22" xfId="0" applyFont="1" applyFill="1" applyBorder="1" applyAlignment="1">
      <alignment horizontal="right"/>
    </xf>
    <xf numFmtId="0" fontId="35" fillId="5" borderId="23" xfId="0" applyFont="1" applyFill="1" applyBorder="1" applyAlignment="1" applyProtection="1">
      <alignment horizontal="center"/>
      <protection locked="0"/>
    </xf>
    <xf numFmtId="0" fontId="0" fillId="0" borderId="18" xfId="0" applyBorder="1"/>
    <xf numFmtId="0" fontId="0" fillId="0" borderId="15" xfId="0" applyBorder="1"/>
    <xf numFmtId="0" fontId="30" fillId="0" borderId="0" xfId="0" applyFont="1" applyBorder="1"/>
    <xf numFmtId="0" fontId="30" fillId="0" borderId="19" xfId="0" applyFont="1" applyBorder="1"/>
    <xf numFmtId="0" fontId="30" fillId="0" borderId="16" xfId="0" applyFont="1" applyBorder="1"/>
    <xf numFmtId="0" fontId="30" fillId="0" borderId="17" xfId="0" applyFont="1" applyBorder="1"/>
    <xf numFmtId="0" fontId="30" fillId="0" borderId="15" xfId="0" applyFont="1" applyBorder="1"/>
    <xf numFmtId="0" fontId="35" fillId="0" borderId="0" xfId="0" applyFont="1" applyBorder="1" applyAlignment="1">
      <alignment vertical="center"/>
    </xf>
    <xf numFmtId="0" fontId="30" fillId="0" borderId="14" xfId="0" applyFont="1" applyBorder="1"/>
    <xf numFmtId="0" fontId="41" fillId="3" borderId="15" xfId="0" applyFont="1" applyFill="1" applyBorder="1"/>
    <xf numFmtId="0" fontId="41" fillId="3" borderId="0" xfId="0" applyFont="1" applyFill="1" applyBorder="1"/>
    <xf numFmtId="3" fontId="35" fillId="3" borderId="0" xfId="4" applyNumberFormat="1" applyFont="1" applyFill="1" applyBorder="1" applyAlignment="1" applyProtection="1">
      <alignment horizontal="center"/>
      <protection locked="0"/>
    </xf>
    <xf numFmtId="0" fontId="30" fillId="3" borderId="14" xfId="0" applyFont="1" applyFill="1" applyBorder="1"/>
    <xf numFmtId="0" fontId="42" fillId="3" borderId="18" xfId="0" applyFont="1" applyFill="1" applyBorder="1"/>
    <xf numFmtId="0" fontId="30" fillId="3" borderId="12" xfId="0" applyFont="1" applyFill="1" applyBorder="1"/>
    <xf numFmtId="0" fontId="35" fillId="3" borderId="12" xfId="0" applyFont="1" applyFill="1" applyBorder="1" applyAlignment="1">
      <alignment vertical="center"/>
    </xf>
    <xf numFmtId="0" fontId="30" fillId="3" borderId="13" xfId="0" applyFont="1" applyFill="1" applyBorder="1"/>
    <xf numFmtId="0" fontId="30" fillId="3" borderId="15" xfId="0" applyFont="1" applyFill="1" applyBorder="1"/>
    <xf numFmtId="0" fontId="30" fillId="3" borderId="0" xfId="0" applyFont="1" applyFill="1" applyBorder="1"/>
    <xf numFmtId="0" fontId="35" fillId="3" borderId="0" xfId="0" applyFont="1" applyFill="1" applyBorder="1" applyAlignment="1">
      <alignment vertical="center"/>
    </xf>
    <xf numFmtId="0" fontId="35" fillId="3" borderId="15" xfId="0" applyFont="1" applyFill="1" applyBorder="1" applyAlignment="1">
      <alignment vertical="center"/>
    </xf>
    <xf numFmtId="0" fontId="30" fillId="0" borderId="0" xfId="0" applyFont="1" applyAlignment="1">
      <alignment wrapText="1"/>
    </xf>
    <xf numFmtId="0" fontId="42" fillId="0" borderId="20" xfId="0" applyFont="1" applyBorder="1" applyAlignment="1">
      <alignment horizontal="center" wrapText="1"/>
    </xf>
    <xf numFmtId="0" fontId="42" fillId="3" borderId="24" xfId="0" applyFont="1" applyFill="1" applyBorder="1" applyAlignment="1">
      <alignment horizontal="center" wrapText="1"/>
    </xf>
    <xf numFmtId="0" fontId="42" fillId="3" borderId="20" xfId="0" applyFont="1" applyFill="1" applyBorder="1" applyAlignment="1">
      <alignment horizontal="center" wrapText="1"/>
    </xf>
    <xf numFmtId="0" fontId="42" fillId="3" borderId="25" xfId="0" applyFont="1" applyFill="1" applyBorder="1" applyAlignment="1">
      <alignment horizontal="center" wrapText="1"/>
    </xf>
    <xf numFmtId="0" fontId="30" fillId="0" borderId="15" xfId="0" applyFont="1" applyBorder="1" applyAlignment="1">
      <alignment wrapText="1"/>
    </xf>
    <xf numFmtId="0" fontId="43" fillId="3" borderId="19" xfId="0" applyFont="1" applyFill="1" applyBorder="1" applyAlignment="1">
      <alignment horizontal="center" wrapText="1"/>
    </xf>
    <xf numFmtId="0" fontId="43" fillId="3" borderId="16" xfId="0" applyFont="1" applyFill="1" applyBorder="1" applyAlignment="1">
      <alignment horizontal="center" wrapText="1"/>
    </xf>
    <xf numFmtId="0" fontId="44" fillId="3" borderId="16" xfId="0" applyFont="1" applyFill="1" applyBorder="1" applyAlignment="1">
      <alignment horizontal="center" wrapText="1"/>
    </xf>
    <xf numFmtId="0" fontId="30" fillId="0" borderId="14" xfId="0" applyFont="1" applyBorder="1" applyAlignment="1">
      <alignment wrapText="1"/>
    </xf>
    <xf numFmtId="0" fontId="42" fillId="3" borderId="26" xfId="0" applyFont="1" applyFill="1" applyBorder="1" applyAlignment="1">
      <alignment horizontal="center" wrapText="1"/>
    </xf>
    <xf numFmtId="0" fontId="42" fillId="3" borderId="27" xfId="0" applyFont="1" applyFill="1" applyBorder="1" applyAlignment="1">
      <alignment horizontal="center" wrapText="1"/>
    </xf>
    <xf numFmtId="0" fontId="42" fillId="3" borderId="28" xfId="0" applyFont="1" applyFill="1" applyBorder="1" applyAlignment="1">
      <alignment horizontal="center" wrapText="1"/>
    </xf>
    <xf numFmtId="17" fontId="30" fillId="0" borderId="0" xfId="0" applyNumberFormat="1" applyFont="1" applyAlignment="1">
      <alignment horizontal="center"/>
    </xf>
    <xf numFmtId="15" fontId="30" fillId="0" borderId="0" xfId="0" applyNumberFormat="1" applyFont="1" applyAlignment="1">
      <alignment horizontal="center"/>
    </xf>
    <xf numFmtId="172" fontId="30" fillId="0" borderId="15" xfId="5" applyNumberFormat="1" applyFont="1" applyBorder="1" applyProtection="1">
      <protection locked="0"/>
    </xf>
    <xf numFmtId="172" fontId="30" fillId="0" borderId="0" xfId="5" applyNumberFormat="1" applyFont="1" applyBorder="1"/>
    <xf numFmtId="172" fontId="35" fillId="5" borderId="0" xfId="5" applyNumberFormat="1" applyFont="1" applyFill="1" applyBorder="1" applyProtection="1">
      <protection locked="0"/>
    </xf>
    <xf numFmtId="172" fontId="30" fillId="3" borderId="0" xfId="5" applyNumberFormat="1" applyFont="1" applyFill="1" applyBorder="1"/>
    <xf numFmtId="187" fontId="30" fillId="0" borderId="15" xfId="5" applyNumberFormat="1" applyFont="1" applyBorder="1"/>
    <xf numFmtId="187" fontId="30" fillId="0" borderId="0" xfId="5" applyNumberFormat="1" applyFont="1" applyBorder="1"/>
    <xf numFmtId="187" fontId="30" fillId="0" borderId="14" xfId="5" applyNumberFormat="1" applyFont="1" applyBorder="1"/>
    <xf numFmtId="172" fontId="30" fillId="0" borderId="0" xfId="5" applyNumberFormat="1" applyFont="1" applyBorder="1" applyProtection="1">
      <protection locked="0"/>
    </xf>
    <xf numFmtId="172" fontId="30" fillId="0" borderId="16" xfId="5" applyNumberFormat="1" applyFont="1" applyBorder="1" applyProtection="1">
      <protection locked="0"/>
    </xf>
    <xf numFmtId="172" fontId="30" fillId="3" borderId="16" xfId="5" applyNumberFormat="1" applyFont="1" applyFill="1" applyBorder="1"/>
    <xf numFmtId="169" fontId="30" fillId="0" borderId="0" xfId="4" applyNumberFormat="1" applyFont="1"/>
    <xf numFmtId="0" fontId="45" fillId="3" borderId="0" xfId="0" applyFont="1" applyFill="1" applyBorder="1" applyAlignment="1">
      <alignment horizontal="right"/>
    </xf>
    <xf numFmtId="0" fontId="45" fillId="3" borderId="2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 vertical="top"/>
    </xf>
    <xf numFmtId="169" fontId="2" fillId="0" borderId="0" xfId="4" applyNumberFormat="1" applyFont="1" applyFill="1" applyBorder="1" applyAlignment="1">
      <alignment vertical="top"/>
    </xf>
    <xf numFmtId="43" fontId="2" fillId="0" borderId="0" xfId="4" applyFont="1" applyFill="1" applyBorder="1" applyAlignment="1">
      <alignment vertical="top"/>
    </xf>
    <xf numFmtId="0" fontId="30" fillId="0" borderId="0" xfId="0" applyFont="1" applyFill="1"/>
    <xf numFmtId="0" fontId="30" fillId="0" borderId="0" xfId="0" applyFont="1" applyFill="1" applyBorder="1"/>
    <xf numFmtId="0" fontId="44" fillId="0" borderId="0" xfId="0" applyFont="1" applyFill="1" applyBorder="1" applyAlignment="1">
      <alignment horizontal="center" wrapText="1"/>
    </xf>
    <xf numFmtId="172" fontId="30" fillId="0" borderId="0" xfId="5" applyNumberFormat="1" applyFont="1" applyFill="1" applyBorder="1"/>
    <xf numFmtId="0" fontId="40" fillId="0" borderId="29" xfId="0" applyFont="1" applyFill="1" applyBorder="1" applyAlignment="1">
      <alignment horizontal="center"/>
    </xf>
    <xf numFmtId="187" fontId="30" fillId="0" borderId="17" xfId="5" applyNumberFormat="1" applyFont="1" applyBorder="1"/>
    <xf numFmtId="0" fontId="23" fillId="0" borderId="0" xfId="0" applyFont="1" applyAlignment="1">
      <alignment wrapText="1"/>
    </xf>
    <xf numFmtId="17" fontId="47" fillId="5" borderId="0" xfId="0" applyNumberFormat="1" applyFont="1" applyFill="1" applyBorder="1" applyAlignment="1" applyProtection="1">
      <alignment horizontal="center"/>
      <protection locked="0"/>
    </xf>
    <xf numFmtId="0" fontId="28" fillId="0" borderId="0" xfId="0" applyFont="1"/>
    <xf numFmtId="0" fontId="0" fillId="6" borderId="0" xfId="0" applyFill="1"/>
    <xf numFmtId="167" fontId="47" fillId="5" borderId="0" xfId="0" applyNumberFormat="1" applyFont="1" applyFill="1" applyBorder="1" applyAlignment="1" applyProtection="1">
      <alignment horizontal="center"/>
      <protection locked="0"/>
    </xf>
    <xf numFmtId="167" fontId="2" fillId="0" borderId="0" xfId="0" applyNumberFormat="1" applyFont="1" applyFill="1" applyAlignment="1" applyProtection="1">
      <alignment horizontal="center"/>
      <protection locked="0"/>
    </xf>
    <xf numFmtId="167" fontId="2" fillId="0" borderId="0" xfId="0" applyNumberFormat="1" applyFont="1" applyFill="1" applyAlignment="1">
      <alignment horizontal="center"/>
    </xf>
    <xf numFmtId="0" fontId="7" fillId="5" borderId="12" xfId="0" applyFont="1" applyFill="1" applyBorder="1" applyAlignment="1">
      <alignment horizontal="center"/>
    </xf>
    <xf numFmtId="3" fontId="35" fillId="5" borderId="15" xfId="4" applyNumberFormat="1" applyFont="1" applyFill="1" applyBorder="1" applyAlignment="1" applyProtection="1">
      <alignment horizontal="center"/>
      <protection locked="0"/>
    </xf>
    <xf numFmtId="3" fontId="30" fillId="0" borderId="0" xfId="4" applyNumberFormat="1" applyFont="1" applyBorder="1" applyAlignment="1" applyProtection="1">
      <alignment horizontal="center"/>
    </xf>
    <xf numFmtId="169" fontId="2" fillId="0" borderId="0" xfId="4" applyNumberFormat="1" applyFont="1" applyFill="1" applyAlignment="1" applyProtection="1">
      <alignment horizontal="center"/>
      <protection locked="0"/>
    </xf>
    <xf numFmtId="3" fontId="2" fillId="0" borderId="0" xfId="4" applyNumberFormat="1" applyFont="1" applyFill="1" applyAlignment="1" applyProtection="1">
      <alignment horizontal="center"/>
      <protection locked="0"/>
    </xf>
    <xf numFmtId="3" fontId="47" fillId="0" borderId="16" xfId="4" applyNumberFormat="1" applyFont="1" applyFill="1" applyBorder="1" applyAlignment="1" applyProtection="1">
      <alignment horizontal="center"/>
      <protection locked="0"/>
    </xf>
    <xf numFmtId="0" fontId="42" fillId="0" borderId="0" xfId="0" applyFont="1" applyBorder="1"/>
    <xf numFmtId="0" fontId="2" fillId="0" borderId="0" xfId="0" applyFont="1" applyFill="1" applyAlignment="1" applyProtection="1">
      <alignment horizontal="center"/>
      <protection locked="0"/>
    </xf>
    <xf numFmtId="0" fontId="42" fillId="3" borderId="15" xfId="0" applyFont="1" applyFill="1" applyBorder="1"/>
    <xf numFmtId="0" fontId="47" fillId="3" borderId="0" xfId="0" applyFont="1" applyFill="1" applyBorder="1"/>
    <xf numFmtId="0" fontId="0" fillId="0" borderId="19" xfId="0" applyBorder="1"/>
    <xf numFmtId="0" fontId="2" fillId="0" borderId="13" xfId="0" applyFont="1" applyBorder="1"/>
    <xf numFmtId="0" fontId="2" fillId="6" borderId="14" xfId="0" applyFont="1" applyFill="1" applyBorder="1"/>
    <xf numFmtId="0" fontId="46" fillId="0" borderId="0" xfId="0" applyFont="1"/>
    <xf numFmtId="0" fontId="48" fillId="0" borderId="0" xfId="0" applyFont="1"/>
    <xf numFmtId="172" fontId="48" fillId="0" borderId="0" xfId="5" applyNumberFormat="1" applyFont="1"/>
    <xf numFmtId="0" fontId="49" fillId="3" borderId="12" xfId="0" applyFont="1" applyFill="1" applyBorder="1" applyAlignment="1">
      <alignment horizontal="right"/>
    </xf>
    <xf numFmtId="0" fontId="49" fillId="3" borderId="0" xfId="0" applyFont="1" applyFill="1" applyBorder="1" applyAlignment="1">
      <alignment horizontal="right"/>
    </xf>
    <xf numFmtId="0" fontId="30" fillId="3" borderId="30" xfId="0" applyFont="1" applyFill="1" applyBorder="1"/>
    <xf numFmtId="0" fontId="30" fillId="3" borderId="31" xfId="0" applyFont="1" applyFill="1" applyBorder="1"/>
    <xf numFmtId="0" fontId="44" fillId="3" borderId="32" xfId="0" applyFont="1" applyFill="1" applyBorder="1" applyAlignment="1">
      <alignment horizontal="center" wrapText="1"/>
    </xf>
    <xf numFmtId="172" fontId="30" fillId="0" borderId="31" xfId="5" applyNumberFormat="1" applyFont="1" applyBorder="1"/>
    <xf numFmtId="172" fontId="30" fillId="0" borderId="32" xfId="5" applyNumberFormat="1" applyFont="1" applyBorder="1"/>
    <xf numFmtId="3" fontId="30" fillId="0" borderId="33" xfId="4" applyNumberFormat="1" applyFont="1" applyBorder="1" applyAlignment="1" applyProtection="1">
      <alignment horizontal="center"/>
    </xf>
    <xf numFmtId="3" fontId="30" fillId="0" borderId="14" xfId="4" applyNumberFormat="1" applyFont="1" applyBorder="1" applyAlignment="1" applyProtection="1">
      <alignment horizontal="center"/>
    </xf>
    <xf numFmtId="0" fontId="46" fillId="0" borderId="0" xfId="0" applyNumberFormat="1" applyFont="1" applyBorder="1" applyAlignment="1">
      <alignment horizontal="center"/>
    </xf>
    <xf numFmtId="191" fontId="46" fillId="0" borderId="0" xfId="5" applyNumberFormat="1" applyFont="1"/>
    <xf numFmtId="169" fontId="46" fillId="0" borderId="0" xfId="0" applyNumberFormat="1" applyFont="1"/>
    <xf numFmtId="172" fontId="48" fillId="0" borderId="0" xfId="0" applyNumberFormat="1" applyFont="1"/>
    <xf numFmtId="10" fontId="48" fillId="0" borderId="0" xfId="21" applyNumberFormat="1" applyFont="1"/>
    <xf numFmtId="174" fontId="48" fillId="0" borderId="0" xfId="21" applyNumberFormat="1" applyFont="1"/>
    <xf numFmtId="169" fontId="48" fillId="0" borderId="0" xfId="4" applyNumberFormat="1" applyFont="1"/>
    <xf numFmtId="176" fontId="48" fillId="0" borderId="0" xfId="4" applyNumberFormat="1" applyFont="1"/>
    <xf numFmtId="171" fontId="48" fillId="0" borderId="0" xfId="0" applyNumberFormat="1" applyFont="1"/>
    <xf numFmtId="187" fontId="48" fillId="0" borderId="0" xfId="5" applyNumberFormat="1" applyFont="1"/>
    <xf numFmtId="0" fontId="30" fillId="3" borderId="26" xfId="0" applyFont="1" applyFill="1" applyBorder="1" applyAlignment="1">
      <alignment horizontal="center" wrapText="1"/>
    </xf>
    <xf numFmtId="0" fontId="30" fillId="3" borderId="27" xfId="0" applyFont="1" applyFill="1" applyBorder="1" applyAlignment="1">
      <alignment horizontal="center" wrapText="1"/>
    </xf>
    <xf numFmtId="10" fontId="30" fillId="0" borderId="15" xfId="21" applyNumberFormat="1" applyFont="1" applyBorder="1"/>
    <xf numFmtId="10" fontId="30" fillId="0" borderId="19" xfId="21" applyNumberFormat="1" applyFont="1" applyBorder="1"/>
    <xf numFmtId="10" fontId="30" fillId="0" borderId="0" xfId="21" applyNumberFormat="1" applyFont="1" applyBorder="1"/>
    <xf numFmtId="10" fontId="30" fillId="0" borderId="16" xfId="21" applyNumberFormat="1" applyFont="1" applyBorder="1"/>
    <xf numFmtId="10" fontId="35" fillId="5" borderId="0" xfId="21" applyNumberFormat="1" applyFont="1" applyFill="1" applyBorder="1"/>
    <xf numFmtId="172" fontId="30" fillId="0" borderId="0" xfId="5" applyNumberFormat="1" applyFont="1" applyFill="1" applyBorder="1" applyProtection="1">
      <protection locked="0"/>
    </xf>
    <xf numFmtId="0" fontId="10" fillId="0" borderId="0" xfId="0" applyFont="1" applyFill="1" applyAlignment="1">
      <alignment horizontal="center"/>
    </xf>
    <xf numFmtId="0" fontId="2" fillId="6" borderId="0" xfId="0" applyFont="1" applyFill="1"/>
    <xf numFmtId="0" fontId="7" fillId="0" borderId="0" xfId="0" applyFont="1" applyAlignment="1">
      <alignment horizontal="center"/>
    </xf>
    <xf numFmtId="172" fontId="28" fillId="0" borderId="0" xfId="5" applyNumberFormat="1" applyFont="1"/>
    <xf numFmtId="172" fontId="2" fillId="0" borderId="0" xfId="5" applyNumberFormat="1" applyFont="1"/>
    <xf numFmtId="172" fontId="30" fillId="0" borderId="33" xfId="5" applyNumberFormat="1" applyFont="1" applyBorder="1"/>
    <xf numFmtId="172" fontId="30" fillId="0" borderId="14" xfId="5" applyNumberFormat="1" applyFont="1" applyBorder="1"/>
    <xf numFmtId="189" fontId="46" fillId="0" borderId="0" xfId="5" applyNumberFormat="1" applyFont="1"/>
    <xf numFmtId="187" fontId="48" fillId="0" borderId="0" xfId="0" applyNumberFormat="1" applyFont="1"/>
    <xf numFmtId="187" fontId="36" fillId="6" borderId="0" xfId="5" applyNumberFormat="1" applyFont="1" applyFill="1" applyBorder="1"/>
    <xf numFmtId="0" fontId="50" fillId="0" borderId="0" xfId="0" applyFont="1" applyFill="1" applyBorder="1"/>
    <xf numFmtId="14" fontId="0" fillId="0" borderId="0" xfId="0" applyNumberFormat="1"/>
    <xf numFmtId="187" fontId="30" fillId="0" borderId="0" xfId="5" applyNumberFormat="1" applyFont="1"/>
    <xf numFmtId="187" fontId="0" fillId="0" borderId="0" xfId="0" applyNumberFormat="1"/>
    <xf numFmtId="206" fontId="47" fillId="5" borderId="0" xfId="5" applyNumberFormat="1" applyFont="1" applyFill="1" applyBorder="1" applyAlignment="1" applyProtection="1">
      <alignment horizontal="center"/>
      <protection locked="0"/>
    </xf>
    <xf numFmtId="0" fontId="23" fillId="0" borderId="0" xfId="0" applyFont="1" applyFill="1" applyBorder="1" applyAlignment="1">
      <alignment vertical="top" wrapText="1"/>
    </xf>
    <xf numFmtId="0" fontId="11" fillId="7" borderId="18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40" fillId="7" borderId="18" xfId="0" applyFont="1" applyFill="1" applyBorder="1" applyAlignment="1">
      <alignment horizontal="center"/>
    </xf>
    <xf numFmtId="0" fontId="40" fillId="7" borderId="12" xfId="0" applyFont="1" applyFill="1" applyBorder="1" applyAlignment="1">
      <alignment horizontal="center"/>
    </xf>
    <xf numFmtId="0" fontId="40" fillId="7" borderId="13" xfId="0" applyFont="1" applyFill="1" applyBorder="1" applyAlignment="1">
      <alignment horizontal="center"/>
    </xf>
    <xf numFmtId="0" fontId="40" fillId="7" borderId="1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1" fillId="8" borderId="0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</cellXfs>
  <cellStyles count="31">
    <cellStyle name="0" xfId="1"/>
    <cellStyle name="Actual Date" xfId="2"/>
    <cellStyle name="Column_Title" xfId="3"/>
    <cellStyle name="Comma" xfId="4" builtinId="3"/>
    <cellStyle name="Currency" xfId="5" builtinId="4"/>
    <cellStyle name="Date" xfId="6"/>
    <cellStyle name="Fixed" xfId="7"/>
    <cellStyle name="Followe೤ Hyperlink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Milliers [0]_laroux" xfId="15"/>
    <cellStyle name="Milliers_laroux" xfId="16"/>
    <cellStyle name="Monétaire [0]_laroux" xfId="17"/>
    <cellStyle name="Monétaire_laroux" xfId="18"/>
    <cellStyle name="no dec" xfId="19"/>
    <cellStyle name="Normal" xfId="0" builtinId="0"/>
    <cellStyle name="Normal - Style1" xfId="20"/>
    <cellStyle name="Percent" xfId="21" builtinId="5"/>
    <cellStyle name="Percent [2]" xfId="22"/>
    <cellStyle name="Total" xfId="23" builtinId="25" customBuiltin="1"/>
    <cellStyle name="Tusental (0)_laroux" xfId="24"/>
    <cellStyle name="Tusental_laroux" xfId="25"/>
    <cellStyle name="Unprot" xfId="26"/>
    <cellStyle name="Unprot$" xfId="27"/>
    <cellStyle name="Unprotect" xfId="28"/>
    <cellStyle name="Valuta (0)_laroux" xfId="29"/>
    <cellStyle name="Valuta_laroux" xfId="30"/>
  </cellStyles>
  <dxfs count="24">
    <dxf>
      <fill>
        <patternFill>
          <bgColor indexed="40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auto="1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55"/>
      </font>
      <fill>
        <patternFill>
          <bgColor indexed="22"/>
        </patternFill>
      </fill>
    </dxf>
    <dxf>
      <font>
        <condense val="0"/>
        <extend val="0"/>
        <color indexed="55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ill>
        <patternFill patternType="solid">
          <bgColor indexed="43"/>
        </patternFill>
      </fill>
    </dxf>
    <dxf>
      <font>
        <condense val="0"/>
        <extend val="0"/>
        <color indexed="22"/>
      </font>
    </dxf>
    <dxf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55"/>
      </font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22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 Analysis</a:t>
            </a:r>
          </a:p>
        </c:rich>
      </c:tx>
      <c:layout>
        <c:manualLayout>
          <c:xMode val="edge"/>
          <c:yMode val="edge"/>
          <c:x val="0.43391745751489735"/>
          <c:y val="4.83888592999800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42343900916743"/>
          <c:y val="0.18817889727770007"/>
          <c:w val="0.83672972094270537"/>
          <c:h val="0.60217247128864015"/>
        </c:manualLayout>
      </c:layout>
      <c:lineChart>
        <c:grouping val="standard"/>
        <c:varyColors val="0"/>
        <c:ser>
          <c:idx val="0"/>
          <c:order val="0"/>
          <c:tx>
            <c:strRef>
              <c:f>Control!$C$31</c:f>
              <c:strCache>
                <c:ptCount val="1"/>
                <c:pt idx="0">
                  <c:v>IF-ELPO/SJ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[0]!Chart_Date</c:f>
              <c:numCache>
                <c:formatCode>mmm\-yy</c:formatCode>
                <c:ptCount val="4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</c:numCache>
            </c:numRef>
          </c:cat>
          <c:val>
            <c:numRef>
              <c:f>[0]!Chart_Rec</c:f>
              <c:numCache>
                <c:formatCode>_("$"* #,##0.000_);_("$"* \(#,##0.000\);_("$"* "-"??_);_(@_)</c:formatCode>
                <c:ptCount val="4"/>
                <c:pt idx="0">
                  <c:v>-0.35000000000000003</c:v>
                </c:pt>
                <c:pt idx="1">
                  <c:v>-0.29499999999999998</c:v>
                </c:pt>
                <c:pt idx="2">
                  <c:v>-0.3</c:v>
                </c:pt>
                <c:pt idx="3">
                  <c:v>-0.33500000000000002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40EE-B8C9-7E8FC7DF2B68}"/>
            </c:ext>
          </c:extLst>
        </c:ser>
        <c:ser>
          <c:idx val="1"/>
          <c:order val="1"/>
          <c:tx>
            <c:strRef>
              <c:f>Control!$F$31</c:f>
              <c:strCache>
                <c:ptCount val="1"/>
              </c:strCache>
            </c:strRef>
          </c:tx>
          <c:spPr>
            <a:ln w="254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[0]!Chart_Date</c:f>
              <c:numCache>
                <c:formatCode>mmm\-yy</c:formatCode>
                <c:ptCount val="4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</c:numCache>
            </c:numRef>
          </c:cat>
          <c:val>
            <c:numRef>
              <c:f>[0]!Chart_Del</c:f>
              <c:numCache>
                <c:formatCode>_("$"* #,##0.000_);_("$"* \(#,##0.000\);_("$"*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40EE-B8C9-7E8FC7DF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91535"/>
        <c:axId val="1"/>
      </c:lineChart>
      <c:dateAx>
        <c:axId val="1601915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_(&quot;$&quot;* #,##0.000_);_(&quot;$&quot;* \(#,##0.0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191535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458589928877055"/>
          <c:y val="0.8387402278663203"/>
          <c:w val="0.23017843624446169"/>
          <c:h val="0.118283878288840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Drop" dropLines="12" dropStyle="combo" dx="22" fmlaLink="Control!$AJ$10" fmlaRange="Control!$AJ$11:$AJ$22" sel="1" val="0"/>
</file>

<file path=xl/ctrlProps/ctrlProp2.xml><?xml version="1.0" encoding="utf-8"?>
<formControlPr xmlns="http://schemas.microsoft.com/office/spreadsheetml/2009/9/main" objectType="Drop" dropLines="2" dropStyle="combo" dx="22" fmlaLink="Control!$Y$26" fmlaRange="Control!$Y$27:$Y$28" sel="1" val="0"/>
</file>

<file path=xl/ctrlProps/ctrlProp3.xml><?xml version="1.0" encoding="utf-8"?>
<formControlPr xmlns="http://schemas.microsoft.com/office/spreadsheetml/2009/9/main" objectType="Drop" dropLines="2" dropStyle="combo" dx="22" fmlaLink="Control!$Y$31" fmlaRange="Control!$Y$32:$Y$33" sel="1" val="0"/>
</file>

<file path=xl/ctrlProps/ctrlProp4.xml><?xml version="1.0" encoding="utf-8"?>
<formControlPr xmlns="http://schemas.microsoft.com/office/spreadsheetml/2009/9/main" objectType="Drop" dropLines="2" dropStyle="combo" dx="22" fmlaLink="Control!$Y$37" fmlaRange="Control!$Y$38:$Y$39" sel="1" val="0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38100</xdr:rowOff>
        </xdr:from>
        <xdr:to>
          <xdr:col>13</xdr:col>
          <xdr:colOff>962025</xdr:colOff>
          <xdr:row>24</xdr:row>
          <xdr:rowOff>9525</xdr:rowOff>
        </xdr:to>
        <xdr:sp macro="" textlink="">
          <xdr:nvSpPr>
            <xdr:cNvPr id="6153" name="Drop Down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9D9C2508-6228-81FA-C935-C7D9FA54AA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26</xdr:row>
          <xdr:rowOff>28575</xdr:rowOff>
        </xdr:from>
        <xdr:to>
          <xdr:col>9</xdr:col>
          <xdr:colOff>304800</xdr:colOff>
          <xdr:row>27</xdr:row>
          <xdr:rowOff>0</xdr:rowOff>
        </xdr:to>
        <xdr:sp macro="" textlink="">
          <xdr:nvSpPr>
            <xdr:cNvPr id="6154" name="Drop Down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FA1E0517-921A-1629-5D97-BFDF65E6C2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26</xdr:row>
          <xdr:rowOff>28575</xdr:rowOff>
        </xdr:from>
        <xdr:to>
          <xdr:col>13</xdr:col>
          <xdr:colOff>314325</xdr:colOff>
          <xdr:row>26</xdr:row>
          <xdr:rowOff>228600</xdr:rowOff>
        </xdr:to>
        <xdr:sp macro="" textlink="">
          <xdr:nvSpPr>
            <xdr:cNvPr id="6156" name="Drop Down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F1708AE3-B2DA-7338-02BD-23229D1B10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26</xdr:row>
          <xdr:rowOff>28575</xdr:rowOff>
        </xdr:from>
        <xdr:to>
          <xdr:col>17</xdr:col>
          <xdr:colOff>314325</xdr:colOff>
          <xdr:row>26</xdr:row>
          <xdr:rowOff>228600</xdr:rowOff>
        </xdr:to>
        <xdr:sp macro="" textlink="">
          <xdr:nvSpPr>
            <xdr:cNvPr id="6157" name="Drop Down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2781E7DA-0A18-1CD7-204B-731F289CF7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14</xdr:row>
          <xdr:rowOff>66675</xdr:rowOff>
        </xdr:from>
        <xdr:to>
          <xdr:col>3</xdr:col>
          <xdr:colOff>476250</xdr:colOff>
          <xdr:row>17</xdr:row>
          <xdr:rowOff>76200</xdr:rowOff>
        </xdr:to>
        <xdr:sp macro="" textlink="">
          <xdr:nvSpPr>
            <xdr:cNvPr id="6184" name="Button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6D2CDA4C-D0DC-5FBF-BD16-CCE4071413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Press to Update Curves</a:t>
              </a:r>
            </a:p>
          </xdr:txBody>
        </xdr:sp>
        <xdr:clientData/>
      </xdr:twoCellAnchor>
    </mc:Choice>
    <mc:Fallback/>
  </mc:AlternateContent>
  <xdr:twoCellAnchor>
    <xdr:from>
      <xdr:col>4</xdr:col>
      <xdr:colOff>0</xdr:colOff>
      <xdr:row>14</xdr:row>
      <xdr:rowOff>0</xdr:rowOff>
    </xdr:from>
    <xdr:to>
      <xdr:col>7</xdr:col>
      <xdr:colOff>0</xdr:colOff>
      <xdr:row>17</xdr:row>
      <xdr:rowOff>28575</xdr:rowOff>
    </xdr:to>
    <xdr:sp macro="" textlink="">
      <xdr:nvSpPr>
        <xdr:cNvPr id="6187" name="Rectangle 43">
          <a:extLst>
            <a:ext uri="{FF2B5EF4-FFF2-40B4-BE49-F238E27FC236}">
              <a16:creationId xmlns:a16="http://schemas.microsoft.com/office/drawing/2014/main" id="{49A56FF9-41B7-DE0C-34B3-DC29223777EB}"/>
            </a:ext>
          </a:extLst>
        </xdr:cNvPr>
        <xdr:cNvSpPr>
          <a:spLocks noChangeArrowheads="1"/>
        </xdr:cNvSpPr>
      </xdr:nvSpPr>
      <xdr:spPr bwMode="auto">
        <a:xfrm>
          <a:off x="3343275" y="2305050"/>
          <a:ext cx="2752725" cy="609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6</xdr:row>
      <xdr:rowOff>0</xdr:rowOff>
    </xdr:from>
    <xdr:to>
      <xdr:col>7</xdr:col>
      <xdr:colOff>0</xdr:colOff>
      <xdr:row>13</xdr:row>
      <xdr:rowOff>9525</xdr:rowOff>
    </xdr:to>
    <xdr:sp macro="" textlink="">
      <xdr:nvSpPr>
        <xdr:cNvPr id="6188" name="Rectangle 44">
          <a:extLst>
            <a:ext uri="{FF2B5EF4-FFF2-40B4-BE49-F238E27FC236}">
              <a16:creationId xmlns:a16="http://schemas.microsoft.com/office/drawing/2014/main" id="{EF5519DB-BE71-74FA-FB66-AEDE5A3C225F}"/>
            </a:ext>
          </a:extLst>
        </xdr:cNvPr>
        <xdr:cNvSpPr>
          <a:spLocks noChangeArrowheads="1"/>
        </xdr:cNvSpPr>
      </xdr:nvSpPr>
      <xdr:spPr bwMode="auto">
        <a:xfrm>
          <a:off x="161925" y="619125"/>
          <a:ext cx="5934075" cy="1533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24</xdr:row>
          <xdr:rowOff>85725</xdr:rowOff>
        </xdr:from>
        <xdr:to>
          <xdr:col>5</xdr:col>
          <xdr:colOff>1028700</xdr:colOff>
          <xdr:row>26</xdr:row>
          <xdr:rowOff>76200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FBB014A-0191-89AA-D33F-F274CEF681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Press to Update Curves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0</xdr:colOff>
      <xdr:row>2</xdr:row>
      <xdr:rowOff>0</xdr:rowOff>
    </xdr:from>
    <xdr:to>
      <xdr:col>6</xdr:col>
      <xdr:colOff>0</xdr:colOff>
      <xdr:row>13</xdr:row>
      <xdr:rowOff>57150</xdr:rowOff>
    </xdr:to>
    <xdr:sp macro="" textlink="">
      <xdr:nvSpPr>
        <xdr:cNvPr id="2065" name="Rectangle 17">
          <a:extLst>
            <a:ext uri="{FF2B5EF4-FFF2-40B4-BE49-F238E27FC236}">
              <a16:creationId xmlns:a16="http://schemas.microsoft.com/office/drawing/2014/main" id="{E968959E-1C05-7A0B-AE29-B48E05CEF2BA}"/>
            </a:ext>
          </a:extLst>
        </xdr:cNvPr>
        <xdr:cNvSpPr>
          <a:spLocks noChangeArrowheads="1"/>
        </xdr:cNvSpPr>
      </xdr:nvSpPr>
      <xdr:spPr bwMode="auto">
        <a:xfrm>
          <a:off x="266700" y="323850"/>
          <a:ext cx="6115050" cy="1866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81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24</xdr:row>
      <xdr:rowOff>9525</xdr:rowOff>
    </xdr:from>
    <xdr:to>
      <xdr:col>6</xdr:col>
      <xdr:colOff>0</xdr:colOff>
      <xdr:row>39</xdr:row>
      <xdr:rowOff>114300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83A4BFBB-C330-8546-0A38-C3E2A8E7B2BC}"/>
            </a:ext>
          </a:extLst>
        </xdr:cNvPr>
        <xdr:cNvSpPr>
          <a:spLocks noChangeArrowheads="1"/>
        </xdr:cNvSpPr>
      </xdr:nvSpPr>
      <xdr:spPr bwMode="auto">
        <a:xfrm>
          <a:off x="266700" y="4105275"/>
          <a:ext cx="6115050" cy="25336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81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16</xdr:row>
      <xdr:rowOff>9525</xdr:rowOff>
    </xdr:from>
    <xdr:to>
      <xdr:col>3</xdr:col>
      <xdr:colOff>0</xdr:colOff>
      <xdr:row>21</xdr:row>
      <xdr:rowOff>19050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993557E1-E626-1AC5-7308-9E1789B8CB55}"/>
            </a:ext>
          </a:extLst>
        </xdr:cNvPr>
        <xdr:cNvSpPr>
          <a:spLocks noChangeArrowheads="1"/>
        </xdr:cNvSpPr>
      </xdr:nvSpPr>
      <xdr:spPr bwMode="auto">
        <a:xfrm>
          <a:off x="266700" y="2800350"/>
          <a:ext cx="2752725" cy="8286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81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16</xdr:row>
      <xdr:rowOff>9525</xdr:rowOff>
    </xdr:from>
    <xdr:to>
      <xdr:col>6</xdr:col>
      <xdr:colOff>0</xdr:colOff>
      <xdr:row>21</xdr:row>
      <xdr:rowOff>19050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CCB72479-B804-635B-08D9-59C76D415097}"/>
            </a:ext>
          </a:extLst>
        </xdr:cNvPr>
        <xdr:cNvSpPr>
          <a:spLocks noChangeArrowheads="1"/>
        </xdr:cNvSpPr>
      </xdr:nvSpPr>
      <xdr:spPr bwMode="auto">
        <a:xfrm>
          <a:off x="3629025" y="2800350"/>
          <a:ext cx="2752725" cy="8286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81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381000</xdr:colOff>
      <xdr:row>1</xdr:row>
      <xdr:rowOff>0</xdr:rowOff>
    </xdr:from>
    <xdr:to>
      <xdr:col>10</xdr:col>
      <xdr:colOff>0</xdr:colOff>
      <xdr:row>5</xdr:row>
      <xdr:rowOff>47625</xdr:rowOff>
    </xdr:to>
    <xdr:sp macro="" textlink="">
      <xdr:nvSpPr>
        <xdr:cNvPr id="2114" name="Rectangle 66">
          <a:extLst>
            <a:ext uri="{FF2B5EF4-FFF2-40B4-BE49-F238E27FC236}">
              <a16:creationId xmlns:a16="http://schemas.microsoft.com/office/drawing/2014/main" id="{F8C205C3-32C1-C47A-9F4F-38917BAE43DF}"/>
            </a:ext>
          </a:extLst>
        </xdr:cNvPr>
        <xdr:cNvSpPr>
          <a:spLocks noChangeArrowheads="1"/>
        </xdr:cNvSpPr>
      </xdr:nvSpPr>
      <xdr:spPr bwMode="auto">
        <a:xfrm>
          <a:off x="6848475" y="161925"/>
          <a:ext cx="2457450" cy="695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81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152400</xdr:rowOff>
    </xdr:from>
    <xdr:to>
      <xdr:col>10</xdr:col>
      <xdr:colOff>9525</xdr:colOff>
      <xdr:row>14</xdr:row>
      <xdr:rowOff>28575</xdr:rowOff>
    </xdr:to>
    <xdr:sp macro="" textlink="">
      <xdr:nvSpPr>
        <xdr:cNvPr id="2115" name="Rectangle 67">
          <a:extLst>
            <a:ext uri="{FF2B5EF4-FFF2-40B4-BE49-F238E27FC236}">
              <a16:creationId xmlns:a16="http://schemas.microsoft.com/office/drawing/2014/main" id="{7E445922-8489-C2AF-5BA9-0B1EE9F1F666}"/>
            </a:ext>
          </a:extLst>
        </xdr:cNvPr>
        <xdr:cNvSpPr>
          <a:spLocks noChangeArrowheads="1"/>
        </xdr:cNvSpPr>
      </xdr:nvSpPr>
      <xdr:spPr bwMode="auto">
        <a:xfrm>
          <a:off x="6848475" y="1133475"/>
          <a:ext cx="2466975" cy="1190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81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43</xdr:row>
      <xdr:rowOff>0</xdr:rowOff>
    </xdr:from>
    <xdr:to>
      <xdr:col>6</xdr:col>
      <xdr:colOff>9525</xdr:colOff>
      <xdr:row>53</xdr:row>
      <xdr:rowOff>152400</xdr:rowOff>
    </xdr:to>
    <xdr:graphicFrame macro="">
      <xdr:nvGraphicFramePr>
        <xdr:cNvPr id="2127" name="Chart 79">
          <a:extLst>
            <a:ext uri="{FF2B5EF4-FFF2-40B4-BE49-F238E27FC236}">
              <a16:creationId xmlns:a16="http://schemas.microsoft.com/office/drawing/2014/main" id="{D5FBCC4E-D26E-72C9-ACF5-B70F2FD8C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190500</xdr:colOff>
          <xdr:row>15</xdr:row>
          <xdr:rowOff>0</xdr:rowOff>
        </xdr:from>
        <xdr:to>
          <xdr:col>10</xdr:col>
          <xdr:colOff>0</xdr:colOff>
          <xdr:row>16</xdr:row>
          <xdr:rowOff>142875</xdr:rowOff>
        </xdr:to>
        <xdr:sp macro="" textlink="">
          <xdr:nvSpPr>
            <xdr:cNvPr id="2128" name="Button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2F26C958-7B23-B3F5-F0E1-CF53D9A82E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Press to Print Full Page Chart Only</a:t>
              </a:r>
            </a:p>
          </xdr:txBody>
        </xdr:sp>
        <xdr:clientData/>
      </xdr:twoCellAnchor>
    </mc:Choice>
    <mc:Fallback/>
  </mc:AlternateContent>
  <xdr:twoCellAnchor>
    <xdr:from>
      <xdr:col>7</xdr:col>
      <xdr:colOff>180975</xdr:colOff>
      <xdr:row>18</xdr:row>
      <xdr:rowOff>66675</xdr:rowOff>
    </xdr:from>
    <xdr:to>
      <xdr:col>10</xdr:col>
      <xdr:colOff>266700</xdr:colOff>
      <xdr:row>41</xdr:row>
      <xdr:rowOff>0</xdr:rowOff>
    </xdr:to>
    <xdr:sp macro="" textlink="">
      <xdr:nvSpPr>
        <xdr:cNvPr id="2130" name="Text Box 82">
          <a:extLst>
            <a:ext uri="{FF2B5EF4-FFF2-40B4-BE49-F238E27FC236}">
              <a16:creationId xmlns:a16="http://schemas.microsoft.com/office/drawing/2014/main" id="{B68212A7-4FB0-4859-3429-76B2C7116473}"/>
            </a:ext>
          </a:extLst>
        </xdr:cNvPr>
        <xdr:cNvSpPr txBox="1">
          <a:spLocks noChangeArrowheads="1"/>
        </xdr:cNvSpPr>
      </xdr:nvSpPr>
      <xdr:spPr bwMode="auto">
        <a:xfrm>
          <a:off x="6829425" y="3190875"/>
          <a:ext cx="2743200" cy="3657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1" i="1" u="none" strike="noStrike" baseline="0">
              <a:solidFill>
                <a:srgbClr val="000000"/>
              </a:solidFill>
              <a:latin typeface="Arial"/>
              <a:cs typeface="Arial"/>
            </a:rPr>
            <a:t>Instructions:</a:t>
          </a: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Arial"/>
              <a:cs typeface="Arial"/>
            </a:rPr>
            <a:t>Blue Font </a:t>
          </a: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requires user inputs.</a:t>
          </a:r>
        </a:p>
        <a:p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Black Font indicates cells which update automatically or do not require user to initiate changes.</a:t>
          </a:r>
        </a:p>
        <a:p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Cells with yellow background indicate valuation outputs.</a:t>
          </a:r>
        </a:p>
        <a:p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1)  Input deal length and volumes</a:t>
          </a:r>
        </a:p>
        <a:p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2)  Entire desired mid curve date</a:t>
          </a:r>
        </a:p>
        <a:p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3)  Choose desired receipt and delivery point curves</a:t>
          </a:r>
        </a:p>
        <a:p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4) Choose which cells to customize, if any, and input customization on the custom curves page.</a:t>
          </a:r>
        </a:p>
        <a:p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5)  Press update curves and check for any warning flags.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8</xdr:row>
          <xdr:rowOff>38100</xdr:rowOff>
        </xdr:from>
        <xdr:to>
          <xdr:col>2</xdr:col>
          <xdr:colOff>28575</xdr:colOff>
          <xdr:row>10</xdr:row>
          <xdr:rowOff>28575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71C766D-8039-4C8C-B430-1A85549FFF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edate"/>
      <definedName name="eomonth"/>
      <definedName name="WORKDAY"/>
    </defined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BB187"/>
  <sheetViews>
    <sheetView showGridLines="0" tabSelected="1" zoomScale="75" workbookViewId="0">
      <selection activeCell="I9" sqref="I9"/>
    </sheetView>
  </sheetViews>
  <sheetFormatPr defaultRowHeight="12.75"/>
  <cols>
    <col min="1" max="1" width="2.42578125" style="84" customWidth="1"/>
    <col min="2" max="2" width="19" style="84" bestFit="1" customWidth="1"/>
    <col min="3" max="3" width="13.28515625" style="84" customWidth="1"/>
    <col min="4" max="4" width="15.42578125" style="84" bestFit="1" customWidth="1"/>
    <col min="5" max="5" width="13" style="84" customWidth="1"/>
    <col min="6" max="7" width="14.140625" style="84" customWidth="1"/>
    <col min="8" max="8" width="2.85546875" style="84" customWidth="1"/>
    <col min="9" max="9" width="15.5703125" style="84" customWidth="1"/>
    <col min="10" max="10" width="13.140625" style="84" customWidth="1"/>
    <col min="11" max="12" width="12.85546875" style="84" customWidth="1"/>
    <col min="13" max="13" width="14.7109375" style="84" customWidth="1"/>
    <col min="14" max="14" width="14.85546875" style="84" customWidth="1"/>
    <col min="15" max="16" width="11.85546875" style="84" customWidth="1"/>
    <col min="17" max="17" width="14.7109375" style="84" customWidth="1"/>
    <col min="18" max="18" width="14.85546875" style="84" customWidth="1"/>
    <col min="19" max="20" width="11.85546875" style="84" customWidth="1"/>
    <col min="21" max="21" width="13.7109375" style="84" customWidth="1"/>
    <col min="22" max="22" width="4.5703125" style="169" customWidth="1"/>
    <col min="23" max="23" width="14.5703125" style="84" customWidth="1"/>
    <col min="24" max="24" width="12.28515625" style="84" customWidth="1"/>
    <col min="25" max="28" width="14.85546875" style="84" customWidth="1"/>
    <col min="29" max="29" width="4.42578125" style="84" customWidth="1"/>
    <col min="30" max="30" width="14.5703125" style="84" customWidth="1"/>
    <col min="31" max="34" width="12.28515625" style="84" customWidth="1"/>
    <col min="35" max="35" width="14.85546875" style="84" customWidth="1"/>
    <col min="36" max="36" width="11.28515625" style="84" customWidth="1"/>
    <col min="37" max="37" width="10.28515625" style="84" customWidth="1"/>
    <col min="38" max="38" width="9.140625" style="84"/>
    <col min="39" max="39" width="11.85546875" style="84" customWidth="1"/>
    <col min="40" max="40" width="15.5703125" style="84" bestFit="1" customWidth="1"/>
    <col min="41" max="41" width="10.28515625" style="84" customWidth="1"/>
    <col min="42" max="43" width="9.140625" style="84"/>
    <col min="44" max="44" width="11.5703125" style="84" customWidth="1"/>
    <col min="45" max="53" width="9.140625" style="84"/>
    <col min="54" max="54" width="38.85546875" style="84" bestFit="1" customWidth="1"/>
    <col min="55" max="16384" width="9.140625" style="84"/>
  </cols>
  <sheetData>
    <row r="1" spans="1:54" s="83" customFormat="1" ht="19.5">
      <c r="A1" s="83" t="s">
        <v>103</v>
      </c>
    </row>
    <row r="2" spans="1:54" customFormat="1" ht="3.75" customHeight="1">
      <c r="V2" s="35"/>
    </row>
    <row r="3" spans="1:54" customFormat="1" hidden="1">
      <c r="B3" s="84"/>
      <c r="C3" s="175"/>
      <c r="D3" s="87"/>
      <c r="E3" s="87"/>
      <c r="F3" s="87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169"/>
      <c r="W3" s="84"/>
      <c r="AC3" s="84"/>
      <c r="AD3" s="84"/>
    </row>
    <row r="4" spans="1:54" customFormat="1" hidden="1">
      <c r="C4" s="87"/>
      <c r="D4" s="87"/>
      <c r="E4" s="87"/>
      <c r="F4" s="87"/>
      <c r="J4" s="63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AC4" s="85"/>
      <c r="AD4" s="85"/>
    </row>
    <row r="5" spans="1:54" customFormat="1" ht="12.75" customHeight="1">
      <c r="C5" s="86"/>
      <c r="D5" s="87"/>
      <c r="E5" s="87"/>
      <c r="F5" s="87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AC5" s="88"/>
      <c r="AD5" s="88"/>
    </row>
    <row r="6" spans="1:54" customFormat="1" ht="12.75" customHeight="1">
      <c r="B6" s="89"/>
      <c r="D6" s="90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240"/>
      <c r="V6" s="240"/>
      <c r="W6" s="240"/>
      <c r="X6" s="240"/>
      <c r="Y6" s="240"/>
      <c r="Z6" s="240"/>
      <c r="AA6" s="240"/>
      <c r="AB6" s="240"/>
      <c r="AC6" s="240"/>
      <c r="AD6" s="240"/>
    </row>
    <row r="7" spans="1:54" customFormat="1" ht="17.25" customHeight="1">
      <c r="B7" s="91"/>
      <c r="C7" s="92" t="s">
        <v>111</v>
      </c>
      <c r="D7" s="92"/>
      <c r="E7" s="92" t="s">
        <v>109</v>
      </c>
      <c r="F7" s="93"/>
      <c r="G7" s="92" t="s">
        <v>95</v>
      </c>
      <c r="I7" s="63" t="str">
        <f ca="1">Control!B56</f>
        <v>NO WARNING FLAGS</v>
      </c>
      <c r="J7" s="94"/>
      <c r="K7" s="95"/>
      <c r="L7" s="95"/>
      <c r="M7" s="95"/>
      <c r="N7" s="88"/>
      <c r="O7" s="88"/>
      <c r="P7" s="88"/>
      <c r="Q7" s="95"/>
      <c r="R7" s="88"/>
      <c r="S7" s="88"/>
      <c r="T7" s="88"/>
      <c r="U7" s="240"/>
      <c r="V7" s="240"/>
      <c r="W7" s="240"/>
      <c r="X7" s="240"/>
      <c r="Y7" s="240"/>
      <c r="Z7" s="240"/>
      <c r="AA7" s="240"/>
      <c r="AB7" s="240"/>
      <c r="AC7" s="240"/>
      <c r="AD7" s="240"/>
    </row>
    <row r="8" spans="1:54" customFormat="1" ht="16.5" customHeight="1">
      <c r="B8" s="96" t="s">
        <v>104</v>
      </c>
      <c r="C8" s="179">
        <v>37226</v>
      </c>
      <c r="D8" s="164" t="s">
        <v>107</v>
      </c>
      <c r="E8" s="97">
        <f ca="1">SUM($AI$29:$AI$182)/SUM($F$29:$F$182)</f>
        <v>0.40491757449705645</v>
      </c>
      <c r="F8" s="164" t="s">
        <v>57</v>
      </c>
      <c r="G8" s="97">
        <f ca="1">SUM($AD$29:$AD$182)/SUM($G$29:$G$182)</f>
        <v>3.3755356319199388</v>
      </c>
      <c r="I8" s="235" t="str">
        <f>Control!B57</f>
        <v/>
      </c>
      <c r="J8" s="166"/>
      <c r="K8" s="16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AC8" s="88"/>
      <c r="AD8" s="88"/>
    </row>
    <row r="9" spans="1:54" customFormat="1" ht="17.25" customHeight="1">
      <c r="B9" s="96" t="s">
        <v>105</v>
      </c>
      <c r="C9" s="179">
        <v>37346</v>
      </c>
      <c r="D9" s="164"/>
      <c r="E9" s="164"/>
      <c r="F9" s="164" t="s">
        <v>45</v>
      </c>
      <c r="G9" s="97">
        <f ca="1">SUM($AE$29:$AE$182)/SUM($G$29:$G$182)</f>
        <v>-0.31050453897017383</v>
      </c>
      <c r="I9" s="235" t="str">
        <f>Control!B58</f>
        <v/>
      </c>
      <c r="J9" s="166"/>
      <c r="K9" s="167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AC9" s="88"/>
      <c r="AD9" s="88"/>
      <c r="BB9" s="18" t="s">
        <v>119</v>
      </c>
    </row>
    <row r="10" spans="1:54" customFormat="1" ht="17.25" customHeight="1" thickBot="1">
      <c r="B10" s="96" t="s">
        <v>106</v>
      </c>
      <c r="C10" s="176" t="s">
        <v>91</v>
      </c>
      <c r="D10" s="164"/>
      <c r="E10" s="165"/>
      <c r="F10" s="164" t="s">
        <v>46</v>
      </c>
      <c r="G10" s="99">
        <f ca="1">SUM($AF$29:$AF$182)/SUM($G$29:$G$182)</f>
        <v>-0.01</v>
      </c>
      <c r="I10" s="235" t="str">
        <f ca="1">Control!B61</f>
        <v/>
      </c>
      <c r="J10" s="166"/>
      <c r="K10" s="167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AC10" s="88"/>
      <c r="AD10" s="88"/>
    </row>
    <row r="11" spans="1:54" customFormat="1" ht="17.25" customHeight="1">
      <c r="B11" s="96" t="s">
        <v>110</v>
      </c>
      <c r="C11" s="176" t="s">
        <v>39</v>
      </c>
      <c r="D11" s="164" t="s">
        <v>108</v>
      </c>
      <c r="E11" s="234">
        <f ca="1">SUM($AI$29:$AI$182)</f>
        <v>244975.13257071914</v>
      </c>
      <c r="F11" s="164" t="s">
        <v>94</v>
      </c>
      <c r="G11" s="100">
        <f ca="1">SUM(G8:G10)</f>
        <v>3.0550310929497653</v>
      </c>
      <c r="I11" s="85"/>
      <c r="J11" s="166"/>
      <c r="K11" s="167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AC11" s="88"/>
      <c r="AD11" s="88"/>
      <c r="BB11" t="s">
        <v>39</v>
      </c>
    </row>
    <row r="12" spans="1:54" customFormat="1" ht="17.25" customHeight="1">
      <c r="B12" s="96" t="s">
        <v>174</v>
      </c>
      <c r="C12" s="179">
        <v>37196</v>
      </c>
      <c r="D12" s="98"/>
      <c r="E12" s="98"/>
      <c r="F12" s="164" t="s">
        <v>95</v>
      </c>
      <c r="G12" s="100">
        <f ca="1">SUM(AH29:AH182)/SUM(G29:G182)</f>
        <v>3.0550310929497653</v>
      </c>
      <c r="I12" s="85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AC12" s="88"/>
      <c r="AD12" s="88"/>
      <c r="BB12" t="s">
        <v>41</v>
      </c>
    </row>
    <row r="13" spans="1:54" customFormat="1" ht="17.25" customHeight="1">
      <c r="B13" s="96" t="str">
        <f>IF($C$10="Call","Strike OTM (ITM)","Strike ITM (OTM)")</f>
        <v>Strike OTM (ITM)</v>
      </c>
      <c r="C13" s="239">
        <v>0</v>
      </c>
      <c r="D13" s="98"/>
      <c r="E13" s="98"/>
      <c r="F13" s="164"/>
      <c r="G13" s="164"/>
      <c r="I13" s="85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AC13" s="88"/>
      <c r="AD13" s="88"/>
    </row>
    <row r="14" spans="1:54" customFormat="1">
      <c r="I14" s="85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AC14" s="88"/>
      <c r="AD14" s="88"/>
    </row>
    <row r="15" spans="1:54" customFormat="1" ht="20.25">
      <c r="D15" s="84"/>
      <c r="E15" s="101" t="s">
        <v>112</v>
      </c>
      <c r="F15" s="102"/>
      <c r="G15" s="103"/>
      <c r="I15" s="85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AC15" s="88"/>
      <c r="AD15" s="88"/>
      <c r="BB15" t="s">
        <v>92</v>
      </c>
    </row>
    <row r="16" spans="1:54" customFormat="1">
      <c r="B16" s="104"/>
      <c r="D16" s="84"/>
      <c r="E16" s="105" t="s">
        <v>113</v>
      </c>
      <c r="G16" s="106">
        <v>0</v>
      </c>
      <c r="J16" s="88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AC16" s="107"/>
      <c r="AD16" s="107"/>
      <c r="BB16" t="s">
        <v>91</v>
      </c>
    </row>
    <row r="17" spans="2:54" customFormat="1">
      <c r="D17" s="84"/>
      <c r="E17" s="108" t="s">
        <v>114</v>
      </c>
      <c r="F17" s="109"/>
      <c r="G17" s="110">
        <f ca="1">SUM($G$29:$G$182)*G16</f>
        <v>0</v>
      </c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AC17" s="88"/>
      <c r="AD17" s="88"/>
    </row>
    <row r="18" spans="2:54" customFormat="1" ht="13.5" customHeight="1"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AC18" s="88"/>
      <c r="AD18" s="88"/>
      <c r="BB18" t="s">
        <v>44</v>
      </c>
    </row>
    <row r="19" spans="2:54" customFormat="1" ht="15.75" hidden="1">
      <c r="C19" s="111"/>
      <c r="V19" s="35"/>
      <c r="BB19" t="s">
        <v>54</v>
      </c>
    </row>
    <row r="20" spans="2:54" customFormat="1" hidden="1">
      <c r="V20" s="35"/>
    </row>
    <row r="21" spans="2:54" customFormat="1" hidden="1">
      <c r="D21" s="112"/>
      <c r="E21" s="113"/>
      <c r="F21" s="114"/>
      <c r="G21" s="114"/>
      <c r="H21" s="115"/>
      <c r="I21" s="116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169"/>
      <c r="AC21" s="84"/>
    </row>
    <row r="22" spans="2:54" customFormat="1">
      <c r="D22" s="84"/>
      <c r="E22" s="84"/>
      <c r="V22" s="35"/>
      <c r="BB22" s="84"/>
    </row>
    <row r="23" spans="2:54" customFormat="1">
      <c r="D23" s="241" t="s">
        <v>115</v>
      </c>
      <c r="E23" s="242"/>
      <c r="F23" s="242"/>
      <c r="G23" s="243"/>
      <c r="I23" s="244" t="s">
        <v>116</v>
      </c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  <c r="U23" s="246"/>
      <c r="V23" s="173"/>
      <c r="W23" s="247" t="s">
        <v>171</v>
      </c>
      <c r="X23" s="248"/>
      <c r="Y23" s="248"/>
      <c r="Z23" s="248"/>
      <c r="AA23" s="248"/>
      <c r="AB23" s="249"/>
      <c r="AD23" s="244" t="s">
        <v>117</v>
      </c>
      <c r="AE23" s="245"/>
      <c r="AF23" s="245"/>
      <c r="AG23" s="245"/>
      <c r="AH23" s="245"/>
      <c r="AI23" s="246"/>
      <c r="BB23" s="84"/>
    </row>
    <row r="24" spans="2:54" customFormat="1" ht="18" customHeight="1">
      <c r="D24" s="117" t="s">
        <v>121</v>
      </c>
      <c r="E24" s="44"/>
      <c r="F24" s="182" t="s">
        <v>54</v>
      </c>
      <c r="G24" s="45"/>
      <c r="I24" s="118"/>
      <c r="J24" s="188" t="s">
        <v>131</v>
      </c>
      <c r="K24" s="46"/>
      <c r="L24" s="71"/>
      <c r="M24" s="84"/>
      <c r="N24" s="46"/>
      <c r="O24" s="46"/>
      <c r="P24" s="46"/>
      <c r="Q24" s="46"/>
      <c r="R24" s="46"/>
      <c r="S24" s="46"/>
      <c r="T24" s="46"/>
      <c r="U24" s="47"/>
      <c r="V24" s="85"/>
      <c r="W24" s="118"/>
      <c r="X24" s="46"/>
      <c r="Y24" s="46"/>
      <c r="Z24" s="46"/>
      <c r="AA24" s="46"/>
      <c r="AB24" s="47"/>
      <c r="AD24" s="118"/>
      <c r="AE24" s="46"/>
      <c r="AF24" s="46"/>
      <c r="AG24" s="46"/>
      <c r="AH24" s="46"/>
      <c r="AI24" s="47"/>
    </row>
    <row r="25" spans="2:54" ht="18.75" customHeight="1">
      <c r="D25" s="120" t="s">
        <v>120</v>
      </c>
      <c r="E25" s="121"/>
      <c r="F25" s="187">
        <v>5000</v>
      </c>
      <c r="G25" s="122" t="s">
        <v>126</v>
      </c>
      <c r="I25" s="123"/>
      <c r="J25" s="119"/>
      <c r="K25" s="119"/>
      <c r="L25" s="124"/>
      <c r="M25" s="124"/>
      <c r="N25" s="119"/>
      <c r="O25" s="119"/>
      <c r="P25" s="119"/>
      <c r="Q25" s="124"/>
      <c r="R25" s="119"/>
      <c r="S25" s="119"/>
      <c r="T25" s="119"/>
      <c r="U25" s="125"/>
      <c r="V25" s="170"/>
      <c r="W25" s="123"/>
      <c r="X25" s="119"/>
      <c r="Y25" s="119"/>
      <c r="Z25" s="119"/>
      <c r="AA25" s="119"/>
      <c r="AB25" s="125"/>
      <c r="AD25" s="123"/>
      <c r="AE25" s="119"/>
      <c r="AF25" s="119"/>
      <c r="AG25" s="119"/>
      <c r="AH25" s="119"/>
      <c r="AI25" s="125"/>
      <c r="AK25"/>
      <c r="AL25"/>
      <c r="AM25"/>
      <c r="AN25"/>
      <c r="AO25"/>
      <c r="AP25"/>
      <c r="AQ25"/>
      <c r="AR25"/>
      <c r="BB25"/>
    </row>
    <row r="26" spans="2:54" ht="18" customHeight="1">
      <c r="D26" s="126"/>
      <c r="E26" s="127"/>
      <c r="F26" s="128"/>
      <c r="G26" s="129"/>
      <c r="I26" s="130" t="s">
        <v>132</v>
      </c>
      <c r="J26" s="131"/>
      <c r="K26" s="131"/>
      <c r="L26" s="132"/>
      <c r="M26" s="130" t="s">
        <v>133</v>
      </c>
      <c r="N26" s="131"/>
      <c r="O26" s="131"/>
      <c r="P26" s="133"/>
      <c r="Q26" s="130" t="s">
        <v>134</v>
      </c>
      <c r="R26" s="131"/>
      <c r="S26" s="131"/>
      <c r="T26" s="198" t="s">
        <v>138</v>
      </c>
      <c r="U26" s="200"/>
      <c r="V26" s="170"/>
      <c r="W26" s="123"/>
      <c r="X26" s="119"/>
      <c r="Y26" s="119"/>
      <c r="Z26" s="119"/>
      <c r="AA26" s="119"/>
      <c r="AB26" s="125"/>
      <c r="AD26" s="123"/>
      <c r="AE26" s="119"/>
      <c r="AF26" s="119"/>
      <c r="AG26" s="119"/>
      <c r="AH26" s="119"/>
      <c r="AI26" s="125"/>
      <c r="AK26"/>
      <c r="AL26"/>
      <c r="AM26"/>
      <c r="AN26"/>
      <c r="AO26"/>
      <c r="AP26"/>
      <c r="AQ26"/>
      <c r="AR26"/>
      <c r="BB26"/>
    </row>
    <row r="27" spans="2:54" ht="18.75" customHeight="1">
      <c r="D27" s="134"/>
      <c r="E27" s="135"/>
      <c r="F27" s="128"/>
      <c r="G27" s="129"/>
      <c r="I27" s="190">
        <f>Control!Y26</f>
        <v>1</v>
      </c>
      <c r="J27" s="135"/>
      <c r="K27" s="191"/>
      <c r="L27" s="136"/>
      <c r="M27" s="137">
        <f>Control!Y31</f>
        <v>1</v>
      </c>
      <c r="N27" s="135"/>
      <c r="O27" s="135"/>
      <c r="P27" s="129"/>
      <c r="Q27" s="137">
        <f>Control!Y37</f>
        <v>1</v>
      </c>
      <c r="R27" s="135"/>
      <c r="S27" s="135"/>
      <c r="T27" s="199" t="s">
        <v>139</v>
      </c>
      <c r="U27" s="201"/>
      <c r="V27" s="170"/>
      <c r="W27" s="120"/>
      <c r="X27" s="121"/>
      <c r="Y27" s="121"/>
      <c r="Z27" s="121"/>
      <c r="AA27" s="121"/>
      <c r="AB27" s="122"/>
      <c r="AD27" s="123"/>
      <c r="AE27" s="119"/>
      <c r="AF27" s="119"/>
      <c r="AG27" s="119"/>
      <c r="AH27" s="119"/>
      <c r="AI27" s="125"/>
      <c r="AK27"/>
      <c r="AL27"/>
      <c r="AM27"/>
      <c r="AN27"/>
      <c r="AO27"/>
      <c r="AP27"/>
      <c r="AQ27"/>
      <c r="AR27"/>
      <c r="BB27"/>
    </row>
    <row r="28" spans="2:54" s="138" customFormat="1" ht="41.25" customHeight="1" thickBot="1">
      <c r="B28" s="139" t="s">
        <v>35</v>
      </c>
      <c r="C28" s="139" t="s">
        <v>118</v>
      </c>
      <c r="D28" s="140" t="s">
        <v>122</v>
      </c>
      <c r="E28" s="141" t="s">
        <v>123</v>
      </c>
      <c r="F28" s="141" t="s">
        <v>124</v>
      </c>
      <c r="G28" s="142" t="s">
        <v>125</v>
      </c>
      <c r="H28" s="143"/>
      <c r="I28" s="144" t="s">
        <v>130</v>
      </c>
      <c r="J28" s="145" t="s">
        <v>129</v>
      </c>
      <c r="K28" s="145" t="s">
        <v>128</v>
      </c>
      <c r="L28" s="146" t="s">
        <v>127</v>
      </c>
      <c r="M28" s="144" t="s">
        <v>130</v>
      </c>
      <c r="N28" s="145" t="s">
        <v>129</v>
      </c>
      <c r="O28" s="145" t="s">
        <v>128</v>
      </c>
      <c r="P28" s="146" t="s">
        <v>135</v>
      </c>
      <c r="Q28" s="144" t="s">
        <v>130</v>
      </c>
      <c r="R28" s="145" t="s">
        <v>129</v>
      </c>
      <c r="S28" s="145" t="s">
        <v>128</v>
      </c>
      <c r="T28" s="146" t="s">
        <v>137</v>
      </c>
      <c r="U28" s="202" t="s">
        <v>136</v>
      </c>
      <c r="V28" s="171"/>
      <c r="W28" s="217" t="s">
        <v>99</v>
      </c>
      <c r="X28" s="218" t="s">
        <v>128</v>
      </c>
      <c r="Y28" s="218" t="s">
        <v>142</v>
      </c>
      <c r="Z28" s="218" t="str">
        <f>IF($C$10="Call","Out of (In) the Money Position","In (Out of) the Money Position")</f>
        <v>Out of (In) the Money Position</v>
      </c>
      <c r="AA28" s="218" t="s">
        <v>95</v>
      </c>
      <c r="AB28" s="150" t="s">
        <v>143</v>
      </c>
      <c r="AC28" s="147"/>
      <c r="AD28" s="148" t="s">
        <v>173</v>
      </c>
      <c r="AE28" s="149" t="s">
        <v>45</v>
      </c>
      <c r="AF28" s="149" t="s">
        <v>46</v>
      </c>
      <c r="AG28" s="149" t="s">
        <v>172</v>
      </c>
      <c r="AH28" s="149" t="s">
        <v>95</v>
      </c>
      <c r="AI28" s="150" t="s">
        <v>108</v>
      </c>
      <c r="AK28"/>
      <c r="AL28"/>
      <c r="AM28"/>
      <c r="AN28"/>
      <c r="AO28"/>
      <c r="AP28"/>
      <c r="AQ28"/>
      <c r="AR28"/>
      <c r="BB28"/>
    </row>
    <row r="29" spans="2:54">
      <c r="B29" s="151">
        <f>C8</f>
        <v>37226</v>
      </c>
      <c r="C29" s="152">
        <f t="shared" ref="C29:C60" si="0">IF($C$11="Physical",B30+24,B30)</f>
        <v>37281</v>
      </c>
      <c r="D29" s="183">
        <v>0</v>
      </c>
      <c r="E29" s="184">
        <f>VLOOKUP($B29,Model!$A$8:$E$289,5)</f>
        <v>5000</v>
      </c>
      <c r="F29" s="184">
        <f>VLOOKUP($B29,Model!$A$8:$F$289,6)</f>
        <v>155000</v>
      </c>
      <c r="G29" s="205">
        <f ca="1">VLOOKUP($B29,Model!$A$8:$AO$289,41)</f>
        <v>154157.89718797436</v>
      </c>
      <c r="I29" s="153">
        <v>0</v>
      </c>
      <c r="J29" s="154">
        <f>VLOOKUP($B29,Curve_Fetch,3)</f>
        <v>3.29</v>
      </c>
      <c r="K29" s="155">
        <v>0</v>
      </c>
      <c r="L29" s="156">
        <f>IF(Control!$Y$26=Control!$X$27,J29,I29)+K29</f>
        <v>3.29</v>
      </c>
      <c r="M29" s="153">
        <v>0</v>
      </c>
      <c r="N29" s="154">
        <f>VLOOKUP($B29,Curve_Fetch,VLOOKUP(Control!$AJ$10,Control!$AI$11:$AK$22,3))</f>
        <v>-0.34</v>
      </c>
      <c r="O29" s="155">
        <v>0</v>
      </c>
      <c r="P29" s="156">
        <f>IF(Control!$Y$31=Control!$X$32,N29,M29)+O29</f>
        <v>-0.34</v>
      </c>
      <c r="Q29" s="153">
        <v>0</v>
      </c>
      <c r="R29" s="154">
        <f>VLOOKUP($B29,Curve_Fetch,(VLOOKUP(Control!$AJ$10,Control!$AI$11:$AL$22,4)))</f>
        <v>-0.01</v>
      </c>
      <c r="S29" s="155">
        <v>0</v>
      </c>
      <c r="T29" s="156">
        <f>IF($C$11="Physical",IF(Control!$Y$37=Control!$X$38,R29,Q29)+S29,0)</f>
        <v>-0.01</v>
      </c>
      <c r="U29" s="203">
        <f t="shared" ref="U29:U60" si="1">IF($C$11="Financial",L29+P29,L29+P29+T29)</f>
        <v>2.9400000000000004</v>
      </c>
      <c r="V29" s="172"/>
      <c r="W29" s="219">
        <f>VLOOKUP($B29,Model!$A$8:$S$289,19)</f>
        <v>0.875</v>
      </c>
      <c r="X29" s="223">
        <v>0</v>
      </c>
      <c r="Y29" s="221">
        <f>W29+X29</f>
        <v>0.875</v>
      </c>
      <c r="Z29" s="224">
        <f>$C$13</f>
        <v>0</v>
      </c>
      <c r="AA29" s="224">
        <f>U29+Z29</f>
        <v>2.9400000000000004</v>
      </c>
      <c r="AB29" s="230">
        <f ca="1">_xll.EURO(U29,AA29,VLOOKUP($B29,Curve_Fetch,2),VLOOKUP($B29,Curve_Fetch,2),Y29,VLOOKUP($B29,Model!$A$8:$R$289,18),IF(Euro!$C$10="Call",1,0),0)</f>
        <v>0.28790402250999758</v>
      </c>
      <c r="AD29" s="157">
        <f ca="1">$G29*L29</f>
        <v>507179.48174843565</v>
      </c>
      <c r="AE29" s="158">
        <f ca="1">$G29*P29</f>
        <v>-52413.68504391129</v>
      </c>
      <c r="AF29" s="158">
        <f ca="1">$G29*T29</f>
        <v>-1541.5789718797437</v>
      </c>
      <c r="AG29" s="158">
        <f ca="1">$G29*U29</f>
        <v>453224.2177326447</v>
      </c>
      <c r="AH29" s="158">
        <f ca="1">$G29*AA29</f>
        <v>453224.2177326447</v>
      </c>
      <c r="AI29" s="159">
        <f ca="1">$F29*AB29</f>
        <v>44625.123489049627</v>
      </c>
      <c r="AJ29" s="237"/>
      <c r="AK29" s="238"/>
      <c r="AL29"/>
      <c r="AM29"/>
      <c r="AN29"/>
      <c r="AO29"/>
      <c r="AP29"/>
      <c r="AQ29"/>
      <c r="AR29"/>
      <c r="BB29"/>
    </row>
    <row r="30" spans="2:54">
      <c r="B30" s="151">
        <f>[1]!_xludf.edate(B29,1)</f>
        <v>37257</v>
      </c>
      <c r="C30" s="152">
        <f t="shared" si="0"/>
        <v>37312</v>
      </c>
      <c r="D30" s="183">
        <v>0</v>
      </c>
      <c r="E30" s="184">
        <f>VLOOKUP($B30,Model!$A$8:$E$289,5)</f>
        <v>5000</v>
      </c>
      <c r="F30" s="184">
        <f>VLOOKUP($B30,Model!$A$8:$F$289,6)</f>
        <v>155000</v>
      </c>
      <c r="G30" s="206">
        <f ca="1">VLOOKUP($B30,Model!$A$8:$AO$289,41)</f>
        <v>153881.78964251789</v>
      </c>
      <c r="I30" s="153">
        <v>0</v>
      </c>
      <c r="J30" s="154">
        <f t="shared" ref="J30:J93" si="2">VLOOKUP($B30,Curve_Fetch,3)</f>
        <v>3.4340000000000002</v>
      </c>
      <c r="K30" s="160">
        <f>K29</f>
        <v>0</v>
      </c>
      <c r="L30" s="156">
        <f>IF(Control!$Y$26=Control!$X$27,J30,I30)+K30</f>
        <v>3.4340000000000002</v>
      </c>
      <c r="M30" s="153">
        <v>0</v>
      </c>
      <c r="N30" s="154">
        <f>VLOOKUP($B30,Curve_Fetch,VLOOKUP(Control!$AJ$10,Control!$AI$11:$AK$22,3))</f>
        <v>-0.28499999999999998</v>
      </c>
      <c r="O30" s="160">
        <f>O29</f>
        <v>0</v>
      </c>
      <c r="P30" s="156">
        <f>IF(Control!$Y$31=Control!$X$32,N30,M30)+O30</f>
        <v>-0.28499999999999998</v>
      </c>
      <c r="Q30" s="153">
        <v>0</v>
      </c>
      <c r="R30" s="154">
        <f>VLOOKUP($B30,Curve_Fetch,(VLOOKUP(Control!$AJ$10,Control!$AI$11:$AL$22,4)))</f>
        <v>-0.01</v>
      </c>
      <c r="S30" s="160">
        <f>S29</f>
        <v>0</v>
      </c>
      <c r="T30" s="156">
        <f>IF($C$11="Physical",IF(Control!$Y$37=Control!$X$38,R30,Q30)+S30,0)</f>
        <v>-0.01</v>
      </c>
      <c r="U30" s="203">
        <f t="shared" si="1"/>
        <v>3.1390000000000002</v>
      </c>
      <c r="V30" s="172"/>
      <c r="W30" s="219">
        <f>VLOOKUP($B30,Model!$A$8:$S$289,19)</f>
        <v>0.83</v>
      </c>
      <c r="X30" s="221">
        <f>X29</f>
        <v>0</v>
      </c>
      <c r="Y30" s="221">
        <f t="shared" ref="Y30:Y93" si="3">W30+X30</f>
        <v>0.83</v>
      </c>
      <c r="Z30" s="160">
        <f>Z29</f>
        <v>0</v>
      </c>
      <c r="AA30" s="160">
        <f>U30+Z30</f>
        <v>3.1390000000000002</v>
      </c>
      <c r="AB30" s="231">
        <f ca="1">_xll.EURO(U30,AA30,VLOOKUP($B30,Curve_Fetch,2),VLOOKUP($B30,Curve_Fetch,2),Y30,VLOOKUP($B30,Model!$A$8:$R$289,18),IF(Euro!$C$10="Call",1,0),0)</f>
        <v>0.41769168719860472</v>
      </c>
      <c r="AD30" s="157">
        <f t="shared" ref="AD30:AD93" ca="1" si="4">$G30*L30</f>
        <v>528430.06563240651</v>
      </c>
      <c r="AE30" s="158">
        <f t="shared" ref="AE30:AE93" ca="1" si="5">$G30*P30</f>
        <v>-43856.310048117593</v>
      </c>
      <c r="AF30" s="158">
        <f t="shared" ref="AF30:AF93" ca="1" si="6">$G30*T30</f>
        <v>-1538.817896425179</v>
      </c>
      <c r="AG30" s="158">
        <f t="shared" ref="AG30:AG93" ca="1" si="7">$G30*U30</f>
        <v>483034.93768786371</v>
      </c>
      <c r="AH30" s="158">
        <f t="shared" ref="AH30:AH93" ca="1" si="8">$G30*AA30</f>
        <v>483034.93768786371</v>
      </c>
      <c r="AI30" s="159">
        <f t="shared" ref="AI30:AI93" ca="1" si="9">$F30*AB30</f>
        <v>64742.211515783732</v>
      </c>
      <c r="AJ30" s="237"/>
      <c r="AK30" s="238"/>
      <c r="AL30"/>
      <c r="AM30"/>
      <c r="AN30"/>
      <c r="AO30"/>
      <c r="AP30"/>
      <c r="AQ30"/>
      <c r="AR30"/>
      <c r="BB30"/>
    </row>
    <row r="31" spans="2:54">
      <c r="B31" s="151">
        <f>[1]!_xludf.edate(B30,1)</f>
        <v>37288</v>
      </c>
      <c r="C31" s="152">
        <f t="shared" si="0"/>
        <v>37340</v>
      </c>
      <c r="D31" s="183">
        <v>0</v>
      </c>
      <c r="E31" s="184">
        <f>VLOOKUP($B31,Model!$A$8:$E$289,5)</f>
        <v>5000</v>
      </c>
      <c r="F31" s="184">
        <f>VLOOKUP($B31,Model!$A$8:$F$289,6)</f>
        <v>140000</v>
      </c>
      <c r="G31" s="206">
        <f ca="1">VLOOKUP($B31,Model!$A$8:$AO$289,41)</f>
        <v>138771.15566001792</v>
      </c>
      <c r="I31" s="153">
        <v>0</v>
      </c>
      <c r="J31" s="154">
        <f t="shared" si="2"/>
        <v>3.4239999999999999</v>
      </c>
      <c r="K31" s="160">
        <f t="shared" ref="K31:K94" si="10">K30</f>
        <v>0</v>
      </c>
      <c r="L31" s="156">
        <f>IF(Control!$Y$26=Control!$X$27,J31,I31)+K31</f>
        <v>3.4239999999999999</v>
      </c>
      <c r="M31" s="153">
        <v>0</v>
      </c>
      <c r="N31" s="154">
        <f>VLOOKUP($B31,Curve_Fetch,VLOOKUP(Control!$AJ$10,Control!$AI$11:$AK$22,3))</f>
        <v>-0.28999999999999998</v>
      </c>
      <c r="O31" s="160">
        <f t="shared" ref="O31:O94" si="11">O30</f>
        <v>0</v>
      </c>
      <c r="P31" s="156">
        <f>IF(Control!$Y$31=Control!$X$32,N31,M31)+O31</f>
        <v>-0.28999999999999998</v>
      </c>
      <c r="Q31" s="153">
        <v>0</v>
      </c>
      <c r="R31" s="154">
        <f>VLOOKUP($B31,Curve_Fetch,(VLOOKUP(Control!$AJ$10,Control!$AI$11:$AL$22,4)))</f>
        <v>-0.01</v>
      </c>
      <c r="S31" s="160">
        <f t="shared" ref="S31:S94" si="12">S30</f>
        <v>0</v>
      </c>
      <c r="T31" s="156">
        <f>IF($C$11="Physical",IF(Control!$Y$37=Control!$X$38,R31,Q31)+S31,0)</f>
        <v>-0.01</v>
      </c>
      <c r="U31" s="203">
        <f t="shared" si="1"/>
        <v>3.1240000000000001</v>
      </c>
      <c r="V31" s="172"/>
      <c r="W31" s="219">
        <f>VLOOKUP($B31,Model!$A$8:$S$289,19)</f>
        <v>0.75800000000000001</v>
      </c>
      <c r="X31" s="221">
        <f t="shared" ref="X31:X94" si="13">X30</f>
        <v>0</v>
      </c>
      <c r="Y31" s="221">
        <f t="shared" si="3"/>
        <v>0.75800000000000001</v>
      </c>
      <c r="Z31" s="160">
        <f t="shared" ref="Z31:Z94" si="14">Z30</f>
        <v>0</v>
      </c>
      <c r="AA31" s="160">
        <f t="shared" ref="AA31:AA94" si="15">U31+Z31</f>
        <v>3.1240000000000001</v>
      </c>
      <c r="AB31" s="231">
        <f ca="1">_xll.EURO(U31,AA31,VLOOKUP($B31,Curve_Fetch,2),VLOOKUP($B31,Curve_Fetch,2),Y31,VLOOKUP($B31,Model!$A$8:$R$289,18),IF(Euro!$C$10="Call",1,0),0)</f>
        <v>0.46609240982121092</v>
      </c>
      <c r="AD31" s="157">
        <f t="shared" ca="1" si="4"/>
        <v>475152.43697990134</v>
      </c>
      <c r="AE31" s="158">
        <f t="shared" ca="1" si="5"/>
        <v>-40243.63514140519</v>
      </c>
      <c r="AF31" s="158">
        <f t="shared" ca="1" si="6"/>
        <v>-1387.7115566001792</v>
      </c>
      <c r="AG31" s="158">
        <f t="shared" ca="1" si="7"/>
        <v>433521.090281896</v>
      </c>
      <c r="AH31" s="158">
        <f t="shared" ca="1" si="8"/>
        <v>433521.090281896</v>
      </c>
      <c r="AI31" s="159">
        <f t="shared" ca="1" si="9"/>
        <v>65252.93737496953</v>
      </c>
      <c r="AJ31" s="237"/>
      <c r="AK31" s="238"/>
      <c r="AL31"/>
      <c r="AM31"/>
      <c r="AN31"/>
      <c r="AO31"/>
      <c r="AP31"/>
      <c r="AQ31"/>
      <c r="AR31"/>
      <c r="BB31"/>
    </row>
    <row r="32" spans="2:54">
      <c r="B32" s="151">
        <f>[1]!_xludf.edate(B31,1)</f>
        <v>37316</v>
      </c>
      <c r="C32" s="152">
        <f t="shared" si="0"/>
        <v>37371</v>
      </c>
      <c r="D32" s="183">
        <v>0</v>
      </c>
      <c r="E32" s="184">
        <f>VLOOKUP($B32,Model!$A$8:$E$289,5)</f>
        <v>5000</v>
      </c>
      <c r="F32" s="184">
        <f>VLOOKUP($B32,Model!$A$8:$F$289,6)</f>
        <v>155000</v>
      </c>
      <c r="G32" s="206">
        <f ca="1">VLOOKUP($B32,Model!$A$8:$AO$289,41)</f>
        <v>153369.69389123208</v>
      </c>
      <c r="I32" s="153">
        <v>0</v>
      </c>
      <c r="J32" s="154">
        <f t="shared" si="2"/>
        <v>3.359</v>
      </c>
      <c r="K32" s="160">
        <f t="shared" si="10"/>
        <v>0</v>
      </c>
      <c r="L32" s="156">
        <f>IF(Control!$Y$26=Control!$X$27,J32,I32)+K32</f>
        <v>3.359</v>
      </c>
      <c r="M32" s="153">
        <v>0</v>
      </c>
      <c r="N32" s="154">
        <f>VLOOKUP($B32,Curve_Fetch,VLOOKUP(Control!$AJ$10,Control!$AI$11:$AK$22,3))</f>
        <v>-0.32500000000000001</v>
      </c>
      <c r="O32" s="160">
        <f t="shared" si="11"/>
        <v>0</v>
      </c>
      <c r="P32" s="156">
        <f>IF(Control!$Y$31=Control!$X$32,N32,M32)+O32</f>
        <v>-0.32500000000000001</v>
      </c>
      <c r="Q32" s="153">
        <v>0</v>
      </c>
      <c r="R32" s="154">
        <f>VLOOKUP($B32,Curve_Fetch,(VLOOKUP(Control!$AJ$10,Control!$AI$11:$AL$22,4)))</f>
        <v>-0.01</v>
      </c>
      <c r="S32" s="160">
        <f t="shared" si="12"/>
        <v>0</v>
      </c>
      <c r="T32" s="156">
        <f>IF($C$11="Physical",IF(Control!$Y$37=Control!$X$38,R32,Q32)+S32,0)</f>
        <v>-0.01</v>
      </c>
      <c r="U32" s="203">
        <f t="shared" si="1"/>
        <v>3.024</v>
      </c>
      <c r="V32" s="172"/>
      <c r="W32" s="219">
        <f>VLOOKUP($B32,Model!$A$8:$S$289,19)</f>
        <v>0.66800000000000004</v>
      </c>
      <c r="X32" s="221">
        <f t="shared" si="13"/>
        <v>0</v>
      </c>
      <c r="Y32" s="221">
        <f t="shared" si="3"/>
        <v>0.66800000000000004</v>
      </c>
      <c r="Z32" s="160">
        <f t="shared" si="14"/>
        <v>0</v>
      </c>
      <c r="AA32" s="160">
        <f t="shared" si="15"/>
        <v>3.024</v>
      </c>
      <c r="AB32" s="231">
        <f ca="1">_xll.EURO(U32,AA32,VLOOKUP($B32,Curve_Fetch,2),VLOOKUP($B32,Curve_Fetch,2),Y32,VLOOKUP($B32,Model!$A$8:$R$289,18),IF(Euro!$C$10="Call",1,0),0)</f>
        <v>0.45390232381236295</v>
      </c>
      <c r="AD32" s="157">
        <f t="shared" ca="1" si="4"/>
        <v>515168.80178064853</v>
      </c>
      <c r="AE32" s="158">
        <f t="shared" ca="1" si="5"/>
        <v>-49845.150514650428</v>
      </c>
      <c r="AF32" s="158">
        <f t="shared" ca="1" si="6"/>
        <v>-1533.6969389123208</v>
      </c>
      <c r="AG32" s="158">
        <f t="shared" ca="1" si="7"/>
        <v>463789.95432708581</v>
      </c>
      <c r="AH32" s="158">
        <f t="shared" ca="1" si="8"/>
        <v>463789.95432708581</v>
      </c>
      <c r="AI32" s="159">
        <f t="shared" ca="1" si="9"/>
        <v>70354.860190916253</v>
      </c>
      <c r="AJ32" s="237"/>
      <c r="AK32" s="238"/>
      <c r="AL32"/>
      <c r="AM32"/>
      <c r="AN32"/>
      <c r="AO32"/>
      <c r="AP32"/>
      <c r="AQ32"/>
      <c r="AR32"/>
      <c r="BB32"/>
    </row>
    <row r="33" spans="2:54">
      <c r="B33" s="151">
        <f>[1]!_xludf.edate(B32,1)</f>
        <v>37347</v>
      </c>
      <c r="C33" s="152">
        <f t="shared" si="0"/>
        <v>37401</v>
      </c>
      <c r="D33" s="183">
        <v>0</v>
      </c>
      <c r="E33" s="184">
        <f>VLOOKUP($B33,Model!$A$8:$E$289,5)</f>
        <v>0</v>
      </c>
      <c r="F33" s="184">
        <f>VLOOKUP($B33,Model!$A$8:$F$289,6)</f>
        <v>0</v>
      </c>
      <c r="G33" s="206">
        <f ca="1">VLOOKUP($B33,Model!$A$8:$AO$289,41)</f>
        <v>0</v>
      </c>
      <c r="I33" s="153">
        <v>0</v>
      </c>
      <c r="J33" s="154">
        <f t="shared" si="2"/>
        <v>3.254</v>
      </c>
      <c r="K33" s="160">
        <f t="shared" si="10"/>
        <v>0</v>
      </c>
      <c r="L33" s="156">
        <f>IF(Control!$Y$26=Control!$X$27,J33,I33)+K33</f>
        <v>3.254</v>
      </c>
      <c r="M33" s="153">
        <v>0</v>
      </c>
      <c r="N33" s="154">
        <f>VLOOKUP($B33,Curve_Fetch,VLOOKUP(Control!$AJ$10,Control!$AI$11:$AK$22,3))</f>
        <v>-0.36499999999999999</v>
      </c>
      <c r="O33" s="160">
        <f t="shared" si="11"/>
        <v>0</v>
      </c>
      <c r="P33" s="156">
        <f>IF(Control!$Y$31=Control!$X$32,N33,M33)+O33</f>
        <v>-0.36499999999999999</v>
      </c>
      <c r="Q33" s="153">
        <v>0</v>
      </c>
      <c r="R33" s="154">
        <f>VLOOKUP($B33,Curve_Fetch,(VLOOKUP(Control!$AJ$10,Control!$AI$11:$AL$22,4)))</f>
        <v>0</v>
      </c>
      <c r="S33" s="160">
        <f t="shared" si="12"/>
        <v>0</v>
      </c>
      <c r="T33" s="156">
        <f>IF($C$11="Physical",IF(Control!$Y$37=Control!$X$38,R33,Q33)+S33,0)</f>
        <v>0</v>
      </c>
      <c r="U33" s="203">
        <f t="shared" si="1"/>
        <v>2.8890000000000002</v>
      </c>
      <c r="V33" s="172"/>
      <c r="W33" s="219">
        <f>VLOOKUP($B33,Model!$A$8:$S$289,19)</f>
        <v>0.53500000000000003</v>
      </c>
      <c r="X33" s="221">
        <f t="shared" si="13"/>
        <v>0</v>
      </c>
      <c r="Y33" s="221">
        <f t="shared" si="3"/>
        <v>0.53500000000000003</v>
      </c>
      <c r="Z33" s="160">
        <f t="shared" si="14"/>
        <v>0</v>
      </c>
      <c r="AA33" s="160">
        <f t="shared" si="15"/>
        <v>2.8890000000000002</v>
      </c>
      <c r="AB33" s="231">
        <f ca="1">_xll.EURO(U33,AA33,VLOOKUP($B33,Curve_Fetch,2),VLOOKUP($B33,Curve_Fetch,2),Y33,VLOOKUP($B33,Model!$A$8:$R$289,18),IF(Euro!$C$10="Call",1,0),0)</f>
        <v>0.38967603504655823</v>
      </c>
      <c r="AD33" s="157">
        <f t="shared" ca="1" si="4"/>
        <v>0</v>
      </c>
      <c r="AE33" s="158">
        <f t="shared" ca="1" si="5"/>
        <v>0</v>
      </c>
      <c r="AF33" s="158">
        <f t="shared" ca="1" si="6"/>
        <v>0</v>
      </c>
      <c r="AG33" s="158">
        <f t="shared" ca="1" si="7"/>
        <v>0</v>
      </c>
      <c r="AH33" s="158">
        <f t="shared" ca="1" si="8"/>
        <v>0</v>
      </c>
      <c r="AI33" s="159">
        <f t="shared" ca="1" si="9"/>
        <v>0</v>
      </c>
      <c r="AK33"/>
      <c r="AL33"/>
      <c r="AM33"/>
      <c r="AN33"/>
      <c r="AO33"/>
      <c r="AP33"/>
      <c r="AQ33"/>
      <c r="AR33"/>
      <c r="BB33"/>
    </row>
    <row r="34" spans="2:54">
      <c r="B34" s="151">
        <f>[1]!_xludf.edate(B33,1)</f>
        <v>37377</v>
      </c>
      <c r="C34" s="152">
        <f t="shared" si="0"/>
        <v>37432</v>
      </c>
      <c r="D34" s="183">
        <v>0</v>
      </c>
      <c r="E34" s="184">
        <f>VLOOKUP($B34,Model!$A$8:$E$289,5)</f>
        <v>0</v>
      </c>
      <c r="F34" s="184">
        <f>VLOOKUP($B34,Model!$A$8:$F$289,6)</f>
        <v>0</v>
      </c>
      <c r="G34" s="206">
        <f ca="1">VLOOKUP($B34,Model!$A$8:$AO$289,41)</f>
        <v>0</v>
      </c>
      <c r="I34" s="153">
        <v>0</v>
      </c>
      <c r="J34" s="154">
        <f t="shared" si="2"/>
        <v>3.2829999999999999</v>
      </c>
      <c r="K34" s="160">
        <f t="shared" si="10"/>
        <v>0</v>
      </c>
      <c r="L34" s="156">
        <f>IF(Control!$Y$26=Control!$X$27,J34,I34)+K34</f>
        <v>3.2829999999999999</v>
      </c>
      <c r="M34" s="153">
        <v>0</v>
      </c>
      <c r="N34" s="154">
        <f>VLOOKUP($B34,Curve_Fetch,VLOOKUP(Control!$AJ$10,Control!$AI$11:$AK$22,3))</f>
        <v>-0.36499999999999999</v>
      </c>
      <c r="O34" s="160">
        <f t="shared" si="11"/>
        <v>0</v>
      </c>
      <c r="P34" s="156">
        <f>IF(Control!$Y$31=Control!$X$32,N34,M34)+O34</f>
        <v>-0.36499999999999999</v>
      </c>
      <c r="Q34" s="153">
        <v>0</v>
      </c>
      <c r="R34" s="154">
        <f>VLOOKUP($B34,Curve_Fetch,(VLOOKUP(Control!$AJ$10,Control!$AI$11:$AL$22,4)))</f>
        <v>0</v>
      </c>
      <c r="S34" s="160">
        <f t="shared" si="12"/>
        <v>0</v>
      </c>
      <c r="T34" s="156">
        <f>IF($C$11="Physical",IF(Control!$Y$37=Control!$X$38,R34,Q34)+S34,0)</f>
        <v>0</v>
      </c>
      <c r="U34" s="203">
        <f t="shared" si="1"/>
        <v>2.9180000000000001</v>
      </c>
      <c r="V34" s="172"/>
      <c r="W34" s="219">
        <f>VLOOKUP($B34,Model!$A$8:$S$289,19)</f>
        <v>0.47499999999999998</v>
      </c>
      <c r="X34" s="221">
        <f t="shared" si="13"/>
        <v>0</v>
      </c>
      <c r="Y34" s="221">
        <f t="shared" si="3"/>
        <v>0.47499999999999998</v>
      </c>
      <c r="Z34" s="160">
        <f t="shared" si="14"/>
        <v>0</v>
      </c>
      <c r="AA34" s="160">
        <f t="shared" si="15"/>
        <v>2.9180000000000001</v>
      </c>
      <c r="AB34" s="231">
        <f ca="1">_xll.EURO(U34,AA34,VLOOKUP($B34,Curve_Fetch,2),VLOOKUP($B34,Curve_Fetch,2),Y34,VLOOKUP($B34,Model!$A$8:$R$289,18),IF(Euro!$C$10="Call",1,0),0)</f>
        <v>0.38221487142947841</v>
      </c>
      <c r="AD34" s="157">
        <f t="shared" ca="1" si="4"/>
        <v>0</v>
      </c>
      <c r="AE34" s="158">
        <f t="shared" ca="1" si="5"/>
        <v>0</v>
      </c>
      <c r="AF34" s="158">
        <f t="shared" ca="1" si="6"/>
        <v>0</v>
      </c>
      <c r="AG34" s="158">
        <f t="shared" ca="1" si="7"/>
        <v>0</v>
      </c>
      <c r="AH34" s="158">
        <f t="shared" ca="1" si="8"/>
        <v>0</v>
      </c>
      <c r="AI34" s="159">
        <f t="shared" ca="1" si="9"/>
        <v>0</v>
      </c>
      <c r="AK34"/>
      <c r="AL34"/>
      <c r="AM34"/>
      <c r="AN34"/>
      <c r="AO34"/>
      <c r="AP34"/>
      <c r="AQ34"/>
      <c r="AR34"/>
      <c r="BB34"/>
    </row>
    <row r="35" spans="2:54">
      <c r="B35" s="151">
        <f>[1]!_xludf.edate(B34,1)</f>
        <v>37408</v>
      </c>
      <c r="C35" s="152">
        <f t="shared" si="0"/>
        <v>37462</v>
      </c>
      <c r="D35" s="183">
        <v>0</v>
      </c>
      <c r="E35" s="184">
        <f>VLOOKUP($B35,Model!$A$8:$E$289,5)</f>
        <v>0</v>
      </c>
      <c r="F35" s="184">
        <f>VLOOKUP($B35,Model!$A$8:$F$289,6)</f>
        <v>0</v>
      </c>
      <c r="G35" s="206">
        <f ca="1">VLOOKUP($B35,Model!$A$8:$AO$289,41)</f>
        <v>0</v>
      </c>
      <c r="I35" s="153">
        <v>0</v>
      </c>
      <c r="J35" s="154">
        <f t="shared" si="2"/>
        <v>3.319</v>
      </c>
      <c r="K35" s="160">
        <f t="shared" si="10"/>
        <v>0</v>
      </c>
      <c r="L35" s="156">
        <f>IF(Control!$Y$26=Control!$X$27,J35,I35)+K35</f>
        <v>3.319</v>
      </c>
      <c r="M35" s="153">
        <v>0</v>
      </c>
      <c r="N35" s="154">
        <f>VLOOKUP($B35,Curve_Fetch,VLOOKUP(Control!$AJ$10,Control!$AI$11:$AK$22,3))</f>
        <v>-0.36499999999999999</v>
      </c>
      <c r="O35" s="160">
        <f t="shared" si="11"/>
        <v>0</v>
      </c>
      <c r="P35" s="156">
        <f>IF(Control!$Y$31=Control!$X$32,N35,M35)+O35</f>
        <v>-0.36499999999999999</v>
      </c>
      <c r="Q35" s="153">
        <v>0</v>
      </c>
      <c r="R35" s="154">
        <f>VLOOKUP($B35,Curve_Fetch,(VLOOKUP(Control!$AJ$10,Control!$AI$11:$AL$22,4)))</f>
        <v>0</v>
      </c>
      <c r="S35" s="160">
        <f t="shared" si="12"/>
        <v>0</v>
      </c>
      <c r="T35" s="156">
        <f>IF($C$11="Physical",IF(Control!$Y$37=Control!$X$38,R35,Q35)+S35,0)</f>
        <v>0</v>
      </c>
      <c r="U35" s="203">
        <f t="shared" si="1"/>
        <v>2.9539999999999997</v>
      </c>
      <c r="V35" s="172"/>
      <c r="W35" s="219">
        <f>VLOOKUP($B35,Model!$A$8:$S$289,19)</f>
        <v>0.46</v>
      </c>
      <c r="X35" s="221">
        <f t="shared" si="13"/>
        <v>0</v>
      </c>
      <c r="Y35" s="221">
        <f t="shared" si="3"/>
        <v>0.46</v>
      </c>
      <c r="Z35" s="160">
        <f t="shared" si="14"/>
        <v>0</v>
      </c>
      <c r="AA35" s="160">
        <f t="shared" si="15"/>
        <v>2.9539999999999997</v>
      </c>
      <c r="AB35" s="231">
        <f ca="1">_xll.EURO(U35,AA35,VLOOKUP($B35,Curve_Fetch,2),VLOOKUP($B35,Curve_Fetch,2),Y35,VLOOKUP($B35,Model!$A$8:$R$289,18),IF(Euro!$C$10="Call",1,0),0)</f>
        <v>0.40476298682258882</v>
      </c>
      <c r="AD35" s="157">
        <f t="shared" ca="1" si="4"/>
        <v>0</v>
      </c>
      <c r="AE35" s="158">
        <f t="shared" ca="1" si="5"/>
        <v>0</v>
      </c>
      <c r="AF35" s="158">
        <f t="shared" ca="1" si="6"/>
        <v>0</v>
      </c>
      <c r="AG35" s="158">
        <f t="shared" ca="1" si="7"/>
        <v>0</v>
      </c>
      <c r="AH35" s="158">
        <f t="shared" ca="1" si="8"/>
        <v>0</v>
      </c>
      <c r="AI35" s="159">
        <f t="shared" ca="1" si="9"/>
        <v>0</v>
      </c>
      <c r="AK35"/>
      <c r="AL35"/>
      <c r="AM35"/>
      <c r="AN35"/>
      <c r="AO35"/>
      <c r="AP35"/>
      <c r="AQ35"/>
      <c r="AR35"/>
      <c r="BB35"/>
    </row>
    <row r="36" spans="2:54">
      <c r="B36" s="151">
        <f>[1]!_xludf.edate(B35,1)</f>
        <v>37438</v>
      </c>
      <c r="C36" s="152">
        <f t="shared" si="0"/>
        <v>37493</v>
      </c>
      <c r="D36" s="183">
        <v>0</v>
      </c>
      <c r="E36" s="184">
        <f>VLOOKUP($B36,Model!$A$8:$E$289,5)</f>
        <v>0</v>
      </c>
      <c r="F36" s="184">
        <f>VLOOKUP($B36,Model!$A$8:$F$289,6)</f>
        <v>0</v>
      </c>
      <c r="G36" s="206">
        <f ca="1">VLOOKUP($B36,Model!$A$8:$AO$289,41)</f>
        <v>0</v>
      </c>
      <c r="I36" s="153">
        <v>0</v>
      </c>
      <c r="J36" s="154">
        <f t="shared" si="2"/>
        <v>3.359</v>
      </c>
      <c r="K36" s="160">
        <f t="shared" si="10"/>
        <v>0</v>
      </c>
      <c r="L36" s="156">
        <f>IF(Control!$Y$26=Control!$X$27,J36,I36)+K36</f>
        <v>3.359</v>
      </c>
      <c r="M36" s="153">
        <v>0</v>
      </c>
      <c r="N36" s="154">
        <f>VLOOKUP($B36,Curve_Fetch,VLOOKUP(Control!$AJ$10,Control!$AI$11:$AK$22,3))</f>
        <v>-0.32</v>
      </c>
      <c r="O36" s="160">
        <f t="shared" si="11"/>
        <v>0</v>
      </c>
      <c r="P36" s="156">
        <f>IF(Control!$Y$31=Control!$X$32,N36,M36)+O36</f>
        <v>-0.32</v>
      </c>
      <c r="Q36" s="153">
        <v>0</v>
      </c>
      <c r="R36" s="154">
        <f>VLOOKUP($B36,Curve_Fetch,(VLOOKUP(Control!$AJ$10,Control!$AI$11:$AL$22,4)))</f>
        <v>0</v>
      </c>
      <c r="S36" s="160">
        <f t="shared" si="12"/>
        <v>0</v>
      </c>
      <c r="T36" s="156">
        <f>IF($C$11="Physical",IF(Control!$Y$37=Control!$X$38,R36,Q36)+S36,0)</f>
        <v>0</v>
      </c>
      <c r="U36" s="203">
        <f t="shared" si="1"/>
        <v>3.0390000000000001</v>
      </c>
      <c r="V36" s="172"/>
      <c r="W36" s="219">
        <f>VLOOKUP($B36,Model!$A$8:$S$289,19)</f>
        <v>0.46</v>
      </c>
      <c r="X36" s="221">
        <f t="shared" si="13"/>
        <v>0</v>
      </c>
      <c r="Y36" s="221">
        <f t="shared" si="3"/>
        <v>0.46</v>
      </c>
      <c r="Z36" s="160">
        <f t="shared" si="14"/>
        <v>0</v>
      </c>
      <c r="AA36" s="160">
        <f t="shared" si="15"/>
        <v>3.0390000000000001</v>
      </c>
      <c r="AB36" s="231">
        <f ca="1">_xll.EURO(U36,AA36,VLOOKUP($B36,Curve_Fetch,2),VLOOKUP($B36,Curve_Fetch,2),Y36,VLOOKUP($B36,Model!$A$8:$R$289,18),IF(Euro!$C$10="Call",1,0),0)</f>
        <v>0.4438878797392154</v>
      </c>
      <c r="AD36" s="157">
        <f t="shared" ca="1" si="4"/>
        <v>0</v>
      </c>
      <c r="AE36" s="158">
        <f t="shared" ca="1" si="5"/>
        <v>0</v>
      </c>
      <c r="AF36" s="158">
        <f t="shared" ca="1" si="6"/>
        <v>0</v>
      </c>
      <c r="AG36" s="158">
        <f t="shared" ca="1" si="7"/>
        <v>0</v>
      </c>
      <c r="AH36" s="158">
        <f t="shared" ca="1" si="8"/>
        <v>0</v>
      </c>
      <c r="AI36" s="159">
        <f t="shared" ca="1" si="9"/>
        <v>0</v>
      </c>
      <c r="AK36"/>
      <c r="AL36"/>
      <c r="AM36"/>
      <c r="AN36"/>
      <c r="AO36"/>
      <c r="AP36"/>
      <c r="AQ36"/>
      <c r="AR36"/>
    </row>
    <row r="37" spans="2:54">
      <c r="B37" s="151">
        <f>[1]!_xludf.edate(B36,1)</f>
        <v>37469</v>
      </c>
      <c r="C37" s="152">
        <f t="shared" si="0"/>
        <v>37524</v>
      </c>
      <c r="D37" s="183">
        <v>0</v>
      </c>
      <c r="E37" s="184">
        <f>VLOOKUP($B37,Model!$A$8:$E$289,5)</f>
        <v>0</v>
      </c>
      <c r="F37" s="184">
        <f>VLOOKUP($B37,Model!$A$8:$F$289,6)</f>
        <v>0</v>
      </c>
      <c r="G37" s="206">
        <f ca="1">VLOOKUP($B37,Model!$A$8:$AO$289,41)</f>
        <v>0</v>
      </c>
      <c r="I37" s="153">
        <v>0</v>
      </c>
      <c r="J37" s="154">
        <f t="shared" si="2"/>
        <v>3.399</v>
      </c>
      <c r="K37" s="160">
        <f t="shared" si="10"/>
        <v>0</v>
      </c>
      <c r="L37" s="156">
        <f>IF(Control!$Y$26=Control!$X$27,J37,I37)+K37</f>
        <v>3.399</v>
      </c>
      <c r="M37" s="153">
        <v>0</v>
      </c>
      <c r="N37" s="154">
        <f>VLOOKUP($B37,Curve_Fetch,VLOOKUP(Control!$AJ$10,Control!$AI$11:$AK$22,3))</f>
        <v>-0.32</v>
      </c>
      <c r="O37" s="160">
        <f t="shared" si="11"/>
        <v>0</v>
      </c>
      <c r="P37" s="156">
        <f>IF(Control!$Y$31=Control!$X$32,N37,M37)+O37</f>
        <v>-0.32</v>
      </c>
      <c r="Q37" s="153">
        <v>0</v>
      </c>
      <c r="R37" s="154">
        <f>VLOOKUP($B37,Curve_Fetch,(VLOOKUP(Control!$AJ$10,Control!$AI$11:$AL$22,4)))</f>
        <v>0</v>
      </c>
      <c r="S37" s="160">
        <f t="shared" si="12"/>
        <v>0</v>
      </c>
      <c r="T37" s="156">
        <f>IF($C$11="Physical",IF(Control!$Y$37=Control!$X$38,R37,Q37)+S37,0)</f>
        <v>0</v>
      </c>
      <c r="U37" s="203">
        <f t="shared" si="1"/>
        <v>3.0790000000000002</v>
      </c>
      <c r="V37" s="172"/>
      <c r="W37" s="219">
        <f>VLOOKUP($B37,Model!$A$8:$S$289,19)</f>
        <v>0.46</v>
      </c>
      <c r="X37" s="221">
        <f t="shared" si="13"/>
        <v>0</v>
      </c>
      <c r="Y37" s="221">
        <f t="shared" si="3"/>
        <v>0.46</v>
      </c>
      <c r="Z37" s="160">
        <f t="shared" si="14"/>
        <v>0</v>
      </c>
      <c r="AA37" s="160">
        <f t="shared" si="15"/>
        <v>3.0790000000000002</v>
      </c>
      <c r="AB37" s="231">
        <f ca="1">_xll.EURO(U37,AA37,VLOOKUP($B37,Curve_Fetch,2),VLOOKUP($B37,Curve_Fetch,2),Y37,VLOOKUP($B37,Model!$A$8:$R$289,18),IF(Euro!$C$10="Call",1,0),0)</f>
        <v>0.47645267605840624</v>
      </c>
      <c r="AD37" s="157">
        <f t="shared" ca="1" si="4"/>
        <v>0</v>
      </c>
      <c r="AE37" s="158">
        <f t="shared" ca="1" si="5"/>
        <v>0</v>
      </c>
      <c r="AF37" s="158">
        <f t="shared" ca="1" si="6"/>
        <v>0</v>
      </c>
      <c r="AG37" s="158">
        <f t="shared" ca="1" si="7"/>
        <v>0</v>
      </c>
      <c r="AH37" s="158">
        <f t="shared" ca="1" si="8"/>
        <v>0</v>
      </c>
      <c r="AI37" s="159">
        <f t="shared" ca="1" si="9"/>
        <v>0</v>
      </c>
      <c r="AK37"/>
      <c r="AL37"/>
      <c r="AM37"/>
      <c r="AN37"/>
      <c r="AO37"/>
      <c r="AP37"/>
      <c r="AQ37"/>
      <c r="AR37"/>
    </row>
    <row r="38" spans="2:54">
      <c r="B38" s="151">
        <f>[1]!_xludf.edate(B37,1)</f>
        <v>37500</v>
      </c>
      <c r="C38" s="152">
        <f t="shared" si="0"/>
        <v>37554</v>
      </c>
      <c r="D38" s="183">
        <v>0</v>
      </c>
      <c r="E38" s="184">
        <f>VLOOKUP($B38,Model!$A$8:$E$289,5)</f>
        <v>0</v>
      </c>
      <c r="F38" s="184">
        <f>VLOOKUP($B38,Model!$A$8:$F$289,6)</f>
        <v>0</v>
      </c>
      <c r="G38" s="206">
        <f ca="1">VLOOKUP($B38,Model!$A$8:$AO$289,41)</f>
        <v>0</v>
      </c>
      <c r="I38" s="153">
        <v>0</v>
      </c>
      <c r="J38" s="154">
        <f t="shared" si="2"/>
        <v>3.399</v>
      </c>
      <c r="K38" s="160">
        <f t="shared" si="10"/>
        <v>0</v>
      </c>
      <c r="L38" s="156">
        <f>IF(Control!$Y$26=Control!$X$27,J38,I38)+K38</f>
        <v>3.399</v>
      </c>
      <c r="M38" s="153">
        <v>0</v>
      </c>
      <c r="N38" s="154">
        <f>VLOOKUP($B38,Curve_Fetch,VLOOKUP(Control!$AJ$10,Control!$AI$11:$AK$22,3))</f>
        <v>-0.32</v>
      </c>
      <c r="O38" s="160">
        <f t="shared" si="11"/>
        <v>0</v>
      </c>
      <c r="P38" s="156">
        <f>IF(Control!$Y$31=Control!$X$32,N38,M38)+O38</f>
        <v>-0.32</v>
      </c>
      <c r="Q38" s="153">
        <v>0</v>
      </c>
      <c r="R38" s="154">
        <f>VLOOKUP($B38,Curve_Fetch,(VLOOKUP(Control!$AJ$10,Control!$AI$11:$AL$22,4)))</f>
        <v>0</v>
      </c>
      <c r="S38" s="160">
        <f t="shared" si="12"/>
        <v>0</v>
      </c>
      <c r="T38" s="156">
        <f>IF($C$11="Physical",IF(Control!$Y$37=Control!$X$38,R38,Q38)+S38,0)</f>
        <v>0</v>
      </c>
      <c r="U38" s="203">
        <f t="shared" si="1"/>
        <v>3.0790000000000002</v>
      </c>
      <c r="V38" s="172"/>
      <c r="W38" s="219">
        <f>VLOOKUP($B38,Model!$A$8:$S$289,19)</f>
        <v>0.46</v>
      </c>
      <c r="X38" s="221">
        <f t="shared" si="13"/>
        <v>0</v>
      </c>
      <c r="Y38" s="221">
        <f t="shared" si="3"/>
        <v>0.46</v>
      </c>
      <c r="Z38" s="160">
        <f t="shared" si="14"/>
        <v>0</v>
      </c>
      <c r="AA38" s="160">
        <f t="shared" si="15"/>
        <v>3.0790000000000002</v>
      </c>
      <c r="AB38" s="231">
        <f ca="1">_xll.EURO(U38,AA38,VLOOKUP($B38,Curve_Fetch,2),VLOOKUP($B38,Curve_Fetch,2),Y38,VLOOKUP($B38,Model!$A$8:$R$289,18),IF(Euro!$C$10="Call",1,0),0)</f>
        <v>0.50145494288915726</v>
      </c>
      <c r="AD38" s="157">
        <f t="shared" ca="1" si="4"/>
        <v>0</v>
      </c>
      <c r="AE38" s="158">
        <f t="shared" ca="1" si="5"/>
        <v>0</v>
      </c>
      <c r="AF38" s="158">
        <f t="shared" ca="1" si="6"/>
        <v>0</v>
      </c>
      <c r="AG38" s="158">
        <f t="shared" ca="1" si="7"/>
        <v>0</v>
      </c>
      <c r="AH38" s="158">
        <f t="shared" ca="1" si="8"/>
        <v>0</v>
      </c>
      <c r="AI38" s="159">
        <f t="shared" ca="1" si="9"/>
        <v>0</v>
      </c>
      <c r="AK38"/>
      <c r="AL38"/>
      <c r="AM38"/>
      <c r="AN38"/>
      <c r="AO38"/>
      <c r="AP38"/>
      <c r="AQ38"/>
      <c r="AR38"/>
    </row>
    <row r="39" spans="2:54">
      <c r="B39" s="151">
        <f>[1]!_xludf.edate(B38,1)</f>
        <v>37530</v>
      </c>
      <c r="C39" s="152">
        <f t="shared" si="0"/>
        <v>37585</v>
      </c>
      <c r="D39" s="183">
        <v>0</v>
      </c>
      <c r="E39" s="184">
        <f>VLOOKUP($B39,Model!$A$8:$E$289,5)</f>
        <v>0</v>
      </c>
      <c r="F39" s="184">
        <f>VLOOKUP($B39,Model!$A$8:$F$289,6)</f>
        <v>0</v>
      </c>
      <c r="G39" s="206">
        <f ca="1">VLOOKUP($B39,Model!$A$8:$AO$289,41)</f>
        <v>0</v>
      </c>
      <c r="I39" s="153">
        <v>0</v>
      </c>
      <c r="J39" s="154">
        <f t="shared" si="2"/>
        <v>3.4289999999999998</v>
      </c>
      <c r="K39" s="160">
        <f t="shared" si="10"/>
        <v>0</v>
      </c>
      <c r="L39" s="156">
        <f>IF(Control!$Y$26=Control!$X$27,J39,I39)+K39</f>
        <v>3.4289999999999998</v>
      </c>
      <c r="M39" s="153">
        <v>0</v>
      </c>
      <c r="N39" s="154">
        <f>VLOOKUP($B39,Curve_Fetch,VLOOKUP(Control!$AJ$10,Control!$AI$11:$AK$22,3))</f>
        <v>-0.33</v>
      </c>
      <c r="O39" s="160">
        <f t="shared" si="11"/>
        <v>0</v>
      </c>
      <c r="P39" s="156">
        <f>IF(Control!$Y$31=Control!$X$32,N39,M39)+O39</f>
        <v>-0.33</v>
      </c>
      <c r="Q39" s="153">
        <v>0</v>
      </c>
      <c r="R39" s="154">
        <f>VLOOKUP($B39,Curve_Fetch,(VLOOKUP(Control!$AJ$10,Control!$AI$11:$AL$22,4)))</f>
        <v>0</v>
      </c>
      <c r="S39" s="160">
        <f t="shared" si="12"/>
        <v>0</v>
      </c>
      <c r="T39" s="156">
        <f>IF($C$11="Physical",IF(Control!$Y$37=Control!$X$38,R39,Q39)+S39,0)</f>
        <v>0</v>
      </c>
      <c r="U39" s="203">
        <f t="shared" si="1"/>
        <v>3.0989999999999998</v>
      </c>
      <c r="V39" s="172"/>
      <c r="W39" s="219">
        <f>VLOOKUP($B39,Model!$A$8:$S$289,19)</f>
        <v>0.46</v>
      </c>
      <c r="X39" s="221">
        <f t="shared" si="13"/>
        <v>0</v>
      </c>
      <c r="Y39" s="221">
        <f t="shared" si="3"/>
        <v>0.46</v>
      </c>
      <c r="Z39" s="160">
        <f t="shared" si="14"/>
        <v>0</v>
      </c>
      <c r="AA39" s="160">
        <f t="shared" si="15"/>
        <v>3.0989999999999998</v>
      </c>
      <c r="AB39" s="231">
        <f ca="1">_xll.EURO(U39,AA39,VLOOKUP($B39,Curve_Fetch,2),VLOOKUP($B39,Curve_Fetch,2),Y39,VLOOKUP($B39,Model!$A$8:$R$289,18),IF(Euro!$C$10="Call",1,0),0)</f>
        <v>0.52761492227852513</v>
      </c>
      <c r="AD39" s="157">
        <f t="shared" ca="1" si="4"/>
        <v>0</v>
      </c>
      <c r="AE39" s="158">
        <f t="shared" ca="1" si="5"/>
        <v>0</v>
      </c>
      <c r="AF39" s="158">
        <f t="shared" ca="1" si="6"/>
        <v>0</v>
      </c>
      <c r="AG39" s="158">
        <f t="shared" ca="1" si="7"/>
        <v>0</v>
      </c>
      <c r="AH39" s="158">
        <f t="shared" ca="1" si="8"/>
        <v>0</v>
      </c>
      <c r="AI39" s="159">
        <f t="shared" ca="1" si="9"/>
        <v>0</v>
      </c>
      <c r="AK39"/>
      <c r="AL39"/>
      <c r="AM39"/>
      <c r="AN39"/>
      <c r="AO39"/>
      <c r="AP39"/>
      <c r="AQ39"/>
      <c r="AR39"/>
    </row>
    <row r="40" spans="2:54">
      <c r="B40" s="151">
        <f>[1]!_xludf.edate(B39,1)</f>
        <v>37561</v>
      </c>
      <c r="C40" s="152">
        <f t="shared" si="0"/>
        <v>37615</v>
      </c>
      <c r="D40" s="183">
        <v>0</v>
      </c>
      <c r="E40" s="184">
        <f>VLOOKUP($B40,Model!$A$8:$E$289,5)</f>
        <v>0</v>
      </c>
      <c r="F40" s="184">
        <f>VLOOKUP($B40,Model!$A$8:$F$289,6)</f>
        <v>0</v>
      </c>
      <c r="G40" s="206">
        <f ca="1">VLOOKUP($B40,Model!$A$8:$AO$289,41)</f>
        <v>0</v>
      </c>
      <c r="I40" s="153">
        <v>0</v>
      </c>
      <c r="J40" s="154">
        <f t="shared" si="2"/>
        <v>3.6040000000000001</v>
      </c>
      <c r="K40" s="160">
        <f t="shared" si="10"/>
        <v>0</v>
      </c>
      <c r="L40" s="156">
        <f>IF(Control!$Y$26=Control!$X$27,J40,I40)+K40</f>
        <v>3.6040000000000001</v>
      </c>
      <c r="M40" s="153">
        <v>0</v>
      </c>
      <c r="N40" s="154">
        <f>VLOOKUP($B40,Curve_Fetch,VLOOKUP(Control!$AJ$10,Control!$AI$11:$AK$22,3))</f>
        <v>-0.2</v>
      </c>
      <c r="O40" s="160">
        <f t="shared" si="11"/>
        <v>0</v>
      </c>
      <c r="P40" s="156">
        <f>IF(Control!$Y$31=Control!$X$32,N40,M40)+O40</f>
        <v>-0.2</v>
      </c>
      <c r="Q40" s="153">
        <v>0</v>
      </c>
      <c r="R40" s="154">
        <f>VLOOKUP($B40,Curve_Fetch,(VLOOKUP(Control!$AJ$10,Control!$AI$11:$AL$22,4)))</f>
        <v>0</v>
      </c>
      <c r="S40" s="160">
        <f t="shared" si="12"/>
        <v>0</v>
      </c>
      <c r="T40" s="156">
        <f>IF($C$11="Physical",IF(Control!$Y$37=Control!$X$38,R40,Q40)+S40,0)</f>
        <v>0</v>
      </c>
      <c r="U40" s="203">
        <f t="shared" si="1"/>
        <v>3.4039999999999999</v>
      </c>
      <c r="V40" s="172"/>
      <c r="W40" s="219">
        <f>VLOOKUP($B40,Model!$A$8:$S$289,19)</f>
        <v>0.45800000000000002</v>
      </c>
      <c r="X40" s="221">
        <f t="shared" si="13"/>
        <v>0</v>
      </c>
      <c r="Y40" s="221">
        <f t="shared" si="3"/>
        <v>0.45800000000000002</v>
      </c>
      <c r="Z40" s="160">
        <f t="shared" si="14"/>
        <v>0</v>
      </c>
      <c r="AA40" s="160">
        <f t="shared" si="15"/>
        <v>3.4039999999999999</v>
      </c>
      <c r="AB40" s="231">
        <f ca="1">_xll.EURO(U40,AA40,VLOOKUP($B40,Curve_Fetch,2),VLOOKUP($B40,Curve_Fetch,2),Y40,VLOOKUP($B40,Model!$A$8:$R$289,18),IF(Euro!$C$10="Call",1,0),0)</f>
        <v>0.60148248265765747</v>
      </c>
      <c r="AD40" s="157">
        <f t="shared" ca="1" si="4"/>
        <v>0</v>
      </c>
      <c r="AE40" s="158">
        <f t="shared" ca="1" si="5"/>
        <v>0</v>
      </c>
      <c r="AF40" s="158">
        <f t="shared" ca="1" si="6"/>
        <v>0</v>
      </c>
      <c r="AG40" s="158">
        <f t="shared" ca="1" si="7"/>
        <v>0</v>
      </c>
      <c r="AH40" s="158">
        <f t="shared" ca="1" si="8"/>
        <v>0</v>
      </c>
      <c r="AI40" s="159">
        <f t="shared" ca="1" si="9"/>
        <v>0</v>
      </c>
      <c r="AK40"/>
      <c r="AL40"/>
      <c r="AM40"/>
      <c r="AN40"/>
      <c r="AO40"/>
      <c r="AP40"/>
      <c r="AQ40"/>
      <c r="AR40"/>
    </row>
    <row r="41" spans="2:54">
      <c r="B41" s="151">
        <f>[1]!_xludf.edate(B40,1)</f>
        <v>37591</v>
      </c>
      <c r="C41" s="152">
        <f t="shared" si="0"/>
        <v>37646</v>
      </c>
      <c r="D41" s="183">
        <v>0</v>
      </c>
      <c r="E41" s="184">
        <f>VLOOKUP($B41,Model!$A$8:$E$289,5)</f>
        <v>0</v>
      </c>
      <c r="F41" s="184">
        <f>VLOOKUP($B41,Model!$A$8:$F$289,6)</f>
        <v>0</v>
      </c>
      <c r="G41" s="206">
        <f ca="1">VLOOKUP($B41,Model!$A$8:$AO$289,41)</f>
        <v>0</v>
      </c>
      <c r="I41" s="153">
        <v>0</v>
      </c>
      <c r="J41" s="154">
        <f t="shared" si="2"/>
        <v>3.794</v>
      </c>
      <c r="K41" s="160">
        <f t="shared" si="10"/>
        <v>0</v>
      </c>
      <c r="L41" s="156">
        <f>IF(Control!$Y$26=Control!$X$27,J41,I41)+K41</f>
        <v>3.794</v>
      </c>
      <c r="M41" s="153">
        <v>0</v>
      </c>
      <c r="N41" s="154">
        <f>VLOOKUP($B41,Curve_Fetch,VLOOKUP(Control!$AJ$10,Control!$AI$11:$AK$22,3))</f>
        <v>-0.2</v>
      </c>
      <c r="O41" s="160">
        <f t="shared" si="11"/>
        <v>0</v>
      </c>
      <c r="P41" s="156">
        <f>IF(Control!$Y$31=Control!$X$32,N41,M41)+O41</f>
        <v>-0.2</v>
      </c>
      <c r="Q41" s="153">
        <v>0</v>
      </c>
      <c r="R41" s="154">
        <f>VLOOKUP($B41,Curve_Fetch,(VLOOKUP(Control!$AJ$10,Control!$AI$11:$AL$22,4)))</f>
        <v>0</v>
      </c>
      <c r="S41" s="160">
        <f t="shared" si="12"/>
        <v>0</v>
      </c>
      <c r="T41" s="156">
        <f>IF($C$11="Physical",IF(Control!$Y$37=Control!$X$38,R41,Q41)+S41,0)</f>
        <v>0</v>
      </c>
      <c r="U41" s="203">
        <f t="shared" si="1"/>
        <v>3.5939999999999999</v>
      </c>
      <c r="V41" s="172"/>
      <c r="W41" s="219">
        <f>VLOOKUP($B41,Model!$A$8:$S$289,19)</f>
        <v>0.45500000000000002</v>
      </c>
      <c r="X41" s="221">
        <f t="shared" si="13"/>
        <v>0</v>
      </c>
      <c r="Y41" s="221">
        <f t="shared" si="3"/>
        <v>0.45500000000000002</v>
      </c>
      <c r="Z41" s="160">
        <f t="shared" si="14"/>
        <v>0</v>
      </c>
      <c r="AA41" s="160">
        <f t="shared" si="15"/>
        <v>3.5939999999999999</v>
      </c>
      <c r="AB41" s="231">
        <f ca="1">_xll.EURO(U41,AA41,VLOOKUP($B41,Curve_Fetch,2),VLOOKUP($B41,Curve_Fetch,2),Y41,VLOOKUP($B41,Model!$A$8:$R$289,18),IF(Euro!$C$10="Call",1,0),0)</f>
        <v>0.65447823564164809</v>
      </c>
      <c r="AD41" s="157">
        <f t="shared" ca="1" si="4"/>
        <v>0</v>
      </c>
      <c r="AE41" s="158">
        <f t="shared" ca="1" si="5"/>
        <v>0</v>
      </c>
      <c r="AF41" s="158">
        <f t="shared" ca="1" si="6"/>
        <v>0</v>
      </c>
      <c r="AG41" s="158">
        <f t="shared" ca="1" si="7"/>
        <v>0</v>
      </c>
      <c r="AH41" s="158">
        <f t="shared" ca="1" si="8"/>
        <v>0</v>
      </c>
      <c r="AI41" s="159">
        <f t="shared" ca="1" si="9"/>
        <v>0</v>
      </c>
      <c r="AK41"/>
      <c r="AL41"/>
      <c r="AM41"/>
      <c r="AN41"/>
      <c r="AO41"/>
      <c r="AP41"/>
      <c r="AQ41"/>
      <c r="AR41"/>
    </row>
    <row r="42" spans="2:54">
      <c r="B42" s="151">
        <f>[1]!_xludf.edate(B41,1)</f>
        <v>37622</v>
      </c>
      <c r="C42" s="152">
        <f t="shared" si="0"/>
        <v>37677</v>
      </c>
      <c r="D42" s="183">
        <v>0</v>
      </c>
      <c r="E42" s="184">
        <f>VLOOKUP($B42,Model!$A$8:$E$289,5)</f>
        <v>0</v>
      </c>
      <c r="F42" s="184">
        <f>VLOOKUP($B42,Model!$A$8:$F$289,6)</f>
        <v>0</v>
      </c>
      <c r="G42" s="206">
        <f ca="1">VLOOKUP($B42,Model!$A$8:$AO$289,41)</f>
        <v>0</v>
      </c>
      <c r="I42" s="153">
        <v>0</v>
      </c>
      <c r="J42" s="154">
        <f t="shared" si="2"/>
        <v>3.9140000000000001</v>
      </c>
      <c r="K42" s="160">
        <f t="shared" si="10"/>
        <v>0</v>
      </c>
      <c r="L42" s="156">
        <f>IF(Control!$Y$26=Control!$X$27,J42,I42)+K42</f>
        <v>3.9140000000000001</v>
      </c>
      <c r="M42" s="153">
        <v>0</v>
      </c>
      <c r="N42" s="154">
        <f>VLOOKUP($B42,Curve_Fetch,VLOOKUP(Control!$AJ$10,Control!$AI$11:$AK$22,3))</f>
        <v>-0.2</v>
      </c>
      <c r="O42" s="160">
        <f t="shared" si="11"/>
        <v>0</v>
      </c>
      <c r="P42" s="156">
        <f>IF(Control!$Y$31=Control!$X$32,N42,M42)+O42</f>
        <v>-0.2</v>
      </c>
      <c r="Q42" s="153">
        <v>0</v>
      </c>
      <c r="R42" s="154">
        <f>VLOOKUP($B42,Curve_Fetch,(VLOOKUP(Control!$AJ$10,Control!$AI$11:$AL$22,4)))</f>
        <v>0</v>
      </c>
      <c r="S42" s="160">
        <f t="shared" si="12"/>
        <v>0</v>
      </c>
      <c r="T42" s="156">
        <f>IF($C$11="Physical",IF(Control!$Y$37=Control!$X$38,R42,Q42)+S42,0)</f>
        <v>0</v>
      </c>
      <c r="U42" s="203">
        <f t="shared" si="1"/>
        <v>3.714</v>
      </c>
      <c r="V42" s="172"/>
      <c r="W42" s="219">
        <f>VLOOKUP($B42,Model!$A$8:$S$289,19)</f>
        <v>0.45500000000000002</v>
      </c>
      <c r="X42" s="221">
        <f t="shared" si="13"/>
        <v>0</v>
      </c>
      <c r="Y42" s="221">
        <f t="shared" si="3"/>
        <v>0.45500000000000002</v>
      </c>
      <c r="Z42" s="160">
        <f t="shared" si="14"/>
        <v>0</v>
      </c>
      <c r="AA42" s="160">
        <f t="shared" si="15"/>
        <v>3.714</v>
      </c>
      <c r="AB42" s="231">
        <f ca="1">_xll.EURO(U42,AA42,VLOOKUP($B42,Curve_Fetch,2),VLOOKUP($B42,Curve_Fetch,2),Y42,VLOOKUP($B42,Model!$A$8:$R$289,18),IF(Euro!$C$10="Call",1,0),0)</f>
        <v>0.70015983481870547</v>
      </c>
      <c r="AD42" s="157">
        <f t="shared" ca="1" si="4"/>
        <v>0</v>
      </c>
      <c r="AE42" s="158">
        <f t="shared" ca="1" si="5"/>
        <v>0</v>
      </c>
      <c r="AF42" s="158">
        <f t="shared" ca="1" si="6"/>
        <v>0</v>
      </c>
      <c r="AG42" s="158">
        <f t="shared" ca="1" si="7"/>
        <v>0</v>
      </c>
      <c r="AH42" s="158">
        <f t="shared" ca="1" si="8"/>
        <v>0</v>
      </c>
      <c r="AI42" s="159">
        <f t="shared" ca="1" si="9"/>
        <v>0</v>
      </c>
      <c r="AK42"/>
      <c r="AL42"/>
      <c r="AM42"/>
      <c r="AN42"/>
      <c r="AO42"/>
      <c r="AP42"/>
      <c r="AQ42"/>
      <c r="AR42"/>
    </row>
    <row r="43" spans="2:54">
      <c r="B43" s="151">
        <f>[1]!_xludf.edate(B42,1)</f>
        <v>37653</v>
      </c>
      <c r="C43" s="152">
        <f t="shared" si="0"/>
        <v>37705</v>
      </c>
      <c r="D43" s="183">
        <v>0</v>
      </c>
      <c r="E43" s="184">
        <f>VLOOKUP($B43,Model!$A$8:$E$289,5)</f>
        <v>0</v>
      </c>
      <c r="F43" s="184">
        <f>VLOOKUP($B43,Model!$A$8:$F$289,6)</f>
        <v>0</v>
      </c>
      <c r="G43" s="206">
        <f ca="1">VLOOKUP($B43,Model!$A$8:$AO$289,41)</f>
        <v>0</v>
      </c>
      <c r="I43" s="153">
        <v>0</v>
      </c>
      <c r="J43" s="154">
        <f t="shared" si="2"/>
        <v>3.8290000000000002</v>
      </c>
      <c r="K43" s="160">
        <f t="shared" si="10"/>
        <v>0</v>
      </c>
      <c r="L43" s="156">
        <f>IF(Control!$Y$26=Control!$X$27,J43,I43)+K43</f>
        <v>3.8290000000000002</v>
      </c>
      <c r="M43" s="153">
        <v>0</v>
      </c>
      <c r="N43" s="154">
        <f>VLOOKUP($B43,Curve_Fetch,VLOOKUP(Control!$AJ$10,Control!$AI$11:$AK$22,3))</f>
        <v>-0.2</v>
      </c>
      <c r="O43" s="160">
        <f t="shared" si="11"/>
        <v>0</v>
      </c>
      <c r="P43" s="156">
        <f>IF(Control!$Y$31=Control!$X$32,N43,M43)+O43</f>
        <v>-0.2</v>
      </c>
      <c r="Q43" s="153">
        <v>0</v>
      </c>
      <c r="R43" s="154">
        <f>VLOOKUP($B43,Curve_Fetch,(VLOOKUP(Control!$AJ$10,Control!$AI$11:$AL$22,4)))</f>
        <v>0</v>
      </c>
      <c r="S43" s="160">
        <f t="shared" si="12"/>
        <v>0</v>
      </c>
      <c r="T43" s="156">
        <f>IF($C$11="Physical",IF(Control!$Y$37=Control!$X$38,R43,Q43)+S43,0)</f>
        <v>0</v>
      </c>
      <c r="U43" s="203">
        <f t="shared" si="1"/>
        <v>3.629</v>
      </c>
      <c r="V43" s="172"/>
      <c r="W43" s="219">
        <f>VLOOKUP($B43,Model!$A$8:$S$289,19)</f>
        <v>0.44800000000000001</v>
      </c>
      <c r="X43" s="221">
        <f t="shared" si="13"/>
        <v>0</v>
      </c>
      <c r="Y43" s="221">
        <f t="shared" si="3"/>
        <v>0.44800000000000001</v>
      </c>
      <c r="Z43" s="160">
        <f t="shared" si="14"/>
        <v>0</v>
      </c>
      <c r="AA43" s="160">
        <f t="shared" si="15"/>
        <v>3.629</v>
      </c>
      <c r="AB43" s="231">
        <f ca="1">_xll.EURO(U43,AA43,VLOOKUP($B43,Curve_Fetch,2),VLOOKUP($B43,Curve_Fetch,2),Y43,VLOOKUP($B43,Model!$A$8:$R$289,18),IF(Euro!$C$10="Call",1,0),0)</f>
        <v>0.69560295435265251</v>
      </c>
      <c r="AD43" s="157">
        <f t="shared" ca="1" si="4"/>
        <v>0</v>
      </c>
      <c r="AE43" s="158">
        <f t="shared" ca="1" si="5"/>
        <v>0</v>
      </c>
      <c r="AF43" s="158">
        <f t="shared" ca="1" si="6"/>
        <v>0</v>
      </c>
      <c r="AG43" s="158">
        <f t="shared" ca="1" si="7"/>
        <v>0</v>
      </c>
      <c r="AH43" s="158">
        <f t="shared" ca="1" si="8"/>
        <v>0</v>
      </c>
      <c r="AI43" s="159">
        <f t="shared" ca="1" si="9"/>
        <v>0</v>
      </c>
      <c r="AK43"/>
      <c r="AL43"/>
      <c r="AM43"/>
      <c r="AN43"/>
      <c r="AO43"/>
      <c r="AP43"/>
      <c r="AQ43"/>
      <c r="AR43"/>
    </row>
    <row r="44" spans="2:54">
      <c r="B44" s="151">
        <f>[1]!_xludf.edate(B43,1)</f>
        <v>37681</v>
      </c>
      <c r="C44" s="152">
        <f t="shared" si="0"/>
        <v>37736</v>
      </c>
      <c r="D44" s="183">
        <v>0</v>
      </c>
      <c r="E44" s="184">
        <f>VLOOKUP($B44,Model!$A$8:$E$289,5)</f>
        <v>0</v>
      </c>
      <c r="F44" s="184">
        <f>VLOOKUP($B44,Model!$A$8:$F$289,6)</f>
        <v>0</v>
      </c>
      <c r="G44" s="206">
        <f ca="1">VLOOKUP($B44,Model!$A$8:$AO$289,41)</f>
        <v>0</v>
      </c>
      <c r="I44" s="153">
        <v>0</v>
      </c>
      <c r="J44" s="154">
        <f t="shared" si="2"/>
        <v>3.7240000000000002</v>
      </c>
      <c r="K44" s="160">
        <f t="shared" si="10"/>
        <v>0</v>
      </c>
      <c r="L44" s="156">
        <f>IF(Control!$Y$26=Control!$X$27,J44,I44)+K44</f>
        <v>3.7240000000000002</v>
      </c>
      <c r="M44" s="153">
        <v>0</v>
      </c>
      <c r="N44" s="154">
        <f>VLOOKUP($B44,Curve_Fetch,VLOOKUP(Control!$AJ$10,Control!$AI$11:$AK$22,3))</f>
        <v>-0.2</v>
      </c>
      <c r="O44" s="160">
        <f t="shared" si="11"/>
        <v>0</v>
      </c>
      <c r="P44" s="156">
        <f>IF(Control!$Y$31=Control!$X$32,N44,M44)+O44</f>
        <v>-0.2</v>
      </c>
      <c r="Q44" s="153">
        <v>0</v>
      </c>
      <c r="R44" s="154">
        <f>VLOOKUP($B44,Curve_Fetch,(VLOOKUP(Control!$AJ$10,Control!$AI$11:$AL$22,4)))</f>
        <v>0</v>
      </c>
      <c r="S44" s="160">
        <f t="shared" si="12"/>
        <v>0</v>
      </c>
      <c r="T44" s="156">
        <f>IF($C$11="Physical",IF(Control!$Y$37=Control!$X$38,R44,Q44)+S44,0)</f>
        <v>0</v>
      </c>
      <c r="U44" s="203">
        <f t="shared" si="1"/>
        <v>3.524</v>
      </c>
      <c r="V44" s="172"/>
      <c r="W44" s="219">
        <f>VLOOKUP($B44,Model!$A$8:$S$289,19)</f>
        <v>0.42499999999999999</v>
      </c>
      <c r="X44" s="221">
        <f t="shared" si="13"/>
        <v>0</v>
      </c>
      <c r="Y44" s="221">
        <f t="shared" si="3"/>
        <v>0.42499999999999999</v>
      </c>
      <c r="Z44" s="160">
        <f t="shared" si="14"/>
        <v>0</v>
      </c>
      <c r="AA44" s="160">
        <f t="shared" si="15"/>
        <v>3.524</v>
      </c>
      <c r="AB44" s="231">
        <f ca="1">_xll.EURO(U44,AA44,VLOOKUP($B44,Curve_Fetch,2),VLOOKUP($B44,Curve_Fetch,2),Y44,VLOOKUP($B44,Model!$A$8:$R$289,18),IF(Euro!$C$10="Call",1,0),0)</f>
        <v>0.65884195794470357</v>
      </c>
      <c r="AD44" s="157">
        <f t="shared" ca="1" si="4"/>
        <v>0</v>
      </c>
      <c r="AE44" s="158">
        <f t="shared" ca="1" si="5"/>
        <v>0</v>
      </c>
      <c r="AF44" s="158">
        <f t="shared" ca="1" si="6"/>
        <v>0</v>
      </c>
      <c r="AG44" s="158">
        <f t="shared" ca="1" si="7"/>
        <v>0</v>
      </c>
      <c r="AH44" s="158">
        <f t="shared" ca="1" si="8"/>
        <v>0</v>
      </c>
      <c r="AI44" s="159">
        <f t="shared" ca="1" si="9"/>
        <v>0</v>
      </c>
      <c r="AK44"/>
      <c r="AL44"/>
      <c r="AM44"/>
      <c r="AN44"/>
      <c r="AO44"/>
      <c r="AP44"/>
      <c r="AQ44"/>
      <c r="AR44"/>
    </row>
    <row r="45" spans="2:54">
      <c r="B45" s="151">
        <f>[1]!_xludf.edate(B44,1)</f>
        <v>37712</v>
      </c>
      <c r="C45" s="152">
        <f t="shared" si="0"/>
        <v>37766</v>
      </c>
      <c r="D45" s="183">
        <v>0</v>
      </c>
      <c r="E45" s="184">
        <f>VLOOKUP($B45,Model!$A$8:$E$289,5)</f>
        <v>0</v>
      </c>
      <c r="F45" s="184">
        <f>VLOOKUP($B45,Model!$A$8:$F$289,6)</f>
        <v>0</v>
      </c>
      <c r="G45" s="206">
        <f ca="1">VLOOKUP($B45,Model!$A$8:$AO$289,41)</f>
        <v>0</v>
      </c>
      <c r="I45" s="153">
        <v>0</v>
      </c>
      <c r="J45" s="154">
        <f t="shared" si="2"/>
        <v>3.5990000000000002</v>
      </c>
      <c r="K45" s="160">
        <f t="shared" si="10"/>
        <v>0</v>
      </c>
      <c r="L45" s="156">
        <f>IF(Control!$Y$26=Control!$X$27,J45,I45)+K45</f>
        <v>3.5990000000000002</v>
      </c>
      <c r="M45" s="153">
        <v>0</v>
      </c>
      <c r="N45" s="154">
        <f>VLOOKUP($B45,Curve_Fetch,VLOOKUP(Control!$AJ$10,Control!$AI$11:$AK$22,3))</f>
        <v>-0.27500000000000002</v>
      </c>
      <c r="O45" s="160">
        <f t="shared" si="11"/>
        <v>0</v>
      </c>
      <c r="P45" s="156">
        <f>IF(Control!$Y$31=Control!$X$32,N45,M45)+O45</f>
        <v>-0.27500000000000002</v>
      </c>
      <c r="Q45" s="153">
        <v>0</v>
      </c>
      <c r="R45" s="154">
        <f>VLOOKUP($B45,Curve_Fetch,(VLOOKUP(Control!$AJ$10,Control!$AI$11:$AL$22,4)))</f>
        <v>2.5000000000000001E-3</v>
      </c>
      <c r="S45" s="160">
        <f t="shared" si="12"/>
        <v>0</v>
      </c>
      <c r="T45" s="156">
        <f>IF($C$11="Physical",IF(Control!$Y$37=Control!$X$38,R45,Q45)+S45,0)</f>
        <v>2.5000000000000001E-3</v>
      </c>
      <c r="U45" s="203">
        <f t="shared" si="1"/>
        <v>3.3265000000000002</v>
      </c>
      <c r="V45" s="172"/>
      <c r="W45" s="219">
        <f>VLOOKUP($B45,Model!$A$8:$S$289,19)</f>
        <v>0.38</v>
      </c>
      <c r="X45" s="221">
        <f t="shared" si="13"/>
        <v>0</v>
      </c>
      <c r="Y45" s="221">
        <f t="shared" si="3"/>
        <v>0.38</v>
      </c>
      <c r="Z45" s="160">
        <f t="shared" si="14"/>
        <v>0</v>
      </c>
      <c r="AA45" s="160">
        <f t="shared" si="15"/>
        <v>3.3265000000000002</v>
      </c>
      <c r="AB45" s="231">
        <f ca="1">_xll.EURO(U45,AA45,VLOOKUP($B45,Curve_Fetch,2),VLOOKUP($B45,Curve_Fetch,2),Y45,VLOOKUP($B45,Model!$A$8:$R$289,18),IF(Euro!$C$10="Call",1,0),0)</f>
        <v>0.57280837786729033</v>
      </c>
      <c r="AD45" s="157">
        <f t="shared" ca="1" si="4"/>
        <v>0</v>
      </c>
      <c r="AE45" s="158">
        <f t="shared" ca="1" si="5"/>
        <v>0</v>
      </c>
      <c r="AF45" s="158">
        <f t="shared" ca="1" si="6"/>
        <v>0</v>
      </c>
      <c r="AG45" s="158">
        <f t="shared" ca="1" si="7"/>
        <v>0</v>
      </c>
      <c r="AH45" s="158">
        <f t="shared" ca="1" si="8"/>
        <v>0</v>
      </c>
      <c r="AI45" s="159">
        <f t="shared" ca="1" si="9"/>
        <v>0</v>
      </c>
      <c r="AK45"/>
      <c r="AL45"/>
      <c r="AM45"/>
      <c r="AN45"/>
      <c r="AO45"/>
      <c r="AP45"/>
      <c r="AQ45"/>
      <c r="AR45"/>
    </row>
    <row r="46" spans="2:54">
      <c r="B46" s="151">
        <f>[1]!_xludf.edate(B45,1)</f>
        <v>37742</v>
      </c>
      <c r="C46" s="152">
        <f t="shared" si="0"/>
        <v>37797</v>
      </c>
      <c r="D46" s="183">
        <v>0</v>
      </c>
      <c r="E46" s="184">
        <f>VLOOKUP($B46,Model!$A$8:$E$289,5)</f>
        <v>0</v>
      </c>
      <c r="F46" s="184">
        <f>VLOOKUP($B46,Model!$A$8:$F$289,6)</f>
        <v>0</v>
      </c>
      <c r="G46" s="206">
        <f ca="1">VLOOKUP($B46,Model!$A$8:$AO$289,41)</f>
        <v>0</v>
      </c>
      <c r="I46" s="153">
        <v>0</v>
      </c>
      <c r="J46" s="154">
        <f t="shared" si="2"/>
        <v>3.5990000000000002</v>
      </c>
      <c r="K46" s="160">
        <f t="shared" si="10"/>
        <v>0</v>
      </c>
      <c r="L46" s="156">
        <f>IF(Control!$Y$26=Control!$X$27,J46,I46)+K46</f>
        <v>3.5990000000000002</v>
      </c>
      <c r="M46" s="153">
        <v>0</v>
      </c>
      <c r="N46" s="154">
        <f>VLOOKUP($B46,Curve_Fetch,VLOOKUP(Control!$AJ$10,Control!$AI$11:$AK$22,3))</f>
        <v>-0.27500000000000002</v>
      </c>
      <c r="O46" s="160">
        <f t="shared" si="11"/>
        <v>0</v>
      </c>
      <c r="P46" s="156">
        <f>IF(Control!$Y$31=Control!$X$32,N46,M46)+O46</f>
        <v>-0.27500000000000002</v>
      </c>
      <c r="Q46" s="153">
        <v>0</v>
      </c>
      <c r="R46" s="154">
        <f>VLOOKUP($B46,Curve_Fetch,(VLOOKUP(Control!$AJ$10,Control!$AI$11:$AL$22,4)))</f>
        <v>2.5000000000000001E-3</v>
      </c>
      <c r="S46" s="160">
        <f t="shared" si="12"/>
        <v>0</v>
      </c>
      <c r="T46" s="156">
        <f>IF($C$11="Physical",IF(Control!$Y$37=Control!$X$38,R46,Q46)+S46,0)</f>
        <v>2.5000000000000001E-3</v>
      </c>
      <c r="U46" s="203">
        <f t="shared" si="1"/>
        <v>3.3265000000000002</v>
      </c>
      <c r="V46" s="172"/>
      <c r="W46" s="219">
        <f>VLOOKUP($B46,Model!$A$8:$S$289,19)</f>
        <v>0.36299999999999999</v>
      </c>
      <c r="X46" s="221">
        <f t="shared" si="13"/>
        <v>0</v>
      </c>
      <c r="Y46" s="221">
        <f t="shared" si="3"/>
        <v>0.36299999999999999</v>
      </c>
      <c r="Z46" s="160">
        <f t="shared" si="14"/>
        <v>0</v>
      </c>
      <c r="AA46" s="160">
        <f t="shared" si="15"/>
        <v>3.3265000000000002</v>
      </c>
      <c r="AB46" s="231">
        <f ca="1">_xll.EURO(U46,AA46,VLOOKUP($B46,Curve_Fetch,2),VLOOKUP($B46,Curve_Fetch,2),Y46,VLOOKUP($B46,Model!$A$8:$R$289,18),IF(Euro!$C$10="Call",1,0),0)</f>
        <v>0.56144824908747126</v>
      </c>
      <c r="AD46" s="157">
        <f t="shared" ca="1" si="4"/>
        <v>0</v>
      </c>
      <c r="AE46" s="158">
        <f t="shared" ca="1" si="5"/>
        <v>0</v>
      </c>
      <c r="AF46" s="158">
        <f t="shared" ca="1" si="6"/>
        <v>0</v>
      </c>
      <c r="AG46" s="158">
        <f t="shared" ca="1" si="7"/>
        <v>0</v>
      </c>
      <c r="AH46" s="158">
        <f t="shared" ca="1" si="8"/>
        <v>0</v>
      </c>
      <c r="AI46" s="159">
        <f t="shared" ca="1" si="9"/>
        <v>0</v>
      </c>
      <c r="AK46"/>
      <c r="AL46"/>
      <c r="AM46"/>
      <c r="AN46"/>
      <c r="AO46"/>
      <c r="AP46"/>
      <c r="AQ46"/>
      <c r="AR46"/>
    </row>
    <row r="47" spans="2:54">
      <c r="B47" s="151">
        <f>[1]!_xludf.edate(B46,1)</f>
        <v>37773</v>
      </c>
      <c r="C47" s="152">
        <f t="shared" si="0"/>
        <v>37827</v>
      </c>
      <c r="D47" s="183">
        <v>0</v>
      </c>
      <c r="E47" s="184">
        <f>VLOOKUP($B47,Model!$A$8:$E$289,5)</f>
        <v>0</v>
      </c>
      <c r="F47" s="184">
        <f>VLOOKUP($B47,Model!$A$8:$F$289,6)</f>
        <v>0</v>
      </c>
      <c r="G47" s="206">
        <f ca="1">VLOOKUP($B47,Model!$A$8:$AO$289,41)</f>
        <v>0</v>
      </c>
      <c r="I47" s="153">
        <v>0</v>
      </c>
      <c r="J47" s="154">
        <f t="shared" si="2"/>
        <v>3.6240000000000001</v>
      </c>
      <c r="K47" s="160">
        <f t="shared" si="10"/>
        <v>0</v>
      </c>
      <c r="L47" s="156">
        <f>IF(Control!$Y$26=Control!$X$27,J47,I47)+K47</f>
        <v>3.6240000000000001</v>
      </c>
      <c r="M47" s="153">
        <v>0</v>
      </c>
      <c r="N47" s="154">
        <f>VLOOKUP($B47,Curve_Fetch,VLOOKUP(Control!$AJ$10,Control!$AI$11:$AK$22,3))</f>
        <v>-0.27500000000000002</v>
      </c>
      <c r="O47" s="160">
        <f t="shared" si="11"/>
        <v>0</v>
      </c>
      <c r="P47" s="156">
        <f>IF(Control!$Y$31=Control!$X$32,N47,M47)+O47</f>
        <v>-0.27500000000000002</v>
      </c>
      <c r="Q47" s="153">
        <v>0</v>
      </c>
      <c r="R47" s="154">
        <f>VLOOKUP($B47,Curve_Fetch,(VLOOKUP(Control!$AJ$10,Control!$AI$11:$AL$22,4)))</f>
        <v>2.5000000000000001E-3</v>
      </c>
      <c r="S47" s="160">
        <f t="shared" si="12"/>
        <v>0</v>
      </c>
      <c r="T47" s="156">
        <f>IF($C$11="Physical",IF(Control!$Y$37=Control!$X$38,R47,Q47)+S47,0)</f>
        <v>2.5000000000000001E-3</v>
      </c>
      <c r="U47" s="203">
        <f t="shared" si="1"/>
        <v>3.3515000000000001</v>
      </c>
      <c r="V47" s="172"/>
      <c r="W47" s="219">
        <f>VLOOKUP($B47,Model!$A$8:$S$289,19)</f>
        <v>0.35799999999999998</v>
      </c>
      <c r="X47" s="221">
        <f t="shared" si="13"/>
        <v>0</v>
      </c>
      <c r="Y47" s="221">
        <f t="shared" si="3"/>
        <v>0.35799999999999998</v>
      </c>
      <c r="Z47" s="160">
        <f t="shared" si="14"/>
        <v>0</v>
      </c>
      <c r="AA47" s="160">
        <f t="shared" si="15"/>
        <v>3.3515000000000001</v>
      </c>
      <c r="AB47" s="231">
        <f ca="1">_xll.EURO(U47,AA47,VLOOKUP($B47,Curve_Fetch,2),VLOOKUP($B47,Curve_Fetch,2),Y47,VLOOKUP($B47,Model!$A$8:$R$289,18),IF(Euro!$C$10="Call",1,0),0)</f>
        <v>0.57164849071715151</v>
      </c>
      <c r="AD47" s="157">
        <f t="shared" ca="1" si="4"/>
        <v>0</v>
      </c>
      <c r="AE47" s="158">
        <f t="shared" ca="1" si="5"/>
        <v>0</v>
      </c>
      <c r="AF47" s="158">
        <f t="shared" ca="1" si="6"/>
        <v>0</v>
      </c>
      <c r="AG47" s="158">
        <f t="shared" ca="1" si="7"/>
        <v>0</v>
      </c>
      <c r="AH47" s="158">
        <f t="shared" ca="1" si="8"/>
        <v>0</v>
      </c>
      <c r="AI47" s="159">
        <f t="shared" ca="1" si="9"/>
        <v>0</v>
      </c>
      <c r="AK47"/>
      <c r="AL47"/>
      <c r="AM47"/>
      <c r="AN47"/>
      <c r="AO47"/>
      <c r="AP47"/>
      <c r="AQ47"/>
      <c r="AR47"/>
    </row>
    <row r="48" spans="2:54">
      <c r="B48" s="151">
        <f>[1]!_xludf.edate(B47,1)</f>
        <v>37803</v>
      </c>
      <c r="C48" s="152">
        <f t="shared" si="0"/>
        <v>37858</v>
      </c>
      <c r="D48" s="183">
        <v>0</v>
      </c>
      <c r="E48" s="184">
        <f>VLOOKUP($B48,Model!$A$8:$E$289,5)</f>
        <v>0</v>
      </c>
      <c r="F48" s="184">
        <f>VLOOKUP($B48,Model!$A$8:$F$289,6)</f>
        <v>0</v>
      </c>
      <c r="G48" s="206">
        <f ca="1">VLOOKUP($B48,Model!$A$8:$AO$289,41)</f>
        <v>0</v>
      </c>
      <c r="I48" s="153">
        <v>0</v>
      </c>
      <c r="J48" s="154">
        <f t="shared" si="2"/>
        <v>3.6589999999999998</v>
      </c>
      <c r="K48" s="160">
        <f t="shared" si="10"/>
        <v>0</v>
      </c>
      <c r="L48" s="156">
        <f>IF(Control!$Y$26=Control!$X$27,J48,I48)+K48</f>
        <v>3.6589999999999998</v>
      </c>
      <c r="M48" s="153">
        <v>0</v>
      </c>
      <c r="N48" s="154">
        <f>VLOOKUP($B48,Curve_Fetch,VLOOKUP(Control!$AJ$10,Control!$AI$11:$AK$22,3))</f>
        <v>-0.27500000000000002</v>
      </c>
      <c r="O48" s="160">
        <f t="shared" si="11"/>
        <v>0</v>
      </c>
      <c r="P48" s="156">
        <f>IF(Control!$Y$31=Control!$X$32,N48,M48)+O48</f>
        <v>-0.27500000000000002</v>
      </c>
      <c r="Q48" s="153">
        <v>0</v>
      </c>
      <c r="R48" s="154">
        <f>VLOOKUP($B48,Curve_Fetch,(VLOOKUP(Control!$AJ$10,Control!$AI$11:$AL$22,4)))</f>
        <v>2.5000000000000001E-3</v>
      </c>
      <c r="S48" s="160">
        <f t="shared" si="12"/>
        <v>0</v>
      </c>
      <c r="T48" s="156">
        <f>IF($C$11="Physical",IF(Control!$Y$37=Control!$X$38,R48,Q48)+S48,0)</f>
        <v>2.5000000000000001E-3</v>
      </c>
      <c r="U48" s="203">
        <f t="shared" si="1"/>
        <v>3.3864999999999998</v>
      </c>
      <c r="V48" s="172"/>
      <c r="W48" s="219">
        <f>VLOOKUP($B48,Model!$A$8:$S$289,19)</f>
        <v>0.35799999999999998</v>
      </c>
      <c r="X48" s="221">
        <f t="shared" si="13"/>
        <v>0</v>
      </c>
      <c r="Y48" s="221">
        <f t="shared" si="3"/>
        <v>0.35799999999999998</v>
      </c>
      <c r="Z48" s="160">
        <f t="shared" si="14"/>
        <v>0</v>
      </c>
      <c r="AA48" s="160">
        <f t="shared" si="15"/>
        <v>3.3864999999999998</v>
      </c>
      <c r="AB48" s="231">
        <f ca="1">_xll.EURO(U48,AA48,VLOOKUP($B48,Curve_Fetch,2),VLOOKUP($B48,Curve_Fetch,2),Y48,VLOOKUP($B48,Model!$A$8:$R$289,18),IF(Euro!$C$10="Call",1,0),0)</f>
        <v>0.59040729334446063</v>
      </c>
      <c r="AD48" s="157">
        <f t="shared" ca="1" si="4"/>
        <v>0</v>
      </c>
      <c r="AE48" s="158">
        <f t="shared" ca="1" si="5"/>
        <v>0</v>
      </c>
      <c r="AF48" s="158">
        <f t="shared" ca="1" si="6"/>
        <v>0</v>
      </c>
      <c r="AG48" s="158">
        <f t="shared" ca="1" si="7"/>
        <v>0</v>
      </c>
      <c r="AH48" s="158">
        <f t="shared" ca="1" si="8"/>
        <v>0</v>
      </c>
      <c r="AI48" s="159">
        <f t="shared" ca="1" si="9"/>
        <v>0</v>
      </c>
      <c r="AK48"/>
      <c r="AL48"/>
      <c r="AM48"/>
      <c r="AN48"/>
      <c r="AO48"/>
      <c r="AP48"/>
      <c r="AQ48"/>
      <c r="AR48"/>
    </row>
    <row r="49" spans="2:44">
      <c r="B49" s="151">
        <f>[1]!_xludf.edate(B48,1)</f>
        <v>37834</v>
      </c>
      <c r="C49" s="152">
        <f t="shared" si="0"/>
        <v>37889</v>
      </c>
      <c r="D49" s="183">
        <v>0</v>
      </c>
      <c r="E49" s="184">
        <f>VLOOKUP($B49,Model!$A$8:$E$289,5)</f>
        <v>0</v>
      </c>
      <c r="F49" s="184">
        <f>VLOOKUP($B49,Model!$A$8:$F$289,6)</f>
        <v>0</v>
      </c>
      <c r="G49" s="206">
        <f ca="1">VLOOKUP($B49,Model!$A$8:$AO$289,41)</f>
        <v>0</v>
      </c>
      <c r="I49" s="153">
        <v>0</v>
      </c>
      <c r="J49" s="154">
        <f t="shared" si="2"/>
        <v>3.694</v>
      </c>
      <c r="K49" s="160">
        <f t="shared" si="10"/>
        <v>0</v>
      </c>
      <c r="L49" s="156">
        <f>IF(Control!$Y$26=Control!$X$27,J49,I49)+K49</f>
        <v>3.694</v>
      </c>
      <c r="M49" s="153">
        <v>0</v>
      </c>
      <c r="N49" s="154">
        <f>VLOOKUP($B49,Curve_Fetch,VLOOKUP(Control!$AJ$10,Control!$AI$11:$AK$22,3))</f>
        <v>-0.27500000000000002</v>
      </c>
      <c r="O49" s="160">
        <f t="shared" si="11"/>
        <v>0</v>
      </c>
      <c r="P49" s="156">
        <f>IF(Control!$Y$31=Control!$X$32,N49,M49)+O49</f>
        <v>-0.27500000000000002</v>
      </c>
      <c r="Q49" s="153">
        <v>0</v>
      </c>
      <c r="R49" s="154">
        <f>VLOOKUP($B49,Curve_Fetch,(VLOOKUP(Control!$AJ$10,Control!$AI$11:$AL$22,4)))</f>
        <v>2.5000000000000001E-3</v>
      </c>
      <c r="S49" s="160">
        <f t="shared" si="12"/>
        <v>0</v>
      </c>
      <c r="T49" s="156">
        <f>IF($C$11="Physical",IF(Control!$Y$37=Control!$X$38,R49,Q49)+S49,0)</f>
        <v>2.5000000000000001E-3</v>
      </c>
      <c r="U49" s="203">
        <f t="shared" si="1"/>
        <v>3.4215</v>
      </c>
      <c r="V49" s="172"/>
      <c r="W49" s="219">
        <f>VLOOKUP($B49,Model!$A$8:$S$289,19)</f>
        <v>0.35799999999999998</v>
      </c>
      <c r="X49" s="221">
        <f t="shared" si="13"/>
        <v>0</v>
      </c>
      <c r="Y49" s="221">
        <f t="shared" si="3"/>
        <v>0.35799999999999998</v>
      </c>
      <c r="Z49" s="160">
        <f t="shared" si="14"/>
        <v>0</v>
      </c>
      <c r="AA49" s="160">
        <f t="shared" si="15"/>
        <v>3.4215</v>
      </c>
      <c r="AB49" s="231">
        <f ca="1">_xll.EURO(U49,AA49,VLOOKUP($B49,Curve_Fetch,2),VLOOKUP($B49,Curve_Fetch,2),Y49,VLOOKUP($B49,Model!$A$8:$R$289,18),IF(Euro!$C$10="Call",1,0),0)</f>
        <v>0.60930569548066038</v>
      </c>
      <c r="AD49" s="157">
        <f t="shared" ca="1" si="4"/>
        <v>0</v>
      </c>
      <c r="AE49" s="158">
        <f t="shared" ca="1" si="5"/>
        <v>0</v>
      </c>
      <c r="AF49" s="158">
        <f t="shared" ca="1" si="6"/>
        <v>0</v>
      </c>
      <c r="AG49" s="158">
        <f t="shared" ca="1" si="7"/>
        <v>0</v>
      </c>
      <c r="AH49" s="158">
        <f t="shared" ca="1" si="8"/>
        <v>0</v>
      </c>
      <c r="AI49" s="159">
        <f t="shared" ca="1" si="9"/>
        <v>0</v>
      </c>
      <c r="AK49"/>
      <c r="AL49"/>
      <c r="AM49"/>
      <c r="AN49"/>
      <c r="AO49"/>
      <c r="AP49"/>
      <c r="AQ49"/>
      <c r="AR49"/>
    </row>
    <row r="50" spans="2:44">
      <c r="B50" s="151">
        <f>[1]!_xludf.edate(B49,1)</f>
        <v>37865</v>
      </c>
      <c r="C50" s="152">
        <f t="shared" si="0"/>
        <v>37919</v>
      </c>
      <c r="D50" s="183">
        <v>0</v>
      </c>
      <c r="E50" s="184">
        <f>VLOOKUP($B50,Model!$A$8:$E$289,5)</f>
        <v>0</v>
      </c>
      <c r="F50" s="184">
        <f>VLOOKUP($B50,Model!$A$8:$F$289,6)</f>
        <v>0</v>
      </c>
      <c r="G50" s="206">
        <f ca="1">VLOOKUP($B50,Model!$A$8:$AO$289,41)</f>
        <v>0</v>
      </c>
      <c r="I50" s="153">
        <v>0</v>
      </c>
      <c r="J50" s="154">
        <f t="shared" si="2"/>
        <v>3.7010000000000001</v>
      </c>
      <c r="K50" s="160">
        <f t="shared" si="10"/>
        <v>0</v>
      </c>
      <c r="L50" s="156">
        <f>IF(Control!$Y$26=Control!$X$27,J50,I50)+K50</f>
        <v>3.7010000000000001</v>
      </c>
      <c r="M50" s="153">
        <v>0</v>
      </c>
      <c r="N50" s="154">
        <f>VLOOKUP($B50,Curve_Fetch,VLOOKUP(Control!$AJ$10,Control!$AI$11:$AK$22,3))</f>
        <v>-0.27500000000000002</v>
      </c>
      <c r="O50" s="160">
        <f t="shared" si="11"/>
        <v>0</v>
      </c>
      <c r="P50" s="156">
        <f>IF(Control!$Y$31=Control!$X$32,N50,M50)+O50</f>
        <v>-0.27500000000000002</v>
      </c>
      <c r="Q50" s="153">
        <v>0</v>
      </c>
      <c r="R50" s="154">
        <f>VLOOKUP($B50,Curve_Fetch,(VLOOKUP(Control!$AJ$10,Control!$AI$11:$AL$22,4)))</f>
        <v>2.5000000000000001E-3</v>
      </c>
      <c r="S50" s="160">
        <f t="shared" si="12"/>
        <v>0</v>
      </c>
      <c r="T50" s="156">
        <f>IF($C$11="Physical",IF(Control!$Y$37=Control!$X$38,R50,Q50)+S50,0)</f>
        <v>2.5000000000000001E-3</v>
      </c>
      <c r="U50" s="203">
        <f t="shared" si="1"/>
        <v>3.4285000000000001</v>
      </c>
      <c r="V50" s="172"/>
      <c r="W50" s="219">
        <f>VLOOKUP($B50,Model!$A$8:$S$289,19)</f>
        <v>0.35799999999999998</v>
      </c>
      <c r="X50" s="221">
        <f t="shared" si="13"/>
        <v>0</v>
      </c>
      <c r="Y50" s="221">
        <f t="shared" si="3"/>
        <v>0.35799999999999998</v>
      </c>
      <c r="Z50" s="160">
        <f t="shared" si="14"/>
        <v>0</v>
      </c>
      <c r="AA50" s="160">
        <f t="shared" si="15"/>
        <v>3.4285000000000001</v>
      </c>
      <c r="AB50" s="231">
        <f ca="1">_xll.EURO(U50,AA50,VLOOKUP($B50,Curve_Fetch,2),VLOOKUP($B50,Curve_Fetch,2),Y50,VLOOKUP($B50,Model!$A$8:$R$289,18),IF(Euro!$C$10="Call",1,0),0)</f>
        <v>0.62285215841425212</v>
      </c>
      <c r="AD50" s="157">
        <f t="shared" ca="1" si="4"/>
        <v>0</v>
      </c>
      <c r="AE50" s="158">
        <f t="shared" ca="1" si="5"/>
        <v>0</v>
      </c>
      <c r="AF50" s="158">
        <f t="shared" ca="1" si="6"/>
        <v>0</v>
      </c>
      <c r="AG50" s="158">
        <f t="shared" ca="1" si="7"/>
        <v>0</v>
      </c>
      <c r="AH50" s="158">
        <f t="shared" ca="1" si="8"/>
        <v>0</v>
      </c>
      <c r="AI50" s="159">
        <f t="shared" ca="1" si="9"/>
        <v>0</v>
      </c>
      <c r="AK50"/>
      <c r="AL50"/>
      <c r="AM50"/>
      <c r="AN50"/>
      <c r="AO50"/>
      <c r="AP50"/>
      <c r="AQ50"/>
      <c r="AR50"/>
    </row>
    <row r="51" spans="2:44">
      <c r="B51" s="151">
        <f>[1]!_xludf.edate(B50,1)</f>
        <v>37895</v>
      </c>
      <c r="C51" s="152">
        <f t="shared" si="0"/>
        <v>37950</v>
      </c>
      <c r="D51" s="183">
        <v>0</v>
      </c>
      <c r="E51" s="184">
        <f>VLOOKUP($B51,Model!$A$8:$E$289,5)</f>
        <v>0</v>
      </c>
      <c r="F51" s="184">
        <f>VLOOKUP($B51,Model!$A$8:$F$289,6)</f>
        <v>0</v>
      </c>
      <c r="G51" s="206">
        <f ca="1">VLOOKUP($B51,Model!$A$8:$AO$289,41)</f>
        <v>0</v>
      </c>
      <c r="I51" s="153">
        <v>0</v>
      </c>
      <c r="J51" s="154">
        <f t="shared" si="2"/>
        <v>3.7290000000000001</v>
      </c>
      <c r="K51" s="160">
        <f t="shared" si="10"/>
        <v>0</v>
      </c>
      <c r="L51" s="156">
        <f>IF(Control!$Y$26=Control!$X$27,J51,I51)+K51</f>
        <v>3.7290000000000001</v>
      </c>
      <c r="M51" s="153">
        <v>0</v>
      </c>
      <c r="N51" s="154">
        <f>VLOOKUP($B51,Curve_Fetch,VLOOKUP(Control!$AJ$10,Control!$AI$11:$AK$22,3))</f>
        <v>-0.27500000000000002</v>
      </c>
      <c r="O51" s="160">
        <f t="shared" si="11"/>
        <v>0</v>
      </c>
      <c r="P51" s="156">
        <f>IF(Control!$Y$31=Control!$X$32,N51,M51)+O51</f>
        <v>-0.27500000000000002</v>
      </c>
      <c r="Q51" s="153">
        <v>0</v>
      </c>
      <c r="R51" s="154">
        <f>VLOOKUP($B51,Curve_Fetch,(VLOOKUP(Control!$AJ$10,Control!$AI$11:$AL$22,4)))</f>
        <v>2.5000000000000001E-3</v>
      </c>
      <c r="S51" s="160">
        <f t="shared" si="12"/>
        <v>0</v>
      </c>
      <c r="T51" s="156">
        <f>IF($C$11="Physical",IF(Control!$Y$37=Control!$X$38,R51,Q51)+S51,0)</f>
        <v>2.5000000000000001E-3</v>
      </c>
      <c r="U51" s="203">
        <f t="shared" si="1"/>
        <v>3.4565000000000001</v>
      </c>
      <c r="V51" s="172"/>
      <c r="W51" s="219">
        <f>VLOOKUP($B51,Model!$A$8:$S$289,19)</f>
        <v>0.35799999999999998</v>
      </c>
      <c r="X51" s="221">
        <f t="shared" si="13"/>
        <v>0</v>
      </c>
      <c r="Y51" s="221">
        <f t="shared" si="3"/>
        <v>0.35799999999999998</v>
      </c>
      <c r="Z51" s="160">
        <f t="shared" si="14"/>
        <v>0</v>
      </c>
      <c r="AA51" s="160">
        <f t="shared" si="15"/>
        <v>3.4565000000000001</v>
      </c>
      <c r="AB51" s="231">
        <f ca="1">_xll.EURO(U51,AA51,VLOOKUP($B51,Curve_Fetch,2),VLOOKUP($B51,Curve_Fetch,2),Y51,VLOOKUP($B51,Model!$A$8:$R$289,18),IF(Euro!$C$10="Call",1,0),0)</f>
        <v>0.63946404077035091</v>
      </c>
      <c r="AD51" s="157">
        <f t="shared" ca="1" si="4"/>
        <v>0</v>
      </c>
      <c r="AE51" s="158">
        <f t="shared" ca="1" si="5"/>
        <v>0</v>
      </c>
      <c r="AF51" s="158">
        <f t="shared" ca="1" si="6"/>
        <v>0</v>
      </c>
      <c r="AG51" s="158">
        <f t="shared" ca="1" si="7"/>
        <v>0</v>
      </c>
      <c r="AH51" s="158">
        <f t="shared" ca="1" si="8"/>
        <v>0</v>
      </c>
      <c r="AI51" s="159">
        <f t="shared" ca="1" si="9"/>
        <v>0</v>
      </c>
      <c r="AK51"/>
      <c r="AL51"/>
      <c r="AM51"/>
      <c r="AN51"/>
      <c r="AO51"/>
      <c r="AP51"/>
      <c r="AQ51"/>
      <c r="AR51"/>
    </row>
    <row r="52" spans="2:44">
      <c r="B52" s="151">
        <f>[1]!_xludf.edate(B51,1)</f>
        <v>37926</v>
      </c>
      <c r="C52" s="152">
        <f t="shared" si="0"/>
        <v>37980</v>
      </c>
      <c r="D52" s="183">
        <v>0</v>
      </c>
      <c r="E52" s="184">
        <f>VLOOKUP($B52,Model!$A$8:$E$289,5)</f>
        <v>0</v>
      </c>
      <c r="F52" s="184">
        <f>VLOOKUP($B52,Model!$A$8:$F$289,6)</f>
        <v>0</v>
      </c>
      <c r="G52" s="206">
        <f ca="1">VLOOKUP($B52,Model!$A$8:$AO$289,41)</f>
        <v>0</v>
      </c>
      <c r="I52" s="153">
        <v>0</v>
      </c>
      <c r="J52" s="154">
        <f t="shared" si="2"/>
        <v>3.9020000000000001</v>
      </c>
      <c r="K52" s="160">
        <f t="shared" si="10"/>
        <v>0</v>
      </c>
      <c r="L52" s="156">
        <f>IF(Control!$Y$26=Control!$X$27,J52,I52)+K52</f>
        <v>3.9020000000000001</v>
      </c>
      <c r="M52" s="153">
        <v>0</v>
      </c>
      <c r="N52" s="154">
        <f>VLOOKUP($B52,Curve_Fetch,VLOOKUP(Control!$AJ$10,Control!$AI$11:$AK$22,3))</f>
        <v>-0.155</v>
      </c>
      <c r="O52" s="160">
        <f t="shared" si="11"/>
        <v>0</v>
      </c>
      <c r="P52" s="156">
        <f>IF(Control!$Y$31=Control!$X$32,N52,M52)+O52</f>
        <v>-0.155</v>
      </c>
      <c r="Q52" s="153">
        <v>0</v>
      </c>
      <c r="R52" s="154">
        <f>VLOOKUP($B52,Curve_Fetch,(VLOOKUP(Control!$AJ$10,Control!$AI$11:$AL$22,4)))</f>
        <v>5.0000000000000001E-3</v>
      </c>
      <c r="S52" s="160">
        <f t="shared" si="12"/>
        <v>0</v>
      </c>
      <c r="T52" s="156">
        <f>IF($C$11="Physical",IF(Control!$Y$37=Control!$X$38,R52,Q52)+S52,0)</f>
        <v>5.0000000000000001E-3</v>
      </c>
      <c r="U52" s="203">
        <f t="shared" si="1"/>
        <v>3.7520000000000002</v>
      </c>
      <c r="V52" s="172"/>
      <c r="W52" s="219">
        <f>VLOOKUP($B52,Model!$A$8:$S$289,19)</f>
        <v>0.35799999999999998</v>
      </c>
      <c r="X52" s="221">
        <f t="shared" si="13"/>
        <v>0</v>
      </c>
      <c r="Y52" s="221">
        <f t="shared" si="3"/>
        <v>0.35799999999999998</v>
      </c>
      <c r="Z52" s="160">
        <f t="shared" si="14"/>
        <v>0</v>
      </c>
      <c r="AA52" s="160">
        <f t="shared" si="15"/>
        <v>3.7520000000000002</v>
      </c>
      <c r="AB52" s="231">
        <f ca="1">_xll.EURO(U52,AA52,VLOOKUP($B52,Curve_Fetch,2),VLOOKUP($B52,Curve_Fetch,2),Y52,VLOOKUP($B52,Model!$A$8:$R$289,18),IF(Euro!$C$10="Call",1,0),0)</f>
        <v>0.70655253771150406</v>
      </c>
      <c r="AD52" s="157">
        <f t="shared" ca="1" si="4"/>
        <v>0</v>
      </c>
      <c r="AE52" s="158">
        <f t="shared" ca="1" si="5"/>
        <v>0</v>
      </c>
      <c r="AF52" s="158">
        <f t="shared" ca="1" si="6"/>
        <v>0</v>
      </c>
      <c r="AG52" s="158">
        <f t="shared" ca="1" si="7"/>
        <v>0</v>
      </c>
      <c r="AH52" s="158">
        <f t="shared" ca="1" si="8"/>
        <v>0</v>
      </c>
      <c r="AI52" s="159">
        <f t="shared" ca="1" si="9"/>
        <v>0</v>
      </c>
      <c r="AK52"/>
      <c r="AL52"/>
      <c r="AM52"/>
      <c r="AN52"/>
      <c r="AO52"/>
      <c r="AP52"/>
      <c r="AQ52"/>
      <c r="AR52"/>
    </row>
    <row r="53" spans="2:44">
      <c r="B53" s="151">
        <f>[1]!_xludf.edate(B52,1)</f>
        <v>37956</v>
      </c>
      <c r="C53" s="152">
        <f t="shared" si="0"/>
        <v>38011</v>
      </c>
      <c r="D53" s="183">
        <v>0</v>
      </c>
      <c r="E53" s="184">
        <f>VLOOKUP($B53,Model!$A$8:$E$289,5)</f>
        <v>0</v>
      </c>
      <c r="F53" s="184">
        <f>VLOOKUP($B53,Model!$A$8:$F$289,6)</f>
        <v>0</v>
      </c>
      <c r="G53" s="206">
        <f ca="1">VLOOKUP($B53,Model!$A$8:$AO$289,41)</f>
        <v>0</v>
      </c>
      <c r="I53" s="153">
        <v>0</v>
      </c>
      <c r="J53" s="154">
        <f t="shared" si="2"/>
        <v>4.0540000000000003</v>
      </c>
      <c r="K53" s="160">
        <f t="shared" si="10"/>
        <v>0</v>
      </c>
      <c r="L53" s="156">
        <f>IF(Control!$Y$26=Control!$X$27,J53,I53)+K53</f>
        <v>4.0540000000000003</v>
      </c>
      <c r="M53" s="153">
        <v>0</v>
      </c>
      <c r="N53" s="154">
        <f>VLOOKUP($B53,Curve_Fetch,VLOOKUP(Control!$AJ$10,Control!$AI$11:$AK$22,3))</f>
        <v>-0.155</v>
      </c>
      <c r="O53" s="160">
        <f t="shared" si="11"/>
        <v>0</v>
      </c>
      <c r="P53" s="156">
        <f>IF(Control!$Y$31=Control!$X$32,N53,M53)+O53</f>
        <v>-0.155</v>
      </c>
      <c r="Q53" s="153">
        <v>0</v>
      </c>
      <c r="R53" s="154">
        <f>VLOOKUP($B53,Curve_Fetch,(VLOOKUP(Control!$AJ$10,Control!$AI$11:$AL$22,4)))</f>
        <v>5.0000000000000001E-3</v>
      </c>
      <c r="S53" s="160">
        <f t="shared" si="12"/>
        <v>0</v>
      </c>
      <c r="T53" s="156">
        <f>IF($C$11="Physical",IF(Control!$Y$37=Control!$X$38,R53,Q53)+S53,0)</f>
        <v>5.0000000000000001E-3</v>
      </c>
      <c r="U53" s="203">
        <f t="shared" si="1"/>
        <v>3.9040000000000004</v>
      </c>
      <c r="V53" s="172"/>
      <c r="W53" s="219">
        <f>VLOOKUP($B53,Model!$A$8:$S$289,19)</f>
        <v>0.35799999999999998</v>
      </c>
      <c r="X53" s="221">
        <f t="shared" si="13"/>
        <v>0</v>
      </c>
      <c r="Y53" s="221">
        <f t="shared" si="3"/>
        <v>0.35799999999999998</v>
      </c>
      <c r="Z53" s="160">
        <f t="shared" si="14"/>
        <v>0</v>
      </c>
      <c r="AA53" s="160">
        <f t="shared" si="15"/>
        <v>3.9040000000000004</v>
      </c>
      <c r="AB53" s="231">
        <f ca="1">_xll.EURO(U53,AA53,VLOOKUP($B53,Curve_Fetch,2),VLOOKUP($B53,Curve_Fetch,2),Y53,VLOOKUP($B53,Model!$A$8:$R$289,18),IF(Euro!$C$10="Call",1,0),0)</f>
        <v>0.74719108587953253</v>
      </c>
      <c r="AD53" s="157">
        <f t="shared" ca="1" si="4"/>
        <v>0</v>
      </c>
      <c r="AE53" s="158">
        <f t="shared" ca="1" si="5"/>
        <v>0</v>
      </c>
      <c r="AF53" s="158">
        <f t="shared" ca="1" si="6"/>
        <v>0</v>
      </c>
      <c r="AG53" s="158">
        <f t="shared" ca="1" si="7"/>
        <v>0</v>
      </c>
      <c r="AH53" s="158">
        <f t="shared" ca="1" si="8"/>
        <v>0</v>
      </c>
      <c r="AI53" s="159">
        <f t="shared" ca="1" si="9"/>
        <v>0</v>
      </c>
      <c r="AK53"/>
      <c r="AL53"/>
      <c r="AM53"/>
      <c r="AN53"/>
      <c r="AO53"/>
      <c r="AP53"/>
      <c r="AQ53"/>
      <c r="AR53"/>
    </row>
    <row r="54" spans="2:44">
      <c r="B54" s="151">
        <f>[1]!_xludf.edate(B53,1)</f>
        <v>37987</v>
      </c>
      <c r="C54" s="152">
        <f t="shared" si="0"/>
        <v>38042</v>
      </c>
      <c r="D54" s="183">
        <v>0</v>
      </c>
      <c r="E54" s="184">
        <f>VLOOKUP($B54,Model!$A$8:$E$289,5)</f>
        <v>0</v>
      </c>
      <c r="F54" s="184">
        <f>VLOOKUP($B54,Model!$A$8:$F$289,6)</f>
        <v>0</v>
      </c>
      <c r="G54" s="206">
        <f ca="1">VLOOKUP($B54,Model!$A$8:$AO$289,41)</f>
        <v>0</v>
      </c>
      <c r="I54" s="153">
        <v>0</v>
      </c>
      <c r="J54" s="154">
        <f t="shared" si="2"/>
        <v>4.1040000000000001</v>
      </c>
      <c r="K54" s="160">
        <f t="shared" si="10"/>
        <v>0</v>
      </c>
      <c r="L54" s="156">
        <f>IF(Control!$Y$26=Control!$X$27,J54,I54)+K54</f>
        <v>4.1040000000000001</v>
      </c>
      <c r="M54" s="153">
        <v>0</v>
      </c>
      <c r="N54" s="154">
        <f>VLOOKUP($B54,Curve_Fetch,VLOOKUP(Control!$AJ$10,Control!$AI$11:$AK$22,3))</f>
        <v>-0.155</v>
      </c>
      <c r="O54" s="160">
        <f t="shared" si="11"/>
        <v>0</v>
      </c>
      <c r="P54" s="156">
        <f>IF(Control!$Y$31=Control!$X$32,N54,M54)+O54</f>
        <v>-0.155</v>
      </c>
      <c r="Q54" s="153">
        <v>0</v>
      </c>
      <c r="R54" s="154">
        <f>VLOOKUP($B54,Curve_Fetch,(VLOOKUP(Control!$AJ$10,Control!$AI$11:$AL$22,4)))</f>
        <v>5.0000000000000001E-3</v>
      </c>
      <c r="S54" s="160">
        <f t="shared" si="12"/>
        <v>0</v>
      </c>
      <c r="T54" s="156">
        <f>IF($C$11="Physical",IF(Control!$Y$37=Control!$X$38,R54,Q54)+S54,0)</f>
        <v>5.0000000000000001E-3</v>
      </c>
      <c r="U54" s="203">
        <f t="shared" si="1"/>
        <v>3.9540000000000002</v>
      </c>
      <c r="V54" s="172"/>
      <c r="W54" s="219">
        <f>VLOOKUP($B54,Model!$A$8:$S$289,19)</f>
        <v>0.35299999999999998</v>
      </c>
      <c r="X54" s="221">
        <f t="shared" si="13"/>
        <v>0</v>
      </c>
      <c r="Y54" s="221">
        <f t="shared" si="3"/>
        <v>0.35299999999999998</v>
      </c>
      <c r="Z54" s="160">
        <f t="shared" si="14"/>
        <v>0</v>
      </c>
      <c r="AA54" s="160">
        <f t="shared" si="15"/>
        <v>3.9540000000000002</v>
      </c>
      <c r="AB54" s="231">
        <f ca="1">_xll.EURO(U54,AA54,VLOOKUP($B54,Curve_Fetch,2),VLOOKUP($B54,Curve_Fetch,2),Y54,VLOOKUP($B54,Model!$A$8:$R$289,18),IF(Euro!$C$10="Call",1,0),0)</f>
        <v>0.75834105654839989</v>
      </c>
      <c r="AD54" s="157">
        <f t="shared" ca="1" si="4"/>
        <v>0</v>
      </c>
      <c r="AE54" s="158">
        <f t="shared" ca="1" si="5"/>
        <v>0</v>
      </c>
      <c r="AF54" s="158">
        <f t="shared" ca="1" si="6"/>
        <v>0</v>
      </c>
      <c r="AG54" s="158">
        <f t="shared" ca="1" si="7"/>
        <v>0</v>
      </c>
      <c r="AH54" s="158">
        <f t="shared" ca="1" si="8"/>
        <v>0</v>
      </c>
      <c r="AI54" s="159">
        <f t="shared" ca="1" si="9"/>
        <v>0</v>
      </c>
      <c r="AK54"/>
      <c r="AL54"/>
      <c r="AM54"/>
      <c r="AN54"/>
      <c r="AO54"/>
      <c r="AP54"/>
      <c r="AQ54"/>
      <c r="AR54"/>
    </row>
    <row r="55" spans="2:44">
      <c r="B55" s="151">
        <f>[1]!_xludf.edate(B54,1)</f>
        <v>38018</v>
      </c>
      <c r="C55" s="152">
        <f t="shared" si="0"/>
        <v>38071</v>
      </c>
      <c r="D55" s="183">
        <v>0</v>
      </c>
      <c r="E55" s="184">
        <f>VLOOKUP($B55,Model!$A$8:$E$289,5)</f>
        <v>0</v>
      </c>
      <c r="F55" s="184">
        <f>VLOOKUP($B55,Model!$A$8:$F$289,6)</f>
        <v>0</v>
      </c>
      <c r="G55" s="206">
        <f ca="1">VLOOKUP($B55,Model!$A$8:$AO$289,41)</f>
        <v>0</v>
      </c>
      <c r="I55" s="153">
        <v>0</v>
      </c>
      <c r="J55" s="154">
        <f t="shared" si="2"/>
        <v>4.016</v>
      </c>
      <c r="K55" s="160">
        <f t="shared" si="10"/>
        <v>0</v>
      </c>
      <c r="L55" s="156">
        <f>IF(Control!$Y$26=Control!$X$27,J55,I55)+K55</f>
        <v>4.016</v>
      </c>
      <c r="M55" s="153">
        <v>0</v>
      </c>
      <c r="N55" s="154">
        <f>VLOOKUP($B55,Curve_Fetch,VLOOKUP(Control!$AJ$10,Control!$AI$11:$AK$22,3))</f>
        <v>-0.155</v>
      </c>
      <c r="O55" s="160">
        <f t="shared" si="11"/>
        <v>0</v>
      </c>
      <c r="P55" s="156">
        <f>IF(Control!$Y$31=Control!$X$32,N55,M55)+O55</f>
        <v>-0.155</v>
      </c>
      <c r="Q55" s="153">
        <v>0</v>
      </c>
      <c r="R55" s="154">
        <f>VLOOKUP($B55,Curve_Fetch,(VLOOKUP(Control!$AJ$10,Control!$AI$11:$AL$22,4)))</f>
        <v>5.0000000000000001E-3</v>
      </c>
      <c r="S55" s="160">
        <f t="shared" si="12"/>
        <v>0</v>
      </c>
      <c r="T55" s="156">
        <f>IF($C$11="Physical",IF(Control!$Y$37=Control!$X$38,R55,Q55)+S55,0)</f>
        <v>5.0000000000000001E-3</v>
      </c>
      <c r="U55" s="203">
        <f t="shared" si="1"/>
        <v>3.8660000000000001</v>
      </c>
      <c r="V55" s="172"/>
      <c r="W55" s="219">
        <f>VLOOKUP($B55,Model!$A$8:$S$289,19)</f>
        <v>0.34799999999999998</v>
      </c>
      <c r="X55" s="221">
        <f t="shared" si="13"/>
        <v>0</v>
      </c>
      <c r="Y55" s="221">
        <f t="shared" si="3"/>
        <v>0.34799999999999998</v>
      </c>
      <c r="Z55" s="160">
        <f t="shared" si="14"/>
        <v>0</v>
      </c>
      <c r="AA55" s="160">
        <f t="shared" si="15"/>
        <v>3.8660000000000001</v>
      </c>
      <c r="AB55" s="231">
        <f ca="1">_xll.EURO(U55,AA55,VLOOKUP($B55,Curve_Fetch,2),VLOOKUP($B55,Curve_Fetch,2),Y55,VLOOKUP($B55,Model!$A$8:$R$289,18),IF(Euro!$C$10="Call",1,0),0)</f>
        <v>0.74223198615663355</v>
      </c>
      <c r="AD55" s="157">
        <f t="shared" ca="1" si="4"/>
        <v>0</v>
      </c>
      <c r="AE55" s="158">
        <f t="shared" ca="1" si="5"/>
        <v>0</v>
      </c>
      <c r="AF55" s="158">
        <f t="shared" ca="1" si="6"/>
        <v>0</v>
      </c>
      <c r="AG55" s="158">
        <f t="shared" ca="1" si="7"/>
        <v>0</v>
      </c>
      <c r="AH55" s="158">
        <f t="shared" ca="1" si="8"/>
        <v>0</v>
      </c>
      <c r="AI55" s="159">
        <f t="shared" ca="1" si="9"/>
        <v>0</v>
      </c>
      <c r="AK55"/>
      <c r="AL55"/>
      <c r="AM55"/>
      <c r="AN55"/>
      <c r="AO55"/>
      <c r="AP55"/>
      <c r="AQ55"/>
      <c r="AR55"/>
    </row>
    <row r="56" spans="2:44">
      <c r="B56" s="151">
        <f>[1]!_xludf.edate(B55,1)</f>
        <v>38047</v>
      </c>
      <c r="C56" s="152">
        <f t="shared" si="0"/>
        <v>38102</v>
      </c>
      <c r="D56" s="183">
        <v>0</v>
      </c>
      <c r="E56" s="184">
        <f>VLOOKUP($B56,Model!$A$8:$E$289,5)</f>
        <v>0</v>
      </c>
      <c r="F56" s="184">
        <f>VLOOKUP($B56,Model!$A$8:$F$289,6)</f>
        <v>0</v>
      </c>
      <c r="G56" s="206">
        <f ca="1">VLOOKUP($B56,Model!$A$8:$AO$289,41)</f>
        <v>0</v>
      </c>
      <c r="I56" s="153">
        <v>0</v>
      </c>
      <c r="J56" s="154">
        <f t="shared" si="2"/>
        <v>3.8769999999999998</v>
      </c>
      <c r="K56" s="160">
        <f t="shared" si="10"/>
        <v>0</v>
      </c>
      <c r="L56" s="156">
        <f>IF(Control!$Y$26=Control!$X$27,J56,I56)+K56</f>
        <v>3.8769999999999998</v>
      </c>
      <c r="M56" s="153">
        <v>0</v>
      </c>
      <c r="N56" s="154">
        <f>VLOOKUP($B56,Curve_Fetch,VLOOKUP(Control!$AJ$10,Control!$AI$11:$AK$22,3))</f>
        <v>-0.155</v>
      </c>
      <c r="O56" s="160">
        <f t="shared" si="11"/>
        <v>0</v>
      </c>
      <c r="P56" s="156">
        <f>IF(Control!$Y$31=Control!$X$32,N56,M56)+O56</f>
        <v>-0.155</v>
      </c>
      <c r="Q56" s="153">
        <v>0</v>
      </c>
      <c r="R56" s="154">
        <f>VLOOKUP($B56,Curve_Fetch,(VLOOKUP(Control!$AJ$10,Control!$AI$11:$AL$22,4)))</f>
        <v>5.0000000000000001E-3</v>
      </c>
      <c r="S56" s="160">
        <f t="shared" si="12"/>
        <v>0</v>
      </c>
      <c r="T56" s="156">
        <f>IF($C$11="Physical",IF(Control!$Y$37=Control!$X$38,R56,Q56)+S56,0)</f>
        <v>5.0000000000000001E-3</v>
      </c>
      <c r="U56" s="203">
        <f t="shared" si="1"/>
        <v>3.7269999999999999</v>
      </c>
      <c r="V56" s="172"/>
      <c r="W56" s="219">
        <f>VLOOKUP($B56,Model!$A$8:$S$289,19)</f>
        <v>0.33500000000000002</v>
      </c>
      <c r="X56" s="221">
        <f t="shared" si="13"/>
        <v>0</v>
      </c>
      <c r="Y56" s="221">
        <f t="shared" si="3"/>
        <v>0.33500000000000002</v>
      </c>
      <c r="Z56" s="160">
        <f t="shared" si="14"/>
        <v>0</v>
      </c>
      <c r="AA56" s="160">
        <f t="shared" si="15"/>
        <v>3.7269999999999999</v>
      </c>
      <c r="AB56" s="231">
        <f ca="1">_xll.EURO(U56,AA56,VLOOKUP($B56,Curve_Fetch,2),VLOOKUP($B56,Curve_Fetch,2),Y56,VLOOKUP($B56,Model!$A$8:$R$289,18),IF(Euro!$C$10="Call",1,0),0)</f>
        <v>0.69862580076466219</v>
      </c>
      <c r="AD56" s="157">
        <f t="shared" ca="1" si="4"/>
        <v>0</v>
      </c>
      <c r="AE56" s="158">
        <f t="shared" ca="1" si="5"/>
        <v>0</v>
      </c>
      <c r="AF56" s="158">
        <f t="shared" ca="1" si="6"/>
        <v>0</v>
      </c>
      <c r="AG56" s="158">
        <f t="shared" ca="1" si="7"/>
        <v>0</v>
      </c>
      <c r="AH56" s="158">
        <f t="shared" ca="1" si="8"/>
        <v>0</v>
      </c>
      <c r="AI56" s="159">
        <f t="shared" ca="1" si="9"/>
        <v>0</v>
      </c>
      <c r="AK56"/>
      <c r="AL56"/>
      <c r="AM56"/>
      <c r="AN56"/>
      <c r="AO56"/>
      <c r="AP56"/>
      <c r="AQ56"/>
      <c r="AR56"/>
    </row>
    <row r="57" spans="2:44">
      <c r="B57" s="151">
        <f>[1]!_xludf.edate(B56,1)</f>
        <v>38078</v>
      </c>
      <c r="C57" s="152">
        <f t="shared" si="0"/>
        <v>38132</v>
      </c>
      <c r="D57" s="183">
        <v>0</v>
      </c>
      <c r="E57" s="184">
        <f>VLOOKUP($B57,Model!$A$8:$E$289,5)</f>
        <v>0</v>
      </c>
      <c r="F57" s="184">
        <f>VLOOKUP($B57,Model!$A$8:$F$289,6)</f>
        <v>0</v>
      </c>
      <c r="G57" s="206">
        <f ca="1">VLOOKUP($B57,Model!$A$8:$AO$289,41)</f>
        <v>0</v>
      </c>
      <c r="I57" s="153">
        <v>0</v>
      </c>
      <c r="J57" s="154">
        <f t="shared" si="2"/>
        <v>3.7229999999999999</v>
      </c>
      <c r="K57" s="160">
        <f t="shared" si="10"/>
        <v>0</v>
      </c>
      <c r="L57" s="156">
        <f>IF(Control!$Y$26=Control!$X$27,J57,I57)+K57</f>
        <v>3.7229999999999999</v>
      </c>
      <c r="M57" s="153">
        <v>0</v>
      </c>
      <c r="N57" s="154">
        <f>VLOOKUP($B57,Curve_Fetch,VLOOKUP(Control!$AJ$10,Control!$AI$11:$AK$22,3))</f>
        <v>-0.22</v>
      </c>
      <c r="O57" s="160">
        <f t="shared" si="11"/>
        <v>0</v>
      </c>
      <c r="P57" s="156">
        <f>IF(Control!$Y$31=Control!$X$32,N57,M57)+O57</f>
        <v>-0.22</v>
      </c>
      <c r="Q57" s="153">
        <v>0</v>
      </c>
      <c r="R57" s="154">
        <f>VLOOKUP($B57,Curve_Fetch,(VLOOKUP(Control!$AJ$10,Control!$AI$11:$AL$22,4)))</f>
        <v>2.5000000000000001E-3</v>
      </c>
      <c r="S57" s="160">
        <f t="shared" si="12"/>
        <v>0</v>
      </c>
      <c r="T57" s="156">
        <f>IF($C$11="Physical",IF(Control!$Y$37=Control!$X$38,R57,Q57)+S57,0)</f>
        <v>2.5000000000000001E-3</v>
      </c>
      <c r="U57" s="203">
        <f t="shared" si="1"/>
        <v>3.5054999999999996</v>
      </c>
      <c r="V57" s="172"/>
      <c r="W57" s="219">
        <f>VLOOKUP($B57,Model!$A$8:$S$289,19)</f>
        <v>0.308</v>
      </c>
      <c r="X57" s="221">
        <f t="shared" si="13"/>
        <v>0</v>
      </c>
      <c r="Y57" s="221">
        <f t="shared" si="3"/>
        <v>0.308</v>
      </c>
      <c r="Z57" s="160">
        <f t="shared" si="14"/>
        <v>0</v>
      </c>
      <c r="AA57" s="160">
        <f t="shared" si="15"/>
        <v>3.5054999999999996</v>
      </c>
      <c r="AB57" s="231">
        <f ca="1">_xll.EURO(U57,AA57,VLOOKUP($B57,Curve_Fetch,2),VLOOKUP($B57,Curve_Fetch,2),Y57,VLOOKUP($B57,Model!$A$8:$R$289,18),IF(Euro!$C$10="Call",1,0),0)</f>
        <v>0.61346110381568097</v>
      </c>
      <c r="AD57" s="157">
        <f t="shared" ca="1" si="4"/>
        <v>0</v>
      </c>
      <c r="AE57" s="158">
        <f t="shared" ca="1" si="5"/>
        <v>0</v>
      </c>
      <c r="AF57" s="158">
        <f t="shared" ca="1" si="6"/>
        <v>0</v>
      </c>
      <c r="AG57" s="158">
        <f t="shared" ca="1" si="7"/>
        <v>0</v>
      </c>
      <c r="AH57" s="158">
        <f t="shared" ca="1" si="8"/>
        <v>0</v>
      </c>
      <c r="AI57" s="159">
        <f t="shared" ca="1" si="9"/>
        <v>0</v>
      </c>
      <c r="AK57"/>
      <c r="AL57"/>
      <c r="AM57"/>
      <c r="AN57"/>
      <c r="AO57"/>
      <c r="AP57"/>
      <c r="AQ57"/>
      <c r="AR57"/>
    </row>
    <row r="58" spans="2:44">
      <c r="B58" s="151">
        <f>[1]!_xludf.edate(B57,1)</f>
        <v>38108</v>
      </c>
      <c r="C58" s="152">
        <f t="shared" si="0"/>
        <v>38163</v>
      </c>
      <c r="D58" s="183">
        <v>0</v>
      </c>
      <c r="E58" s="184">
        <f>VLOOKUP($B58,Model!$A$8:$E$289,5)</f>
        <v>0</v>
      </c>
      <c r="F58" s="184">
        <f>VLOOKUP($B58,Model!$A$8:$F$289,6)</f>
        <v>0</v>
      </c>
      <c r="G58" s="206">
        <f ca="1">VLOOKUP($B58,Model!$A$8:$AO$289,41)</f>
        <v>0</v>
      </c>
      <c r="I58" s="153">
        <v>0</v>
      </c>
      <c r="J58" s="154">
        <f t="shared" si="2"/>
        <v>3.7280000000000002</v>
      </c>
      <c r="K58" s="160">
        <f t="shared" si="10"/>
        <v>0</v>
      </c>
      <c r="L58" s="156">
        <f>IF(Control!$Y$26=Control!$X$27,J58,I58)+K58</f>
        <v>3.7280000000000002</v>
      </c>
      <c r="M58" s="153">
        <v>0</v>
      </c>
      <c r="N58" s="154">
        <f>VLOOKUP($B58,Curve_Fetch,VLOOKUP(Control!$AJ$10,Control!$AI$11:$AK$22,3))</f>
        <v>-0.22</v>
      </c>
      <c r="O58" s="160">
        <f t="shared" si="11"/>
        <v>0</v>
      </c>
      <c r="P58" s="156">
        <f>IF(Control!$Y$31=Control!$X$32,N58,M58)+O58</f>
        <v>-0.22</v>
      </c>
      <c r="Q58" s="153">
        <v>0</v>
      </c>
      <c r="R58" s="154">
        <f>VLOOKUP($B58,Curve_Fetch,(VLOOKUP(Control!$AJ$10,Control!$AI$11:$AL$22,4)))</f>
        <v>2.5000000000000001E-3</v>
      </c>
      <c r="S58" s="160">
        <f t="shared" si="12"/>
        <v>0</v>
      </c>
      <c r="T58" s="156">
        <f>IF($C$11="Physical",IF(Control!$Y$37=Control!$X$38,R58,Q58)+S58,0)</f>
        <v>2.5000000000000001E-3</v>
      </c>
      <c r="U58" s="203">
        <f t="shared" si="1"/>
        <v>3.5105</v>
      </c>
      <c r="V58" s="172"/>
      <c r="W58" s="219">
        <f>VLOOKUP($B58,Model!$A$8:$S$289,19)</f>
        <v>0.30299999999999999</v>
      </c>
      <c r="X58" s="221">
        <f t="shared" si="13"/>
        <v>0</v>
      </c>
      <c r="Y58" s="221">
        <f t="shared" si="3"/>
        <v>0.30299999999999999</v>
      </c>
      <c r="Z58" s="160">
        <f t="shared" si="14"/>
        <v>0</v>
      </c>
      <c r="AA58" s="160">
        <f t="shared" si="15"/>
        <v>3.5105</v>
      </c>
      <c r="AB58" s="231">
        <f ca="1">_xll.EURO(U58,AA58,VLOOKUP($B58,Curve_Fetch,2),VLOOKUP($B58,Curve_Fetch,2),Y58,VLOOKUP($B58,Model!$A$8:$R$289,18),IF(Euro!$C$10="Call",1,0),0)</f>
        <v>0.61221478336802848</v>
      </c>
      <c r="AD58" s="157">
        <f t="shared" ca="1" si="4"/>
        <v>0</v>
      </c>
      <c r="AE58" s="158">
        <f t="shared" ca="1" si="5"/>
        <v>0</v>
      </c>
      <c r="AF58" s="158">
        <f t="shared" ca="1" si="6"/>
        <v>0</v>
      </c>
      <c r="AG58" s="158">
        <f t="shared" ca="1" si="7"/>
        <v>0</v>
      </c>
      <c r="AH58" s="158">
        <f t="shared" ca="1" si="8"/>
        <v>0</v>
      </c>
      <c r="AI58" s="159">
        <f t="shared" ca="1" si="9"/>
        <v>0</v>
      </c>
      <c r="AK58"/>
      <c r="AL58"/>
      <c r="AM58"/>
      <c r="AN58"/>
      <c r="AO58"/>
      <c r="AP58"/>
      <c r="AQ58"/>
      <c r="AR58"/>
    </row>
    <row r="59" spans="2:44">
      <c r="B59" s="151">
        <f>[1]!_xludf.edate(B58,1)</f>
        <v>38139</v>
      </c>
      <c r="C59" s="152">
        <f t="shared" si="0"/>
        <v>38193</v>
      </c>
      <c r="D59" s="183">
        <v>0</v>
      </c>
      <c r="E59" s="184">
        <f>VLOOKUP($B59,Model!$A$8:$E$289,5)</f>
        <v>0</v>
      </c>
      <c r="F59" s="184">
        <f>VLOOKUP($B59,Model!$A$8:$F$289,6)</f>
        <v>0</v>
      </c>
      <c r="G59" s="206">
        <f ca="1">VLOOKUP($B59,Model!$A$8:$AO$289,41)</f>
        <v>0</v>
      </c>
      <c r="I59" s="153">
        <v>0</v>
      </c>
      <c r="J59" s="154">
        <f t="shared" si="2"/>
        <v>3.766</v>
      </c>
      <c r="K59" s="160">
        <f t="shared" si="10"/>
        <v>0</v>
      </c>
      <c r="L59" s="156">
        <f>IF(Control!$Y$26=Control!$X$27,J59,I59)+K59</f>
        <v>3.766</v>
      </c>
      <c r="M59" s="153">
        <v>0</v>
      </c>
      <c r="N59" s="154">
        <f>VLOOKUP($B59,Curve_Fetch,VLOOKUP(Control!$AJ$10,Control!$AI$11:$AK$22,3))</f>
        <v>-0.22</v>
      </c>
      <c r="O59" s="160">
        <f t="shared" si="11"/>
        <v>0</v>
      </c>
      <c r="P59" s="156">
        <f>IF(Control!$Y$31=Control!$X$32,N59,M59)+O59</f>
        <v>-0.22</v>
      </c>
      <c r="Q59" s="153">
        <v>0</v>
      </c>
      <c r="R59" s="154">
        <f>VLOOKUP($B59,Curve_Fetch,(VLOOKUP(Control!$AJ$10,Control!$AI$11:$AL$22,4)))</f>
        <v>2.5000000000000001E-3</v>
      </c>
      <c r="S59" s="160">
        <f t="shared" si="12"/>
        <v>0</v>
      </c>
      <c r="T59" s="156">
        <f>IF($C$11="Physical",IF(Control!$Y$37=Control!$X$38,R59,Q59)+S59,0)</f>
        <v>2.5000000000000001E-3</v>
      </c>
      <c r="U59" s="203">
        <f t="shared" si="1"/>
        <v>3.5484999999999998</v>
      </c>
      <c r="V59" s="172"/>
      <c r="W59" s="219">
        <f>VLOOKUP($B59,Model!$A$8:$S$289,19)</f>
        <v>0.30299999999999999</v>
      </c>
      <c r="X59" s="221">
        <f t="shared" si="13"/>
        <v>0</v>
      </c>
      <c r="Y59" s="221">
        <f t="shared" si="3"/>
        <v>0.30299999999999999</v>
      </c>
      <c r="Z59" s="160">
        <f t="shared" si="14"/>
        <v>0</v>
      </c>
      <c r="AA59" s="160">
        <f t="shared" si="15"/>
        <v>3.5484999999999998</v>
      </c>
      <c r="AB59" s="231">
        <f ca="1">_xll.EURO(U59,AA59,VLOOKUP($B59,Curve_Fetch,2),VLOOKUP($B59,Curve_Fetch,2),Y59,VLOOKUP($B59,Model!$A$8:$R$289,18),IF(Euro!$C$10="Call",1,0),0)</f>
        <v>0.62654488967460042</v>
      </c>
      <c r="AD59" s="157">
        <f t="shared" ca="1" si="4"/>
        <v>0</v>
      </c>
      <c r="AE59" s="158">
        <f t="shared" ca="1" si="5"/>
        <v>0</v>
      </c>
      <c r="AF59" s="158">
        <f t="shared" ca="1" si="6"/>
        <v>0</v>
      </c>
      <c r="AG59" s="158">
        <f t="shared" ca="1" si="7"/>
        <v>0</v>
      </c>
      <c r="AH59" s="158">
        <f t="shared" ca="1" si="8"/>
        <v>0</v>
      </c>
      <c r="AI59" s="159">
        <f t="shared" ca="1" si="9"/>
        <v>0</v>
      </c>
      <c r="AK59"/>
      <c r="AL59"/>
      <c r="AM59"/>
      <c r="AN59"/>
      <c r="AO59"/>
      <c r="AP59"/>
      <c r="AQ59"/>
      <c r="AR59"/>
    </row>
    <row r="60" spans="2:44">
      <c r="B60" s="151">
        <f>[1]!_xludf.edate(B59,1)</f>
        <v>38169</v>
      </c>
      <c r="C60" s="152">
        <f t="shared" si="0"/>
        <v>38224</v>
      </c>
      <c r="D60" s="183">
        <v>0</v>
      </c>
      <c r="E60" s="184">
        <f>VLOOKUP($B60,Model!$A$8:$E$289,5)</f>
        <v>0</v>
      </c>
      <c r="F60" s="184">
        <f>VLOOKUP($B60,Model!$A$8:$F$289,6)</f>
        <v>0</v>
      </c>
      <c r="G60" s="206">
        <f ca="1">VLOOKUP($B60,Model!$A$8:$AO$289,41)</f>
        <v>0</v>
      </c>
      <c r="I60" s="153">
        <v>0</v>
      </c>
      <c r="J60" s="154">
        <f t="shared" si="2"/>
        <v>3.8109999999999999</v>
      </c>
      <c r="K60" s="160">
        <f t="shared" si="10"/>
        <v>0</v>
      </c>
      <c r="L60" s="156">
        <f>IF(Control!$Y$26=Control!$X$27,J60,I60)+K60</f>
        <v>3.8109999999999999</v>
      </c>
      <c r="M60" s="153">
        <v>0</v>
      </c>
      <c r="N60" s="154">
        <f>VLOOKUP($B60,Curve_Fetch,VLOOKUP(Control!$AJ$10,Control!$AI$11:$AK$22,3))</f>
        <v>-0.22</v>
      </c>
      <c r="O60" s="160">
        <f t="shared" si="11"/>
        <v>0</v>
      </c>
      <c r="P60" s="156">
        <f>IF(Control!$Y$31=Control!$X$32,N60,M60)+O60</f>
        <v>-0.22</v>
      </c>
      <c r="Q60" s="153">
        <v>0</v>
      </c>
      <c r="R60" s="154">
        <f>VLOOKUP($B60,Curve_Fetch,(VLOOKUP(Control!$AJ$10,Control!$AI$11:$AL$22,4)))</f>
        <v>2.5000000000000001E-3</v>
      </c>
      <c r="S60" s="160">
        <f t="shared" si="12"/>
        <v>0</v>
      </c>
      <c r="T60" s="156">
        <f>IF($C$11="Physical",IF(Control!$Y$37=Control!$X$38,R60,Q60)+S60,0)</f>
        <v>2.5000000000000001E-3</v>
      </c>
      <c r="U60" s="203">
        <f t="shared" si="1"/>
        <v>3.5934999999999997</v>
      </c>
      <c r="V60" s="172"/>
      <c r="W60" s="219">
        <f>VLOOKUP($B60,Model!$A$8:$S$289,19)</f>
        <v>0.30299999999999999</v>
      </c>
      <c r="X60" s="221">
        <f t="shared" si="13"/>
        <v>0</v>
      </c>
      <c r="Y60" s="221">
        <f t="shared" si="3"/>
        <v>0.30299999999999999</v>
      </c>
      <c r="Z60" s="160">
        <f t="shared" si="14"/>
        <v>0</v>
      </c>
      <c r="AA60" s="160">
        <f t="shared" si="15"/>
        <v>3.5934999999999997</v>
      </c>
      <c r="AB60" s="231">
        <f ca="1">_xll.EURO(U60,AA60,VLOOKUP($B60,Curve_Fetch,2),VLOOKUP($B60,Curve_Fetch,2),Y60,VLOOKUP($B60,Model!$A$8:$R$289,18),IF(Euro!$C$10="Call",1,0),0)</f>
        <v>0.64177507380004717</v>
      </c>
      <c r="AD60" s="157">
        <f t="shared" ca="1" si="4"/>
        <v>0</v>
      </c>
      <c r="AE60" s="158">
        <f t="shared" ca="1" si="5"/>
        <v>0</v>
      </c>
      <c r="AF60" s="158">
        <f t="shared" ca="1" si="6"/>
        <v>0</v>
      </c>
      <c r="AG60" s="158">
        <f t="shared" ca="1" si="7"/>
        <v>0</v>
      </c>
      <c r="AH60" s="158">
        <f t="shared" ca="1" si="8"/>
        <v>0</v>
      </c>
      <c r="AI60" s="159">
        <f t="shared" ca="1" si="9"/>
        <v>0</v>
      </c>
      <c r="AK60"/>
      <c r="AL60"/>
      <c r="AM60"/>
      <c r="AN60"/>
      <c r="AO60"/>
      <c r="AP60"/>
      <c r="AQ60"/>
      <c r="AR60"/>
    </row>
    <row r="61" spans="2:44">
      <c r="B61" s="151">
        <f>[1]!_xludf.edate(B60,1)</f>
        <v>38200</v>
      </c>
      <c r="C61" s="152">
        <f t="shared" ref="C61:C92" si="16">IF($C$11="Physical",B62+24,B62)</f>
        <v>38255</v>
      </c>
      <c r="D61" s="183">
        <v>0</v>
      </c>
      <c r="E61" s="184">
        <f>VLOOKUP($B61,Model!$A$8:$E$289,5)</f>
        <v>0</v>
      </c>
      <c r="F61" s="184">
        <f>VLOOKUP($B61,Model!$A$8:$F$289,6)</f>
        <v>0</v>
      </c>
      <c r="G61" s="206">
        <f ca="1">VLOOKUP($B61,Model!$A$8:$AO$289,41)</f>
        <v>0</v>
      </c>
      <c r="I61" s="153">
        <v>0</v>
      </c>
      <c r="J61" s="154">
        <f t="shared" si="2"/>
        <v>3.8490000000000002</v>
      </c>
      <c r="K61" s="160">
        <f t="shared" si="10"/>
        <v>0</v>
      </c>
      <c r="L61" s="156">
        <f>IF(Control!$Y$26=Control!$X$27,J61,I61)+K61</f>
        <v>3.8490000000000002</v>
      </c>
      <c r="M61" s="153">
        <v>0</v>
      </c>
      <c r="N61" s="154">
        <f>VLOOKUP($B61,Curve_Fetch,VLOOKUP(Control!$AJ$10,Control!$AI$11:$AK$22,3))</f>
        <v>-0.22</v>
      </c>
      <c r="O61" s="160">
        <f t="shared" si="11"/>
        <v>0</v>
      </c>
      <c r="P61" s="156">
        <f>IF(Control!$Y$31=Control!$X$32,N61,M61)+O61</f>
        <v>-0.22</v>
      </c>
      <c r="Q61" s="153">
        <v>0</v>
      </c>
      <c r="R61" s="154">
        <f>VLOOKUP($B61,Curve_Fetch,(VLOOKUP(Control!$AJ$10,Control!$AI$11:$AL$22,4)))</f>
        <v>2.5000000000000001E-3</v>
      </c>
      <c r="S61" s="160">
        <f t="shared" si="12"/>
        <v>0</v>
      </c>
      <c r="T61" s="156">
        <f>IF($C$11="Physical",IF(Control!$Y$37=Control!$X$38,R61,Q61)+S61,0)</f>
        <v>2.5000000000000001E-3</v>
      </c>
      <c r="U61" s="203">
        <f t="shared" ref="U61:U92" si="17">IF($C$11="Financial",L61+P61,L61+P61+T61)</f>
        <v>3.6315</v>
      </c>
      <c r="V61" s="172"/>
      <c r="W61" s="219">
        <f>VLOOKUP($B61,Model!$A$8:$S$289,19)</f>
        <v>0.30299999999999999</v>
      </c>
      <c r="X61" s="221">
        <f t="shared" si="13"/>
        <v>0</v>
      </c>
      <c r="Y61" s="221">
        <f t="shared" si="3"/>
        <v>0.30299999999999999</v>
      </c>
      <c r="Z61" s="160">
        <f t="shared" si="14"/>
        <v>0</v>
      </c>
      <c r="AA61" s="160">
        <f t="shared" si="15"/>
        <v>3.6315</v>
      </c>
      <c r="AB61" s="231">
        <f ca="1">_xll.EURO(U61,AA61,VLOOKUP($B61,Curve_Fetch,2),VLOOKUP($B61,Curve_Fetch,2),Y61,VLOOKUP($B61,Model!$A$8:$R$289,18),IF(Euro!$C$10="Call",1,0),0)</f>
        <v>0.65590678664587965</v>
      </c>
      <c r="AD61" s="157">
        <f t="shared" ca="1" si="4"/>
        <v>0</v>
      </c>
      <c r="AE61" s="158">
        <f t="shared" ca="1" si="5"/>
        <v>0</v>
      </c>
      <c r="AF61" s="158">
        <f t="shared" ca="1" si="6"/>
        <v>0</v>
      </c>
      <c r="AG61" s="158">
        <f t="shared" ca="1" si="7"/>
        <v>0</v>
      </c>
      <c r="AH61" s="158">
        <f t="shared" ca="1" si="8"/>
        <v>0</v>
      </c>
      <c r="AI61" s="159">
        <f t="shared" ca="1" si="9"/>
        <v>0</v>
      </c>
      <c r="AK61"/>
      <c r="AL61"/>
      <c r="AM61"/>
      <c r="AN61"/>
      <c r="AO61"/>
      <c r="AP61"/>
      <c r="AQ61"/>
      <c r="AR61"/>
    </row>
    <row r="62" spans="2:44">
      <c r="B62" s="151">
        <f>[1]!_xludf.edate(B61,1)</f>
        <v>38231</v>
      </c>
      <c r="C62" s="152">
        <f t="shared" si="16"/>
        <v>38285</v>
      </c>
      <c r="D62" s="183">
        <v>0</v>
      </c>
      <c r="E62" s="184">
        <f>VLOOKUP($B62,Model!$A$8:$E$289,5)</f>
        <v>0</v>
      </c>
      <c r="F62" s="184">
        <f>VLOOKUP($B62,Model!$A$8:$F$289,6)</f>
        <v>0</v>
      </c>
      <c r="G62" s="206">
        <f ca="1">VLOOKUP($B62,Model!$A$8:$AO$289,41)</f>
        <v>0</v>
      </c>
      <c r="I62" s="153">
        <v>0</v>
      </c>
      <c r="J62" s="154">
        <f t="shared" si="2"/>
        <v>3.843</v>
      </c>
      <c r="K62" s="160">
        <f t="shared" si="10"/>
        <v>0</v>
      </c>
      <c r="L62" s="156">
        <f>IF(Control!$Y$26=Control!$X$27,J62,I62)+K62</f>
        <v>3.843</v>
      </c>
      <c r="M62" s="153">
        <v>0</v>
      </c>
      <c r="N62" s="154">
        <f>VLOOKUP($B62,Curve_Fetch,VLOOKUP(Control!$AJ$10,Control!$AI$11:$AK$22,3))</f>
        <v>-0.22</v>
      </c>
      <c r="O62" s="160">
        <f t="shared" si="11"/>
        <v>0</v>
      </c>
      <c r="P62" s="156">
        <f>IF(Control!$Y$31=Control!$X$32,N62,M62)+O62</f>
        <v>-0.22</v>
      </c>
      <c r="Q62" s="153">
        <v>0</v>
      </c>
      <c r="R62" s="154">
        <f>VLOOKUP($B62,Curve_Fetch,(VLOOKUP(Control!$AJ$10,Control!$AI$11:$AL$22,4)))</f>
        <v>2.5000000000000001E-3</v>
      </c>
      <c r="S62" s="160">
        <f t="shared" si="12"/>
        <v>0</v>
      </c>
      <c r="T62" s="156">
        <f>IF($C$11="Physical",IF(Control!$Y$37=Control!$X$38,R62,Q62)+S62,0)</f>
        <v>2.5000000000000001E-3</v>
      </c>
      <c r="U62" s="203">
        <f t="shared" si="17"/>
        <v>3.6254999999999997</v>
      </c>
      <c r="V62" s="172"/>
      <c r="W62" s="219">
        <f>VLOOKUP($B62,Model!$A$8:$S$289,19)</f>
        <v>0.30299999999999999</v>
      </c>
      <c r="X62" s="221">
        <f t="shared" si="13"/>
        <v>0</v>
      </c>
      <c r="Y62" s="221">
        <f t="shared" si="3"/>
        <v>0.30299999999999999</v>
      </c>
      <c r="Z62" s="160">
        <f t="shared" si="14"/>
        <v>0</v>
      </c>
      <c r="AA62" s="160">
        <f t="shared" si="15"/>
        <v>3.6254999999999997</v>
      </c>
      <c r="AB62" s="231">
        <f ca="1">_xll.EURO(U62,AA62,VLOOKUP($B62,Curve_Fetch,2),VLOOKUP($B62,Curve_Fetch,2),Y62,VLOOKUP($B62,Model!$A$8:$R$289,18),IF(Euro!$C$10="Call",1,0),0)</f>
        <v>0.66187057566598639</v>
      </c>
      <c r="AD62" s="157">
        <f t="shared" ca="1" si="4"/>
        <v>0</v>
      </c>
      <c r="AE62" s="158">
        <f t="shared" ca="1" si="5"/>
        <v>0</v>
      </c>
      <c r="AF62" s="158">
        <f t="shared" ca="1" si="6"/>
        <v>0</v>
      </c>
      <c r="AG62" s="158">
        <f t="shared" ca="1" si="7"/>
        <v>0</v>
      </c>
      <c r="AH62" s="158">
        <f t="shared" ca="1" si="8"/>
        <v>0</v>
      </c>
      <c r="AI62" s="159">
        <f t="shared" ca="1" si="9"/>
        <v>0</v>
      </c>
      <c r="AK62"/>
      <c r="AL62"/>
      <c r="AM62"/>
      <c r="AN62"/>
      <c r="AO62"/>
      <c r="AP62"/>
      <c r="AQ62"/>
      <c r="AR62"/>
    </row>
    <row r="63" spans="2:44">
      <c r="B63" s="151">
        <f>[1]!_xludf.edate(B62,1)</f>
        <v>38261</v>
      </c>
      <c r="C63" s="152">
        <f t="shared" si="16"/>
        <v>38316</v>
      </c>
      <c r="D63" s="183">
        <v>0</v>
      </c>
      <c r="E63" s="184">
        <f>VLOOKUP($B63,Model!$A$8:$E$289,5)</f>
        <v>0</v>
      </c>
      <c r="F63" s="184">
        <f>VLOOKUP($B63,Model!$A$8:$F$289,6)</f>
        <v>0</v>
      </c>
      <c r="G63" s="206">
        <f ca="1">VLOOKUP($B63,Model!$A$8:$AO$289,41)</f>
        <v>0</v>
      </c>
      <c r="I63" s="153">
        <v>0</v>
      </c>
      <c r="J63" s="154">
        <f t="shared" si="2"/>
        <v>3.843</v>
      </c>
      <c r="K63" s="160">
        <f t="shared" si="10"/>
        <v>0</v>
      </c>
      <c r="L63" s="156">
        <f>IF(Control!$Y$26=Control!$X$27,J63,I63)+K63</f>
        <v>3.843</v>
      </c>
      <c r="M63" s="153">
        <v>0</v>
      </c>
      <c r="N63" s="154">
        <f>VLOOKUP($B63,Curve_Fetch,VLOOKUP(Control!$AJ$10,Control!$AI$11:$AK$22,3))</f>
        <v>-0.22</v>
      </c>
      <c r="O63" s="160">
        <f t="shared" si="11"/>
        <v>0</v>
      </c>
      <c r="P63" s="156">
        <f>IF(Control!$Y$31=Control!$X$32,N63,M63)+O63</f>
        <v>-0.22</v>
      </c>
      <c r="Q63" s="153">
        <v>0</v>
      </c>
      <c r="R63" s="154">
        <f>VLOOKUP($B63,Curve_Fetch,(VLOOKUP(Control!$AJ$10,Control!$AI$11:$AL$22,4)))</f>
        <v>2.5000000000000001E-3</v>
      </c>
      <c r="S63" s="160">
        <f t="shared" si="12"/>
        <v>0</v>
      </c>
      <c r="T63" s="156">
        <f>IF($C$11="Physical",IF(Control!$Y$37=Control!$X$38,R63,Q63)+S63,0)</f>
        <v>2.5000000000000001E-3</v>
      </c>
      <c r="U63" s="203">
        <f t="shared" si="17"/>
        <v>3.6254999999999997</v>
      </c>
      <c r="V63" s="172"/>
      <c r="W63" s="219">
        <f>VLOOKUP($B63,Model!$A$8:$S$289,19)</f>
        <v>0.30299999999999999</v>
      </c>
      <c r="X63" s="221">
        <f t="shared" si="13"/>
        <v>0</v>
      </c>
      <c r="Y63" s="221">
        <f t="shared" si="3"/>
        <v>0.30299999999999999</v>
      </c>
      <c r="Z63" s="160">
        <f t="shared" si="14"/>
        <v>0</v>
      </c>
      <c r="AA63" s="160">
        <f t="shared" si="15"/>
        <v>3.6254999999999997</v>
      </c>
      <c r="AB63" s="231">
        <f ca="1">_xll.EURO(U63,AA63,VLOOKUP($B63,Curve_Fetch,2),VLOOKUP($B63,Curve_Fetch,2),Y63,VLOOKUP($B63,Model!$A$8:$R$289,18),IF(Euro!$C$10="Call",1,0),0)</f>
        <v>0.66845849478643937</v>
      </c>
      <c r="AD63" s="157">
        <f t="shared" ca="1" si="4"/>
        <v>0</v>
      </c>
      <c r="AE63" s="158">
        <f t="shared" ca="1" si="5"/>
        <v>0</v>
      </c>
      <c r="AF63" s="158">
        <f t="shared" ca="1" si="6"/>
        <v>0</v>
      </c>
      <c r="AG63" s="158">
        <f t="shared" ca="1" si="7"/>
        <v>0</v>
      </c>
      <c r="AH63" s="158">
        <f t="shared" ca="1" si="8"/>
        <v>0</v>
      </c>
      <c r="AI63" s="159">
        <f t="shared" ca="1" si="9"/>
        <v>0</v>
      </c>
      <c r="AK63"/>
      <c r="AL63"/>
      <c r="AM63"/>
      <c r="AN63"/>
      <c r="AO63"/>
      <c r="AP63"/>
      <c r="AQ63"/>
      <c r="AR63"/>
    </row>
    <row r="64" spans="2:44">
      <c r="B64" s="151">
        <f>[1]!_xludf.edate(B63,1)</f>
        <v>38292</v>
      </c>
      <c r="C64" s="152">
        <f t="shared" si="16"/>
        <v>38346</v>
      </c>
      <c r="D64" s="183">
        <v>0</v>
      </c>
      <c r="E64" s="184">
        <f>VLOOKUP($B64,Model!$A$8:$E$289,5)</f>
        <v>0</v>
      </c>
      <c r="F64" s="184">
        <f>VLOOKUP($B64,Model!$A$8:$F$289,6)</f>
        <v>0</v>
      </c>
      <c r="G64" s="206">
        <f ca="1">VLOOKUP($B64,Model!$A$8:$AO$289,41)</f>
        <v>0</v>
      </c>
      <c r="I64" s="153">
        <v>0</v>
      </c>
      <c r="J64" s="154">
        <f t="shared" si="2"/>
        <v>4.0129999999999999</v>
      </c>
      <c r="K64" s="160">
        <f t="shared" si="10"/>
        <v>0</v>
      </c>
      <c r="L64" s="156">
        <f>IF(Control!$Y$26=Control!$X$27,J64,I64)+K64</f>
        <v>4.0129999999999999</v>
      </c>
      <c r="M64" s="153">
        <v>0</v>
      </c>
      <c r="N64" s="154">
        <f>VLOOKUP($B64,Curve_Fetch,VLOOKUP(Control!$AJ$10,Control!$AI$11:$AK$22,3))</f>
        <v>-0.14499999999999999</v>
      </c>
      <c r="O64" s="160">
        <f t="shared" si="11"/>
        <v>0</v>
      </c>
      <c r="P64" s="156">
        <f>IF(Control!$Y$31=Control!$X$32,N64,M64)+O64</f>
        <v>-0.14499999999999999</v>
      </c>
      <c r="Q64" s="153">
        <v>0</v>
      </c>
      <c r="R64" s="154">
        <f>VLOOKUP($B64,Curve_Fetch,(VLOOKUP(Control!$AJ$10,Control!$AI$11:$AL$22,4)))</f>
        <v>5.0000000000000001E-3</v>
      </c>
      <c r="S64" s="160">
        <f t="shared" si="12"/>
        <v>0</v>
      </c>
      <c r="T64" s="156">
        <f>IF($C$11="Physical",IF(Control!$Y$37=Control!$X$38,R64,Q64)+S64,0)</f>
        <v>5.0000000000000001E-3</v>
      </c>
      <c r="U64" s="203">
        <f t="shared" si="17"/>
        <v>3.8729999999999998</v>
      </c>
      <c r="V64" s="172"/>
      <c r="W64" s="219">
        <f>VLOOKUP($B64,Model!$A$8:$S$289,19)</f>
        <v>0.3</v>
      </c>
      <c r="X64" s="221">
        <f t="shared" si="13"/>
        <v>0</v>
      </c>
      <c r="Y64" s="221">
        <f t="shared" si="3"/>
        <v>0.3</v>
      </c>
      <c r="Z64" s="160">
        <f t="shared" si="14"/>
        <v>0</v>
      </c>
      <c r="AA64" s="160">
        <f t="shared" si="15"/>
        <v>3.8729999999999998</v>
      </c>
      <c r="AB64" s="231">
        <f ca="1">_xll.EURO(U64,AA64,VLOOKUP($B64,Curve_Fetch,2),VLOOKUP($B64,Curve_Fetch,2),Y64,VLOOKUP($B64,Model!$A$8:$R$289,18),IF(Euro!$C$10="Call",1,0),0)</f>
        <v>0.7141370447819464</v>
      </c>
      <c r="AD64" s="157">
        <f t="shared" ca="1" si="4"/>
        <v>0</v>
      </c>
      <c r="AE64" s="158">
        <f t="shared" ca="1" si="5"/>
        <v>0</v>
      </c>
      <c r="AF64" s="158">
        <f t="shared" ca="1" si="6"/>
        <v>0</v>
      </c>
      <c r="AG64" s="158">
        <f t="shared" ca="1" si="7"/>
        <v>0</v>
      </c>
      <c r="AH64" s="158">
        <f t="shared" ca="1" si="8"/>
        <v>0</v>
      </c>
      <c r="AI64" s="159">
        <f t="shared" ca="1" si="9"/>
        <v>0</v>
      </c>
      <c r="AK64"/>
      <c r="AL64"/>
      <c r="AM64"/>
      <c r="AN64"/>
      <c r="AO64"/>
      <c r="AP64"/>
      <c r="AQ64"/>
      <c r="AR64"/>
    </row>
    <row r="65" spans="2:44">
      <c r="B65" s="151">
        <f>[1]!_xludf.edate(B64,1)</f>
        <v>38322</v>
      </c>
      <c r="C65" s="152">
        <f t="shared" si="16"/>
        <v>38377</v>
      </c>
      <c r="D65" s="183">
        <v>0</v>
      </c>
      <c r="E65" s="184">
        <f>VLOOKUP($B65,Model!$A$8:$E$289,5)</f>
        <v>0</v>
      </c>
      <c r="F65" s="184">
        <f>VLOOKUP($B65,Model!$A$8:$F$289,6)</f>
        <v>0</v>
      </c>
      <c r="G65" s="206">
        <f ca="1">VLOOKUP($B65,Model!$A$8:$AO$289,41)</f>
        <v>0</v>
      </c>
      <c r="I65" s="153">
        <v>0</v>
      </c>
      <c r="J65" s="154">
        <f t="shared" si="2"/>
        <v>4.1440000000000001</v>
      </c>
      <c r="K65" s="160">
        <f t="shared" si="10"/>
        <v>0</v>
      </c>
      <c r="L65" s="156">
        <f>IF(Control!$Y$26=Control!$X$27,J65,I65)+K65</f>
        <v>4.1440000000000001</v>
      </c>
      <c r="M65" s="153">
        <v>0</v>
      </c>
      <c r="N65" s="154">
        <f>VLOOKUP($B65,Curve_Fetch,VLOOKUP(Control!$AJ$10,Control!$AI$11:$AK$22,3))</f>
        <v>-0.14499999999999999</v>
      </c>
      <c r="O65" s="160">
        <f t="shared" si="11"/>
        <v>0</v>
      </c>
      <c r="P65" s="156">
        <f>IF(Control!$Y$31=Control!$X$32,N65,M65)+O65</f>
        <v>-0.14499999999999999</v>
      </c>
      <c r="Q65" s="153">
        <v>0</v>
      </c>
      <c r="R65" s="154">
        <f>VLOOKUP($B65,Curve_Fetch,(VLOOKUP(Control!$AJ$10,Control!$AI$11:$AL$22,4)))</f>
        <v>5.0000000000000001E-3</v>
      </c>
      <c r="S65" s="160">
        <f t="shared" si="12"/>
        <v>0</v>
      </c>
      <c r="T65" s="156">
        <f>IF($C$11="Physical",IF(Control!$Y$37=Control!$X$38,R65,Q65)+S65,0)</f>
        <v>5.0000000000000001E-3</v>
      </c>
      <c r="U65" s="203">
        <f t="shared" si="17"/>
        <v>4.0040000000000004</v>
      </c>
      <c r="V65" s="172"/>
      <c r="W65" s="219">
        <f>VLOOKUP($B65,Model!$A$8:$S$289,19)</f>
        <v>0.29799999999999999</v>
      </c>
      <c r="X65" s="221">
        <f t="shared" si="13"/>
        <v>0</v>
      </c>
      <c r="Y65" s="221">
        <f t="shared" si="3"/>
        <v>0.29799999999999999</v>
      </c>
      <c r="Z65" s="160">
        <f t="shared" si="14"/>
        <v>0</v>
      </c>
      <c r="AA65" s="160">
        <f t="shared" si="15"/>
        <v>4.0040000000000004</v>
      </c>
      <c r="AB65" s="231">
        <f ca="1">_xll.EURO(U65,AA65,VLOOKUP($B65,Curve_Fetch,2),VLOOKUP($B65,Curve_Fetch,2),Y65,VLOOKUP($B65,Model!$A$8:$R$289,18),IF(Euro!$C$10="Call",1,0),0)</f>
        <v>0.74013365699220013</v>
      </c>
      <c r="AD65" s="157">
        <f t="shared" ca="1" si="4"/>
        <v>0</v>
      </c>
      <c r="AE65" s="158">
        <f t="shared" ca="1" si="5"/>
        <v>0</v>
      </c>
      <c r="AF65" s="158">
        <f t="shared" ca="1" si="6"/>
        <v>0</v>
      </c>
      <c r="AG65" s="158">
        <f t="shared" ca="1" si="7"/>
        <v>0</v>
      </c>
      <c r="AH65" s="158">
        <f t="shared" ca="1" si="8"/>
        <v>0</v>
      </c>
      <c r="AI65" s="159">
        <f t="shared" ca="1" si="9"/>
        <v>0</v>
      </c>
      <c r="AK65"/>
      <c r="AL65"/>
      <c r="AM65"/>
      <c r="AN65"/>
      <c r="AO65"/>
      <c r="AP65"/>
      <c r="AQ65"/>
      <c r="AR65"/>
    </row>
    <row r="66" spans="2:44">
      <c r="B66" s="151">
        <f>[1]!_xludf.edate(B65,1)</f>
        <v>38353</v>
      </c>
      <c r="C66" s="152">
        <f t="shared" si="16"/>
        <v>38408</v>
      </c>
      <c r="D66" s="183">
        <v>0</v>
      </c>
      <c r="E66" s="184">
        <f>VLOOKUP($B66,Model!$A$8:$E$289,5)</f>
        <v>0</v>
      </c>
      <c r="F66" s="184">
        <f>VLOOKUP($B66,Model!$A$8:$F$289,6)</f>
        <v>0</v>
      </c>
      <c r="G66" s="206">
        <f ca="1">VLOOKUP($B66,Model!$A$8:$AO$289,41)</f>
        <v>0</v>
      </c>
      <c r="I66" s="153">
        <v>0</v>
      </c>
      <c r="J66" s="154">
        <f t="shared" si="2"/>
        <v>4.1989999999999998</v>
      </c>
      <c r="K66" s="160">
        <f t="shared" si="10"/>
        <v>0</v>
      </c>
      <c r="L66" s="156">
        <f>IF(Control!$Y$26=Control!$X$27,J66,I66)+K66</f>
        <v>4.1989999999999998</v>
      </c>
      <c r="M66" s="153">
        <v>0</v>
      </c>
      <c r="N66" s="154">
        <f>VLOOKUP($B66,Curve_Fetch,VLOOKUP(Control!$AJ$10,Control!$AI$11:$AK$22,3))</f>
        <v>-0.14499999999999999</v>
      </c>
      <c r="O66" s="160">
        <f t="shared" si="11"/>
        <v>0</v>
      </c>
      <c r="P66" s="156">
        <f>IF(Control!$Y$31=Control!$X$32,N66,M66)+O66</f>
        <v>-0.14499999999999999</v>
      </c>
      <c r="Q66" s="153">
        <v>0</v>
      </c>
      <c r="R66" s="154">
        <f>VLOOKUP($B66,Curve_Fetch,(VLOOKUP(Control!$AJ$10,Control!$AI$11:$AL$22,4)))</f>
        <v>5.0000000000000001E-3</v>
      </c>
      <c r="S66" s="160">
        <f t="shared" si="12"/>
        <v>0</v>
      </c>
      <c r="T66" s="156">
        <f>IF($C$11="Physical",IF(Control!$Y$37=Control!$X$38,R66,Q66)+S66,0)</f>
        <v>5.0000000000000001E-3</v>
      </c>
      <c r="U66" s="203">
        <f t="shared" si="17"/>
        <v>4.0590000000000002</v>
      </c>
      <c r="V66" s="172"/>
      <c r="W66" s="219">
        <f>VLOOKUP($B66,Model!$A$8:$S$289,19)</f>
        <v>0.29799999999999999</v>
      </c>
      <c r="X66" s="221">
        <f t="shared" si="13"/>
        <v>0</v>
      </c>
      <c r="Y66" s="221">
        <f t="shared" si="3"/>
        <v>0.29799999999999999</v>
      </c>
      <c r="Z66" s="160">
        <f t="shared" si="14"/>
        <v>0</v>
      </c>
      <c r="AA66" s="160">
        <f t="shared" si="15"/>
        <v>4.0590000000000002</v>
      </c>
      <c r="AB66" s="231">
        <f ca="1">_xll.EURO(U66,AA66,VLOOKUP($B66,Curve_Fetch,2),VLOOKUP($B66,Curve_Fetch,2),Y66,VLOOKUP($B66,Model!$A$8:$R$289,18),IF(Euro!$C$10="Call",1,0),0)</f>
        <v>0.7570218139667515</v>
      </c>
      <c r="AD66" s="157">
        <f t="shared" ca="1" si="4"/>
        <v>0</v>
      </c>
      <c r="AE66" s="158">
        <f t="shared" ca="1" si="5"/>
        <v>0</v>
      </c>
      <c r="AF66" s="158">
        <f t="shared" ca="1" si="6"/>
        <v>0</v>
      </c>
      <c r="AG66" s="158">
        <f t="shared" ca="1" si="7"/>
        <v>0</v>
      </c>
      <c r="AH66" s="158">
        <f t="shared" ca="1" si="8"/>
        <v>0</v>
      </c>
      <c r="AI66" s="159">
        <f t="shared" ca="1" si="9"/>
        <v>0</v>
      </c>
      <c r="AK66"/>
      <c r="AL66"/>
      <c r="AM66"/>
      <c r="AN66"/>
      <c r="AO66"/>
      <c r="AP66"/>
      <c r="AQ66"/>
      <c r="AR66"/>
    </row>
    <row r="67" spans="2:44">
      <c r="B67" s="151">
        <f>[1]!_xludf.edate(B66,1)</f>
        <v>38384</v>
      </c>
      <c r="C67" s="152">
        <f t="shared" si="16"/>
        <v>38436</v>
      </c>
      <c r="D67" s="183">
        <v>0</v>
      </c>
      <c r="E67" s="184">
        <f>VLOOKUP($B67,Model!$A$8:$E$289,5)</f>
        <v>0</v>
      </c>
      <c r="F67" s="184">
        <f>VLOOKUP($B67,Model!$A$8:$F$289,6)</f>
        <v>0</v>
      </c>
      <c r="G67" s="206">
        <f ca="1">VLOOKUP($B67,Model!$A$8:$AO$289,41)</f>
        <v>0</v>
      </c>
      <c r="I67" s="153">
        <v>0</v>
      </c>
      <c r="J67" s="154">
        <f t="shared" si="2"/>
        <v>4.1109999999999998</v>
      </c>
      <c r="K67" s="160">
        <f t="shared" si="10"/>
        <v>0</v>
      </c>
      <c r="L67" s="156">
        <f>IF(Control!$Y$26=Control!$X$27,J67,I67)+K67</f>
        <v>4.1109999999999998</v>
      </c>
      <c r="M67" s="153">
        <v>0</v>
      </c>
      <c r="N67" s="154">
        <f>VLOOKUP($B67,Curve_Fetch,VLOOKUP(Control!$AJ$10,Control!$AI$11:$AK$22,3))</f>
        <v>-0.14499999999999999</v>
      </c>
      <c r="O67" s="160">
        <f t="shared" si="11"/>
        <v>0</v>
      </c>
      <c r="P67" s="156">
        <f>IF(Control!$Y$31=Control!$X$32,N67,M67)+O67</f>
        <v>-0.14499999999999999</v>
      </c>
      <c r="Q67" s="153">
        <v>0</v>
      </c>
      <c r="R67" s="154">
        <f>VLOOKUP($B67,Curve_Fetch,(VLOOKUP(Control!$AJ$10,Control!$AI$11:$AL$22,4)))</f>
        <v>5.0000000000000001E-3</v>
      </c>
      <c r="S67" s="160">
        <f t="shared" si="12"/>
        <v>0</v>
      </c>
      <c r="T67" s="156">
        <f>IF($C$11="Physical",IF(Control!$Y$37=Control!$X$38,R67,Q67)+S67,0)</f>
        <v>5.0000000000000001E-3</v>
      </c>
      <c r="U67" s="203">
        <f t="shared" si="17"/>
        <v>3.9709999999999996</v>
      </c>
      <c r="V67" s="172"/>
      <c r="W67" s="219">
        <f>VLOOKUP($B67,Model!$A$8:$S$289,19)</f>
        <v>0.29499999999999998</v>
      </c>
      <c r="X67" s="221">
        <f t="shared" si="13"/>
        <v>0</v>
      </c>
      <c r="Y67" s="221">
        <f t="shared" si="3"/>
        <v>0.29499999999999998</v>
      </c>
      <c r="Z67" s="160">
        <f t="shared" si="14"/>
        <v>0</v>
      </c>
      <c r="AA67" s="160">
        <f t="shared" si="15"/>
        <v>3.9709999999999996</v>
      </c>
      <c r="AB67" s="231">
        <f ca="1">_xll.EURO(U67,AA67,VLOOKUP($B67,Curve_Fetch,2),VLOOKUP($B67,Curve_Fetch,2),Y67,VLOOKUP($B67,Model!$A$8:$R$289,18),IF(Euro!$C$10="Call",1,0),0)</f>
        <v>0.73959809108221419</v>
      </c>
      <c r="AD67" s="157">
        <f t="shared" ca="1" si="4"/>
        <v>0</v>
      </c>
      <c r="AE67" s="158">
        <f t="shared" ca="1" si="5"/>
        <v>0</v>
      </c>
      <c r="AF67" s="158">
        <f t="shared" ca="1" si="6"/>
        <v>0</v>
      </c>
      <c r="AG67" s="158">
        <f t="shared" ca="1" si="7"/>
        <v>0</v>
      </c>
      <c r="AH67" s="158">
        <f t="shared" ca="1" si="8"/>
        <v>0</v>
      </c>
      <c r="AI67" s="159">
        <f t="shared" ca="1" si="9"/>
        <v>0</v>
      </c>
      <c r="AK67"/>
      <c r="AL67"/>
      <c r="AM67"/>
      <c r="AN67"/>
      <c r="AO67"/>
      <c r="AP67"/>
      <c r="AQ67"/>
      <c r="AR67"/>
    </row>
    <row r="68" spans="2:44">
      <c r="B68" s="151">
        <f>[1]!_xludf.edate(B67,1)</f>
        <v>38412</v>
      </c>
      <c r="C68" s="152">
        <f t="shared" si="16"/>
        <v>38467</v>
      </c>
      <c r="D68" s="183">
        <v>0</v>
      </c>
      <c r="E68" s="184">
        <f>VLOOKUP($B68,Model!$A$8:$E$289,5)</f>
        <v>0</v>
      </c>
      <c r="F68" s="184">
        <f>VLOOKUP($B68,Model!$A$8:$F$289,6)</f>
        <v>0</v>
      </c>
      <c r="G68" s="206">
        <f ca="1">VLOOKUP($B68,Model!$A$8:$AO$289,41)</f>
        <v>0</v>
      </c>
      <c r="I68" s="153">
        <v>0</v>
      </c>
      <c r="J68" s="154">
        <f t="shared" si="2"/>
        <v>3.972</v>
      </c>
      <c r="K68" s="160">
        <f t="shared" si="10"/>
        <v>0</v>
      </c>
      <c r="L68" s="156">
        <f>IF(Control!$Y$26=Control!$X$27,J68,I68)+K68</f>
        <v>3.972</v>
      </c>
      <c r="M68" s="153">
        <v>0</v>
      </c>
      <c r="N68" s="154">
        <f>VLOOKUP($B68,Curve_Fetch,VLOOKUP(Control!$AJ$10,Control!$AI$11:$AK$22,3))</f>
        <v>-0.14499999999999999</v>
      </c>
      <c r="O68" s="160">
        <f t="shared" si="11"/>
        <v>0</v>
      </c>
      <c r="P68" s="156">
        <f>IF(Control!$Y$31=Control!$X$32,N68,M68)+O68</f>
        <v>-0.14499999999999999</v>
      </c>
      <c r="Q68" s="153">
        <v>0</v>
      </c>
      <c r="R68" s="154">
        <f>VLOOKUP($B68,Curve_Fetch,(VLOOKUP(Control!$AJ$10,Control!$AI$11:$AL$22,4)))</f>
        <v>5.0000000000000001E-3</v>
      </c>
      <c r="S68" s="160">
        <f t="shared" si="12"/>
        <v>0</v>
      </c>
      <c r="T68" s="156">
        <f>IF($C$11="Physical",IF(Control!$Y$37=Control!$X$38,R68,Q68)+S68,0)</f>
        <v>5.0000000000000001E-3</v>
      </c>
      <c r="U68" s="203">
        <f t="shared" si="17"/>
        <v>3.8319999999999999</v>
      </c>
      <c r="V68" s="172"/>
      <c r="W68" s="219">
        <f>VLOOKUP($B68,Model!$A$8:$S$289,19)</f>
        <v>0.28000000000000003</v>
      </c>
      <c r="X68" s="221">
        <f t="shared" si="13"/>
        <v>0</v>
      </c>
      <c r="Y68" s="221">
        <f t="shared" si="3"/>
        <v>0.28000000000000003</v>
      </c>
      <c r="Z68" s="160">
        <f t="shared" si="14"/>
        <v>0</v>
      </c>
      <c r="AA68" s="160">
        <f t="shared" si="15"/>
        <v>3.8319999999999999</v>
      </c>
      <c r="AB68" s="231">
        <f ca="1">_xll.EURO(U68,AA68,VLOOKUP($B68,Curve_Fetch,2),VLOOKUP($B68,Curve_Fetch,2),Y68,VLOOKUP($B68,Model!$A$8:$R$289,18),IF(Euro!$C$10="Call",1,0),0)</f>
        <v>0.68321887666085845</v>
      </c>
      <c r="AD68" s="157">
        <f t="shared" ca="1" si="4"/>
        <v>0</v>
      </c>
      <c r="AE68" s="158">
        <f t="shared" ca="1" si="5"/>
        <v>0</v>
      </c>
      <c r="AF68" s="158">
        <f t="shared" ca="1" si="6"/>
        <v>0</v>
      </c>
      <c r="AG68" s="158">
        <f t="shared" ca="1" si="7"/>
        <v>0</v>
      </c>
      <c r="AH68" s="158">
        <f t="shared" ca="1" si="8"/>
        <v>0</v>
      </c>
      <c r="AI68" s="159">
        <f t="shared" ca="1" si="9"/>
        <v>0</v>
      </c>
      <c r="AK68"/>
      <c r="AL68"/>
      <c r="AM68"/>
      <c r="AN68"/>
      <c r="AO68"/>
      <c r="AP68"/>
      <c r="AQ68"/>
      <c r="AR68"/>
    </row>
    <row r="69" spans="2:44">
      <c r="B69" s="151">
        <f>[1]!_xludf.edate(B68,1)</f>
        <v>38443</v>
      </c>
      <c r="C69" s="152">
        <f t="shared" si="16"/>
        <v>38497</v>
      </c>
      <c r="D69" s="183">
        <v>0</v>
      </c>
      <c r="E69" s="184">
        <f>VLOOKUP($B69,Model!$A$8:$E$289,5)</f>
        <v>0</v>
      </c>
      <c r="F69" s="184">
        <f>VLOOKUP($B69,Model!$A$8:$F$289,6)</f>
        <v>0</v>
      </c>
      <c r="G69" s="206">
        <f ca="1">VLOOKUP($B69,Model!$A$8:$AO$289,41)</f>
        <v>0</v>
      </c>
      <c r="I69" s="153">
        <v>0</v>
      </c>
      <c r="J69" s="154">
        <f t="shared" si="2"/>
        <v>3.8180000000000001</v>
      </c>
      <c r="K69" s="160">
        <f t="shared" si="10"/>
        <v>0</v>
      </c>
      <c r="L69" s="156">
        <f>IF(Control!$Y$26=Control!$X$27,J69,I69)+K69</f>
        <v>3.8180000000000001</v>
      </c>
      <c r="M69" s="153">
        <v>0</v>
      </c>
      <c r="N69" s="154">
        <f>VLOOKUP($B69,Curve_Fetch,VLOOKUP(Control!$AJ$10,Control!$AI$11:$AK$22,3))</f>
        <v>-0.21</v>
      </c>
      <c r="O69" s="160">
        <f t="shared" si="11"/>
        <v>0</v>
      </c>
      <c r="P69" s="156">
        <f>IF(Control!$Y$31=Control!$X$32,N69,M69)+O69</f>
        <v>-0.21</v>
      </c>
      <c r="Q69" s="153">
        <v>0</v>
      </c>
      <c r="R69" s="154">
        <f>VLOOKUP($B69,Curve_Fetch,(VLOOKUP(Control!$AJ$10,Control!$AI$11:$AL$22,4)))</f>
        <v>2.5000000000000001E-3</v>
      </c>
      <c r="S69" s="160">
        <f t="shared" si="12"/>
        <v>0</v>
      </c>
      <c r="T69" s="156">
        <f>IF($C$11="Physical",IF(Control!$Y$37=Control!$X$38,R69,Q69)+S69,0)</f>
        <v>2.5000000000000001E-3</v>
      </c>
      <c r="U69" s="203">
        <f t="shared" si="17"/>
        <v>3.6105</v>
      </c>
      <c r="V69" s="172"/>
      <c r="W69" s="219">
        <f>VLOOKUP($B69,Model!$A$8:$S$289,19)</f>
        <v>0.27</v>
      </c>
      <c r="X69" s="221">
        <f t="shared" si="13"/>
        <v>0</v>
      </c>
      <c r="Y69" s="221">
        <f t="shared" si="3"/>
        <v>0.27</v>
      </c>
      <c r="Z69" s="160">
        <f t="shared" si="14"/>
        <v>0</v>
      </c>
      <c r="AA69" s="160">
        <f t="shared" si="15"/>
        <v>3.6105</v>
      </c>
      <c r="AB69" s="231">
        <f ca="1">_xll.EURO(U69,AA69,VLOOKUP($B69,Curve_Fetch,2),VLOOKUP($B69,Curve_Fetch,2),Y69,VLOOKUP($B69,Model!$A$8:$R$289,18),IF(Euro!$C$10="Call",1,0),0)</f>
        <v>0.62612947205148939</v>
      </c>
      <c r="AD69" s="157">
        <f t="shared" ca="1" si="4"/>
        <v>0</v>
      </c>
      <c r="AE69" s="158">
        <f t="shared" ca="1" si="5"/>
        <v>0</v>
      </c>
      <c r="AF69" s="158">
        <f t="shared" ca="1" si="6"/>
        <v>0</v>
      </c>
      <c r="AG69" s="158">
        <f t="shared" ca="1" si="7"/>
        <v>0</v>
      </c>
      <c r="AH69" s="158">
        <f t="shared" ca="1" si="8"/>
        <v>0</v>
      </c>
      <c r="AI69" s="159">
        <f t="shared" ca="1" si="9"/>
        <v>0</v>
      </c>
      <c r="AK69"/>
      <c r="AL69"/>
      <c r="AM69"/>
      <c r="AN69"/>
      <c r="AO69"/>
      <c r="AP69"/>
      <c r="AQ69"/>
      <c r="AR69"/>
    </row>
    <row r="70" spans="2:44">
      <c r="B70" s="151">
        <f>[1]!_xludf.edate(B69,1)</f>
        <v>38473</v>
      </c>
      <c r="C70" s="152">
        <f t="shared" si="16"/>
        <v>38528</v>
      </c>
      <c r="D70" s="183">
        <v>0</v>
      </c>
      <c r="E70" s="184">
        <f>VLOOKUP($B70,Model!$A$8:$E$289,5)</f>
        <v>0</v>
      </c>
      <c r="F70" s="184">
        <f>VLOOKUP($B70,Model!$A$8:$F$289,6)</f>
        <v>0</v>
      </c>
      <c r="G70" s="206">
        <f ca="1">VLOOKUP($B70,Model!$A$8:$AO$289,41)</f>
        <v>0</v>
      </c>
      <c r="I70" s="153">
        <v>0</v>
      </c>
      <c r="J70" s="154">
        <f t="shared" si="2"/>
        <v>3.823</v>
      </c>
      <c r="K70" s="160">
        <f t="shared" si="10"/>
        <v>0</v>
      </c>
      <c r="L70" s="156">
        <f>IF(Control!$Y$26=Control!$X$27,J70,I70)+K70</f>
        <v>3.823</v>
      </c>
      <c r="M70" s="153">
        <v>0</v>
      </c>
      <c r="N70" s="154">
        <f>VLOOKUP($B70,Curve_Fetch,VLOOKUP(Control!$AJ$10,Control!$AI$11:$AK$22,3))</f>
        <v>-0.21</v>
      </c>
      <c r="O70" s="160">
        <f t="shared" si="11"/>
        <v>0</v>
      </c>
      <c r="P70" s="156">
        <f>IF(Control!$Y$31=Control!$X$32,N70,M70)+O70</f>
        <v>-0.21</v>
      </c>
      <c r="Q70" s="153">
        <v>0</v>
      </c>
      <c r="R70" s="154">
        <f>VLOOKUP($B70,Curve_Fetch,(VLOOKUP(Control!$AJ$10,Control!$AI$11:$AL$22,4)))</f>
        <v>2.5000000000000001E-3</v>
      </c>
      <c r="S70" s="160">
        <f t="shared" si="12"/>
        <v>0</v>
      </c>
      <c r="T70" s="156">
        <f>IF($C$11="Physical",IF(Control!$Y$37=Control!$X$38,R70,Q70)+S70,0)</f>
        <v>2.5000000000000001E-3</v>
      </c>
      <c r="U70" s="203">
        <f t="shared" si="17"/>
        <v>3.6154999999999999</v>
      </c>
      <c r="V70" s="172"/>
      <c r="W70" s="219">
        <f>VLOOKUP($B70,Model!$A$8:$S$289,19)</f>
        <v>0.26300000000000001</v>
      </c>
      <c r="X70" s="221">
        <f t="shared" si="13"/>
        <v>0</v>
      </c>
      <c r="Y70" s="221">
        <f t="shared" si="3"/>
        <v>0.26300000000000001</v>
      </c>
      <c r="Z70" s="160">
        <f t="shared" si="14"/>
        <v>0</v>
      </c>
      <c r="AA70" s="160">
        <f t="shared" si="15"/>
        <v>3.6154999999999999</v>
      </c>
      <c r="AB70" s="231">
        <f ca="1">_xll.EURO(U70,AA70,VLOOKUP($B70,Curve_Fetch,2),VLOOKUP($B70,Curve_Fetch,2),Y70,VLOOKUP($B70,Model!$A$8:$R$289,18),IF(Euro!$C$10="Call",1,0),0)</f>
        <v>0.61558794019096097</v>
      </c>
      <c r="AD70" s="157">
        <f t="shared" ca="1" si="4"/>
        <v>0</v>
      </c>
      <c r="AE70" s="158">
        <f t="shared" ca="1" si="5"/>
        <v>0</v>
      </c>
      <c r="AF70" s="158">
        <f t="shared" ca="1" si="6"/>
        <v>0</v>
      </c>
      <c r="AG70" s="158">
        <f t="shared" ca="1" si="7"/>
        <v>0</v>
      </c>
      <c r="AH70" s="158">
        <f t="shared" ca="1" si="8"/>
        <v>0</v>
      </c>
      <c r="AI70" s="159">
        <f t="shared" ca="1" si="9"/>
        <v>0</v>
      </c>
      <c r="AK70"/>
      <c r="AL70"/>
      <c r="AM70"/>
      <c r="AN70"/>
      <c r="AO70"/>
      <c r="AP70"/>
      <c r="AQ70"/>
      <c r="AR70"/>
    </row>
    <row r="71" spans="2:44">
      <c r="B71" s="151">
        <f>[1]!_xludf.edate(B70,1)</f>
        <v>38504</v>
      </c>
      <c r="C71" s="152">
        <f t="shared" si="16"/>
        <v>38558</v>
      </c>
      <c r="D71" s="183">
        <v>0</v>
      </c>
      <c r="E71" s="184">
        <f>VLOOKUP($B71,Model!$A$8:$E$289,5)</f>
        <v>0</v>
      </c>
      <c r="F71" s="184">
        <f>VLOOKUP($B71,Model!$A$8:$F$289,6)</f>
        <v>0</v>
      </c>
      <c r="G71" s="206">
        <f ca="1">VLOOKUP($B71,Model!$A$8:$AO$289,41)</f>
        <v>0</v>
      </c>
      <c r="I71" s="153">
        <v>0</v>
      </c>
      <c r="J71" s="154">
        <f t="shared" si="2"/>
        <v>3.8610000000000002</v>
      </c>
      <c r="K71" s="160">
        <f t="shared" si="10"/>
        <v>0</v>
      </c>
      <c r="L71" s="156">
        <f>IF(Control!$Y$26=Control!$X$27,J71,I71)+K71</f>
        <v>3.8610000000000002</v>
      </c>
      <c r="M71" s="153">
        <v>0</v>
      </c>
      <c r="N71" s="154">
        <f>VLOOKUP($B71,Curve_Fetch,VLOOKUP(Control!$AJ$10,Control!$AI$11:$AK$22,3))</f>
        <v>-0.21</v>
      </c>
      <c r="O71" s="160">
        <f t="shared" si="11"/>
        <v>0</v>
      </c>
      <c r="P71" s="156">
        <f>IF(Control!$Y$31=Control!$X$32,N71,M71)+O71</f>
        <v>-0.21</v>
      </c>
      <c r="Q71" s="153">
        <v>0</v>
      </c>
      <c r="R71" s="154">
        <f>VLOOKUP($B71,Curve_Fetch,(VLOOKUP(Control!$AJ$10,Control!$AI$11:$AL$22,4)))</f>
        <v>2.5000000000000001E-3</v>
      </c>
      <c r="S71" s="160">
        <f t="shared" si="12"/>
        <v>0</v>
      </c>
      <c r="T71" s="156">
        <f>IF($C$11="Physical",IF(Control!$Y$37=Control!$X$38,R71,Q71)+S71,0)</f>
        <v>2.5000000000000001E-3</v>
      </c>
      <c r="U71" s="203">
        <f t="shared" si="17"/>
        <v>3.6535000000000002</v>
      </c>
      <c r="V71" s="172"/>
      <c r="W71" s="219">
        <f>VLOOKUP($B71,Model!$A$8:$S$289,19)</f>
        <v>0.25800000000000001</v>
      </c>
      <c r="X71" s="221">
        <f t="shared" si="13"/>
        <v>0</v>
      </c>
      <c r="Y71" s="221">
        <f t="shared" si="3"/>
        <v>0.25800000000000001</v>
      </c>
      <c r="Z71" s="160">
        <f t="shared" si="14"/>
        <v>0</v>
      </c>
      <c r="AA71" s="160">
        <f t="shared" si="15"/>
        <v>3.6535000000000002</v>
      </c>
      <c r="AB71" s="231">
        <f ca="1">_xll.EURO(U71,AA71,VLOOKUP($B71,Curve_Fetch,2),VLOOKUP($B71,Curve_Fetch,2),Y71,VLOOKUP($B71,Model!$A$8:$R$289,18),IF(Euro!$C$10="Call",1,0),0)</f>
        <v>0.61492353533662225</v>
      </c>
      <c r="AD71" s="157">
        <f t="shared" ca="1" si="4"/>
        <v>0</v>
      </c>
      <c r="AE71" s="158">
        <f t="shared" ca="1" si="5"/>
        <v>0</v>
      </c>
      <c r="AF71" s="158">
        <f t="shared" ca="1" si="6"/>
        <v>0</v>
      </c>
      <c r="AG71" s="158">
        <f t="shared" ca="1" si="7"/>
        <v>0</v>
      </c>
      <c r="AH71" s="158">
        <f t="shared" ca="1" si="8"/>
        <v>0</v>
      </c>
      <c r="AI71" s="159">
        <f t="shared" ca="1" si="9"/>
        <v>0</v>
      </c>
      <c r="AK71"/>
      <c r="AL71"/>
      <c r="AM71"/>
      <c r="AN71"/>
      <c r="AO71"/>
      <c r="AP71"/>
      <c r="AQ71"/>
      <c r="AR71"/>
    </row>
    <row r="72" spans="2:44">
      <c r="B72" s="151">
        <f>[1]!_xludf.edate(B71,1)</f>
        <v>38534</v>
      </c>
      <c r="C72" s="152">
        <f t="shared" si="16"/>
        <v>38589</v>
      </c>
      <c r="D72" s="183">
        <v>0</v>
      </c>
      <c r="E72" s="184">
        <f>VLOOKUP($B72,Model!$A$8:$E$289,5)</f>
        <v>0</v>
      </c>
      <c r="F72" s="184">
        <f>VLOOKUP($B72,Model!$A$8:$F$289,6)</f>
        <v>0</v>
      </c>
      <c r="G72" s="206">
        <f ca="1">VLOOKUP($B72,Model!$A$8:$AO$289,41)</f>
        <v>0</v>
      </c>
      <c r="I72" s="153">
        <v>0</v>
      </c>
      <c r="J72" s="154">
        <f t="shared" si="2"/>
        <v>3.9060000000000001</v>
      </c>
      <c r="K72" s="160">
        <f t="shared" si="10"/>
        <v>0</v>
      </c>
      <c r="L72" s="156">
        <f>IF(Control!$Y$26=Control!$X$27,J72,I72)+K72</f>
        <v>3.9060000000000001</v>
      </c>
      <c r="M72" s="153">
        <v>0</v>
      </c>
      <c r="N72" s="154">
        <f>VLOOKUP($B72,Curve_Fetch,VLOOKUP(Control!$AJ$10,Control!$AI$11:$AK$22,3))</f>
        <v>-0.21</v>
      </c>
      <c r="O72" s="160">
        <f t="shared" si="11"/>
        <v>0</v>
      </c>
      <c r="P72" s="156">
        <f>IF(Control!$Y$31=Control!$X$32,N72,M72)+O72</f>
        <v>-0.21</v>
      </c>
      <c r="Q72" s="153">
        <v>0</v>
      </c>
      <c r="R72" s="154">
        <f>VLOOKUP($B72,Curve_Fetch,(VLOOKUP(Control!$AJ$10,Control!$AI$11:$AL$22,4)))</f>
        <v>2.5000000000000001E-3</v>
      </c>
      <c r="S72" s="160">
        <f t="shared" si="12"/>
        <v>0</v>
      </c>
      <c r="T72" s="156">
        <f>IF($C$11="Physical",IF(Control!$Y$37=Control!$X$38,R72,Q72)+S72,0)</f>
        <v>2.5000000000000001E-3</v>
      </c>
      <c r="U72" s="203">
        <f t="shared" si="17"/>
        <v>3.6985000000000001</v>
      </c>
      <c r="V72" s="172"/>
      <c r="W72" s="219">
        <f>VLOOKUP($B72,Model!$A$8:$S$289,19)</f>
        <v>0.25800000000000001</v>
      </c>
      <c r="X72" s="221">
        <f t="shared" si="13"/>
        <v>0</v>
      </c>
      <c r="Y72" s="221">
        <f t="shared" si="3"/>
        <v>0.25800000000000001</v>
      </c>
      <c r="Z72" s="160">
        <f t="shared" si="14"/>
        <v>0</v>
      </c>
      <c r="AA72" s="160">
        <f t="shared" si="15"/>
        <v>3.6985000000000001</v>
      </c>
      <c r="AB72" s="231">
        <f ca="1">_xll.EURO(U72,AA72,VLOOKUP($B72,Curve_Fetch,2),VLOOKUP($B72,Curve_Fetch,2),Y72,VLOOKUP($B72,Model!$A$8:$R$289,18),IF(Euro!$C$10="Call",1,0),0)</f>
        <v>0.62672731373318924</v>
      </c>
      <c r="AD72" s="157">
        <f t="shared" ca="1" si="4"/>
        <v>0</v>
      </c>
      <c r="AE72" s="158">
        <f t="shared" ca="1" si="5"/>
        <v>0</v>
      </c>
      <c r="AF72" s="158">
        <f t="shared" ca="1" si="6"/>
        <v>0</v>
      </c>
      <c r="AG72" s="158">
        <f t="shared" ca="1" si="7"/>
        <v>0</v>
      </c>
      <c r="AH72" s="158">
        <f t="shared" ca="1" si="8"/>
        <v>0</v>
      </c>
      <c r="AI72" s="159">
        <f t="shared" ca="1" si="9"/>
        <v>0</v>
      </c>
      <c r="AK72"/>
      <c r="AL72"/>
      <c r="AM72"/>
      <c r="AN72"/>
      <c r="AO72"/>
      <c r="AP72"/>
      <c r="AQ72"/>
      <c r="AR72"/>
    </row>
    <row r="73" spans="2:44">
      <c r="B73" s="151">
        <f>[1]!_xludf.edate(B72,1)</f>
        <v>38565</v>
      </c>
      <c r="C73" s="152">
        <f t="shared" si="16"/>
        <v>38620</v>
      </c>
      <c r="D73" s="183">
        <v>0</v>
      </c>
      <c r="E73" s="184">
        <f>VLOOKUP($B73,Model!$A$8:$E$289,5)</f>
        <v>0</v>
      </c>
      <c r="F73" s="184">
        <f>VLOOKUP($B73,Model!$A$8:$F$289,6)</f>
        <v>0</v>
      </c>
      <c r="G73" s="206">
        <f ca="1">VLOOKUP($B73,Model!$A$8:$AO$289,41)</f>
        <v>0</v>
      </c>
      <c r="I73" s="153">
        <v>0</v>
      </c>
      <c r="J73" s="154">
        <f t="shared" si="2"/>
        <v>3.944</v>
      </c>
      <c r="K73" s="160">
        <f t="shared" si="10"/>
        <v>0</v>
      </c>
      <c r="L73" s="156">
        <f>IF(Control!$Y$26=Control!$X$27,J73,I73)+K73</f>
        <v>3.944</v>
      </c>
      <c r="M73" s="153">
        <v>0</v>
      </c>
      <c r="N73" s="154">
        <f>VLOOKUP($B73,Curve_Fetch,VLOOKUP(Control!$AJ$10,Control!$AI$11:$AK$22,3))</f>
        <v>-0.21</v>
      </c>
      <c r="O73" s="160">
        <f t="shared" si="11"/>
        <v>0</v>
      </c>
      <c r="P73" s="156">
        <f>IF(Control!$Y$31=Control!$X$32,N73,M73)+O73</f>
        <v>-0.21</v>
      </c>
      <c r="Q73" s="153">
        <v>0</v>
      </c>
      <c r="R73" s="154">
        <f>VLOOKUP($B73,Curve_Fetch,(VLOOKUP(Control!$AJ$10,Control!$AI$11:$AL$22,4)))</f>
        <v>2.5000000000000001E-3</v>
      </c>
      <c r="S73" s="160">
        <f t="shared" si="12"/>
        <v>0</v>
      </c>
      <c r="T73" s="156">
        <f>IF($C$11="Physical",IF(Control!$Y$37=Control!$X$38,R73,Q73)+S73,0)</f>
        <v>2.5000000000000001E-3</v>
      </c>
      <c r="U73" s="203">
        <f t="shared" si="17"/>
        <v>3.7364999999999999</v>
      </c>
      <c r="V73" s="172"/>
      <c r="W73" s="219">
        <f>VLOOKUP($B73,Model!$A$8:$S$289,19)</f>
        <v>0.25800000000000001</v>
      </c>
      <c r="X73" s="221">
        <f t="shared" si="13"/>
        <v>0</v>
      </c>
      <c r="Y73" s="221">
        <f t="shared" si="3"/>
        <v>0.25800000000000001</v>
      </c>
      <c r="Z73" s="160">
        <f t="shared" si="14"/>
        <v>0</v>
      </c>
      <c r="AA73" s="160">
        <f t="shared" si="15"/>
        <v>3.7364999999999999</v>
      </c>
      <c r="AB73" s="231">
        <f ca="1">_xll.EURO(U73,AA73,VLOOKUP($B73,Curve_Fetch,2),VLOOKUP($B73,Curve_Fetch,2),Y73,VLOOKUP($B73,Model!$A$8:$R$289,18),IF(Euro!$C$10="Call",1,0),0)</f>
        <v>0.63743886775744318</v>
      </c>
      <c r="AD73" s="157">
        <f t="shared" ca="1" si="4"/>
        <v>0</v>
      </c>
      <c r="AE73" s="158">
        <f t="shared" ca="1" si="5"/>
        <v>0</v>
      </c>
      <c r="AF73" s="158">
        <f t="shared" ca="1" si="6"/>
        <v>0</v>
      </c>
      <c r="AG73" s="158">
        <f t="shared" ca="1" si="7"/>
        <v>0</v>
      </c>
      <c r="AH73" s="158">
        <f t="shared" ca="1" si="8"/>
        <v>0</v>
      </c>
      <c r="AI73" s="159">
        <f t="shared" ca="1" si="9"/>
        <v>0</v>
      </c>
      <c r="AK73"/>
      <c r="AL73"/>
      <c r="AM73"/>
      <c r="AN73"/>
      <c r="AO73"/>
      <c r="AP73"/>
      <c r="AQ73"/>
      <c r="AR73"/>
    </row>
    <row r="74" spans="2:44">
      <c r="B74" s="151">
        <f>[1]!_xludf.edate(B73,1)</f>
        <v>38596</v>
      </c>
      <c r="C74" s="152">
        <f t="shared" si="16"/>
        <v>38650</v>
      </c>
      <c r="D74" s="183">
        <v>0</v>
      </c>
      <c r="E74" s="184">
        <f>VLOOKUP($B74,Model!$A$8:$E$289,5)</f>
        <v>0</v>
      </c>
      <c r="F74" s="184">
        <f>VLOOKUP($B74,Model!$A$8:$F$289,6)</f>
        <v>0</v>
      </c>
      <c r="G74" s="206">
        <f ca="1">VLOOKUP($B74,Model!$A$8:$AO$289,41)</f>
        <v>0</v>
      </c>
      <c r="I74" s="153">
        <v>0</v>
      </c>
      <c r="J74" s="154">
        <f t="shared" si="2"/>
        <v>3.9380000000000002</v>
      </c>
      <c r="K74" s="160">
        <f t="shared" si="10"/>
        <v>0</v>
      </c>
      <c r="L74" s="156">
        <f>IF(Control!$Y$26=Control!$X$27,J74,I74)+K74</f>
        <v>3.9380000000000002</v>
      </c>
      <c r="M74" s="153">
        <v>0</v>
      </c>
      <c r="N74" s="154">
        <f>VLOOKUP($B74,Curve_Fetch,VLOOKUP(Control!$AJ$10,Control!$AI$11:$AK$22,3))</f>
        <v>-0.21</v>
      </c>
      <c r="O74" s="160">
        <f t="shared" si="11"/>
        <v>0</v>
      </c>
      <c r="P74" s="156">
        <f>IF(Control!$Y$31=Control!$X$32,N74,M74)+O74</f>
        <v>-0.21</v>
      </c>
      <c r="Q74" s="153">
        <v>0</v>
      </c>
      <c r="R74" s="154">
        <f>VLOOKUP($B74,Curve_Fetch,(VLOOKUP(Control!$AJ$10,Control!$AI$11:$AL$22,4)))</f>
        <v>2.5000000000000001E-3</v>
      </c>
      <c r="S74" s="160">
        <f t="shared" si="12"/>
        <v>0</v>
      </c>
      <c r="T74" s="156">
        <f>IF($C$11="Physical",IF(Control!$Y$37=Control!$X$38,R74,Q74)+S74,0)</f>
        <v>2.5000000000000001E-3</v>
      </c>
      <c r="U74" s="203">
        <f t="shared" si="17"/>
        <v>3.7305000000000001</v>
      </c>
      <c r="V74" s="172"/>
      <c r="W74" s="219">
        <f>VLOOKUP($B74,Model!$A$8:$S$289,19)</f>
        <v>0.25800000000000001</v>
      </c>
      <c r="X74" s="221">
        <f t="shared" si="13"/>
        <v>0</v>
      </c>
      <c r="Y74" s="221">
        <f t="shared" si="3"/>
        <v>0.25800000000000001</v>
      </c>
      <c r="Z74" s="160">
        <f t="shared" si="14"/>
        <v>0</v>
      </c>
      <c r="AA74" s="160">
        <f t="shared" si="15"/>
        <v>3.7305000000000001</v>
      </c>
      <c r="AB74" s="231">
        <f ca="1">_xll.EURO(U74,AA74,VLOOKUP($B74,Curve_Fetch,2),VLOOKUP($B74,Curve_Fetch,2),Y74,VLOOKUP($B74,Model!$A$8:$R$289,18),IF(Euro!$C$10="Call",1,0),0)</f>
        <v>0.64050859926676895</v>
      </c>
      <c r="AD74" s="157">
        <f t="shared" ca="1" si="4"/>
        <v>0</v>
      </c>
      <c r="AE74" s="158">
        <f t="shared" ca="1" si="5"/>
        <v>0</v>
      </c>
      <c r="AF74" s="158">
        <f t="shared" ca="1" si="6"/>
        <v>0</v>
      </c>
      <c r="AG74" s="158">
        <f t="shared" ca="1" si="7"/>
        <v>0</v>
      </c>
      <c r="AH74" s="158">
        <f t="shared" ca="1" si="8"/>
        <v>0</v>
      </c>
      <c r="AI74" s="159">
        <f t="shared" ca="1" si="9"/>
        <v>0</v>
      </c>
      <c r="AK74"/>
      <c r="AL74"/>
      <c r="AM74"/>
      <c r="AN74"/>
      <c r="AO74"/>
      <c r="AP74"/>
      <c r="AQ74"/>
      <c r="AR74"/>
    </row>
    <row r="75" spans="2:44">
      <c r="B75" s="151">
        <f>[1]!_xludf.edate(B74,1)</f>
        <v>38626</v>
      </c>
      <c r="C75" s="152">
        <f t="shared" si="16"/>
        <v>38681</v>
      </c>
      <c r="D75" s="183">
        <v>0</v>
      </c>
      <c r="E75" s="184">
        <f>VLOOKUP($B75,Model!$A$8:$E$289,5)</f>
        <v>0</v>
      </c>
      <c r="F75" s="184">
        <f>VLOOKUP($B75,Model!$A$8:$F$289,6)</f>
        <v>0</v>
      </c>
      <c r="G75" s="206">
        <f ca="1">VLOOKUP($B75,Model!$A$8:$AO$289,41)</f>
        <v>0</v>
      </c>
      <c r="I75" s="153">
        <v>0</v>
      </c>
      <c r="J75" s="154">
        <f t="shared" si="2"/>
        <v>3.9380000000000002</v>
      </c>
      <c r="K75" s="160">
        <f t="shared" si="10"/>
        <v>0</v>
      </c>
      <c r="L75" s="156">
        <f>IF(Control!$Y$26=Control!$X$27,J75,I75)+K75</f>
        <v>3.9380000000000002</v>
      </c>
      <c r="M75" s="153">
        <v>0</v>
      </c>
      <c r="N75" s="154">
        <f>VLOOKUP($B75,Curve_Fetch,VLOOKUP(Control!$AJ$10,Control!$AI$11:$AK$22,3))</f>
        <v>-0.21</v>
      </c>
      <c r="O75" s="160">
        <f t="shared" si="11"/>
        <v>0</v>
      </c>
      <c r="P75" s="156">
        <f>IF(Control!$Y$31=Control!$X$32,N75,M75)+O75</f>
        <v>-0.21</v>
      </c>
      <c r="Q75" s="153">
        <v>0</v>
      </c>
      <c r="R75" s="154">
        <f>VLOOKUP($B75,Curve_Fetch,(VLOOKUP(Control!$AJ$10,Control!$AI$11:$AL$22,4)))</f>
        <v>2.5000000000000001E-3</v>
      </c>
      <c r="S75" s="160">
        <f t="shared" si="12"/>
        <v>0</v>
      </c>
      <c r="T75" s="156">
        <f>IF($C$11="Physical",IF(Control!$Y$37=Control!$X$38,R75,Q75)+S75,0)</f>
        <v>2.5000000000000001E-3</v>
      </c>
      <c r="U75" s="203">
        <f t="shared" si="17"/>
        <v>3.7305000000000001</v>
      </c>
      <c r="V75" s="172"/>
      <c r="W75" s="219">
        <f>VLOOKUP($B75,Model!$A$8:$S$289,19)</f>
        <v>0.25800000000000001</v>
      </c>
      <c r="X75" s="221">
        <f t="shared" si="13"/>
        <v>0</v>
      </c>
      <c r="Y75" s="221">
        <f t="shared" si="3"/>
        <v>0.25800000000000001</v>
      </c>
      <c r="Z75" s="160">
        <f t="shared" si="14"/>
        <v>0</v>
      </c>
      <c r="AA75" s="160">
        <f t="shared" si="15"/>
        <v>3.7305000000000001</v>
      </c>
      <c r="AB75" s="231">
        <f ca="1">_xll.EURO(U75,AA75,VLOOKUP($B75,Curve_Fetch,2),VLOOKUP($B75,Curve_Fetch,2),Y75,VLOOKUP($B75,Model!$A$8:$R$289,18),IF(Euro!$C$10="Call",1,0),0)</f>
        <v>0.64433050408325609</v>
      </c>
      <c r="AD75" s="157">
        <f t="shared" ca="1" si="4"/>
        <v>0</v>
      </c>
      <c r="AE75" s="158">
        <f t="shared" ca="1" si="5"/>
        <v>0</v>
      </c>
      <c r="AF75" s="158">
        <f t="shared" ca="1" si="6"/>
        <v>0</v>
      </c>
      <c r="AG75" s="158">
        <f t="shared" ca="1" si="7"/>
        <v>0</v>
      </c>
      <c r="AH75" s="158">
        <f t="shared" ca="1" si="8"/>
        <v>0</v>
      </c>
      <c r="AI75" s="159">
        <f t="shared" ca="1" si="9"/>
        <v>0</v>
      </c>
      <c r="AK75"/>
      <c r="AL75"/>
      <c r="AM75"/>
      <c r="AN75"/>
      <c r="AO75"/>
      <c r="AP75"/>
      <c r="AQ75"/>
      <c r="AR75"/>
    </row>
    <row r="76" spans="2:44">
      <c r="B76" s="151">
        <f>[1]!_xludf.edate(B75,1)</f>
        <v>38657</v>
      </c>
      <c r="C76" s="152">
        <f t="shared" si="16"/>
        <v>38711</v>
      </c>
      <c r="D76" s="183">
        <v>0</v>
      </c>
      <c r="E76" s="184">
        <f>VLOOKUP($B76,Model!$A$8:$E$289,5)</f>
        <v>0</v>
      </c>
      <c r="F76" s="184">
        <f>VLOOKUP($B76,Model!$A$8:$F$289,6)</f>
        <v>0</v>
      </c>
      <c r="G76" s="206">
        <f ca="1">VLOOKUP($B76,Model!$A$8:$AO$289,41)</f>
        <v>0</v>
      </c>
      <c r="I76" s="153">
        <v>0</v>
      </c>
      <c r="J76" s="154">
        <f t="shared" si="2"/>
        <v>4.1079999999999997</v>
      </c>
      <c r="K76" s="160">
        <f t="shared" si="10"/>
        <v>0</v>
      </c>
      <c r="L76" s="156">
        <f>IF(Control!$Y$26=Control!$X$27,J76,I76)+K76</f>
        <v>4.1079999999999997</v>
      </c>
      <c r="M76" s="153">
        <v>0</v>
      </c>
      <c r="N76" s="154">
        <f>VLOOKUP($B76,Curve_Fetch,VLOOKUP(Control!$AJ$10,Control!$AI$11:$AK$22,3))</f>
        <v>-0.13</v>
      </c>
      <c r="O76" s="160">
        <f t="shared" si="11"/>
        <v>0</v>
      </c>
      <c r="P76" s="156">
        <f>IF(Control!$Y$31=Control!$X$32,N76,M76)+O76</f>
        <v>-0.13</v>
      </c>
      <c r="Q76" s="153">
        <v>0</v>
      </c>
      <c r="R76" s="154">
        <f>VLOOKUP($B76,Curve_Fetch,(VLOOKUP(Control!$AJ$10,Control!$AI$11:$AL$22,4)))</f>
        <v>5.0000000000000001E-3</v>
      </c>
      <c r="S76" s="160">
        <f t="shared" si="12"/>
        <v>0</v>
      </c>
      <c r="T76" s="156">
        <f>IF($C$11="Physical",IF(Control!$Y$37=Control!$X$38,R76,Q76)+S76,0)</f>
        <v>5.0000000000000001E-3</v>
      </c>
      <c r="U76" s="203">
        <f t="shared" si="17"/>
        <v>3.9829999999999997</v>
      </c>
      <c r="V76" s="172"/>
      <c r="W76" s="219">
        <f>VLOOKUP($B76,Model!$A$8:$S$289,19)</f>
        <v>0.25800000000000001</v>
      </c>
      <c r="X76" s="221">
        <f t="shared" si="13"/>
        <v>0</v>
      </c>
      <c r="Y76" s="221">
        <f t="shared" si="3"/>
        <v>0.25800000000000001</v>
      </c>
      <c r="Z76" s="160">
        <f t="shared" si="14"/>
        <v>0</v>
      </c>
      <c r="AA76" s="160">
        <f t="shared" si="15"/>
        <v>3.9829999999999997</v>
      </c>
      <c r="AB76" s="231">
        <f ca="1">_xll.EURO(U76,AA76,VLOOKUP($B76,Curve_Fetch,2),VLOOKUP($B76,Curve_Fetch,2),Y76,VLOOKUP($B76,Model!$A$8:$R$289,18),IF(Euro!$C$10="Call",1,0),0)</f>
        <v>0.69203709397622259</v>
      </c>
      <c r="AD76" s="157">
        <f t="shared" ca="1" si="4"/>
        <v>0</v>
      </c>
      <c r="AE76" s="158">
        <f t="shared" ca="1" si="5"/>
        <v>0</v>
      </c>
      <c r="AF76" s="158">
        <f t="shared" ca="1" si="6"/>
        <v>0</v>
      </c>
      <c r="AG76" s="158">
        <f t="shared" ca="1" si="7"/>
        <v>0</v>
      </c>
      <c r="AH76" s="158">
        <f t="shared" ca="1" si="8"/>
        <v>0</v>
      </c>
      <c r="AI76" s="159">
        <f t="shared" ca="1" si="9"/>
        <v>0</v>
      </c>
      <c r="AK76"/>
      <c r="AL76"/>
      <c r="AM76"/>
      <c r="AN76"/>
      <c r="AO76"/>
      <c r="AP76"/>
      <c r="AQ76"/>
      <c r="AR76"/>
    </row>
    <row r="77" spans="2:44">
      <c r="B77" s="151">
        <f>[1]!_xludf.edate(B76,1)</f>
        <v>38687</v>
      </c>
      <c r="C77" s="152">
        <f t="shared" si="16"/>
        <v>38742</v>
      </c>
      <c r="D77" s="183">
        <v>0</v>
      </c>
      <c r="E77" s="184">
        <f>VLOOKUP($B77,Model!$A$8:$E$289,5)</f>
        <v>0</v>
      </c>
      <c r="F77" s="184">
        <f>VLOOKUP($B77,Model!$A$8:$F$289,6)</f>
        <v>0</v>
      </c>
      <c r="G77" s="206">
        <f ca="1">VLOOKUP($B77,Model!$A$8:$AO$289,41)</f>
        <v>0</v>
      </c>
      <c r="I77" s="153">
        <v>0</v>
      </c>
      <c r="J77" s="154">
        <f t="shared" si="2"/>
        <v>4.2389999999999999</v>
      </c>
      <c r="K77" s="160">
        <f t="shared" si="10"/>
        <v>0</v>
      </c>
      <c r="L77" s="156">
        <f>IF(Control!$Y$26=Control!$X$27,J77,I77)+K77</f>
        <v>4.2389999999999999</v>
      </c>
      <c r="M77" s="153">
        <v>0</v>
      </c>
      <c r="N77" s="154">
        <f>VLOOKUP($B77,Curve_Fetch,VLOOKUP(Control!$AJ$10,Control!$AI$11:$AK$22,3))</f>
        <v>-0.13</v>
      </c>
      <c r="O77" s="160">
        <f t="shared" si="11"/>
        <v>0</v>
      </c>
      <c r="P77" s="156">
        <f>IF(Control!$Y$31=Control!$X$32,N77,M77)+O77</f>
        <v>-0.13</v>
      </c>
      <c r="Q77" s="153">
        <v>0</v>
      </c>
      <c r="R77" s="154">
        <f>VLOOKUP($B77,Curve_Fetch,(VLOOKUP(Control!$AJ$10,Control!$AI$11:$AL$22,4)))</f>
        <v>5.0000000000000001E-3</v>
      </c>
      <c r="S77" s="160">
        <f t="shared" si="12"/>
        <v>0</v>
      </c>
      <c r="T77" s="156">
        <f>IF($C$11="Physical",IF(Control!$Y$37=Control!$X$38,R77,Q77)+S77,0)</f>
        <v>5.0000000000000001E-3</v>
      </c>
      <c r="U77" s="203">
        <f t="shared" si="17"/>
        <v>4.1139999999999999</v>
      </c>
      <c r="V77" s="172"/>
      <c r="W77" s="219">
        <f>VLOOKUP($B77,Model!$A$8:$S$289,19)</f>
        <v>0.25800000000000001</v>
      </c>
      <c r="X77" s="221">
        <f t="shared" si="13"/>
        <v>0</v>
      </c>
      <c r="Y77" s="221">
        <f t="shared" si="3"/>
        <v>0.25800000000000001</v>
      </c>
      <c r="Z77" s="160">
        <f t="shared" si="14"/>
        <v>0</v>
      </c>
      <c r="AA77" s="160">
        <f t="shared" si="15"/>
        <v>4.1139999999999999</v>
      </c>
      <c r="AB77" s="231">
        <f ca="1">_xll.EURO(U77,AA77,VLOOKUP($B77,Curve_Fetch,2),VLOOKUP($B77,Curve_Fetch,2),Y77,VLOOKUP($B77,Model!$A$8:$R$289,18),IF(Euro!$C$10="Call",1,0),0)</f>
        <v>0.71872503828999434</v>
      </c>
      <c r="AD77" s="157">
        <f t="shared" ca="1" si="4"/>
        <v>0</v>
      </c>
      <c r="AE77" s="158">
        <f t="shared" ca="1" si="5"/>
        <v>0</v>
      </c>
      <c r="AF77" s="158">
        <f t="shared" ca="1" si="6"/>
        <v>0</v>
      </c>
      <c r="AG77" s="158">
        <f t="shared" ca="1" si="7"/>
        <v>0</v>
      </c>
      <c r="AH77" s="158">
        <f t="shared" ca="1" si="8"/>
        <v>0</v>
      </c>
      <c r="AI77" s="159">
        <f t="shared" ca="1" si="9"/>
        <v>0</v>
      </c>
      <c r="AK77"/>
      <c r="AL77"/>
      <c r="AM77"/>
      <c r="AN77"/>
      <c r="AO77"/>
      <c r="AP77"/>
      <c r="AQ77"/>
      <c r="AR77"/>
    </row>
    <row r="78" spans="2:44">
      <c r="B78" s="151">
        <f>[1]!_xludf.edate(B77,1)</f>
        <v>38718</v>
      </c>
      <c r="C78" s="152">
        <f t="shared" si="16"/>
        <v>38773</v>
      </c>
      <c r="D78" s="183">
        <v>0</v>
      </c>
      <c r="E78" s="184">
        <f>VLOOKUP($B78,Model!$A$8:$E$289,5)</f>
        <v>0</v>
      </c>
      <c r="F78" s="184">
        <f>VLOOKUP($B78,Model!$A$8:$F$289,6)</f>
        <v>0</v>
      </c>
      <c r="G78" s="206">
        <f ca="1">VLOOKUP($B78,Model!$A$8:$AO$289,41)</f>
        <v>0</v>
      </c>
      <c r="I78" s="153">
        <v>0</v>
      </c>
      <c r="J78" s="154">
        <f t="shared" si="2"/>
        <v>4.2965</v>
      </c>
      <c r="K78" s="160">
        <f t="shared" si="10"/>
        <v>0</v>
      </c>
      <c r="L78" s="156">
        <f>IF(Control!$Y$26=Control!$X$27,J78,I78)+K78</f>
        <v>4.2965</v>
      </c>
      <c r="M78" s="153">
        <v>0</v>
      </c>
      <c r="N78" s="154">
        <f>VLOOKUP($B78,Curve_Fetch,VLOOKUP(Control!$AJ$10,Control!$AI$11:$AK$22,3))</f>
        <v>-0.13</v>
      </c>
      <c r="O78" s="160">
        <f t="shared" si="11"/>
        <v>0</v>
      </c>
      <c r="P78" s="156">
        <f>IF(Control!$Y$31=Control!$X$32,N78,M78)+O78</f>
        <v>-0.13</v>
      </c>
      <c r="Q78" s="153">
        <v>0</v>
      </c>
      <c r="R78" s="154">
        <f>VLOOKUP($B78,Curve_Fetch,(VLOOKUP(Control!$AJ$10,Control!$AI$11:$AL$22,4)))</f>
        <v>5.0000000000000001E-3</v>
      </c>
      <c r="S78" s="160">
        <f t="shared" si="12"/>
        <v>0</v>
      </c>
      <c r="T78" s="156">
        <f>IF($C$11="Physical",IF(Control!$Y$37=Control!$X$38,R78,Q78)+S78,0)</f>
        <v>5.0000000000000001E-3</v>
      </c>
      <c r="U78" s="203">
        <f t="shared" si="17"/>
        <v>4.1715</v>
      </c>
      <c r="V78" s="172"/>
      <c r="W78" s="219">
        <f>VLOOKUP($B78,Model!$A$8:$S$289,19)</f>
        <v>0.25800000000000001</v>
      </c>
      <c r="X78" s="221">
        <f t="shared" si="13"/>
        <v>0</v>
      </c>
      <c r="Y78" s="221">
        <f t="shared" si="3"/>
        <v>0.25800000000000001</v>
      </c>
      <c r="Z78" s="160">
        <f t="shared" si="14"/>
        <v>0</v>
      </c>
      <c r="AA78" s="160">
        <f t="shared" si="15"/>
        <v>4.1715</v>
      </c>
      <c r="AB78" s="231">
        <f ca="1">_xll.EURO(U78,AA78,VLOOKUP($B78,Curve_Fetch,2),VLOOKUP($B78,Curve_Fetch,2),Y78,VLOOKUP($B78,Model!$A$8:$R$289,18),IF(Euro!$C$10="Call",1,0),0)</f>
        <v>0.73276535169619339</v>
      </c>
      <c r="AD78" s="157">
        <f t="shared" ca="1" si="4"/>
        <v>0</v>
      </c>
      <c r="AE78" s="158">
        <f t="shared" ca="1" si="5"/>
        <v>0</v>
      </c>
      <c r="AF78" s="158">
        <f t="shared" ca="1" si="6"/>
        <v>0</v>
      </c>
      <c r="AG78" s="158">
        <f t="shared" ca="1" si="7"/>
        <v>0</v>
      </c>
      <c r="AH78" s="158">
        <f t="shared" ca="1" si="8"/>
        <v>0</v>
      </c>
      <c r="AI78" s="159">
        <f t="shared" ca="1" si="9"/>
        <v>0</v>
      </c>
      <c r="AK78"/>
      <c r="AL78"/>
      <c r="AM78"/>
      <c r="AN78"/>
      <c r="AO78"/>
      <c r="AP78"/>
      <c r="AQ78"/>
      <c r="AR78"/>
    </row>
    <row r="79" spans="2:44">
      <c r="B79" s="151">
        <f>[1]!_xludf.edate(B78,1)</f>
        <v>38749</v>
      </c>
      <c r="C79" s="152">
        <f t="shared" si="16"/>
        <v>38801</v>
      </c>
      <c r="D79" s="183">
        <v>0</v>
      </c>
      <c r="E79" s="184">
        <f>VLOOKUP($B79,Model!$A$8:$E$289,5)</f>
        <v>0</v>
      </c>
      <c r="F79" s="184">
        <f>VLOOKUP($B79,Model!$A$8:$F$289,6)</f>
        <v>0</v>
      </c>
      <c r="G79" s="206">
        <f ca="1">VLOOKUP($B79,Model!$A$8:$AO$289,41)</f>
        <v>0</v>
      </c>
      <c r="I79" s="153">
        <v>0</v>
      </c>
      <c r="J79" s="154">
        <f t="shared" si="2"/>
        <v>4.2084999999999999</v>
      </c>
      <c r="K79" s="160">
        <f t="shared" si="10"/>
        <v>0</v>
      </c>
      <c r="L79" s="156">
        <f>IF(Control!$Y$26=Control!$X$27,J79,I79)+K79</f>
        <v>4.2084999999999999</v>
      </c>
      <c r="M79" s="153">
        <v>0</v>
      </c>
      <c r="N79" s="154">
        <f>VLOOKUP($B79,Curve_Fetch,VLOOKUP(Control!$AJ$10,Control!$AI$11:$AK$22,3))</f>
        <v>-0.13</v>
      </c>
      <c r="O79" s="160">
        <f t="shared" si="11"/>
        <v>0</v>
      </c>
      <c r="P79" s="156">
        <f>IF(Control!$Y$31=Control!$X$32,N79,M79)+O79</f>
        <v>-0.13</v>
      </c>
      <c r="Q79" s="153">
        <v>0</v>
      </c>
      <c r="R79" s="154">
        <f>VLOOKUP($B79,Curve_Fetch,(VLOOKUP(Control!$AJ$10,Control!$AI$11:$AL$22,4)))</f>
        <v>5.0000000000000001E-3</v>
      </c>
      <c r="S79" s="160">
        <f t="shared" si="12"/>
        <v>0</v>
      </c>
      <c r="T79" s="156">
        <f>IF($C$11="Physical",IF(Control!$Y$37=Control!$X$38,R79,Q79)+S79,0)</f>
        <v>5.0000000000000001E-3</v>
      </c>
      <c r="U79" s="203">
        <f t="shared" si="17"/>
        <v>4.0834999999999999</v>
      </c>
      <c r="V79" s="172"/>
      <c r="W79" s="219">
        <f>VLOOKUP($B79,Model!$A$8:$S$289,19)</f>
        <v>0.25</v>
      </c>
      <c r="X79" s="221">
        <f t="shared" si="13"/>
        <v>0</v>
      </c>
      <c r="Y79" s="221">
        <f t="shared" si="3"/>
        <v>0.25</v>
      </c>
      <c r="Z79" s="160">
        <f t="shared" si="14"/>
        <v>0</v>
      </c>
      <c r="AA79" s="160">
        <f t="shared" si="15"/>
        <v>4.0834999999999999</v>
      </c>
      <c r="AB79" s="231">
        <f ca="1">_xll.EURO(U79,AA79,VLOOKUP($B79,Curve_Fetch,2),VLOOKUP($B79,Curve_Fetch,2),Y79,VLOOKUP($B79,Model!$A$8:$R$289,18),IF(Euro!$C$10="Call",1,0),0)</f>
        <v>0.6992842927529539</v>
      </c>
      <c r="AD79" s="157">
        <f t="shared" ca="1" si="4"/>
        <v>0</v>
      </c>
      <c r="AE79" s="158">
        <f t="shared" ca="1" si="5"/>
        <v>0</v>
      </c>
      <c r="AF79" s="158">
        <f t="shared" ca="1" si="6"/>
        <v>0</v>
      </c>
      <c r="AG79" s="158">
        <f t="shared" ca="1" si="7"/>
        <v>0</v>
      </c>
      <c r="AH79" s="158">
        <f t="shared" ca="1" si="8"/>
        <v>0</v>
      </c>
      <c r="AI79" s="159">
        <f t="shared" ca="1" si="9"/>
        <v>0</v>
      </c>
      <c r="AK79"/>
      <c r="AL79"/>
      <c r="AM79"/>
      <c r="AN79"/>
      <c r="AO79"/>
      <c r="AP79"/>
      <c r="AQ79"/>
      <c r="AR79"/>
    </row>
    <row r="80" spans="2:44">
      <c r="B80" s="151">
        <f>[1]!_xludf.edate(B79,1)</f>
        <v>38777</v>
      </c>
      <c r="C80" s="152">
        <f t="shared" si="16"/>
        <v>38832</v>
      </c>
      <c r="D80" s="183">
        <v>0</v>
      </c>
      <c r="E80" s="184">
        <f>VLOOKUP($B80,Model!$A$8:$E$289,5)</f>
        <v>0</v>
      </c>
      <c r="F80" s="184">
        <f>VLOOKUP($B80,Model!$A$8:$F$289,6)</f>
        <v>0</v>
      </c>
      <c r="G80" s="206">
        <f ca="1">VLOOKUP($B80,Model!$A$8:$AO$289,41)</f>
        <v>0</v>
      </c>
      <c r="I80" s="153">
        <v>0</v>
      </c>
      <c r="J80" s="154">
        <f t="shared" si="2"/>
        <v>4.0694999999999997</v>
      </c>
      <c r="K80" s="160">
        <f t="shared" si="10"/>
        <v>0</v>
      </c>
      <c r="L80" s="156">
        <f>IF(Control!$Y$26=Control!$X$27,J80,I80)+K80</f>
        <v>4.0694999999999997</v>
      </c>
      <c r="M80" s="153">
        <v>0</v>
      </c>
      <c r="N80" s="154">
        <f>VLOOKUP($B80,Curve_Fetch,VLOOKUP(Control!$AJ$10,Control!$AI$11:$AK$22,3))</f>
        <v>-0.13</v>
      </c>
      <c r="O80" s="160">
        <f t="shared" si="11"/>
        <v>0</v>
      </c>
      <c r="P80" s="156">
        <f>IF(Control!$Y$31=Control!$X$32,N80,M80)+O80</f>
        <v>-0.13</v>
      </c>
      <c r="Q80" s="153">
        <v>0</v>
      </c>
      <c r="R80" s="154">
        <f>VLOOKUP($B80,Curve_Fetch,(VLOOKUP(Control!$AJ$10,Control!$AI$11:$AL$22,4)))</f>
        <v>5.0000000000000001E-3</v>
      </c>
      <c r="S80" s="160">
        <f t="shared" si="12"/>
        <v>0</v>
      </c>
      <c r="T80" s="156">
        <f>IF($C$11="Physical",IF(Control!$Y$37=Control!$X$38,R80,Q80)+S80,0)</f>
        <v>5.0000000000000001E-3</v>
      </c>
      <c r="U80" s="203">
        <f t="shared" si="17"/>
        <v>3.9444999999999997</v>
      </c>
      <c r="V80" s="172"/>
      <c r="W80" s="219">
        <f>VLOOKUP($B80,Model!$A$8:$S$289,19)</f>
        <v>0.24299999999999999</v>
      </c>
      <c r="X80" s="221">
        <f t="shared" si="13"/>
        <v>0</v>
      </c>
      <c r="Y80" s="221">
        <f t="shared" si="3"/>
        <v>0.24299999999999999</v>
      </c>
      <c r="Z80" s="160">
        <f t="shared" si="14"/>
        <v>0</v>
      </c>
      <c r="AA80" s="160">
        <f t="shared" si="15"/>
        <v>3.9444999999999997</v>
      </c>
      <c r="AB80" s="231">
        <f ca="1">_xll.EURO(U80,AA80,VLOOKUP($B80,Curve_Fetch,2),VLOOKUP($B80,Curve_Fetch,2),Y80,VLOOKUP($B80,Model!$A$8:$R$289,18),IF(Euro!$C$10="Call",1,0),0)</f>
        <v>0.66001817075149671</v>
      </c>
      <c r="AD80" s="157">
        <f t="shared" ca="1" si="4"/>
        <v>0</v>
      </c>
      <c r="AE80" s="158">
        <f t="shared" ca="1" si="5"/>
        <v>0</v>
      </c>
      <c r="AF80" s="158">
        <f t="shared" ca="1" si="6"/>
        <v>0</v>
      </c>
      <c r="AG80" s="158">
        <f t="shared" ca="1" si="7"/>
        <v>0</v>
      </c>
      <c r="AH80" s="158">
        <f t="shared" ca="1" si="8"/>
        <v>0</v>
      </c>
      <c r="AI80" s="159">
        <f t="shared" ca="1" si="9"/>
        <v>0</v>
      </c>
      <c r="AK80"/>
      <c r="AL80"/>
      <c r="AM80"/>
      <c r="AN80"/>
      <c r="AO80"/>
      <c r="AP80"/>
      <c r="AQ80"/>
      <c r="AR80"/>
    </row>
    <row r="81" spans="2:44">
      <c r="B81" s="151">
        <f>[1]!_xludf.edate(B80,1)</f>
        <v>38808</v>
      </c>
      <c r="C81" s="152">
        <f t="shared" si="16"/>
        <v>38862</v>
      </c>
      <c r="D81" s="183">
        <v>0</v>
      </c>
      <c r="E81" s="184">
        <f>VLOOKUP($B81,Model!$A$8:$E$289,5)</f>
        <v>0</v>
      </c>
      <c r="F81" s="184">
        <f>VLOOKUP($B81,Model!$A$8:$F$289,6)</f>
        <v>0</v>
      </c>
      <c r="G81" s="206">
        <f ca="1">VLOOKUP($B81,Model!$A$8:$AO$289,41)</f>
        <v>0</v>
      </c>
      <c r="I81" s="153">
        <v>0</v>
      </c>
      <c r="J81" s="154">
        <f t="shared" si="2"/>
        <v>3.9155000000000002</v>
      </c>
      <c r="K81" s="160">
        <f t="shared" si="10"/>
        <v>0</v>
      </c>
      <c r="L81" s="156">
        <f>IF(Control!$Y$26=Control!$X$27,J81,I81)+K81</f>
        <v>3.9155000000000002</v>
      </c>
      <c r="M81" s="153">
        <v>0</v>
      </c>
      <c r="N81" s="154">
        <f>VLOOKUP($B81,Curve_Fetch,VLOOKUP(Control!$AJ$10,Control!$AI$11:$AK$22,3))</f>
        <v>-0.2</v>
      </c>
      <c r="O81" s="160">
        <f t="shared" si="11"/>
        <v>0</v>
      </c>
      <c r="P81" s="156">
        <f>IF(Control!$Y$31=Control!$X$32,N81,M81)+O81</f>
        <v>-0.2</v>
      </c>
      <c r="Q81" s="153">
        <v>0</v>
      </c>
      <c r="R81" s="154">
        <f>VLOOKUP($B81,Curve_Fetch,(VLOOKUP(Control!$AJ$10,Control!$AI$11:$AL$22,4)))</f>
        <v>2.5000000000000001E-3</v>
      </c>
      <c r="S81" s="160">
        <f t="shared" si="12"/>
        <v>0</v>
      </c>
      <c r="T81" s="156">
        <f>IF($C$11="Physical",IF(Control!$Y$37=Control!$X$38,R81,Q81)+S81,0)</f>
        <v>2.5000000000000001E-3</v>
      </c>
      <c r="U81" s="203">
        <f t="shared" si="17"/>
        <v>3.718</v>
      </c>
      <c r="V81" s="172"/>
      <c r="W81" s="219">
        <f>VLOOKUP($B81,Model!$A$8:$S$289,19)</f>
        <v>0.24</v>
      </c>
      <c r="X81" s="221">
        <f t="shared" si="13"/>
        <v>0</v>
      </c>
      <c r="Y81" s="221">
        <f t="shared" si="3"/>
        <v>0.24</v>
      </c>
      <c r="Z81" s="160">
        <f t="shared" si="14"/>
        <v>0</v>
      </c>
      <c r="AA81" s="160">
        <f t="shared" si="15"/>
        <v>3.718</v>
      </c>
      <c r="AB81" s="231">
        <f ca="1">_xll.EURO(U81,AA81,VLOOKUP($B81,Curve_Fetch,2),VLOOKUP($B81,Curve_Fetch,2),Y81,VLOOKUP($B81,Model!$A$8:$R$289,18),IF(Euro!$C$10="Call",1,0),0)</f>
        <v>0.6176242091690578</v>
      </c>
      <c r="AD81" s="157">
        <f t="shared" ca="1" si="4"/>
        <v>0</v>
      </c>
      <c r="AE81" s="158">
        <f t="shared" ca="1" si="5"/>
        <v>0</v>
      </c>
      <c r="AF81" s="158">
        <f t="shared" ca="1" si="6"/>
        <v>0</v>
      </c>
      <c r="AG81" s="158">
        <f t="shared" ca="1" si="7"/>
        <v>0</v>
      </c>
      <c r="AH81" s="158">
        <f t="shared" ca="1" si="8"/>
        <v>0</v>
      </c>
      <c r="AI81" s="159">
        <f t="shared" ca="1" si="9"/>
        <v>0</v>
      </c>
      <c r="AK81"/>
      <c r="AL81"/>
      <c r="AM81"/>
      <c r="AN81"/>
      <c r="AO81"/>
      <c r="AP81"/>
      <c r="AQ81"/>
      <c r="AR81"/>
    </row>
    <row r="82" spans="2:44">
      <c r="B82" s="151">
        <f>[1]!_xludf.edate(B81,1)</f>
        <v>38838</v>
      </c>
      <c r="C82" s="152">
        <f t="shared" si="16"/>
        <v>38893</v>
      </c>
      <c r="D82" s="183">
        <v>0</v>
      </c>
      <c r="E82" s="184">
        <f>VLOOKUP($B82,Model!$A$8:$E$289,5)</f>
        <v>0</v>
      </c>
      <c r="F82" s="184">
        <f>VLOOKUP($B82,Model!$A$8:$F$289,6)</f>
        <v>0</v>
      </c>
      <c r="G82" s="206">
        <f ca="1">VLOOKUP($B82,Model!$A$8:$AO$289,41)</f>
        <v>0</v>
      </c>
      <c r="I82" s="153">
        <v>0</v>
      </c>
      <c r="J82" s="154">
        <f t="shared" si="2"/>
        <v>3.9205000000000001</v>
      </c>
      <c r="K82" s="160">
        <f t="shared" si="10"/>
        <v>0</v>
      </c>
      <c r="L82" s="156">
        <f>IF(Control!$Y$26=Control!$X$27,J82,I82)+K82</f>
        <v>3.9205000000000001</v>
      </c>
      <c r="M82" s="153">
        <v>0</v>
      </c>
      <c r="N82" s="154">
        <f>VLOOKUP($B82,Curve_Fetch,VLOOKUP(Control!$AJ$10,Control!$AI$11:$AK$22,3))</f>
        <v>-0.2</v>
      </c>
      <c r="O82" s="160">
        <f t="shared" si="11"/>
        <v>0</v>
      </c>
      <c r="P82" s="156">
        <f>IF(Control!$Y$31=Control!$X$32,N82,M82)+O82</f>
        <v>-0.2</v>
      </c>
      <c r="Q82" s="153">
        <v>0</v>
      </c>
      <c r="R82" s="154">
        <f>VLOOKUP($B82,Curve_Fetch,(VLOOKUP(Control!$AJ$10,Control!$AI$11:$AL$22,4)))</f>
        <v>2.5000000000000001E-3</v>
      </c>
      <c r="S82" s="160">
        <f t="shared" si="12"/>
        <v>0</v>
      </c>
      <c r="T82" s="156">
        <f>IF($C$11="Physical",IF(Control!$Y$37=Control!$X$38,R82,Q82)+S82,0)</f>
        <v>2.5000000000000001E-3</v>
      </c>
      <c r="U82" s="203">
        <f t="shared" si="17"/>
        <v>3.7229999999999999</v>
      </c>
      <c r="V82" s="172"/>
      <c r="W82" s="219">
        <f>VLOOKUP($B82,Model!$A$8:$S$289,19)</f>
        <v>0.23799999999999999</v>
      </c>
      <c r="X82" s="221">
        <f t="shared" si="13"/>
        <v>0</v>
      </c>
      <c r="Y82" s="221">
        <f t="shared" si="3"/>
        <v>0.23799999999999999</v>
      </c>
      <c r="Z82" s="160">
        <f t="shared" si="14"/>
        <v>0</v>
      </c>
      <c r="AA82" s="160">
        <f t="shared" si="15"/>
        <v>3.7229999999999999</v>
      </c>
      <c r="AB82" s="231">
        <f ca="1">_xll.EURO(U82,AA82,VLOOKUP($B82,Curve_Fetch,2),VLOOKUP($B82,Curve_Fetch,2),Y82,VLOOKUP($B82,Model!$A$8:$R$289,18),IF(Euro!$C$10="Call",1,0),0)</f>
        <v>0.61619841809767495</v>
      </c>
      <c r="AD82" s="157">
        <f t="shared" ca="1" si="4"/>
        <v>0</v>
      </c>
      <c r="AE82" s="158">
        <f t="shared" ca="1" si="5"/>
        <v>0</v>
      </c>
      <c r="AF82" s="158">
        <f t="shared" ca="1" si="6"/>
        <v>0</v>
      </c>
      <c r="AG82" s="158">
        <f t="shared" ca="1" si="7"/>
        <v>0</v>
      </c>
      <c r="AH82" s="158">
        <f t="shared" ca="1" si="8"/>
        <v>0</v>
      </c>
      <c r="AI82" s="159">
        <f t="shared" ca="1" si="9"/>
        <v>0</v>
      </c>
      <c r="AK82"/>
      <c r="AL82"/>
      <c r="AM82"/>
      <c r="AN82"/>
      <c r="AO82"/>
      <c r="AP82"/>
      <c r="AQ82"/>
      <c r="AR82"/>
    </row>
    <row r="83" spans="2:44">
      <c r="B83" s="151">
        <f>[1]!_xludf.edate(B82,1)</f>
        <v>38869</v>
      </c>
      <c r="C83" s="152">
        <f t="shared" si="16"/>
        <v>38923</v>
      </c>
      <c r="D83" s="183">
        <v>0</v>
      </c>
      <c r="E83" s="184">
        <f>VLOOKUP($B83,Model!$A$8:$E$289,5)</f>
        <v>0</v>
      </c>
      <c r="F83" s="184">
        <f>VLOOKUP($B83,Model!$A$8:$F$289,6)</f>
        <v>0</v>
      </c>
      <c r="G83" s="206">
        <f ca="1">VLOOKUP($B83,Model!$A$8:$AO$289,41)</f>
        <v>0</v>
      </c>
      <c r="I83" s="153">
        <v>0</v>
      </c>
      <c r="J83" s="154">
        <f t="shared" si="2"/>
        <v>3.9584999999999999</v>
      </c>
      <c r="K83" s="160">
        <f t="shared" si="10"/>
        <v>0</v>
      </c>
      <c r="L83" s="156">
        <f>IF(Control!$Y$26=Control!$X$27,J83,I83)+K83</f>
        <v>3.9584999999999999</v>
      </c>
      <c r="M83" s="153">
        <v>0</v>
      </c>
      <c r="N83" s="154">
        <f>VLOOKUP($B83,Curve_Fetch,VLOOKUP(Control!$AJ$10,Control!$AI$11:$AK$22,3))</f>
        <v>-0.2</v>
      </c>
      <c r="O83" s="160">
        <f t="shared" si="11"/>
        <v>0</v>
      </c>
      <c r="P83" s="156">
        <f>IF(Control!$Y$31=Control!$X$32,N83,M83)+O83</f>
        <v>-0.2</v>
      </c>
      <c r="Q83" s="153">
        <v>0</v>
      </c>
      <c r="R83" s="154">
        <f>VLOOKUP($B83,Curve_Fetch,(VLOOKUP(Control!$AJ$10,Control!$AI$11:$AL$22,4)))</f>
        <v>2.5000000000000001E-3</v>
      </c>
      <c r="S83" s="160">
        <f t="shared" si="12"/>
        <v>0</v>
      </c>
      <c r="T83" s="156">
        <f>IF($C$11="Physical",IF(Control!$Y$37=Control!$X$38,R83,Q83)+S83,0)</f>
        <v>2.5000000000000001E-3</v>
      </c>
      <c r="U83" s="203">
        <f t="shared" si="17"/>
        <v>3.7609999999999997</v>
      </c>
      <c r="V83" s="172"/>
      <c r="W83" s="219">
        <f>VLOOKUP($B83,Model!$A$8:$S$289,19)</f>
        <v>0.23799999999999999</v>
      </c>
      <c r="X83" s="221">
        <f t="shared" si="13"/>
        <v>0</v>
      </c>
      <c r="Y83" s="221">
        <f t="shared" si="3"/>
        <v>0.23799999999999999</v>
      </c>
      <c r="Z83" s="160">
        <f t="shared" si="14"/>
        <v>0</v>
      </c>
      <c r="AA83" s="160">
        <f t="shared" si="15"/>
        <v>3.7609999999999997</v>
      </c>
      <c r="AB83" s="231">
        <f ca="1">_xll.EURO(U83,AA83,VLOOKUP($B83,Curve_Fetch,2),VLOOKUP($B83,Curve_Fetch,2),Y83,VLOOKUP($B83,Model!$A$8:$R$289,18),IF(Euro!$C$10="Call",1,0),0)</f>
        <v>0.62527736014766311</v>
      </c>
      <c r="AD83" s="157">
        <f t="shared" ca="1" si="4"/>
        <v>0</v>
      </c>
      <c r="AE83" s="158">
        <f t="shared" ca="1" si="5"/>
        <v>0</v>
      </c>
      <c r="AF83" s="158">
        <f t="shared" ca="1" si="6"/>
        <v>0</v>
      </c>
      <c r="AG83" s="158">
        <f t="shared" ca="1" si="7"/>
        <v>0</v>
      </c>
      <c r="AH83" s="158">
        <f t="shared" ca="1" si="8"/>
        <v>0</v>
      </c>
      <c r="AI83" s="159">
        <f t="shared" ca="1" si="9"/>
        <v>0</v>
      </c>
      <c r="AK83"/>
      <c r="AL83"/>
      <c r="AM83"/>
      <c r="AN83"/>
      <c r="AO83"/>
      <c r="AP83"/>
      <c r="AQ83"/>
      <c r="AR83"/>
    </row>
    <row r="84" spans="2:44">
      <c r="B84" s="151">
        <f>[1]!_xludf.edate(B83,1)</f>
        <v>38899</v>
      </c>
      <c r="C84" s="152">
        <f t="shared" si="16"/>
        <v>38954</v>
      </c>
      <c r="D84" s="183">
        <v>0</v>
      </c>
      <c r="E84" s="184">
        <f>VLOOKUP($B84,Model!$A$8:$E$289,5)</f>
        <v>0</v>
      </c>
      <c r="F84" s="184">
        <f>VLOOKUP($B84,Model!$A$8:$F$289,6)</f>
        <v>0</v>
      </c>
      <c r="G84" s="206">
        <f ca="1">VLOOKUP($B84,Model!$A$8:$AO$289,41)</f>
        <v>0</v>
      </c>
      <c r="I84" s="153">
        <v>0</v>
      </c>
      <c r="J84" s="154">
        <f t="shared" si="2"/>
        <v>4.0034999999999998</v>
      </c>
      <c r="K84" s="160">
        <f t="shared" si="10"/>
        <v>0</v>
      </c>
      <c r="L84" s="156">
        <f>IF(Control!$Y$26=Control!$X$27,J84,I84)+K84</f>
        <v>4.0034999999999998</v>
      </c>
      <c r="M84" s="153">
        <v>0</v>
      </c>
      <c r="N84" s="154">
        <f>VLOOKUP($B84,Curve_Fetch,VLOOKUP(Control!$AJ$10,Control!$AI$11:$AK$22,3))</f>
        <v>-0.2</v>
      </c>
      <c r="O84" s="160">
        <f t="shared" si="11"/>
        <v>0</v>
      </c>
      <c r="P84" s="156">
        <f>IF(Control!$Y$31=Control!$X$32,N84,M84)+O84</f>
        <v>-0.2</v>
      </c>
      <c r="Q84" s="153">
        <v>0</v>
      </c>
      <c r="R84" s="154">
        <f>VLOOKUP($B84,Curve_Fetch,(VLOOKUP(Control!$AJ$10,Control!$AI$11:$AL$22,4)))</f>
        <v>2.5000000000000001E-3</v>
      </c>
      <c r="S84" s="160">
        <f t="shared" si="12"/>
        <v>0</v>
      </c>
      <c r="T84" s="156">
        <f>IF($C$11="Physical",IF(Control!$Y$37=Control!$X$38,R84,Q84)+S84,0)</f>
        <v>2.5000000000000001E-3</v>
      </c>
      <c r="U84" s="203">
        <f t="shared" si="17"/>
        <v>3.8059999999999996</v>
      </c>
      <c r="V84" s="172"/>
      <c r="W84" s="219">
        <f>VLOOKUP($B84,Model!$A$8:$S$289,19)</f>
        <v>0.23799999999999999</v>
      </c>
      <c r="X84" s="221">
        <f t="shared" si="13"/>
        <v>0</v>
      </c>
      <c r="Y84" s="221">
        <f t="shared" si="3"/>
        <v>0.23799999999999999</v>
      </c>
      <c r="Z84" s="160">
        <f t="shared" si="14"/>
        <v>0</v>
      </c>
      <c r="AA84" s="160">
        <f t="shared" si="15"/>
        <v>3.8059999999999996</v>
      </c>
      <c r="AB84" s="231">
        <f ca="1">_xll.EURO(U84,AA84,VLOOKUP($B84,Curve_Fetch,2),VLOOKUP($B84,Curve_Fetch,2),Y84,VLOOKUP($B84,Model!$A$8:$R$289,18),IF(Euro!$C$10="Call",1,0),0)</f>
        <v>0.63537181775974916</v>
      </c>
      <c r="AD84" s="157">
        <f t="shared" ca="1" si="4"/>
        <v>0</v>
      </c>
      <c r="AE84" s="158">
        <f t="shared" ca="1" si="5"/>
        <v>0</v>
      </c>
      <c r="AF84" s="158">
        <f t="shared" ca="1" si="6"/>
        <v>0</v>
      </c>
      <c r="AG84" s="158">
        <f t="shared" ca="1" si="7"/>
        <v>0</v>
      </c>
      <c r="AH84" s="158">
        <f t="shared" ca="1" si="8"/>
        <v>0</v>
      </c>
      <c r="AI84" s="159">
        <f t="shared" ca="1" si="9"/>
        <v>0</v>
      </c>
      <c r="AK84"/>
      <c r="AL84"/>
      <c r="AM84"/>
      <c r="AN84"/>
      <c r="AO84"/>
      <c r="AP84"/>
      <c r="AQ84"/>
      <c r="AR84"/>
    </row>
    <row r="85" spans="2:44">
      <c r="B85" s="151">
        <f>[1]!_xludf.edate(B84,1)</f>
        <v>38930</v>
      </c>
      <c r="C85" s="152">
        <f t="shared" si="16"/>
        <v>38985</v>
      </c>
      <c r="D85" s="183">
        <v>0</v>
      </c>
      <c r="E85" s="184">
        <f>VLOOKUP($B85,Model!$A$8:$E$289,5)</f>
        <v>0</v>
      </c>
      <c r="F85" s="184">
        <f>VLOOKUP($B85,Model!$A$8:$F$289,6)</f>
        <v>0</v>
      </c>
      <c r="G85" s="206">
        <f ca="1">VLOOKUP($B85,Model!$A$8:$AO$289,41)</f>
        <v>0</v>
      </c>
      <c r="I85" s="153">
        <v>0</v>
      </c>
      <c r="J85" s="154">
        <f t="shared" si="2"/>
        <v>4.0415000000000001</v>
      </c>
      <c r="K85" s="160">
        <f t="shared" si="10"/>
        <v>0</v>
      </c>
      <c r="L85" s="156">
        <f>IF(Control!$Y$26=Control!$X$27,J85,I85)+K85</f>
        <v>4.0415000000000001</v>
      </c>
      <c r="M85" s="153">
        <v>0</v>
      </c>
      <c r="N85" s="154">
        <f>VLOOKUP($B85,Curve_Fetch,VLOOKUP(Control!$AJ$10,Control!$AI$11:$AK$22,3))</f>
        <v>-0.2</v>
      </c>
      <c r="O85" s="160">
        <f t="shared" si="11"/>
        <v>0</v>
      </c>
      <c r="P85" s="156">
        <f>IF(Control!$Y$31=Control!$X$32,N85,M85)+O85</f>
        <v>-0.2</v>
      </c>
      <c r="Q85" s="153">
        <v>0</v>
      </c>
      <c r="R85" s="154">
        <f>VLOOKUP($B85,Curve_Fetch,(VLOOKUP(Control!$AJ$10,Control!$AI$11:$AL$22,4)))</f>
        <v>2.5000000000000001E-3</v>
      </c>
      <c r="S85" s="160">
        <f t="shared" si="12"/>
        <v>0</v>
      </c>
      <c r="T85" s="156">
        <f>IF($C$11="Physical",IF(Control!$Y$37=Control!$X$38,R85,Q85)+S85,0)</f>
        <v>2.5000000000000001E-3</v>
      </c>
      <c r="U85" s="203">
        <f t="shared" si="17"/>
        <v>3.8439999999999999</v>
      </c>
      <c r="V85" s="172"/>
      <c r="W85" s="219">
        <f>VLOOKUP($B85,Model!$A$8:$S$289,19)</f>
        <v>0.23799999999999999</v>
      </c>
      <c r="X85" s="221">
        <f t="shared" si="13"/>
        <v>0</v>
      </c>
      <c r="Y85" s="221">
        <f t="shared" si="3"/>
        <v>0.23799999999999999</v>
      </c>
      <c r="Z85" s="160">
        <f t="shared" si="14"/>
        <v>0</v>
      </c>
      <c r="AA85" s="160">
        <f t="shared" si="15"/>
        <v>3.8439999999999999</v>
      </c>
      <c r="AB85" s="231">
        <f ca="1">_xll.EURO(U85,AA85,VLOOKUP($B85,Curve_Fetch,2),VLOOKUP($B85,Curve_Fetch,2),Y85,VLOOKUP($B85,Model!$A$8:$R$289,18),IF(Euro!$C$10="Call",1,0),0)</f>
        <v>0.64432093736642848</v>
      </c>
      <c r="AD85" s="157">
        <f t="shared" ca="1" si="4"/>
        <v>0</v>
      </c>
      <c r="AE85" s="158">
        <f t="shared" ca="1" si="5"/>
        <v>0</v>
      </c>
      <c r="AF85" s="158">
        <f t="shared" ca="1" si="6"/>
        <v>0</v>
      </c>
      <c r="AG85" s="158">
        <f t="shared" ca="1" si="7"/>
        <v>0</v>
      </c>
      <c r="AH85" s="158">
        <f t="shared" ca="1" si="8"/>
        <v>0</v>
      </c>
      <c r="AI85" s="159">
        <f t="shared" ca="1" si="9"/>
        <v>0</v>
      </c>
      <c r="AK85"/>
      <c r="AL85"/>
      <c r="AM85"/>
      <c r="AN85"/>
      <c r="AO85"/>
      <c r="AP85"/>
      <c r="AQ85"/>
      <c r="AR85"/>
    </row>
    <row r="86" spans="2:44">
      <c r="B86" s="151">
        <f>[1]!_xludf.edate(B85,1)</f>
        <v>38961</v>
      </c>
      <c r="C86" s="152">
        <f t="shared" si="16"/>
        <v>39015</v>
      </c>
      <c r="D86" s="183">
        <v>0</v>
      </c>
      <c r="E86" s="184">
        <f>VLOOKUP($B86,Model!$A$8:$E$289,5)</f>
        <v>0</v>
      </c>
      <c r="F86" s="184">
        <f>VLOOKUP($B86,Model!$A$8:$F$289,6)</f>
        <v>0</v>
      </c>
      <c r="G86" s="206">
        <f ca="1">VLOOKUP($B86,Model!$A$8:$AO$289,41)</f>
        <v>0</v>
      </c>
      <c r="I86" s="153">
        <v>0</v>
      </c>
      <c r="J86" s="154">
        <f t="shared" si="2"/>
        <v>4.0354999999999999</v>
      </c>
      <c r="K86" s="160">
        <f t="shared" si="10"/>
        <v>0</v>
      </c>
      <c r="L86" s="156">
        <f>IF(Control!$Y$26=Control!$X$27,J86,I86)+K86</f>
        <v>4.0354999999999999</v>
      </c>
      <c r="M86" s="153">
        <v>0</v>
      </c>
      <c r="N86" s="154">
        <f>VLOOKUP($B86,Curve_Fetch,VLOOKUP(Control!$AJ$10,Control!$AI$11:$AK$22,3))</f>
        <v>-0.2</v>
      </c>
      <c r="O86" s="160">
        <f t="shared" si="11"/>
        <v>0</v>
      </c>
      <c r="P86" s="156">
        <f>IF(Control!$Y$31=Control!$X$32,N86,M86)+O86</f>
        <v>-0.2</v>
      </c>
      <c r="Q86" s="153">
        <v>0</v>
      </c>
      <c r="R86" s="154">
        <f>VLOOKUP($B86,Curve_Fetch,(VLOOKUP(Control!$AJ$10,Control!$AI$11:$AL$22,4)))</f>
        <v>2.5000000000000001E-3</v>
      </c>
      <c r="S86" s="160">
        <f t="shared" si="12"/>
        <v>0</v>
      </c>
      <c r="T86" s="156">
        <f>IF($C$11="Physical",IF(Control!$Y$37=Control!$X$38,R86,Q86)+S86,0)</f>
        <v>2.5000000000000001E-3</v>
      </c>
      <c r="U86" s="203">
        <f t="shared" si="17"/>
        <v>3.8379999999999996</v>
      </c>
      <c r="V86" s="172"/>
      <c r="W86" s="219">
        <f>VLOOKUP($B86,Model!$A$8:$S$289,19)</f>
        <v>0.23799999999999999</v>
      </c>
      <c r="X86" s="221">
        <f t="shared" si="13"/>
        <v>0</v>
      </c>
      <c r="Y86" s="221">
        <f t="shared" si="3"/>
        <v>0.23799999999999999</v>
      </c>
      <c r="Z86" s="160">
        <f t="shared" si="14"/>
        <v>0</v>
      </c>
      <c r="AA86" s="160">
        <f t="shared" si="15"/>
        <v>3.8379999999999996</v>
      </c>
      <c r="AB86" s="231">
        <f ca="1">_xll.EURO(U86,AA86,VLOOKUP($B86,Curve_Fetch,2),VLOOKUP($B86,Curve_Fetch,2),Y86,VLOOKUP($B86,Model!$A$8:$R$289,18),IF(Euro!$C$10="Call",1,0),0)</f>
        <v>0.64579524183048553</v>
      </c>
      <c r="AD86" s="157">
        <f t="shared" ca="1" si="4"/>
        <v>0</v>
      </c>
      <c r="AE86" s="158">
        <f t="shared" ca="1" si="5"/>
        <v>0</v>
      </c>
      <c r="AF86" s="158">
        <f t="shared" ca="1" si="6"/>
        <v>0</v>
      </c>
      <c r="AG86" s="158">
        <f t="shared" ca="1" si="7"/>
        <v>0</v>
      </c>
      <c r="AH86" s="158">
        <f t="shared" ca="1" si="8"/>
        <v>0</v>
      </c>
      <c r="AI86" s="159">
        <f t="shared" ca="1" si="9"/>
        <v>0</v>
      </c>
      <c r="AK86"/>
      <c r="AL86"/>
      <c r="AM86"/>
      <c r="AN86"/>
      <c r="AO86"/>
      <c r="AP86"/>
      <c r="AQ86"/>
      <c r="AR86"/>
    </row>
    <row r="87" spans="2:44">
      <c r="B87" s="151">
        <f>[1]!_xludf.edate(B86,1)</f>
        <v>38991</v>
      </c>
      <c r="C87" s="152">
        <f t="shared" si="16"/>
        <v>39046</v>
      </c>
      <c r="D87" s="183">
        <v>0</v>
      </c>
      <c r="E87" s="184">
        <f>VLOOKUP($B87,Model!$A$8:$E$289,5)</f>
        <v>0</v>
      </c>
      <c r="F87" s="184">
        <f>VLOOKUP($B87,Model!$A$8:$F$289,6)</f>
        <v>0</v>
      </c>
      <c r="G87" s="206">
        <f ca="1">VLOOKUP($B87,Model!$A$8:$AO$289,41)</f>
        <v>0</v>
      </c>
      <c r="I87" s="153">
        <v>0</v>
      </c>
      <c r="J87" s="154">
        <f t="shared" si="2"/>
        <v>4.0354999999999999</v>
      </c>
      <c r="K87" s="160">
        <f t="shared" si="10"/>
        <v>0</v>
      </c>
      <c r="L87" s="156">
        <f>IF(Control!$Y$26=Control!$X$27,J87,I87)+K87</f>
        <v>4.0354999999999999</v>
      </c>
      <c r="M87" s="153">
        <v>0</v>
      </c>
      <c r="N87" s="154">
        <f>VLOOKUP($B87,Curve_Fetch,VLOOKUP(Control!$AJ$10,Control!$AI$11:$AK$22,3))</f>
        <v>-0.2</v>
      </c>
      <c r="O87" s="160">
        <f t="shared" si="11"/>
        <v>0</v>
      </c>
      <c r="P87" s="156">
        <f>IF(Control!$Y$31=Control!$X$32,N87,M87)+O87</f>
        <v>-0.2</v>
      </c>
      <c r="Q87" s="153">
        <v>0</v>
      </c>
      <c r="R87" s="154">
        <f>VLOOKUP($B87,Curve_Fetch,(VLOOKUP(Control!$AJ$10,Control!$AI$11:$AL$22,4)))</f>
        <v>2.5000000000000001E-3</v>
      </c>
      <c r="S87" s="160">
        <f t="shared" si="12"/>
        <v>0</v>
      </c>
      <c r="T87" s="156">
        <f>IF($C$11="Physical",IF(Control!$Y$37=Control!$X$38,R87,Q87)+S87,0)</f>
        <v>2.5000000000000001E-3</v>
      </c>
      <c r="U87" s="203">
        <f t="shared" si="17"/>
        <v>3.8379999999999996</v>
      </c>
      <c r="V87" s="172"/>
      <c r="W87" s="219">
        <f>VLOOKUP($B87,Model!$A$8:$S$289,19)</f>
        <v>0.23799999999999999</v>
      </c>
      <c r="X87" s="221">
        <f t="shared" si="13"/>
        <v>0</v>
      </c>
      <c r="Y87" s="221">
        <f t="shared" si="3"/>
        <v>0.23799999999999999</v>
      </c>
      <c r="Z87" s="160">
        <f t="shared" si="14"/>
        <v>0</v>
      </c>
      <c r="AA87" s="160">
        <f t="shared" si="15"/>
        <v>3.8379999999999996</v>
      </c>
      <c r="AB87" s="231">
        <f ca="1">_xll.EURO(U87,AA87,VLOOKUP($B87,Curve_Fetch,2),VLOOKUP($B87,Curve_Fetch,2),Y87,VLOOKUP($B87,Model!$A$8:$R$289,18),IF(Euro!$C$10="Call",1,0),0)</f>
        <v>0.64808172332296454</v>
      </c>
      <c r="AD87" s="157">
        <f t="shared" ca="1" si="4"/>
        <v>0</v>
      </c>
      <c r="AE87" s="158">
        <f t="shared" ca="1" si="5"/>
        <v>0</v>
      </c>
      <c r="AF87" s="158">
        <f t="shared" ca="1" si="6"/>
        <v>0</v>
      </c>
      <c r="AG87" s="158">
        <f t="shared" ca="1" si="7"/>
        <v>0</v>
      </c>
      <c r="AH87" s="158">
        <f t="shared" ca="1" si="8"/>
        <v>0</v>
      </c>
      <c r="AI87" s="159">
        <f t="shared" ca="1" si="9"/>
        <v>0</v>
      </c>
      <c r="AK87"/>
      <c r="AL87"/>
      <c r="AM87"/>
      <c r="AN87"/>
      <c r="AO87"/>
      <c r="AP87"/>
      <c r="AQ87"/>
      <c r="AR87"/>
    </row>
    <row r="88" spans="2:44">
      <c r="B88" s="151">
        <f>[1]!_xludf.edate(B87,1)</f>
        <v>39022</v>
      </c>
      <c r="C88" s="152">
        <f t="shared" si="16"/>
        <v>39076</v>
      </c>
      <c r="D88" s="183">
        <v>0</v>
      </c>
      <c r="E88" s="184">
        <f>VLOOKUP($B88,Model!$A$8:$E$289,5)</f>
        <v>0</v>
      </c>
      <c r="F88" s="184">
        <f>VLOOKUP($B88,Model!$A$8:$F$289,6)</f>
        <v>0</v>
      </c>
      <c r="G88" s="206">
        <f ca="1">VLOOKUP($B88,Model!$A$8:$AO$289,41)</f>
        <v>0</v>
      </c>
      <c r="I88" s="153">
        <v>0</v>
      </c>
      <c r="J88" s="154">
        <f t="shared" si="2"/>
        <v>4.2054999999999998</v>
      </c>
      <c r="K88" s="160">
        <f t="shared" si="10"/>
        <v>0</v>
      </c>
      <c r="L88" s="156">
        <f>IF(Control!$Y$26=Control!$X$27,J88,I88)+K88</f>
        <v>4.2054999999999998</v>
      </c>
      <c r="M88" s="153">
        <v>0</v>
      </c>
      <c r="N88" s="154">
        <f>VLOOKUP($B88,Curve_Fetch,VLOOKUP(Control!$AJ$10,Control!$AI$11:$AK$22,3))</f>
        <v>-0.13</v>
      </c>
      <c r="O88" s="160">
        <f t="shared" si="11"/>
        <v>0</v>
      </c>
      <c r="P88" s="156">
        <f>IF(Control!$Y$31=Control!$X$32,N88,M88)+O88</f>
        <v>-0.13</v>
      </c>
      <c r="Q88" s="153">
        <v>0</v>
      </c>
      <c r="R88" s="154">
        <f>VLOOKUP($B88,Curve_Fetch,(VLOOKUP(Control!$AJ$10,Control!$AI$11:$AL$22,4)))</f>
        <v>5.0000000000000001E-3</v>
      </c>
      <c r="S88" s="160">
        <f t="shared" si="12"/>
        <v>0</v>
      </c>
      <c r="T88" s="156">
        <f>IF($C$11="Physical",IF(Control!$Y$37=Control!$X$38,R88,Q88)+S88,0)</f>
        <v>5.0000000000000001E-3</v>
      </c>
      <c r="U88" s="203">
        <f t="shared" si="17"/>
        <v>4.0804999999999998</v>
      </c>
      <c r="V88" s="172"/>
      <c r="W88" s="219">
        <f>VLOOKUP($B88,Model!$A$8:$S$289,19)</f>
        <v>0.23799999999999999</v>
      </c>
      <c r="X88" s="221">
        <f t="shared" si="13"/>
        <v>0</v>
      </c>
      <c r="Y88" s="221">
        <f t="shared" si="3"/>
        <v>0.23799999999999999</v>
      </c>
      <c r="Z88" s="160">
        <f t="shared" si="14"/>
        <v>0</v>
      </c>
      <c r="AA88" s="160">
        <f t="shared" si="15"/>
        <v>4.0804999999999998</v>
      </c>
      <c r="AB88" s="231">
        <f ca="1">_xll.EURO(U88,AA88,VLOOKUP($B88,Curve_Fetch,2),VLOOKUP($B88,Curve_Fetch,2),Y88,VLOOKUP($B88,Model!$A$8:$R$289,18),IF(Euro!$C$10="Call",1,0),0)</f>
        <v>0.69141948323727531</v>
      </c>
      <c r="AD88" s="157">
        <f t="shared" ca="1" si="4"/>
        <v>0</v>
      </c>
      <c r="AE88" s="158">
        <f t="shared" ca="1" si="5"/>
        <v>0</v>
      </c>
      <c r="AF88" s="158">
        <f t="shared" ca="1" si="6"/>
        <v>0</v>
      </c>
      <c r="AG88" s="158">
        <f t="shared" ca="1" si="7"/>
        <v>0</v>
      </c>
      <c r="AH88" s="158">
        <f t="shared" ca="1" si="8"/>
        <v>0</v>
      </c>
      <c r="AI88" s="159">
        <f t="shared" ca="1" si="9"/>
        <v>0</v>
      </c>
      <c r="AK88"/>
      <c r="AL88"/>
      <c r="AM88"/>
      <c r="AN88"/>
      <c r="AO88"/>
      <c r="AP88"/>
      <c r="AQ88"/>
      <c r="AR88"/>
    </row>
    <row r="89" spans="2:44">
      <c r="B89" s="151">
        <f>[1]!_xludf.edate(B88,1)</f>
        <v>39052</v>
      </c>
      <c r="C89" s="152">
        <f t="shared" si="16"/>
        <v>39107</v>
      </c>
      <c r="D89" s="183">
        <v>0</v>
      </c>
      <c r="E89" s="184">
        <f>VLOOKUP($B89,Model!$A$8:$E$289,5)</f>
        <v>0</v>
      </c>
      <c r="F89" s="184">
        <f>VLOOKUP($B89,Model!$A$8:$F$289,6)</f>
        <v>0</v>
      </c>
      <c r="G89" s="206">
        <f ca="1">VLOOKUP($B89,Model!$A$8:$AO$289,41)</f>
        <v>0</v>
      </c>
      <c r="I89" s="153">
        <v>0</v>
      </c>
      <c r="J89" s="154">
        <f t="shared" si="2"/>
        <v>4.3365</v>
      </c>
      <c r="K89" s="160">
        <f t="shared" si="10"/>
        <v>0</v>
      </c>
      <c r="L89" s="156">
        <f>IF(Control!$Y$26=Control!$X$27,J89,I89)+K89</f>
        <v>4.3365</v>
      </c>
      <c r="M89" s="153">
        <v>0</v>
      </c>
      <c r="N89" s="154">
        <f>VLOOKUP($B89,Curve_Fetch,VLOOKUP(Control!$AJ$10,Control!$AI$11:$AK$22,3))</f>
        <v>-0.13</v>
      </c>
      <c r="O89" s="160">
        <f t="shared" si="11"/>
        <v>0</v>
      </c>
      <c r="P89" s="156">
        <f>IF(Control!$Y$31=Control!$X$32,N89,M89)+O89</f>
        <v>-0.13</v>
      </c>
      <c r="Q89" s="153">
        <v>0</v>
      </c>
      <c r="R89" s="154">
        <f>VLOOKUP($B89,Curve_Fetch,(VLOOKUP(Control!$AJ$10,Control!$AI$11:$AL$22,4)))</f>
        <v>5.0000000000000001E-3</v>
      </c>
      <c r="S89" s="160">
        <f t="shared" si="12"/>
        <v>0</v>
      </c>
      <c r="T89" s="156">
        <f>IF($C$11="Physical",IF(Control!$Y$37=Control!$X$38,R89,Q89)+S89,0)</f>
        <v>5.0000000000000001E-3</v>
      </c>
      <c r="U89" s="203">
        <f t="shared" si="17"/>
        <v>4.2115</v>
      </c>
      <c r="V89" s="172"/>
      <c r="W89" s="219">
        <f>VLOOKUP($B89,Model!$A$8:$S$289,19)</f>
        <v>0.24</v>
      </c>
      <c r="X89" s="221">
        <f t="shared" si="13"/>
        <v>0</v>
      </c>
      <c r="Y89" s="221">
        <f t="shared" si="3"/>
        <v>0.24</v>
      </c>
      <c r="Z89" s="160">
        <f t="shared" si="14"/>
        <v>0</v>
      </c>
      <c r="AA89" s="160">
        <f t="shared" si="15"/>
        <v>4.2115</v>
      </c>
      <c r="AB89" s="231">
        <f ca="1">_xll.EURO(U89,AA89,VLOOKUP($B89,Curve_Fetch,2),VLOOKUP($B89,Curve_Fetch,2),Y89,VLOOKUP($B89,Model!$A$8:$R$289,18),IF(Euro!$C$10="Call",1,0),0)</f>
        <v>0.72203692132419017</v>
      </c>
      <c r="AD89" s="157">
        <f t="shared" ca="1" si="4"/>
        <v>0</v>
      </c>
      <c r="AE89" s="158">
        <f t="shared" ca="1" si="5"/>
        <v>0</v>
      </c>
      <c r="AF89" s="158">
        <f t="shared" ca="1" si="6"/>
        <v>0</v>
      </c>
      <c r="AG89" s="158">
        <f t="shared" ca="1" si="7"/>
        <v>0</v>
      </c>
      <c r="AH89" s="158">
        <f t="shared" ca="1" si="8"/>
        <v>0</v>
      </c>
      <c r="AI89" s="159">
        <f t="shared" ca="1" si="9"/>
        <v>0</v>
      </c>
      <c r="AK89"/>
      <c r="AL89"/>
      <c r="AM89"/>
      <c r="AN89"/>
      <c r="AO89"/>
      <c r="AP89"/>
      <c r="AQ89"/>
      <c r="AR89"/>
    </row>
    <row r="90" spans="2:44">
      <c r="B90" s="151">
        <f>[1]!_xludf.edate(B89,1)</f>
        <v>39083</v>
      </c>
      <c r="C90" s="152">
        <f t="shared" si="16"/>
        <v>39138</v>
      </c>
      <c r="D90" s="183">
        <v>0</v>
      </c>
      <c r="E90" s="184">
        <f>VLOOKUP($B90,Model!$A$8:$E$289,5)</f>
        <v>0</v>
      </c>
      <c r="F90" s="184">
        <f>VLOOKUP($B90,Model!$A$8:$F$289,6)</f>
        <v>0</v>
      </c>
      <c r="G90" s="206">
        <f ca="1">VLOOKUP($B90,Model!$A$8:$AO$289,41)</f>
        <v>0</v>
      </c>
      <c r="I90" s="153">
        <v>0</v>
      </c>
      <c r="J90" s="154">
        <f t="shared" si="2"/>
        <v>4.3964999999999996</v>
      </c>
      <c r="K90" s="160">
        <f t="shared" si="10"/>
        <v>0</v>
      </c>
      <c r="L90" s="156">
        <f>IF(Control!$Y$26=Control!$X$27,J90,I90)+K90</f>
        <v>4.3964999999999996</v>
      </c>
      <c r="M90" s="153">
        <v>0</v>
      </c>
      <c r="N90" s="154">
        <f>VLOOKUP($B90,Curve_Fetch,VLOOKUP(Control!$AJ$10,Control!$AI$11:$AK$22,3))</f>
        <v>-0.13</v>
      </c>
      <c r="O90" s="160">
        <f t="shared" si="11"/>
        <v>0</v>
      </c>
      <c r="P90" s="156">
        <f>IF(Control!$Y$31=Control!$X$32,N90,M90)+O90</f>
        <v>-0.13</v>
      </c>
      <c r="Q90" s="153">
        <v>0</v>
      </c>
      <c r="R90" s="154">
        <f>VLOOKUP($B90,Curve_Fetch,(VLOOKUP(Control!$AJ$10,Control!$AI$11:$AL$22,4)))</f>
        <v>5.0000000000000001E-3</v>
      </c>
      <c r="S90" s="160">
        <f t="shared" si="12"/>
        <v>0</v>
      </c>
      <c r="T90" s="156">
        <f>IF($C$11="Physical",IF(Control!$Y$37=Control!$X$38,R90,Q90)+S90,0)</f>
        <v>5.0000000000000001E-3</v>
      </c>
      <c r="U90" s="203">
        <f t="shared" si="17"/>
        <v>4.2714999999999996</v>
      </c>
      <c r="V90" s="172"/>
      <c r="W90" s="219">
        <f>VLOOKUP($B90,Model!$A$8:$S$289,19)</f>
        <v>0.24299999999999999</v>
      </c>
      <c r="X90" s="221">
        <f t="shared" si="13"/>
        <v>0</v>
      </c>
      <c r="Y90" s="221">
        <f t="shared" si="3"/>
        <v>0.24299999999999999</v>
      </c>
      <c r="Z90" s="160">
        <f t="shared" si="14"/>
        <v>0</v>
      </c>
      <c r="AA90" s="160">
        <f t="shared" si="15"/>
        <v>4.2714999999999996</v>
      </c>
      <c r="AB90" s="231">
        <f ca="1">_xll.EURO(U90,AA90,VLOOKUP($B90,Curve_Fetch,2),VLOOKUP($B90,Curve_Fetch,2),Y90,VLOOKUP($B90,Model!$A$8:$R$289,18),IF(Euro!$C$10="Call",1,0),0)</f>
        <v>0.74391654679524111</v>
      </c>
      <c r="AD90" s="157">
        <f t="shared" ca="1" si="4"/>
        <v>0</v>
      </c>
      <c r="AE90" s="158">
        <f t="shared" ca="1" si="5"/>
        <v>0</v>
      </c>
      <c r="AF90" s="158">
        <f t="shared" ca="1" si="6"/>
        <v>0</v>
      </c>
      <c r="AG90" s="158">
        <f t="shared" ca="1" si="7"/>
        <v>0</v>
      </c>
      <c r="AH90" s="158">
        <f t="shared" ca="1" si="8"/>
        <v>0</v>
      </c>
      <c r="AI90" s="159">
        <f t="shared" ca="1" si="9"/>
        <v>0</v>
      </c>
      <c r="AK90"/>
      <c r="AL90"/>
      <c r="AM90"/>
      <c r="AN90"/>
      <c r="AO90"/>
      <c r="AP90"/>
      <c r="AQ90"/>
      <c r="AR90"/>
    </row>
    <row r="91" spans="2:44">
      <c r="B91" s="151">
        <f>[1]!_xludf.edate(B90,1)</f>
        <v>39114</v>
      </c>
      <c r="C91" s="152">
        <f t="shared" si="16"/>
        <v>39166</v>
      </c>
      <c r="D91" s="183">
        <v>0</v>
      </c>
      <c r="E91" s="184">
        <f>VLOOKUP($B91,Model!$A$8:$E$289,5)</f>
        <v>0</v>
      </c>
      <c r="F91" s="184">
        <f>VLOOKUP($B91,Model!$A$8:$F$289,6)</f>
        <v>0</v>
      </c>
      <c r="G91" s="206">
        <f ca="1">VLOOKUP($B91,Model!$A$8:$AO$289,41)</f>
        <v>0</v>
      </c>
      <c r="I91" s="153">
        <v>0</v>
      </c>
      <c r="J91" s="154">
        <f t="shared" si="2"/>
        <v>4.3085000000000004</v>
      </c>
      <c r="K91" s="160">
        <f t="shared" si="10"/>
        <v>0</v>
      </c>
      <c r="L91" s="156">
        <f>IF(Control!$Y$26=Control!$X$27,J91,I91)+K91</f>
        <v>4.3085000000000004</v>
      </c>
      <c r="M91" s="153">
        <v>0</v>
      </c>
      <c r="N91" s="154">
        <f>VLOOKUP($B91,Curve_Fetch,VLOOKUP(Control!$AJ$10,Control!$AI$11:$AK$22,3))</f>
        <v>-0.13</v>
      </c>
      <c r="O91" s="160">
        <f t="shared" si="11"/>
        <v>0</v>
      </c>
      <c r="P91" s="156">
        <f>IF(Control!$Y$31=Control!$X$32,N91,M91)+O91</f>
        <v>-0.13</v>
      </c>
      <c r="Q91" s="153">
        <v>0</v>
      </c>
      <c r="R91" s="154">
        <f>VLOOKUP($B91,Curve_Fetch,(VLOOKUP(Control!$AJ$10,Control!$AI$11:$AL$22,4)))</f>
        <v>5.0000000000000001E-3</v>
      </c>
      <c r="S91" s="160">
        <f t="shared" si="12"/>
        <v>0</v>
      </c>
      <c r="T91" s="156">
        <f>IF($C$11="Physical",IF(Control!$Y$37=Control!$X$38,R91,Q91)+S91,0)</f>
        <v>5.0000000000000001E-3</v>
      </c>
      <c r="U91" s="203">
        <f t="shared" si="17"/>
        <v>4.1835000000000004</v>
      </c>
      <c r="V91" s="172"/>
      <c r="W91" s="219">
        <f>VLOOKUP($B91,Model!$A$8:$S$289,19)</f>
        <v>0.23799999999999999</v>
      </c>
      <c r="X91" s="221">
        <f t="shared" si="13"/>
        <v>0</v>
      </c>
      <c r="Y91" s="221">
        <f t="shared" si="3"/>
        <v>0.23799999999999999</v>
      </c>
      <c r="Z91" s="160">
        <f t="shared" si="14"/>
        <v>0</v>
      </c>
      <c r="AA91" s="160">
        <f t="shared" si="15"/>
        <v>4.1835000000000004</v>
      </c>
      <c r="AB91" s="231">
        <f ca="1">_xll.EURO(U91,AA91,VLOOKUP($B91,Curve_Fetch,2),VLOOKUP($B91,Curve_Fetch,2),Y91,VLOOKUP($B91,Model!$A$8:$R$289,18),IF(Euro!$C$10="Call",1,0),0)</f>
        <v>0.71641980571268449</v>
      </c>
      <c r="AD91" s="157">
        <f t="shared" ca="1" si="4"/>
        <v>0</v>
      </c>
      <c r="AE91" s="158">
        <f t="shared" ca="1" si="5"/>
        <v>0</v>
      </c>
      <c r="AF91" s="158">
        <f t="shared" ca="1" si="6"/>
        <v>0</v>
      </c>
      <c r="AG91" s="158">
        <f t="shared" ca="1" si="7"/>
        <v>0</v>
      </c>
      <c r="AH91" s="158">
        <f t="shared" ca="1" si="8"/>
        <v>0</v>
      </c>
      <c r="AI91" s="159">
        <f t="shared" ca="1" si="9"/>
        <v>0</v>
      </c>
      <c r="AK91"/>
      <c r="AL91"/>
      <c r="AM91"/>
      <c r="AN91"/>
      <c r="AO91"/>
      <c r="AP91"/>
      <c r="AQ91"/>
      <c r="AR91"/>
    </row>
    <row r="92" spans="2:44">
      <c r="B92" s="151">
        <f>[1]!_xludf.edate(B91,1)</f>
        <v>39142</v>
      </c>
      <c r="C92" s="152">
        <f t="shared" si="16"/>
        <v>39197</v>
      </c>
      <c r="D92" s="183">
        <v>0</v>
      </c>
      <c r="E92" s="184">
        <f>VLOOKUP($B92,Model!$A$8:$E$289,5)</f>
        <v>0</v>
      </c>
      <c r="F92" s="184">
        <f>VLOOKUP($B92,Model!$A$8:$F$289,6)</f>
        <v>0</v>
      </c>
      <c r="G92" s="206">
        <f ca="1">VLOOKUP($B92,Model!$A$8:$AO$289,41)</f>
        <v>0</v>
      </c>
      <c r="I92" s="153">
        <v>0</v>
      </c>
      <c r="J92" s="154">
        <f t="shared" si="2"/>
        <v>4.1695000000000002</v>
      </c>
      <c r="K92" s="160">
        <f t="shared" si="10"/>
        <v>0</v>
      </c>
      <c r="L92" s="156">
        <f>IF(Control!$Y$26=Control!$X$27,J92,I92)+K92</f>
        <v>4.1695000000000002</v>
      </c>
      <c r="M92" s="153">
        <v>0</v>
      </c>
      <c r="N92" s="154">
        <f>VLOOKUP($B92,Curve_Fetch,VLOOKUP(Control!$AJ$10,Control!$AI$11:$AK$22,3))</f>
        <v>-0.13</v>
      </c>
      <c r="O92" s="160">
        <f t="shared" si="11"/>
        <v>0</v>
      </c>
      <c r="P92" s="156">
        <f>IF(Control!$Y$31=Control!$X$32,N92,M92)+O92</f>
        <v>-0.13</v>
      </c>
      <c r="Q92" s="153">
        <v>0</v>
      </c>
      <c r="R92" s="154">
        <f>VLOOKUP($B92,Curve_Fetch,(VLOOKUP(Control!$AJ$10,Control!$AI$11:$AL$22,4)))</f>
        <v>5.0000000000000001E-3</v>
      </c>
      <c r="S92" s="160">
        <f t="shared" si="12"/>
        <v>0</v>
      </c>
      <c r="T92" s="156">
        <f>IF($C$11="Physical",IF(Control!$Y$37=Control!$X$38,R92,Q92)+S92,0)</f>
        <v>5.0000000000000001E-3</v>
      </c>
      <c r="U92" s="203">
        <f t="shared" si="17"/>
        <v>4.0445000000000002</v>
      </c>
      <c r="V92" s="172"/>
      <c r="W92" s="219">
        <f>VLOOKUP($B92,Model!$A$8:$S$289,19)</f>
        <v>0.23300000000000001</v>
      </c>
      <c r="X92" s="221">
        <f t="shared" si="13"/>
        <v>0</v>
      </c>
      <c r="Y92" s="221">
        <f t="shared" si="3"/>
        <v>0.23300000000000001</v>
      </c>
      <c r="Z92" s="160">
        <f t="shared" si="14"/>
        <v>0</v>
      </c>
      <c r="AA92" s="160">
        <f t="shared" si="15"/>
        <v>4.0445000000000002</v>
      </c>
      <c r="AB92" s="231">
        <f ca="1">_xll.EURO(U92,AA92,VLOOKUP($B92,Curve_Fetch,2),VLOOKUP($B92,Curve_Fetch,2),Y92,VLOOKUP($B92,Model!$A$8:$R$289,18),IF(Euro!$C$10="Call",1,0),0)</f>
        <v>0.68043017661522476</v>
      </c>
      <c r="AD92" s="157">
        <f t="shared" ca="1" si="4"/>
        <v>0</v>
      </c>
      <c r="AE92" s="158">
        <f t="shared" ca="1" si="5"/>
        <v>0</v>
      </c>
      <c r="AF92" s="158">
        <f t="shared" ca="1" si="6"/>
        <v>0</v>
      </c>
      <c r="AG92" s="158">
        <f t="shared" ca="1" si="7"/>
        <v>0</v>
      </c>
      <c r="AH92" s="158">
        <f t="shared" ca="1" si="8"/>
        <v>0</v>
      </c>
      <c r="AI92" s="159">
        <f t="shared" ca="1" si="9"/>
        <v>0</v>
      </c>
      <c r="AK92"/>
      <c r="AL92"/>
      <c r="AM92"/>
      <c r="AN92"/>
      <c r="AO92"/>
      <c r="AP92"/>
      <c r="AQ92"/>
      <c r="AR92"/>
    </row>
    <row r="93" spans="2:44">
      <c r="B93" s="151">
        <f>[1]!_xludf.edate(B92,1)</f>
        <v>39173</v>
      </c>
      <c r="C93" s="152">
        <f t="shared" ref="C93:C124" si="18">IF($C$11="Physical",B94+24,B94)</f>
        <v>39227</v>
      </c>
      <c r="D93" s="183">
        <v>0</v>
      </c>
      <c r="E93" s="184">
        <f>VLOOKUP($B93,Model!$A$8:$E$289,5)</f>
        <v>0</v>
      </c>
      <c r="F93" s="184">
        <f>VLOOKUP($B93,Model!$A$8:$F$289,6)</f>
        <v>0</v>
      </c>
      <c r="G93" s="206">
        <f ca="1">VLOOKUP($B93,Model!$A$8:$AO$289,41)</f>
        <v>0</v>
      </c>
      <c r="I93" s="153">
        <v>0</v>
      </c>
      <c r="J93" s="154">
        <f t="shared" si="2"/>
        <v>4.0155000000000003</v>
      </c>
      <c r="K93" s="160">
        <f t="shared" si="10"/>
        <v>0</v>
      </c>
      <c r="L93" s="156">
        <f>IF(Control!$Y$26=Control!$X$27,J93,I93)+K93</f>
        <v>4.0155000000000003</v>
      </c>
      <c r="M93" s="153">
        <v>0</v>
      </c>
      <c r="N93" s="154">
        <f>VLOOKUP($B93,Curve_Fetch,VLOOKUP(Control!$AJ$10,Control!$AI$11:$AK$22,3))</f>
        <v>-0.2</v>
      </c>
      <c r="O93" s="160">
        <f t="shared" si="11"/>
        <v>0</v>
      </c>
      <c r="P93" s="156">
        <f>IF(Control!$Y$31=Control!$X$32,N93,M93)+O93</f>
        <v>-0.2</v>
      </c>
      <c r="Q93" s="153">
        <v>0</v>
      </c>
      <c r="R93" s="154">
        <f>VLOOKUP($B93,Curve_Fetch,(VLOOKUP(Control!$AJ$10,Control!$AI$11:$AL$22,4)))</f>
        <v>2.5000000000000001E-3</v>
      </c>
      <c r="S93" s="160">
        <f t="shared" si="12"/>
        <v>0</v>
      </c>
      <c r="T93" s="156">
        <f>IF($C$11="Physical",IF(Control!$Y$37=Control!$X$38,R93,Q93)+S93,0)</f>
        <v>2.5000000000000001E-3</v>
      </c>
      <c r="U93" s="203">
        <f t="shared" ref="U93:U124" si="19">IF($C$11="Financial",L93+P93,L93+P93+T93)</f>
        <v>3.8180000000000001</v>
      </c>
      <c r="V93" s="172"/>
      <c r="W93" s="219">
        <f>VLOOKUP($B93,Model!$A$8:$S$289,19)</f>
        <v>0.23300000000000001</v>
      </c>
      <c r="X93" s="221">
        <f t="shared" si="13"/>
        <v>0</v>
      </c>
      <c r="Y93" s="221">
        <f t="shared" si="3"/>
        <v>0.23300000000000001</v>
      </c>
      <c r="Z93" s="160">
        <f t="shared" si="14"/>
        <v>0</v>
      </c>
      <c r="AA93" s="160">
        <f t="shared" si="15"/>
        <v>3.8180000000000001</v>
      </c>
      <c r="AB93" s="231">
        <f ca="1">_xll.EURO(U93,AA93,VLOOKUP($B93,Curve_Fetch,2),VLOOKUP($B93,Curve_Fetch,2),Y93,VLOOKUP($B93,Model!$A$8:$R$289,18),IF(Euro!$C$10="Call",1,0),0)</f>
        <v>0.6443463213618692</v>
      </c>
      <c r="AD93" s="157">
        <f t="shared" ca="1" si="4"/>
        <v>0</v>
      </c>
      <c r="AE93" s="158">
        <f t="shared" ca="1" si="5"/>
        <v>0</v>
      </c>
      <c r="AF93" s="158">
        <f t="shared" ca="1" si="6"/>
        <v>0</v>
      </c>
      <c r="AG93" s="158">
        <f t="shared" ca="1" si="7"/>
        <v>0</v>
      </c>
      <c r="AH93" s="158">
        <f t="shared" ca="1" si="8"/>
        <v>0</v>
      </c>
      <c r="AI93" s="159">
        <f t="shared" ca="1" si="9"/>
        <v>0</v>
      </c>
      <c r="AK93"/>
      <c r="AL93"/>
      <c r="AM93"/>
      <c r="AN93"/>
      <c r="AO93"/>
      <c r="AP93"/>
      <c r="AQ93"/>
      <c r="AR93"/>
    </row>
    <row r="94" spans="2:44">
      <c r="B94" s="151">
        <f>[1]!_xludf.edate(B93,1)</f>
        <v>39203</v>
      </c>
      <c r="C94" s="152">
        <f t="shared" si="18"/>
        <v>39258</v>
      </c>
      <c r="D94" s="183">
        <v>0</v>
      </c>
      <c r="E94" s="184">
        <f>VLOOKUP($B94,Model!$A$8:$E$289,5)</f>
        <v>0</v>
      </c>
      <c r="F94" s="184">
        <f>VLOOKUP($B94,Model!$A$8:$F$289,6)</f>
        <v>0</v>
      </c>
      <c r="G94" s="206">
        <f ca="1">VLOOKUP($B94,Model!$A$8:$AO$289,41)</f>
        <v>0</v>
      </c>
      <c r="I94" s="153">
        <v>0</v>
      </c>
      <c r="J94" s="154">
        <f t="shared" ref="J94:J157" si="20">VLOOKUP($B94,Curve_Fetch,3)</f>
        <v>4.0205000000000002</v>
      </c>
      <c r="K94" s="160">
        <f t="shared" si="10"/>
        <v>0</v>
      </c>
      <c r="L94" s="156">
        <f>IF(Control!$Y$26=Control!$X$27,J94,I94)+K94</f>
        <v>4.0205000000000002</v>
      </c>
      <c r="M94" s="153">
        <v>0</v>
      </c>
      <c r="N94" s="154">
        <f>VLOOKUP($B94,Curve_Fetch,VLOOKUP(Control!$AJ$10,Control!$AI$11:$AK$22,3))</f>
        <v>-0.2</v>
      </c>
      <c r="O94" s="160">
        <f t="shared" si="11"/>
        <v>0</v>
      </c>
      <c r="P94" s="156">
        <f>IF(Control!$Y$31=Control!$X$32,N94,M94)+O94</f>
        <v>-0.2</v>
      </c>
      <c r="Q94" s="153">
        <v>0</v>
      </c>
      <c r="R94" s="154">
        <f>VLOOKUP($B94,Curve_Fetch,(VLOOKUP(Control!$AJ$10,Control!$AI$11:$AL$22,4)))</f>
        <v>2.5000000000000001E-3</v>
      </c>
      <c r="S94" s="160">
        <f t="shared" si="12"/>
        <v>0</v>
      </c>
      <c r="T94" s="156">
        <f>IF($C$11="Physical",IF(Control!$Y$37=Control!$X$38,R94,Q94)+S94,0)</f>
        <v>2.5000000000000001E-3</v>
      </c>
      <c r="U94" s="203">
        <f t="shared" si="19"/>
        <v>3.823</v>
      </c>
      <c r="V94" s="172"/>
      <c r="W94" s="219">
        <f>VLOOKUP($B94,Model!$A$8:$S$289,19)</f>
        <v>0.23300000000000001</v>
      </c>
      <c r="X94" s="221">
        <f t="shared" si="13"/>
        <v>0</v>
      </c>
      <c r="Y94" s="221">
        <f t="shared" ref="Y94:Y157" si="21">W94+X94</f>
        <v>0.23300000000000001</v>
      </c>
      <c r="Z94" s="160">
        <f t="shared" si="14"/>
        <v>0</v>
      </c>
      <c r="AA94" s="160">
        <f t="shared" si="15"/>
        <v>3.823</v>
      </c>
      <c r="AB94" s="231">
        <f ca="1">_xll.EURO(U94,AA94,VLOOKUP($B94,Curve_Fetch,2),VLOOKUP($B94,Curve_Fetch,2),Y94,VLOOKUP($B94,Model!$A$8:$R$289,18),IF(Euro!$C$10="Call",1,0),0)</f>
        <v>0.64706204840406323</v>
      </c>
      <c r="AD94" s="157">
        <f t="shared" ref="AD94:AD157" ca="1" si="22">$G94*L94</f>
        <v>0</v>
      </c>
      <c r="AE94" s="158">
        <f t="shared" ref="AE94:AE157" ca="1" si="23">$G94*P94</f>
        <v>0</v>
      </c>
      <c r="AF94" s="158">
        <f t="shared" ref="AF94:AF157" ca="1" si="24">$G94*T94</f>
        <v>0</v>
      </c>
      <c r="AG94" s="158">
        <f t="shared" ref="AG94:AG157" ca="1" si="25">$G94*U94</f>
        <v>0</v>
      </c>
      <c r="AH94" s="158">
        <f t="shared" ref="AH94:AH157" ca="1" si="26">$G94*AA94</f>
        <v>0</v>
      </c>
      <c r="AI94" s="159">
        <f t="shared" ref="AI94:AI157" ca="1" si="27">$F94*AB94</f>
        <v>0</v>
      </c>
      <c r="AK94"/>
      <c r="AL94"/>
      <c r="AM94"/>
      <c r="AN94"/>
      <c r="AO94"/>
      <c r="AP94"/>
      <c r="AQ94"/>
      <c r="AR94"/>
    </row>
    <row r="95" spans="2:44">
      <c r="B95" s="151">
        <f>[1]!_xludf.edate(B94,1)</f>
        <v>39234</v>
      </c>
      <c r="C95" s="152">
        <f t="shared" si="18"/>
        <v>39288</v>
      </c>
      <c r="D95" s="183">
        <v>0</v>
      </c>
      <c r="E95" s="184">
        <f>VLOOKUP($B95,Model!$A$8:$E$289,5)</f>
        <v>0</v>
      </c>
      <c r="F95" s="184">
        <f>VLOOKUP($B95,Model!$A$8:$F$289,6)</f>
        <v>0</v>
      </c>
      <c r="G95" s="206">
        <f ca="1">VLOOKUP($B95,Model!$A$8:$AO$289,41)</f>
        <v>0</v>
      </c>
      <c r="I95" s="153">
        <v>0</v>
      </c>
      <c r="J95" s="154">
        <f t="shared" si="20"/>
        <v>4.0585000000000004</v>
      </c>
      <c r="K95" s="160">
        <f t="shared" ref="K95:K158" si="28">K94</f>
        <v>0</v>
      </c>
      <c r="L95" s="156">
        <f>IF(Control!$Y$26=Control!$X$27,J95,I95)+K95</f>
        <v>4.0585000000000004</v>
      </c>
      <c r="M95" s="153">
        <v>0</v>
      </c>
      <c r="N95" s="154">
        <f>VLOOKUP($B95,Curve_Fetch,VLOOKUP(Control!$AJ$10,Control!$AI$11:$AK$22,3))</f>
        <v>-0.2</v>
      </c>
      <c r="O95" s="160">
        <f t="shared" ref="O95:O158" si="29">O94</f>
        <v>0</v>
      </c>
      <c r="P95" s="156">
        <f>IF(Control!$Y$31=Control!$X$32,N95,M95)+O95</f>
        <v>-0.2</v>
      </c>
      <c r="Q95" s="153">
        <v>0</v>
      </c>
      <c r="R95" s="154">
        <f>VLOOKUP($B95,Curve_Fetch,(VLOOKUP(Control!$AJ$10,Control!$AI$11:$AL$22,4)))</f>
        <v>2.5000000000000001E-3</v>
      </c>
      <c r="S95" s="160">
        <f t="shared" ref="S95:S158" si="30">S94</f>
        <v>0</v>
      </c>
      <c r="T95" s="156">
        <f>IF($C$11="Physical",IF(Control!$Y$37=Control!$X$38,R95,Q95)+S95,0)</f>
        <v>2.5000000000000001E-3</v>
      </c>
      <c r="U95" s="203">
        <f t="shared" si="19"/>
        <v>3.8610000000000002</v>
      </c>
      <c r="V95" s="172"/>
      <c r="W95" s="219">
        <f>VLOOKUP($B95,Model!$A$8:$S$289,19)</f>
        <v>0.23300000000000001</v>
      </c>
      <c r="X95" s="221">
        <f t="shared" ref="X95:X158" si="31">X94</f>
        <v>0</v>
      </c>
      <c r="Y95" s="221">
        <f t="shared" si="21"/>
        <v>0.23300000000000001</v>
      </c>
      <c r="Z95" s="160">
        <f t="shared" ref="Z95:Z158" si="32">Z94</f>
        <v>0</v>
      </c>
      <c r="AA95" s="160">
        <f t="shared" ref="AA95:AA158" si="33">U95+Z95</f>
        <v>3.8610000000000002</v>
      </c>
      <c r="AB95" s="231">
        <f ca="1">_xll.EURO(U95,AA95,VLOOKUP($B95,Curve_Fetch,2),VLOOKUP($B95,Curve_Fetch,2),Y95,VLOOKUP($B95,Model!$A$8:$R$289,18),IF(Euro!$C$10="Call",1,0),0)</f>
        <v>0.65535800203803896</v>
      </c>
      <c r="AD95" s="157">
        <f t="shared" ca="1" si="22"/>
        <v>0</v>
      </c>
      <c r="AE95" s="158">
        <f t="shared" ca="1" si="23"/>
        <v>0</v>
      </c>
      <c r="AF95" s="158">
        <f t="shared" ca="1" si="24"/>
        <v>0</v>
      </c>
      <c r="AG95" s="158">
        <f t="shared" ca="1" si="25"/>
        <v>0</v>
      </c>
      <c r="AH95" s="158">
        <f t="shared" ca="1" si="26"/>
        <v>0</v>
      </c>
      <c r="AI95" s="159">
        <f t="shared" ca="1" si="27"/>
        <v>0</v>
      </c>
      <c r="AK95"/>
      <c r="AL95"/>
      <c r="AM95"/>
      <c r="AN95"/>
      <c r="AO95"/>
      <c r="AP95"/>
      <c r="AQ95"/>
      <c r="AR95"/>
    </row>
    <row r="96" spans="2:44">
      <c r="B96" s="151">
        <f>[1]!_xludf.edate(B95,1)</f>
        <v>39264</v>
      </c>
      <c r="C96" s="152">
        <f t="shared" si="18"/>
        <v>39319</v>
      </c>
      <c r="D96" s="183">
        <v>0</v>
      </c>
      <c r="E96" s="184">
        <f>VLOOKUP($B96,Model!$A$8:$E$289,5)</f>
        <v>0</v>
      </c>
      <c r="F96" s="184">
        <f>VLOOKUP($B96,Model!$A$8:$F$289,6)</f>
        <v>0</v>
      </c>
      <c r="G96" s="206">
        <f ca="1">VLOOKUP($B96,Model!$A$8:$AO$289,41)</f>
        <v>0</v>
      </c>
      <c r="I96" s="153">
        <v>0</v>
      </c>
      <c r="J96" s="154">
        <f t="shared" si="20"/>
        <v>4.1035000000000004</v>
      </c>
      <c r="K96" s="160">
        <f t="shared" si="28"/>
        <v>0</v>
      </c>
      <c r="L96" s="156">
        <f>IF(Control!$Y$26=Control!$X$27,J96,I96)+K96</f>
        <v>4.1035000000000004</v>
      </c>
      <c r="M96" s="153">
        <v>0</v>
      </c>
      <c r="N96" s="154">
        <f>VLOOKUP($B96,Curve_Fetch,VLOOKUP(Control!$AJ$10,Control!$AI$11:$AK$22,3))</f>
        <v>-0.2</v>
      </c>
      <c r="O96" s="160">
        <f t="shared" si="29"/>
        <v>0</v>
      </c>
      <c r="P96" s="156">
        <f>IF(Control!$Y$31=Control!$X$32,N96,M96)+O96</f>
        <v>-0.2</v>
      </c>
      <c r="Q96" s="153">
        <v>0</v>
      </c>
      <c r="R96" s="154">
        <f>VLOOKUP($B96,Curve_Fetch,(VLOOKUP(Control!$AJ$10,Control!$AI$11:$AL$22,4)))</f>
        <v>2.5000000000000001E-3</v>
      </c>
      <c r="S96" s="160">
        <f t="shared" si="30"/>
        <v>0</v>
      </c>
      <c r="T96" s="156">
        <f>IF($C$11="Physical",IF(Control!$Y$37=Control!$X$38,R96,Q96)+S96,0)</f>
        <v>2.5000000000000001E-3</v>
      </c>
      <c r="U96" s="203">
        <f t="shared" si="19"/>
        <v>3.9060000000000001</v>
      </c>
      <c r="V96" s="172"/>
      <c r="W96" s="219">
        <f>VLOOKUP($B96,Model!$A$8:$S$289,19)</f>
        <v>0.23300000000000001</v>
      </c>
      <c r="X96" s="221">
        <f t="shared" si="31"/>
        <v>0</v>
      </c>
      <c r="Y96" s="221">
        <f t="shared" si="21"/>
        <v>0.23300000000000001</v>
      </c>
      <c r="Z96" s="160">
        <f t="shared" si="32"/>
        <v>0</v>
      </c>
      <c r="AA96" s="160">
        <f t="shared" si="33"/>
        <v>3.9060000000000001</v>
      </c>
      <c r="AB96" s="231">
        <f ca="1">_xll.EURO(U96,AA96,VLOOKUP($B96,Curve_Fetch,2),VLOOKUP($B96,Curve_Fetch,2),Y96,VLOOKUP($B96,Model!$A$8:$R$289,18),IF(Euro!$C$10="Call",1,0),0)</f>
        <v>0.66473544144891772</v>
      </c>
      <c r="AD96" s="157">
        <f t="shared" ca="1" si="22"/>
        <v>0</v>
      </c>
      <c r="AE96" s="158">
        <f t="shared" ca="1" si="23"/>
        <v>0</v>
      </c>
      <c r="AF96" s="158">
        <f t="shared" ca="1" si="24"/>
        <v>0</v>
      </c>
      <c r="AG96" s="158">
        <f t="shared" ca="1" si="25"/>
        <v>0</v>
      </c>
      <c r="AH96" s="158">
        <f t="shared" ca="1" si="26"/>
        <v>0</v>
      </c>
      <c r="AI96" s="159">
        <f t="shared" ca="1" si="27"/>
        <v>0</v>
      </c>
      <c r="AK96"/>
      <c r="AL96"/>
      <c r="AM96"/>
      <c r="AN96"/>
      <c r="AO96"/>
      <c r="AP96"/>
      <c r="AQ96"/>
      <c r="AR96"/>
    </row>
    <row r="97" spans="2:44">
      <c r="B97" s="151">
        <f>[1]!_xludf.edate(B96,1)</f>
        <v>39295</v>
      </c>
      <c r="C97" s="152">
        <f t="shared" si="18"/>
        <v>39350</v>
      </c>
      <c r="D97" s="183">
        <v>0</v>
      </c>
      <c r="E97" s="184">
        <f>VLOOKUP($B97,Model!$A$8:$E$289,5)</f>
        <v>0</v>
      </c>
      <c r="F97" s="184">
        <f>VLOOKUP($B97,Model!$A$8:$F$289,6)</f>
        <v>0</v>
      </c>
      <c r="G97" s="206">
        <f ca="1">VLOOKUP($B97,Model!$A$8:$AO$289,41)</f>
        <v>0</v>
      </c>
      <c r="I97" s="153">
        <v>0</v>
      </c>
      <c r="J97" s="154">
        <f t="shared" si="20"/>
        <v>4.1414999999999997</v>
      </c>
      <c r="K97" s="160">
        <f t="shared" si="28"/>
        <v>0</v>
      </c>
      <c r="L97" s="156">
        <f>IF(Control!$Y$26=Control!$X$27,J97,I97)+K97</f>
        <v>4.1414999999999997</v>
      </c>
      <c r="M97" s="153">
        <v>0</v>
      </c>
      <c r="N97" s="154">
        <f>VLOOKUP($B97,Curve_Fetch,VLOOKUP(Control!$AJ$10,Control!$AI$11:$AK$22,3))</f>
        <v>-0.2</v>
      </c>
      <c r="O97" s="160">
        <f t="shared" si="29"/>
        <v>0</v>
      </c>
      <c r="P97" s="156">
        <f>IF(Control!$Y$31=Control!$X$32,N97,M97)+O97</f>
        <v>-0.2</v>
      </c>
      <c r="Q97" s="153">
        <v>0</v>
      </c>
      <c r="R97" s="154">
        <f>VLOOKUP($B97,Curve_Fetch,(VLOOKUP(Control!$AJ$10,Control!$AI$11:$AL$22,4)))</f>
        <v>2.5000000000000001E-3</v>
      </c>
      <c r="S97" s="160">
        <f t="shared" si="30"/>
        <v>0</v>
      </c>
      <c r="T97" s="156">
        <f>IF($C$11="Physical",IF(Control!$Y$37=Control!$X$38,R97,Q97)+S97,0)</f>
        <v>2.5000000000000001E-3</v>
      </c>
      <c r="U97" s="203">
        <f t="shared" si="19"/>
        <v>3.9439999999999995</v>
      </c>
      <c r="V97" s="172"/>
      <c r="W97" s="219">
        <f>VLOOKUP($B97,Model!$A$8:$S$289,19)</f>
        <v>0.23300000000000001</v>
      </c>
      <c r="X97" s="221">
        <f t="shared" si="31"/>
        <v>0</v>
      </c>
      <c r="Y97" s="221">
        <f t="shared" si="21"/>
        <v>0.23300000000000001</v>
      </c>
      <c r="Z97" s="160">
        <f t="shared" si="32"/>
        <v>0</v>
      </c>
      <c r="AA97" s="160">
        <f t="shared" si="33"/>
        <v>3.9439999999999995</v>
      </c>
      <c r="AB97" s="231">
        <f ca="1">_xll.EURO(U97,AA97,VLOOKUP($B97,Curve_Fetch,2),VLOOKUP($B97,Curve_Fetch,2),Y97,VLOOKUP($B97,Model!$A$8:$R$289,18),IF(Euro!$C$10="Call",1,0),0)</f>
        <v>0.67292895985168855</v>
      </c>
      <c r="AD97" s="157">
        <f t="shared" ca="1" si="22"/>
        <v>0</v>
      </c>
      <c r="AE97" s="158">
        <f t="shared" ca="1" si="23"/>
        <v>0</v>
      </c>
      <c r="AF97" s="158">
        <f t="shared" ca="1" si="24"/>
        <v>0</v>
      </c>
      <c r="AG97" s="158">
        <f t="shared" ca="1" si="25"/>
        <v>0</v>
      </c>
      <c r="AH97" s="158">
        <f t="shared" ca="1" si="26"/>
        <v>0</v>
      </c>
      <c r="AI97" s="159">
        <f t="shared" ca="1" si="27"/>
        <v>0</v>
      </c>
      <c r="AK97"/>
      <c r="AL97"/>
      <c r="AM97"/>
      <c r="AN97"/>
      <c r="AO97"/>
      <c r="AP97"/>
      <c r="AQ97"/>
      <c r="AR97"/>
    </row>
    <row r="98" spans="2:44">
      <c r="B98" s="151">
        <f>[1]!_xludf.edate(B97,1)</f>
        <v>39326</v>
      </c>
      <c r="C98" s="152">
        <f t="shared" si="18"/>
        <v>39380</v>
      </c>
      <c r="D98" s="183">
        <v>0</v>
      </c>
      <c r="E98" s="184">
        <f>VLOOKUP($B98,Model!$A$8:$E$289,5)</f>
        <v>0</v>
      </c>
      <c r="F98" s="184">
        <f>VLOOKUP($B98,Model!$A$8:$F$289,6)</f>
        <v>0</v>
      </c>
      <c r="G98" s="206">
        <f ca="1">VLOOKUP($B98,Model!$A$8:$AO$289,41)</f>
        <v>0</v>
      </c>
      <c r="I98" s="153">
        <v>0</v>
      </c>
      <c r="J98" s="154">
        <f t="shared" si="20"/>
        <v>4.1355000000000004</v>
      </c>
      <c r="K98" s="160">
        <f t="shared" si="28"/>
        <v>0</v>
      </c>
      <c r="L98" s="156">
        <f>IF(Control!$Y$26=Control!$X$27,J98,I98)+K98</f>
        <v>4.1355000000000004</v>
      </c>
      <c r="M98" s="153">
        <v>0</v>
      </c>
      <c r="N98" s="154">
        <f>VLOOKUP($B98,Curve_Fetch,VLOOKUP(Control!$AJ$10,Control!$AI$11:$AK$22,3))</f>
        <v>-0.2</v>
      </c>
      <c r="O98" s="160">
        <f t="shared" si="29"/>
        <v>0</v>
      </c>
      <c r="P98" s="156">
        <f>IF(Control!$Y$31=Control!$X$32,N98,M98)+O98</f>
        <v>-0.2</v>
      </c>
      <c r="Q98" s="153">
        <v>0</v>
      </c>
      <c r="R98" s="154">
        <f>VLOOKUP($B98,Curve_Fetch,(VLOOKUP(Control!$AJ$10,Control!$AI$11:$AL$22,4)))</f>
        <v>2.5000000000000001E-3</v>
      </c>
      <c r="S98" s="160">
        <f t="shared" si="30"/>
        <v>0</v>
      </c>
      <c r="T98" s="156">
        <f>IF($C$11="Physical",IF(Control!$Y$37=Control!$X$38,R98,Q98)+S98,0)</f>
        <v>2.5000000000000001E-3</v>
      </c>
      <c r="U98" s="203">
        <f t="shared" si="19"/>
        <v>3.9380000000000002</v>
      </c>
      <c r="V98" s="172"/>
      <c r="W98" s="219">
        <f>VLOOKUP($B98,Model!$A$8:$S$289,19)</f>
        <v>0.23300000000000001</v>
      </c>
      <c r="X98" s="221">
        <f t="shared" si="31"/>
        <v>0</v>
      </c>
      <c r="Y98" s="221">
        <f t="shared" si="21"/>
        <v>0.23300000000000001</v>
      </c>
      <c r="Z98" s="160">
        <f t="shared" si="32"/>
        <v>0</v>
      </c>
      <c r="AA98" s="160">
        <f t="shared" si="33"/>
        <v>3.9380000000000002</v>
      </c>
      <c r="AB98" s="231">
        <f ca="1">_xll.EURO(U98,AA98,VLOOKUP($B98,Curve_Fetch,2),VLOOKUP($B98,Curve_Fetch,2),Y98,VLOOKUP($B98,Model!$A$8:$R$289,18),IF(Euro!$C$10="Call",1,0),0)</f>
        <v>0.67354121321298055</v>
      </c>
      <c r="AD98" s="157">
        <f t="shared" ca="1" si="22"/>
        <v>0</v>
      </c>
      <c r="AE98" s="158">
        <f t="shared" ca="1" si="23"/>
        <v>0</v>
      </c>
      <c r="AF98" s="158">
        <f t="shared" ca="1" si="24"/>
        <v>0</v>
      </c>
      <c r="AG98" s="158">
        <f t="shared" ca="1" si="25"/>
        <v>0</v>
      </c>
      <c r="AH98" s="158">
        <f t="shared" ca="1" si="26"/>
        <v>0</v>
      </c>
      <c r="AI98" s="159">
        <f t="shared" ca="1" si="27"/>
        <v>0</v>
      </c>
      <c r="AK98"/>
      <c r="AL98"/>
      <c r="AM98"/>
      <c r="AN98"/>
      <c r="AO98"/>
      <c r="AP98"/>
      <c r="AQ98"/>
      <c r="AR98"/>
    </row>
    <row r="99" spans="2:44">
      <c r="B99" s="151">
        <f>[1]!_xludf.edate(B98,1)</f>
        <v>39356</v>
      </c>
      <c r="C99" s="152">
        <f t="shared" si="18"/>
        <v>39411</v>
      </c>
      <c r="D99" s="183">
        <v>0</v>
      </c>
      <c r="E99" s="184">
        <f>VLOOKUP($B99,Model!$A$8:$E$289,5)</f>
        <v>0</v>
      </c>
      <c r="F99" s="184">
        <f>VLOOKUP($B99,Model!$A$8:$F$289,6)</f>
        <v>0</v>
      </c>
      <c r="G99" s="206">
        <f ca="1">VLOOKUP($B99,Model!$A$8:$AO$289,41)</f>
        <v>0</v>
      </c>
      <c r="I99" s="153">
        <v>0</v>
      </c>
      <c r="J99" s="154">
        <f t="shared" si="20"/>
        <v>4.1355000000000004</v>
      </c>
      <c r="K99" s="160">
        <f t="shared" si="28"/>
        <v>0</v>
      </c>
      <c r="L99" s="156">
        <f>IF(Control!$Y$26=Control!$X$27,J99,I99)+K99</f>
        <v>4.1355000000000004</v>
      </c>
      <c r="M99" s="153">
        <v>0</v>
      </c>
      <c r="N99" s="154">
        <f>VLOOKUP($B99,Curve_Fetch,VLOOKUP(Control!$AJ$10,Control!$AI$11:$AK$22,3))</f>
        <v>-0.2</v>
      </c>
      <c r="O99" s="160">
        <f t="shared" si="29"/>
        <v>0</v>
      </c>
      <c r="P99" s="156">
        <f>IF(Control!$Y$31=Control!$X$32,N99,M99)+O99</f>
        <v>-0.2</v>
      </c>
      <c r="Q99" s="153">
        <v>0</v>
      </c>
      <c r="R99" s="154">
        <f>VLOOKUP($B99,Curve_Fetch,(VLOOKUP(Control!$AJ$10,Control!$AI$11:$AL$22,4)))</f>
        <v>2.5000000000000001E-3</v>
      </c>
      <c r="S99" s="160">
        <f t="shared" si="30"/>
        <v>0</v>
      </c>
      <c r="T99" s="156">
        <f>IF($C$11="Physical",IF(Control!$Y$37=Control!$X$38,R99,Q99)+S99,0)</f>
        <v>2.5000000000000001E-3</v>
      </c>
      <c r="U99" s="203">
        <f t="shared" si="19"/>
        <v>3.9380000000000002</v>
      </c>
      <c r="V99" s="172"/>
      <c r="W99" s="219">
        <f>VLOOKUP($B99,Model!$A$8:$S$289,19)</f>
        <v>0.23300000000000001</v>
      </c>
      <c r="X99" s="221">
        <f t="shared" si="31"/>
        <v>0</v>
      </c>
      <c r="Y99" s="221">
        <f t="shared" si="21"/>
        <v>0.23300000000000001</v>
      </c>
      <c r="Z99" s="160">
        <f t="shared" si="32"/>
        <v>0</v>
      </c>
      <c r="AA99" s="160">
        <f t="shared" si="33"/>
        <v>3.9380000000000002</v>
      </c>
      <c r="AB99" s="231">
        <f ca="1">_xll.EURO(U99,AA99,VLOOKUP($B99,Curve_Fetch,2),VLOOKUP($B99,Curve_Fetch,2),Y99,VLOOKUP($B99,Model!$A$8:$R$289,18),IF(Euro!$C$10="Call",1,0),0)</f>
        <v>0.67504205864668299</v>
      </c>
      <c r="AD99" s="157">
        <f t="shared" ca="1" si="22"/>
        <v>0</v>
      </c>
      <c r="AE99" s="158">
        <f t="shared" ca="1" si="23"/>
        <v>0</v>
      </c>
      <c r="AF99" s="158">
        <f t="shared" ca="1" si="24"/>
        <v>0</v>
      </c>
      <c r="AG99" s="158">
        <f t="shared" ca="1" si="25"/>
        <v>0</v>
      </c>
      <c r="AH99" s="158">
        <f t="shared" ca="1" si="26"/>
        <v>0</v>
      </c>
      <c r="AI99" s="159">
        <f t="shared" ca="1" si="27"/>
        <v>0</v>
      </c>
      <c r="AK99"/>
      <c r="AL99"/>
      <c r="AM99"/>
      <c r="AN99"/>
      <c r="AO99"/>
      <c r="AP99"/>
      <c r="AQ99"/>
      <c r="AR99"/>
    </row>
    <row r="100" spans="2:44">
      <c r="B100" s="151">
        <f>[1]!_xludf.edate(B99,1)</f>
        <v>39387</v>
      </c>
      <c r="C100" s="152">
        <f t="shared" si="18"/>
        <v>39441</v>
      </c>
      <c r="D100" s="183">
        <v>0</v>
      </c>
      <c r="E100" s="184">
        <f>VLOOKUP($B100,Model!$A$8:$E$289,5)</f>
        <v>0</v>
      </c>
      <c r="F100" s="184">
        <f>VLOOKUP($B100,Model!$A$8:$F$289,6)</f>
        <v>0</v>
      </c>
      <c r="G100" s="206">
        <f ca="1">VLOOKUP($B100,Model!$A$8:$AO$289,41)</f>
        <v>0</v>
      </c>
      <c r="I100" s="153">
        <v>0</v>
      </c>
      <c r="J100" s="154">
        <f t="shared" si="20"/>
        <v>4.3055000000000003</v>
      </c>
      <c r="K100" s="160">
        <f t="shared" si="28"/>
        <v>0</v>
      </c>
      <c r="L100" s="156">
        <f>IF(Control!$Y$26=Control!$X$27,J100,I100)+K100</f>
        <v>4.3055000000000003</v>
      </c>
      <c r="M100" s="153">
        <v>0</v>
      </c>
      <c r="N100" s="154">
        <f>VLOOKUP($B100,Curve_Fetch,VLOOKUP(Control!$AJ$10,Control!$AI$11:$AK$22,3))</f>
        <v>-0.13</v>
      </c>
      <c r="O100" s="160">
        <f t="shared" si="29"/>
        <v>0</v>
      </c>
      <c r="P100" s="156">
        <f>IF(Control!$Y$31=Control!$X$32,N100,M100)+O100</f>
        <v>-0.13</v>
      </c>
      <c r="Q100" s="153">
        <v>0</v>
      </c>
      <c r="R100" s="154">
        <f>VLOOKUP($B100,Curve_Fetch,(VLOOKUP(Control!$AJ$10,Control!$AI$11:$AL$22,4)))</f>
        <v>5.0000000000000001E-3</v>
      </c>
      <c r="S100" s="160">
        <f t="shared" si="30"/>
        <v>0</v>
      </c>
      <c r="T100" s="156">
        <f>IF($C$11="Physical",IF(Control!$Y$37=Control!$X$38,R100,Q100)+S100,0)</f>
        <v>5.0000000000000001E-3</v>
      </c>
      <c r="U100" s="203">
        <f t="shared" si="19"/>
        <v>4.1805000000000003</v>
      </c>
      <c r="V100" s="172"/>
      <c r="W100" s="219">
        <f>VLOOKUP($B100,Model!$A$8:$S$289,19)</f>
        <v>0.23300000000000001</v>
      </c>
      <c r="X100" s="221">
        <f t="shared" si="31"/>
        <v>0</v>
      </c>
      <c r="Y100" s="221">
        <f t="shared" si="21"/>
        <v>0.23300000000000001</v>
      </c>
      <c r="Z100" s="160">
        <f t="shared" si="32"/>
        <v>0</v>
      </c>
      <c r="AA100" s="160">
        <f t="shared" si="33"/>
        <v>4.1805000000000003</v>
      </c>
      <c r="AB100" s="231">
        <f ca="1">_xll.EURO(U100,AA100,VLOOKUP($B100,Curve_Fetch,2),VLOOKUP($B100,Curve_Fetch,2),Y100,VLOOKUP($B100,Model!$A$8:$R$289,18),IF(Euro!$C$10="Call",1,0),0)</f>
        <v>0.71816830617591876</v>
      </c>
      <c r="AD100" s="157">
        <f t="shared" ca="1" si="22"/>
        <v>0</v>
      </c>
      <c r="AE100" s="158">
        <f t="shared" ca="1" si="23"/>
        <v>0</v>
      </c>
      <c r="AF100" s="158">
        <f t="shared" ca="1" si="24"/>
        <v>0</v>
      </c>
      <c r="AG100" s="158">
        <f t="shared" ca="1" si="25"/>
        <v>0</v>
      </c>
      <c r="AH100" s="158">
        <f t="shared" ca="1" si="26"/>
        <v>0</v>
      </c>
      <c r="AI100" s="159">
        <f t="shared" ca="1" si="27"/>
        <v>0</v>
      </c>
      <c r="AK100"/>
      <c r="AL100"/>
      <c r="AM100"/>
      <c r="AN100"/>
      <c r="AO100"/>
      <c r="AP100"/>
      <c r="AQ100"/>
      <c r="AR100"/>
    </row>
    <row r="101" spans="2:44">
      <c r="B101" s="151">
        <f>[1]!_xludf.edate(B100,1)</f>
        <v>39417</v>
      </c>
      <c r="C101" s="152">
        <f t="shared" si="18"/>
        <v>39472</v>
      </c>
      <c r="D101" s="183">
        <v>0</v>
      </c>
      <c r="E101" s="184">
        <f>VLOOKUP($B101,Model!$A$8:$E$289,5)</f>
        <v>0</v>
      </c>
      <c r="F101" s="184">
        <f>VLOOKUP($B101,Model!$A$8:$F$289,6)</f>
        <v>0</v>
      </c>
      <c r="G101" s="206">
        <f ca="1">VLOOKUP($B101,Model!$A$8:$AO$289,41)</f>
        <v>0</v>
      </c>
      <c r="I101" s="153">
        <v>0</v>
      </c>
      <c r="J101" s="154">
        <f t="shared" si="20"/>
        <v>4.4364999999999997</v>
      </c>
      <c r="K101" s="160">
        <f t="shared" si="28"/>
        <v>0</v>
      </c>
      <c r="L101" s="156">
        <f>IF(Control!$Y$26=Control!$X$27,J101,I101)+K101</f>
        <v>4.4364999999999997</v>
      </c>
      <c r="M101" s="153">
        <v>0</v>
      </c>
      <c r="N101" s="154">
        <f>VLOOKUP($B101,Curve_Fetch,VLOOKUP(Control!$AJ$10,Control!$AI$11:$AK$22,3))</f>
        <v>-0.13</v>
      </c>
      <c r="O101" s="160">
        <f t="shared" si="29"/>
        <v>0</v>
      </c>
      <c r="P101" s="156">
        <f>IF(Control!$Y$31=Control!$X$32,N101,M101)+O101</f>
        <v>-0.13</v>
      </c>
      <c r="Q101" s="153">
        <v>0</v>
      </c>
      <c r="R101" s="154">
        <f>VLOOKUP($B101,Curve_Fetch,(VLOOKUP(Control!$AJ$10,Control!$AI$11:$AL$22,4)))</f>
        <v>5.0000000000000001E-3</v>
      </c>
      <c r="S101" s="160">
        <f t="shared" si="30"/>
        <v>0</v>
      </c>
      <c r="T101" s="156">
        <f>IF($C$11="Physical",IF(Control!$Y$37=Control!$X$38,R101,Q101)+S101,0)</f>
        <v>5.0000000000000001E-3</v>
      </c>
      <c r="U101" s="203">
        <f t="shared" si="19"/>
        <v>4.3114999999999997</v>
      </c>
      <c r="V101" s="172"/>
      <c r="W101" s="219">
        <f>VLOOKUP($B101,Model!$A$8:$S$289,19)</f>
        <v>0.23300000000000001</v>
      </c>
      <c r="X101" s="221">
        <f t="shared" si="31"/>
        <v>0</v>
      </c>
      <c r="Y101" s="221">
        <f t="shared" si="21"/>
        <v>0.23300000000000001</v>
      </c>
      <c r="Z101" s="160">
        <f t="shared" si="32"/>
        <v>0</v>
      </c>
      <c r="AA101" s="160">
        <f t="shared" si="33"/>
        <v>4.3114999999999997</v>
      </c>
      <c r="AB101" s="231">
        <f ca="1">_xll.EURO(U101,AA101,VLOOKUP($B101,Curve_Fetch,2),VLOOKUP($B101,Curve_Fetch,2),Y101,VLOOKUP($B101,Model!$A$8:$R$289,18),IF(Euro!$C$10="Call",1,0),0)</f>
        <v>0.74214002554695235</v>
      </c>
      <c r="AD101" s="157">
        <f t="shared" ca="1" si="22"/>
        <v>0</v>
      </c>
      <c r="AE101" s="158">
        <f t="shared" ca="1" si="23"/>
        <v>0</v>
      </c>
      <c r="AF101" s="158">
        <f t="shared" ca="1" si="24"/>
        <v>0</v>
      </c>
      <c r="AG101" s="158">
        <f t="shared" ca="1" si="25"/>
        <v>0</v>
      </c>
      <c r="AH101" s="158">
        <f t="shared" ca="1" si="26"/>
        <v>0</v>
      </c>
      <c r="AI101" s="159">
        <f t="shared" ca="1" si="27"/>
        <v>0</v>
      </c>
      <c r="AK101"/>
      <c r="AL101"/>
      <c r="AM101"/>
      <c r="AN101"/>
      <c r="AO101"/>
      <c r="AP101"/>
      <c r="AQ101"/>
      <c r="AR101"/>
    </row>
    <row r="102" spans="2:44">
      <c r="B102" s="151">
        <f>[1]!_xludf.edate(B101,1)</f>
        <v>39448</v>
      </c>
      <c r="C102" s="152">
        <f t="shared" si="18"/>
        <v>39503</v>
      </c>
      <c r="D102" s="183">
        <v>0</v>
      </c>
      <c r="E102" s="184">
        <f>VLOOKUP($B102,Model!$A$8:$E$289,5)</f>
        <v>0</v>
      </c>
      <c r="F102" s="184">
        <f>VLOOKUP($B102,Model!$A$8:$F$289,6)</f>
        <v>0</v>
      </c>
      <c r="G102" s="206">
        <f ca="1">VLOOKUP($B102,Model!$A$8:$AO$289,41)</f>
        <v>0</v>
      </c>
      <c r="I102" s="153">
        <v>0</v>
      </c>
      <c r="J102" s="154">
        <f t="shared" si="20"/>
        <v>4.4989999999999997</v>
      </c>
      <c r="K102" s="160">
        <f t="shared" si="28"/>
        <v>0</v>
      </c>
      <c r="L102" s="156">
        <f>IF(Control!$Y$26=Control!$X$27,J102,I102)+K102</f>
        <v>4.4989999999999997</v>
      </c>
      <c r="M102" s="153">
        <v>0</v>
      </c>
      <c r="N102" s="154">
        <f>VLOOKUP($B102,Curve_Fetch,VLOOKUP(Control!$AJ$10,Control!$AI$11:$AK$22,3))</f>
        <v>-0.13</v>
      </c>
      <c r="O102" s="160">
        <f t="shared" si="29"/>
        <v>0</v>
      </c>
      <c r="P102" s="156">
        <f>IF(Control!$Y$31=Control!$X$32,N102,M102)+O102</f>
        <v>-0.13</v>
      </c>
      <c r="Q102" s="153">
        <v>0</v>
      </c>
      <c r="R102" s="154">
        <f>VLOOKUP($B102,Curve_Fetch,(VLOOKUP(Control!$AJ$10,Control!$AI$11:$AL$22,4)))</f>
        <v>5.0000000000000001E-3</v>
      </c>
      <c r="S102" s="160">
        <f t="shared" si="30"/>
        <v>0</v>
      </c>
      <c r="T102" s="156">
        <f>IF($C$11="Physical",IF(Control!$Y$37=Control!$X$38,R102,Q102)+S102,0)</f>
        <v>5.0000000000000001E-3</v>
      </c>
      <c r="U102" s="203">
        <f t="shared" si="19"/>
        <v>4.3739999999999997</v>
      </c>
      <c r="V102" s="172"/>
      <c r="W102" s="219">
        <f>VLOOKUP($B102,Model!$A$8:$S$289,19)</f>
        <v>0.23300000000000001</v>
      </c>
      <c r="X102" s="221">
        <f t="shared" si="31"/>
        <v>0</v>
      </c>
      <c r="Y102" s="221">
        <f t="shared" si="21"/>
        <v>0.23300000000000001</v>
      </c>
      <c r="Z102" s="160">
        <f t="shared" si="32"/>
        <v>0</v>
      </c>
      <c r="AA102" s="160">
        <f t="shared" si="33"/>
        <v>4.3739999999999997</v>
      </c>
      <c r="AB102" s="231">
        <f ca="1">_xll.EURO(U102,AA102,VLOOKUP($B102,Curve_Fetch,2),VLOOKUP($B102,Curve_Fetch,2),Y102,VLOOKUP($B102,Model!$A$8:$R$289,18),IF(Euro!$C$10="Call",1,0),0)</f>
        <v>0.75434626183164455</v>
      </c>
      <c r="AD102" s="157">
        <f t="shared" ca="1" si="22"/>
        <v>0</v>
      </c>
      <c r="AE102" s="158">
        <f t="shared" ca="1" si="23"/>
        <v>0</v>
      </c>
      <c r="AF102" s="158">
        <f t="shared" ca="1" si="24"/>
        <v>0</v>
      </c>
      <c r="AG102" s="158">
        <f t="shared" ca="1" si="25"/>
        <v>0</v>
      </c>
      <c r="AH102" s="158">
        <f t="shared" ca="1" si="26"/>
        <v>0</v>
      </c>
      <c r="AI102" s="159">
        <f t="shared" ca="1" si="27"/>
        <v>0</v>
      </c>
      <c r="AK102"/>
      <c r="AL102"/>
      <c r="AM102"/>
      <c r="AN102"/>
      <c r="AO102"/>
      <c r="AP102"/>
      <c r="AQ102"/>
      <c r="AR102"/>
    </row>
    <row r="103" spans="2:44">
      <c r="B103" s="151">
        <f>[1]!_xludf.edate(B102,1)</f>
        <v>39479</v>
      </c>
      <c r="C103" s="152">
        <f t="shared" si="18"/>
        <v>39532</v>
      </c>
      <c r="D103" s="183">
        <v>0</v>
      </c>
      <c r="E103" s="184">
        <f>VLOOKUP($B103,Model!$A$8:$E$289,5)</f>
        <v>0</v>
      </c>
      <c r="F103" s="184">
        <f>VLOOKUP($B103,Model!$A$8:$F$289,6)</f>
        <v>0</v>
      </c>
      <c r="G103" s="206">
        <f ca="1">VLOOKUP($B103,Model!$A$8:$AO$289,41)</f>
        <v>0</v>
      </c>
      <c r="I103" s="153">
        <v>0</v>
      </c>
      <c r="J103" s="154">
        <f t="shared" si="20"/>
        <v>4.4109999999999996</v>
      </c>
      <c r="K103" s="160">
        <f t="shared" si="28"/>
        <v>0</v>
      </c>
      <c r="L103" s="156">
        <f>IF(Control!$Y$26=Control!$X$27,J103,I103)+K103</f>
        <v>4.4109999999999996</v>
      </c>
      <c r="M103" s="153">
        <v>0</v>
      </c>
      <c r="N103" s="154">
        <f>VLOOKUP($B103,Curve_Fetch,VLOOKUP(Control!$AJ$10,Control!$AI$11:$AK$22,3))</f>
        <v>-0.13</v>
      </c>
      <c r="O103" s="160">
        <f t="shared" si="29"/>
        <v>0</v>
      </c>
      <c r="P103" s="156">
        <f>IF(Control!$Y$31=Control!$X$32,N103,M103)+O103</f>
        <v>-0.13</v>
      </c>
      <c r="Q103" s="153">
        <v>0</v>
      </c>
      <c r="R103" s="154">
        <f>VLOOKUP($B103,Curve_Fetch,(VLOOKUP(Control!$AJ$10,Control!$AI$11:$AL$22,4)))</f>
        <v>5.0000000000000001E-3</v>
      </c>
      <c r="S103" s="160">
        <f t="shared" si="30"/>
        <v>0</v>
      </c>
      <c r="T103" s="156">
        <f>IF($C$11="Physical",IF(Control!$Y$37=Control!$X$38,R103,Q103)+S103,0)</f>
        <v>5.0000000000000001E-3</v>
      </c>
      <c r="U103" s="203">
        <f t="shared" si="19"/>
        <v>4.2859999999999996</v>
      </c>
      <c r="V103" s="172"/>
      <c r="W103" s="219">
        <f>VLOOKUP($B103,Model!$A$8:$S$289,19)</f>
        <v>0.23300000000000001</v>
      </c>
      <c r="X103" s="221">
        <f t="shared" si="31"/>
        <v>0</v>
      </c>
      <c r="Y103" s="221">
        <f t="shared" si="21"/>
        <v>0.23300000000000001</v>
      </c>
      <c r="Z103" s="160">
        <f t="shared" si="32"/>
        <v>0</v>
      </c>
      <c r="AA103" s="160">
        <f t="shared" si="33"/>
        <v>4.2859999999999996</v>
      </c>
      <c r="AB103" s="231">
        <f ca="1">_xll.EURO(U103,AA103,VLOOKUP($B103,Curve_Fetch,2),VLOOKUP($B103,Curve_Fetch,2),Y103,VLOOKUP($B103,Model!$A$8:$R$289,18),IF(Euro!$C$10="Call",1,0),0)</f>
        <v>0.74050038823965325</v>
      </c>
      <c r="AD103" s="157">
        <f t="shared" ca="1" si="22"/>
        <v>0</v>
      </c>
      <c r="AE103" s="158">
        <f t="shared" ca="1" si="23"/>
        <v>0</v>
      </c>
      <c r="AF103" s="158">
        <f t="shared" ca="1" si="24"/>
        <v>0</v>
      </c>
      <c r="AG103" s="158">
        <f t="shared" ca="1" si="25"/>
        <v>0</v>
      </c>
      <c r="AH103" s="158">
        <f t="shared" ca="1" si="26"/>
        <v>0</v>
      </c>
      <c r="AI103" s="159">
        <f t="shared" ca="1" si="27"/>
        <v>0</v>
      </c>
      <c r="AK103"/>
      <c r="AL103"/>
      <c r="AM103"/>
      <c r="AN103"/>
      <c r="AO103"/>
      <c r="AP103"/>
      <c r="AQ103"/>
      <c r="AR103"/>
    </row>
    <row r="104" spans="2:44">
      <c r="B104" s="151">
        <f>[1]!_xludf.edate(B103,1)</f>
        <v>39508</v>
      </c>
      <c r="C104" s="152">
        <f t="shared" si="18"/>
        <v>39563</v>
      </c>
      <c r="D104" s="183">
        <v>0</v>
      </c>
      <c r="E104" s="184">
        <f>VLOOKUP($B104,Model!$A$8:$E$289,5)</f>
        <v>0</v>
      </c>
      <c r="F104" s="184">
        <f>VLOOKUP($B104,Model!$A$8:$F$289,6)</f>
        <v>0</v>
      </c>
      <c r="G104" s="206">
        <f ca="1">VLOOKUP($B104,Model!$A$8:$AO$289,41)</f>
        <v>0</v>
      </c>
      <c r="I104" s="153">
        <v>0</v>
      </c>
      <c r="J104" s="154">
        <f t="shared" si="20"/>
        <v>4.2720000000000002</v>
      </c>
      <c r="K104" s="160">
        <f t="shared" si="28"/>
        <v>0</v>
      </c>
      <c r="L104" s="156">
        <f>IF(Control!$Y$26=Control!$X$27,J104,I104)+K104</f>
        <v>4.2720000000000002</v>
      </c>
      <c r="M104" s="153">
        <v>0</v>
      </c>
      <c r="N104" s="154">
        <f>VLOOKUP($B104,Curve_Fetch,VLOOKUP(Control!$AJ$10,Control!$AI$11:$AK$22,3))</f>
        <v>-0.13</v>
      </c>
      <c r="O104" s="160">
        <f t="shared" si="29"/>
        <v>0</v>
      </c>
      <c r="P104" s="156">
        <f>IF(Control!$Y$31=Control!$X$32,N104,M104)+O104</f>
        <v>-0.13</v>
      </c>
      <c r="Q104" s="153">
        <v>0</v>
      </c>
      <c r="R104" s="154">
        <f>VLOOKUP($B104,Curve_Fetch,(VLOOKUP(Control!$AJ$10,Control!$AI$11:$AL$22,4)))</f>
        <v>5.0000000000000001E-3</v>
      </c>
      <c r="S104" s="160">
        <f t="shared" si="30"/>
        <v>0</v>
      </c>
      <c r="T104" s="156">
        <f>IF($C$11="Physical",IF(Control!$Y$37=Control!$X$38,R104,Q104)+S104,0)</f>
        <v>5.0000000000000001E-3</v>
      </c>
      <c r="U104" s="203">
        <f t="shared" si="19"/>
        <v>4.1470000000000002</v>
      </c>
      <c r="V104" s="172"/>
      <c r="W104" s="219">
        <f>VLOOKUP($B104,Model!$A$8:$S$289,19)</f>
        <v>0.223</v>
      </c>
      <c r="X104" s="221">
        <f t="shared" si="31"/>
        <v>0</v>
      </c>
      <c r="Y104" s="221">
        <f t="shared" si="21"/>
        <v>0.223</v>
      </c>
      <c r="Z104" s="160">
        <f t="shared" si="32"/>
        <v>0</v>
      </c>
      <c r="AA104" s="160">
        <f t="shared" si="33"/>
        <v>4.1470000000000002</v>
      </c>
      <c r="AB104" s="231">
        <f ca="1">_xll.EURO(U104,AA104,VLOOKUP($B104,Curve_Fetch,2),VLOOKUP($B104,Curve_Fetch,2),Y104,VLOOKUP($B104,Model!$A$8:$R$289,18),IF(Euro!$C$10="Call",1,0),0)</f>
        <v>0.68763179139402375</v>
      </c>
      <c r="AD104" s="157">
        <f t="shared" ca="1" si="22"/>
        <v>0</v>
      </c>
      <c r="AE104" s="158">
        <f t="shared" ca="1" si="23"/>
        <v>0</v>
      </c>
      <c r="AF104" s="158">
        <f t="shared" ca="1" si="24"/>
        <v>0</v>
      </c>
      <c r="AG104" s="158">
        <f t="shared" ca="1" si="25"/>
        <v>0</v>
      </c>
      <c r="AH104" s="158">
        <f t="shared" ca="1" si="26"/>
        <v>0</v>
      </c>
      <c r="AI104" s="159">
        <f t="shared" ca="1" si="27"/>
        <v>0</v>
      </c>
      <c r="AK104"/>
      <c r="AL104"/>
      <c r="AM104"/>
      <c r="AN104"/>
      <c r="AO104"/>
      <c r="AP104"/>
      <c r="AQ104"/>
      <c r="AR104"/>
    </row>
    <row r="105" spans="2:44">
      <c r="B105" s="151">
        <f>[1]!_xludf.edate(B104,1)</f>
        <v>39539</v>
      </c>
      <c r="C105" s="152">
        <f t="shared" si="18"/>
        <v>39593</v>
      </c>
      <c r="D105" s="183">
        <v>0</v>
      </c>
      <c r="E105" s="184">
        <f>VLOOKUP($B105,Model!$A$8:$E$289,5)</f>
        <v>0</v>
      </c>
      <c r="F105" s="184">
        <f>VLOOKUP($B105,Model!$A$8:$F$289,6)</f>
        <v>0</v>
      </c>
      <c r="G105" s="206">
        <f ca="1">VLOOKUP($B105,Model!$A$8:$AO$289,41)</f>
        <v>0</v>
      </c>
      <c r="I105" s="153">
        <v>0</v>
      </c>
      <c r="J105" s="154">
        <f t="shared" si="20"/>
        <v>4.1180000000000003</v>
      </c>
      <c r="K105" s="160">
        <f t="shared" si="28"/>
        <v>0</v>
      </c>
      <c r="L105" s="156">
        <f>IF(Control!$Y$26=Control!$X$27,J105,I105)+K105</f>
        <v>4.1180000000000003</v>
      </c>
      <c r="M105" s="153">
        <v>0</v>
      </c>
      <c r="N105" s="154">
        <f>VLOOKUP($B105,Curve_Fetch,VLOOKUP(Control!$AJ$10,Control!$AI$11:$AK$22,3))</f>
        <v>-0.2</v>
      </c>
      <c r="O105" s="160">
        <f t="shared" si="29"/>
        <v>0</v>
      </c>
      <c r="P105" s="156">
        <f>IF(Control!$Y$31=Control!$X$32,N105,M105)+O105</f>
        <v>-0.2</v>
      </c>
      <c r="Q105" s="153">
        <v>0</v>
      </c>
      <c r="R105" s="154">
        <f>VLOOKUP($B105,Curve_Fetch,(VLOOKUP(Control!$AJ$10,Control!$AI$11:$AL$22,4)))</f>
        <v>2.5000000000000001E-3</v>
      </c>
      <c r="S105" s="160">
        <f t="shared" si="30"/>
        <v>0</v>
      </c>
      <c r="T105" s="156">
        <f>IF($C$11="Physical",IF(Control!$Y$37=Control!$X$38,R105,Q105)+S105,0)</f>
        <v>2.5000000000000001E-3</v>
      </c>
      <c r="U105" s="203">
        <f t="shared" si="19"/>
        <v>3.9205000000000001</v>
      </c>
      <c r="V105" s="172"/>
      <c r="W105" s="219">
        <f>VLOOKUP($B105,Model!$A$8:$S$289,19)</f>
        <v>0.223</v>
      </c>
      <c r="X105" s="221">
        <f t="shared" si="31"/>
        <v>0</v>
      </c>
      <c r="Y105" s="221">
        <f t="shared" si="21"/>
        <v>0.223</v>
      </c>
      <c r="Z105" s="160">
        <f t="shared" si="32"/>
        <v>0</v>
      </c>
      <c r="AA105" s="160">
        <f t="shared" si="33"/>
        <v>3.9205000000000001</v>
      </c>
      <c r="AB105" s="231">
        <f ca="1">_xll.EURO(U105,AA105,VLOOKUP($B105,Curve_Fetch,2),VLOOKUP($B105,Curve_Fetch,2),Y105,VLOOKUP($B105,Model!$A$8:$R$289,18),IF(Euro!$C$10="Call",1,0),0)</f>
        <v>0.6511053440522887</v>
      </c>
      <c r="AD105" s="157">
        <f t="shared" ca="1" si="22"/>
        <v>0</v>
      </c>
      <c r="AE105" s="158">
        <f t="shared" ca="1" si="23"/>
        <v>0</v>
      </c>
      <c r="AF105" s="158">
        <f t="shared" ca="1" si="24"/>
        <v>0</v>
      </c>
      <c r="AG105" s="158">
        <f t="shared" ca="1" si="25"/>
        <v>0</v>
      </c>
      <c r="AH105" s="158">
        <f t="shared" ca="1" si="26"/>
        <v>0</v>
      </c>
      <c r="AI105" s="159">
        <f t="shared" ca="1" si="27"/>
        <v>0</v>
      </c>
      <c r="AK105"/>
      <c r="AL105"/>
      <c r="AM105"/>
      <c r="AN105"/>
      <c r="AO105"/>
      <c r="AP105"/>
      <c r="AQ105"/>
      <c r="AR105"/>
    </row>
    <row r="106" spans="2:44">
      <c r="B106" s="151">
        <f>[1]!_xludf.edate(B105,1)</f>
        <v>39569</v>
      </c>
      <c r="C106" s="152">
        <f t="shared" si="18"/>
        <v>39624</v>
      </c>
      <c r="D106" s="183">
        <v>0</v>
      </c>
      <c r="E106" s="184">
        <f>VLOOKUP($B106,Model!$A$8:$E$289,5)</f>
        <v>0</v>
      </c>
      <c r="F106" s="184">
        <f>VLOOKUP($B106,Model!$A$8:$F$289,6)</f>
        <v>0</v>
      </c>
      <c r="G106" s="206">
        <f ca="1">VLOOKUP($B106,Model!$A$8:$AO$289,41)</f>
        <v>0</v>
      </c>
      <c r="I106" s="153">
        <v>0</v>
      </c>
      <c r="J106" s="154">
        <f t="shared" si="20"/>
        <v>4.1230000000000002</v>
      </c>
      <c r="K106" s="160">
        <f t="shared" si="28"/>
        <v>0</v>
      </c>
      <c r="L106" s="156">
        <f>IF(Control!$Y$26=Control!$X$27,J106,I106)+K106</f>
        <v>4.1230000000000002</v>
      </c>
      <c r="M106" s="153">
        <v>0</v>
      </c>
      <c r="N106" s="154">
        <f>VLOOKUP($B106,Curve_Fetch,VLOOKUP(Control!$AJ$10,Control!$AI$11:$AK$22,3))</f>
        <v>-0.2</v>
      </c>
      <c r="O106" s="160">
        <f t="shared" si="29"/>
        <v>0</v>
      </c>
      <c r="P106" s="156">
        <f>IF(Control!$Y$31=Control!$X$32,N106,M106)+O106</f>
        <v>-0.2</v>
      </c>
      <c r="Q106" s="153">
        <v>0</v>
      </c>
      <c r="R106" s="154">
        <f>VLOOKUP($B106,Curve_Fetch,(VLOOKUP(Control!$AJ$10,Control!$AI$11:$AL$22,4)))</f>
        <v>2.5000000000000001E-3</v>
      </c>
      <c r="S106" s="160">
        <f t="shared" si="30"/>
        <v>0</v>
      </c>
      <c r="T106" s="156">
        <f>IF($C$11="Physical",IF(Control!$Y$37=Control!$X$38,R106,Q106)+S106,0)</f>
        <v>2.5000000000000001E-3</v>
      </c>
      <c r="U106" s="203">
        <f t="shared" si="19"/>
        <v>3.9255</v>
      </c>
      <c r="V106" s="172"/>
      <c r="W106" s="219">
        <f>VLOOKUP($B106,Model!$A$8:$S$289,19)</f>
        <v>0.223</v>
      </c>
      <c r="X106" s="221">
        <f t="shared" si="31"/>
        <v>0</v>
      </c>
      <c r="Y106" s="221">
        <f t="shared" si="21"/>
        <v>0.223</v>
      </c>
      <c r="Z106" s="160">
        <f t="shared" si="32"/>
        <v>0</v>
      </c>
      <c r="AA106" s="160">
        <f t="shared" si="33"/>
        <v>3.9255</v>
      </c>
      <c r="AB106" s="231">
        <f ca="1">_xll.EURO(U106,AA106,VLOOKUP($B106,Curve_Fetch,2),VLOOKUP($B106,Curve_Fetch,2),Y106,VLOOKUP($B106,Model!$A$8:$R$289,18),IF(Euro!$C$10="Call",1,0),0)</f>
        <v>0.65286392766574175</v>
      </c>
      <c r="AD106" s="157">
        <f t="shared" ca="1" si="22"/>
        <v>0</v>
      </c>
      <c r="AE106" s="158">
        <f t="shared" ca="1" si="23"/>
        <v>0</v>
      </c>
      <c r="AF106" s="158">
        <f t="shared" ca="1" si="24"/>
        <v>0</v>
      </c>
      <c r="AG106" s="158">
        <f t="shared" ca="1" si="25"/>
        <v>0</v>
      </c>
      <c r="AH106" s="158">
        <f t="shared" ca="1" si="26"/>
        <v>0</v>
      </c>
      <c r="AI106" s="159">
        <f t="shared" ca="1" si="27"/>
        <v>0</v>
      </c>
      <c r="AK106"/>
      <c r="AL106"/>
      <c r="AM106"/>
      <c r="AN106"/>
      <c r="AO106"/>
      <c r="AP106"/>
      <c r="AQ106"/>
      <c r="AR106"/>
    </row>
    <row r="107" spans="2:44">
      <c r="B107" s="151">
        <f>[1]!_xludf.edate(B106,1)</f>
        <v>39600</v>
      </c>
      <c r="C107" s="152">
        <f t="shared" si="18"/>
        <v>39654</v>
      </c>
      <c r="D107" s="183">
        <v>0</v>
      </c>
      <c r="E107" s="184">
        <f>VLOOKUP($B107,Model!$A$8:$E$289,5)</f>
        <v>0</v>
      </c>
      <c r="F107" s="184">
        <f>VLOOKUP($B107,Model!$A$8:$F$289,6)</f>
        <v>0</v>
      </c>
      <c r="G107" s="206">
        <f ca="1">VLOOKUP($B107,Model!$A$8:$AO$289,41)</f>
        <v>0</v>
      </c>
      <c r="I107" s="153">
        <v>0</v>
      </c>
      <c r="J107" s="154">
        <f t="shared" si="20"/>
        <v>4.1609999999999996</v>
      </c>
      <c r="K107" s="160">
        <f t="shared" si="28"/>
        <v>0</v>
      </c>
      <c r="L107" s="156">
        <f>IF(Control!$Y$26=Control!$X$27,J107,I107)+K107</f>
        <v>4.1609999999999996</v>
      </c>
      <c r="M107" s="153">
        <v>0</v>
      </c>
      <c r="N107" s="154">
        <f>VLOOKUP($B107,Curve_Fetch,VLOOKUP(Control!$AJ$10,Control!$AI$11:$AK$22,3))</f>
        <v>-0.2</v>
      </c>
      <c r="O107" s="160">
        <f t="shared" si="29"/>
        <v>0</v>
      </c>
      <c r="P107" s="156">
        <f>IF(Control!$Y$31=Control!$X$32,N107,M107)+O107</f>
        <v>-0.2</v>
      </c>
      <c r="Q107" s="153">
        <v>0</v>
      </c>
      <c r="R107" s="154">
        <f>VLOOKUP($B107,Curve_Fetch,(VLOOKUP(Control!$AJ$10,Control!$AI$11:$AL$22,4)))</f>
        <v>2.5000000000000001E-3</v>
      </c>
      <c r="S107" s="160">
        <f t="shared" si="30"/>
        <v>0</v>
      </c>
      <c r="T107" s="156">
        <f>IF($C$11="Physical",IF(Control!$Y$37=Control!$X$38,R107,Q107)+S107,0)</f>
        <v>2.5000000000000001E-3</v>
      </c>
      <c r="U107" s="203">
        <f t="shared" si="19"/>
        <v>3.9634999999999994</v>
      </c>
      <c r="V107" s="172"/>
      <c r="W107" s="219">
        <f>VLOOKUP($B107,Model!$A$8:$S$289,19)</f>
        <v>0.223</v>
      </c>
      <c r="X107" s="221">
        <f t="shared" si="31"/>
        <v>0</v>
      </c>
      <c r="Y107" s="221">
        <f t="shared" si="21"/>
        <v>0.223</v>
      </c>
      <c r="Z107" s="160">
        <f t="shared" si="32"/>
        <v>0</v>
      </c>
      <c r="AA107" s="160">
        <f t="shared" si="33"/>
        <v>3.9634999999999994</v>
      </c>
      <c r="AB107" s="231">
        <f ca="1">_xll.EURO(U107,AA107,VLOOKUP($B107,Curve_Fetch,2),VLOOKUP($B107,Curve_Fetch,2),Y107,VLOOKUP($B107,Model!$A$8:$R$289,18),IF(Euro!$C$10="Call",1,0),0)</f>
        <v>0.66008003801515569</v>
      </c>
      <c r="AD107" s="157">
        <f t="shared" ca="1" si="22"/>
        <v>0</v>
      </c>
      <c r="AE107" s="158">
        <f t="shared" ca="1" si="23"/>
        <v>0</v>
      </c>
      <c r="AF107" s="158">
        <f t="shared" ca="1" si="24"/>
        <v>0</v>
      </c>
      <c r="AG107" s="158">
        <f t="shared" ca="1" si="25"/>
        <v>0</v>
      </c>
      <c r="AH107" s="158">
        <f t="shared" ca="1" si="26"/>
        <v>0</v>
      </c>
      <c r="AI107" s="159">
        <f t="shared" ca="1" si="27"/>
        <v>0</v>
      </c>
      <c r="AK107"/>
      <c r="AL107"/>
      <c r="AM107"/>
      <c r="AN107"/>
      <c r="AO107"/>
      <c r="AP107"/>
      <c r="AQ107"/>
      <c r="AR107"/>
    </row>
    <row r="108" spans="2:44">
      <c r="B108" s="151">
        <f>[1]!_xludf.edate(B107,1)</f>
        <v>39630</v>
      </c>
      <c r="C108" s="152">
        <f t="shared" si="18"/>
        <v>39685</v>
      </c>
      <c r="D108" s="183">
        <v>0</v>
      </c>
      <c r="E108" s="184">
        <f>VLOOKUP($B108,Model!$A$8:$E$289,5)</f>
        <v>0</v>
      </c>
      <c r="F108" s="184">
        <f>VLOOKUP($B108,Model!$A$8:$F$289,6)</f>
        <v>0</v>
      </c>
      <c r="G108" s="206">
        <f ca="1">VLOOKUP($B108,Model!$A$8:$AO$289,41)</f>
        <v>0</v>
      </c>
      <c r="I108" s="153">
        <v>0</v>
      </c>
      <c r="J108" s="154">
        <f t="shared" si="20"/>
        <v>4.2060000000000004</v>
      </c>
      <c r="K108" s="160">
        <f t="shared" si="28"/>
        <v>0</v>
      </c>
      <c r="L108" s="156">
        <f>IF(Control!$Y$26=Control!$X$27,J108,I108)+K108</f>
        <v>4.2060000000000004</v>
      </c>
      <c r="M108" s="153">
        <v>0</v>
      </c>
      <c r="N108" s="154">
        <f>VLOOKUP($B108,Curve_Fetch,VLOOKUP(Control!$AJ$10,Control!$AI$11:$AK$22,3))</f>
        <v>-0.2</v>
      </c>
      <c r="O108" s="160">
        <f t="shared" si="29"/>
        <v>0</v>
      </c>
      <c r="P108" s="156">
        <f>IF(Control!$Y$31=Control!$X$32,N108,M108)+O108</f>
        <v>-0.2</v>
      </c>
      <c r="Q108" s="153">
        <v>0</v>
      </c>
      <c r="R108" s="154">
        <f>VLOOKUP($B108,Curve_Fetch,(VLOOKUP(Control!$AJ$10,Control!$AI$11:$AL$22,4)))</f>
        <v>2.5000000000000001E-3</v>
      </c>
      <c r="S108" s="160">
        <f t="shared" si="30"/>
        <v>0</v>
      </c>
      <c r="T108" s="156">
        <f>IF($C$11="Physical",IF(Control!$Y$37=Control!$X$38,R108,Q108)+S108,0)</f>
        <v>2.5000000000000001E-3</v>
      </c>
      <c r="U108" s="203">
        <f t="shared" si="19"/>
        <v>4.0085000000000006</v>
      </c>
      <c r="V108" s="172"/>
      <c r="W108" s="219">
        <f>VLOOKUP($B108,Model!$A$8:$S$289,19)</f>
        <v>0.22</v>
      </c>
      <c r="X108" s="221">
        <f t="shared" si="31"/>
        <v>0</v>
      </c>
      <c r="Y108" s="221">
        <f t="shared" si="21"/>
        <v>0.22</v>
      </c>
      <c r="Z108" s="160">
        <f t="shared" si="32"/>
        <v>0</v>
      </c>
      <c r="AA108" s="160">
        <f t="shared" si="33"/>
        <v>4.0085000000000006</v>
      </c>
      <c r="AB108" s="231">
        <f ca="1">_xll.EURO(U108,AA108,VLOOKUP($B108,Curve_Fetch,2),VLOOKUP($B108,Curve_Fetch,2),Y108,VLOOKUP($B108,Model!$A$8:$R$289,18),IF(Euro!$C$10="Call",1,0),0)</f>
        <v>0.65963078656344076</v>
      </c>
      <c r="AD108" s="157">
        <f t="shared" ca="1" si="22"/>
        <v>0</v>
      </c>
      <c r="AE108" s="158">
        <f t="shared" ca="1" si="23"/>
        <v>0</v>
      </c>
      <c r="AF108" s="158">
        <f t="shared" ca="1" si="24"/>
        <v>0</v>
      </c>
      <c r="AG108" s="158">
        <f t="shared" ca="1" si="25"/>
        <v>0</v>
      </c>
      <c r="AH108" s="158">
        <f t="shared" ca="1" si="26"/>
        <v>0</v>
      </c>
      <c r="AI108" s="159">
        <f t="shared" ca="1" si="27"/>
        <v>0</v>
      </c>
      <c r="AK108"/>
      <c r="AL108"/>
      <c r="AM108"/>
      <c r="AN108"/>
      <c r="AO108"/>
      <c r="AP108"/>
      <c r="AQ108"/>
      <c r="AR108"/>
    </row>
    <row r="109" spans="2:44">
      <c r="B109" s="151">
        <f>[1]!_xludf.edate(B108,1)</f>
        <v>39661</v>
      </c>
      <c r="C109" s="152">
        <f t="shared" si="18"/>
        <v>39716</v>
      </c>
      <c r="D109" s="183">
        <v>0</v>
      </c>
      <c r="E109" s="184">
        <f>VLOOKUP($B109,Model!$A$8:$E$289,5)</f>
        <v>0</v>
      </c>
      <c r="F109" s="184">
        <f>VLOOKUP($B109,Model!$A$8:$F$289,6)</f>
        <v>0</v>
      </c>
      <c r="G109" s="206">
        <f ca="1">VLOOKUP($B109,Model!$A$8:$AO$289,41)</f>
        <v>0</v>
      </c>
      <c r="I109" s="153">
        <v>0</v>
      </c>
      <c r="J109" s="154">
        <f t="shared" si="20"/>
        <v>4.2439999999999998</v>
      </c>
      <c r="K109" s="160">
        <f t="shared" si="28"/>
        <v>0</v>
      </c>
      <c r="L109" s="156">
        <f>IF(Control!$Y$26=Control!$X$27,J109,I109)+K109</f>
        <v>4.2439999999999998</v>
      </c>
      <c r="M109" s="153">
        <v>0</v>
      </c>
      <c r="N109" s="154">
        <f>VLOOKUP($B109,Curve_Fetch,VLOOKUP(Control!$AJ$10,Control!$AI$11:$AK$22,3))</f>
        <v>-0.2</v>
      </c>
      <c r="O109" s="160">
        <f t="shared" si="29"/>
        <v>0</v>
      </c>
      <c r="P109" s="156">
        <f>IF(Control!$Y$31=Control!$X$32,N109,M109)+O109</f>
        <v>-0.2</v>
      </c>
      <c r="Q109" s="153">
        <v>0</v>
      </c>
      <c r="R109" s="154">
        <f>VLOOKUP($B109,Curve_Fetch,(VLOOKUP(Control!$AJ$10,Control!$AI$11:$AL$22,4)))</f>
        <v>2.5000000000000001E-3</v>
      </c>
      <c r="S109" s="160">
        <f t="shared" si="30"/>
        <v>0</v>
      </c>
      <c r="T109" s="156">
        <f>IF($C$11="Physical",IF(Control!$Y$37=Control!$X$38,R109,Q109)+S109,0)</f>
        <v>2.5000000000000001E-3</v>
      </c>
      <c r="U109" s="203">
        <f t="shared" si="19"/>
        <v>4.0465</v>
      </c>
      <c r="V109" s="172"/>
      <c r="W109" s="219">
        <f>VLOOKUP($B109,Model!$A$8:$S$289,19)</f>
        <v>0.22</v>
      </c>
      <c r="X109" s="221">
        <f t="shared" si="31"/>
        <v>0</v>
      </c>
      <c r="Y109" s="221">
        <f t="shared" si="21"/>
        <v>0.22</v>
      </c>
      <c r="Z109" s="160">
        <f t="shared" si="32"/>
        <v>0</v>
      </c>
      <c r="AA109" s="160">
        <f t="shared" si="33"/>
        <v>4.0465</v>
      </c>
      <c r="AB109" s="231">
        <f ca="1">_xll.EURO(U109,AA109,VLOOKUP($B109,Curve_Fetch,2),VLOOKUP($B109,Curve_Fetch,2),Y109,VLOOKUP($B109,Model!$A$8:$R$289,18),IF(Euro!$C$10="Call",1,0),0)</f>
        <v>0.66664780571700577</v>
      </c>
      <c r="AD109" s="157">
        <f t="shared" ca="1" si="22"/>
        <v>0</v>
      </c>
      <c r="AE109" s="158">
        <f t="shared" ca="1" si="23"/>
        <v>0</v>
      </c>
      <c r="AF109" s="158">
        <f t="shared" ca="1" si="24"/>
        <v>0</v>
      </c>
      <c r="AG109" s="158">
        <f t="shared" ca="1" si="25"/>
        <v>0</v>
      </c>
      <c r="AH109" s="158">
        <f t="shared" ca="1" si="26"/>
        <v>0</v>
      </c>
      <c r="AI109" s="159">
        <f t="shared" ca="1" si="27"/>
        <v>0</v>
      </c>
      <c r="AK109"/>
      <c r="AL109"/>
      <c r="AM109"/>
      <c r="AN109"/>
      <c r="AO109"/>
      <c r="AP109"/>
      <c r="AQ109"/>
      <c r="AR109"/>
    </row>
    <row r="110" spans="2:44">
      <c r="B110" s="151">
        <f>[1]!_xludf.edate(B109,1)</f>
        <v>39692</v>
      </c>
      <c r="C110" s="152">
        <f t="shared" si="18"/>
        <v>39746</v>
      </c>
      <c r="D110" s="183">
        <v>0</v>
      </c>
      <c r="E110" s="184">
        <f>VLOOKUP($B110,Model!$A$8:$E$289,5)</f>
        <v>0</v>
      </c>
      <c r="F110" s="184">
        <f>VLOOKUP($B110,Model!$A$8:$F$289,6)</f>
        <v>0</v>
      </c>
      <c r="G110" s="206">
        <f ca="1">VLOOKUP($B110,Model!$A$8:$AO$289,41)</f>
        <v>0</v>
      </c>
      <c r="I110" s="153">
        <v>0</v>
      </c>
      <c r="J110" s="154">
        <f t="shared" si="20"/>
        <v>4.2380000000000004</v>
      </c>
      <c r="K110" s="160">
        <f t="shared" si="28"/>
        <v>0</v>
      </c>
      <c r="L110" s="156">
        <f>IF(Control!$Y$26=Control!$X$27,J110,I110)+K110</f>
        <v>4.2380000000000004</v>
      </c>
      <c r="M110" s="153">
        <v>0</v>
      </c>
      <c r="N110" s="154">
        <f>VLOOKUP($B110,Curve_Fetch,VLOOKUP(Control!$AJ$10,Control!$AI$11:$AK$22,3))</f>
        <v>-0.2</v>
      </c>
      <c r="O110" s="160">
        <f t="shared" si="29"/>
        <v>0</v>
      </c>
      <c r="P110" s="156">
        <f>IF(Control!$Y$31=Control!$X$32,N110,M110)+O110</f>
        <v>-0.2</v>
      </c>
      <c r="Q110" s="153">
        <v>0</v>
      </c>
      <c r="R110" s="154">
        <f>VLOOKUP($B110,Curve_Fetch,(VLOOKUP(Control!$AJ$10,Control!$AI$11:$AL$22,4)))</f>
        <v>2.5000000000000001E-3</v>
      </c>
      <c r="S110" s="160">
        <f t="shared" si="30"/>
        <v>0</v>
      </c>
      <c r="T110" s="156">
        <f>IF($C$11="Physical",IF(Control!$Y$37=Control!$X$38,R110,Q110)+S110,0)</f>
        <v>2.5000000000000001E-3</v>
      </c>
      <c r="U110" s="203">
        <f t="shared" si="19"/>
        <v>4.0405000000000006</v>
      </c>
      <c r="V110" s="172"/>
      <c r="W110" s="219">
        <f>VLOOKUP($B110,Model!$A$8:$S$289,19)</f>
        <v>0.22</v>
      </c>
      <c r="X110" s="221">
        <f t="shared" si="31"/>
        <v>0</v>
      </c>
      <c r="Y110" s="221">
        <f t="shared" si="21"/>
        <v>0.22</v>
      </c>
      <c r="Z110" s="160">
        <f t="shared" si="32"/>
        <v>0</v>
      </c>
      <c r="AA110" s="160">
        <f t="shared" si="33"/>
        <v>4.0405000000000006</v>
      </c>
      <c r="AB110" s="231">
        <f ca="1">_xll.EURO(U110,AA110,VLOOKUP($B110,Curve_Fetch,2),VLOOKUP($B110,Curve_Fetch,2),Y110,VLOOKUP($B110,Model!$A$8:$R$289,18),IF(Euro!$C$10="Call",1,0),0)</f>
        <v>0.66635148844213021</v>
      </c>
      <c r="AD110" s="157">
        <f t="shared" ca="1" si="22"/>
        <v>0</v>
      </c>
      <c r="AE110" s="158">
        <f t="shared" ca="1" si="23"/>
        <v>0</v>
      </c>
      <c r="AF110" s="158">
        <f t="shared" ca="1" si="24"/>
        <v>0</v>
      </c>
      <c r="AG110" s="158">
        <f t="shared" ca="1" si="25"/>
        <v>0</v>
      </c>
      <c r="AH110" s="158">
        <f t="shared" ca="1" si="26"/>
        <v>0</v>
      </c>
      <c r="AI110" s="159">
        <f t="shared" ca="1" si="27"/>
        <v>0</v>
      </c>
      <c r="AK110"/>
      <c r="AL110"/>
      <c r="AM110"/>
      <c r="AN110"/>
      <c r="AO110"/>
      <c r="AP110"/>
      <c r="AQ110"/>
      <c r="AR110"/>
    </row>
    <row r="111" spans="2:44">
      <c r="B111" s="151">
        <f>[1]!_xludf.edate(B110,1)</f>
        <v>39722</v>
      </c>
      <c r="C111" s="152">
        <f t="shared" si="18"/>
        <v>39777</v>
      </c>
      <c r="D111" s="183">
        <v>0</v>
      </c>
      <c r="E111" s="184">
        <f>VLOOKUP($B111,Model!$A$8:$E$289,5)</f>
        <v>0</v>
      </c>
      <c r="F111" s="184">
        <f>VLOOKUP($B111,Model!$A$8:$F$289,6)</f>
        <v>0</v>
      </c>
      <c r="G111" s="206">
        <f ca="1">VLOOKUP($B111,Model!$A$8:$AO$289,41)</f>
        <v>0</v>
      </c>
      <c r="I111" s="153">
        <v>0</v>
      </c>
      <c r="J111" s="154">
        <f t="shared" si="20"/>
        <v>4.2380000000000004</v>
      </c>
      <c r="K111" s="160">
        <f t="shared" si="28"/>
        <v>0</v>
      </c>
      <c r="L111" s="156">
        <f>IF(Control!$Y$26=Control!$X$27,J111,I111)+K111</f>
        <v>4.2380000000000004</v>
      </c>
      <c r="M111" s="153">
        <v>0</v>
      </c>
      <c r="N111" s="154">
        <f>VLOOKUP($B111,Curve_Fetch,VLOOKUP(Control!$AJ$10,Control!$AI$11:$AK$22,3))</f>
        <v>-0.2</v>
      </c>
      <c r="O111" s="160">
        <f t="shared" si="29"/>
        <v>0</v>
      </c>
      <c r="P111" s="156">
        <f>IF(Control!$Y$31=Control!$X$32,N111,M111)+O111</f>
        <v>-0.2</v>
      </c>
      <c r="Q111" s="153">
        <v>0</v>
      </c>
      <c r="R111" s="154">
        <f>VLOOKUP($B111,Curve_Fetch,(VLOOKUP(Control!$AJ$10,Control!$AI$11:$AL$22,4)))</f>
        <v>2.5000000000000001E-3</v>
      </c>
      <c r="S111" s="160">
        <f t="shared" si="30"/>
        <v>0</v>
      </c>
      <c r="T111" s="156">
        <f>IF($C$11="Physical",IF(Control!$Y$37=Control!$X$38,R111,Q111)+S111,0)</f>
        <v>2.5000000000000001E-3</v>
      </c>
      <c r="U111" s="203">
        <f t="shared" si="19"/>
        <v>4.0405000000000006</v>
      </c>
      <c r="V111" s="172"/>
      <c r="W111" s="219">
        <f>VLOOKUP($B111,Model!$A$8:$S$289,19)</f>
        <v>0.22</v>
      </c>
      <c r="X111" s="221">
        <f t="shared" si="31"/>
        <v>0</v>
      </c>
      <c r="Y111" s="221">
        <f t="shared" si="21"/>
        <v>0.22</v>
      </c>
      <c r="Z111" s="160">
        <f t="shared" si="32"/>
        <v>0</v>
      </c>
      <c r="AA111" s="160">
        <f t="shared" si="33"/>
        <v>4.0405000000000006</v>
      </c>
      <c r="AB111" s="231">
        <f ca="1">_xll.EURO(U111,AA111,VLOOKUP($B111,Curve_Fetch,2),VLOOKUP($B111,Curve_Fetch,2),Y111,VLOOKUP($B111,Model!$A$8:$R$289,18),IF(Euro!$C$10="Call",1,0),0)</f>
        <v>0.66695519996173469</v>
      </c>
      <c r="AD111" s="157">
        <f t="shared" ca="1" si="22"/>
        <v>0</v>
      </c>
      <c r="AE111" s="158">
        <f t="shared" ca="1" si="23"/>
        <v>0</v>
      </c>
      <c r="AF111" s="158">
        <f t="shared" ca="1" si="24"/>
        <v>0</v>
      </c>
      <c r="AG111" s="158">
        <f t="shared" ca="1" si="25"/>
        <v>0</v>
      </c>
      <c r="AH111" s="158">
        <f t="shared" ca="1" si="26"/>
        <v>0</v>
      </c>
      <c r="AI111" s="159">
        <f t="shared" ca="1" si="27"/>
        <v>0</v>
      </c>
      <c r="AK111"/>
      <c r="AL111"/>
      <c r="AM111"/>
      <c r="AN111"/>
      <c r="AO111"/>
      <c r="AP111"/>
      <c r="AQ111"/>
      <c r="AR111"/>
    </row>
    <row r="112" spans="2:44">
      <c r="B112" s="151">
        <f>[1]!_xludf.edate(B111,1)</f>
        <v>39753</v>
      </c>
      <c r="C112" s="152">
        <f t="shared" si="18"/>
        <v>39807</v>
      </c>
      <c r="D112" s="183">
        <v>0</v>
      </c>
      <c r="E112" s="184">
        <f>VLOOKUP($B112,Model!$A$8:$E$289,5)</f>
        <v>0</v>
      </c>
      <c r="F112" s="184">
        <f>VLOOKUP($B112,Model!$A$8:$F$289,6)</f>
        <v>0</v>
      </c>
      <c r="G112" s="206">
        <f ca="1">VLOOKUP($B112,Model!$A$8:$AO$289,41)</f>
        <v>0</v>
      </c>
      <c r="I112" s="153">
        <v>0</v>
      </c>
      <c r="J112" s="154">
        <f t="shared" si="20"/>
        <v>4.4080000000000004</v>
      </c>
      <c r="K112" s="160">
        <f t="shared" si="28"/>
        <v>0</v>
      </c>
      <c r="L112" s="156">
        <f>IF(Control!$Y$26=Control!$X$27,J112,I112)+K112</f>
        <v>4.4080000000000004</v>
      </c>
      <c r="M112" s="153">
        <v>0</v>
      </c>
      <c r="N112" s="154">
        <f>VLOOKUP($B112,Curve_Fetch,VLOOKUP(Control!$AJ$10,Control!$AI$11:$AK$22,3))</f>
        <v>-0.13</v>
      </c>
      <c r="O112" s="160">
        <f t="shared" si="29"/>
        <v>0</v>
      </c>
      <c r="P112" s="156">
        <f>IF(Control!$Y$31=Control!$X$32,N112,M112)+O112</f>
        <v>-0.13</v>
      </c>
      <c r="Q112" s="153">
        <v>0</v>
      </c>
      <c r="R112" s="154">
        <f>VLOOKUP($B112,Curve_Fetch,(VLOOKUP(Control!$AJ$10,Control!$AI$11:$AL$22,4)))</f>
        <v>5.0000000000000001E-3</v>
      </c>
      <c r="S112" s="160">
        <f t="shared" si="30"/>
        <v>0</v>
      </c>
      <c r="T112" s="156">
        <f>IF($C$11="Physical",IF(Control!$Y$37=Control!$X$38,R112,Q112)+S112,0)</f>
        <v>5.0000000000000001E-3</v>
      </c>
      <c r="U112" s="203">
        <f t="shared" si="19"/>
        <v>4.2830000000000004</v>
      </c>
      <c r="V112" s="172"/>
      <c r="W112" s="219">
        <f>VLOOKUP($B112,Model!$A$8:$S$289,19)</f>
        <v>0.22</v>
      </c>
      <c r="X112" s="221">
        <f t="shared" si="31"/>
        <v>0</v>
      </c>
      <c r="Y112" s="221">
        <f t="shared" si="21"/>
        <v>0.22</v>
      </c>
      <c r="Z112" s="160">
        <f t="shared" si="32"/>
        <v>0</v>
      </c>
      <c r="AA112" s="160">
        <f t="shared" si="33"/>
        <v>4.2830000000000004</v>
      </c>
      <c r="AB112" s="231">
        <f ca="1">_xll.EURO(U112,AA112,VLOOKUP($B112,Curve_Fetch,2),VLOOKUP($B112,Curve_Fetch,2),Y112,VLOOKUP($B112,Model!$A$8:$R$289,18),IF(Euro!$C$10="Call",1,0),0)</f>
        <v>0.70757400900455214</v>
      </c>
      <c r="AD112" s="157">
        <f t="shared" ca="1" si="22"/>
        <v>0</v>
      </c>
      <c r="AE112" s="158">
        <f t="shared" ca="1" si="23"/>
        <v>0</v>
      </c>
      <c r="AF112" s="158">
        <f t="shared" ca="1" si="24"/>
        <v>0</v>
      </c>
      <c r="AG112" s="158">
        <f t="shared" ca="1" si="25"/>
        <v>0</v>
      </c>
      <c r="AH112" s="158">
        <f t="shared" ca="1" si="26"/>
        <v>0</v>
      </c>
      <c r="AI112" s="159">
        <f t="shared" ca="1" si="27"/>
        <v>0</v>
      </c>
      <c r="AK112"/>
      <c r="AL112"/>
      <c r="AM112"/>
      <c r="AN112"/>
      <c r="AO112"/>
      <c r="AP112"/>
      <c r="AQ112"/>
      <c r="AR112"/>
    </row>
    <row r="113" spans="2:44">
      <c r="B113" s="151">
        <f>[1]!_xludf.edate(B112,1)</f>
        <v>39783</v>
      </c>
      <c r="C113" s="152">
        <f t="shared" si="18"/>
        <v>39838</v>
      </c>
      <c r="D113" s="183">
        <v>0</v>
      </c>
      <c r="E113" s="184">
        <f>VLOOKUP($B113,Model!$A$8:$E$289,5)</f>
        <v>0</v>
      </c>
      <c r="F113" s="184">
        <f>VLOOKUP($B113,Model!$A$8:$F$289,6)</f>
        <v>0</v>
      </c>
      <c r="G113" s="206">
        <f ca="1">VLOOKUP($B113,Model!$A$8:$AO$289,41)</f>
        <v>0</v>
      </c>
      <c r="I113" s="153">
        <v>0</v>
      </c>
      <c r="J113" s="154">
        <f t="shared" si="20"/>
        <v>4.5389999999999997</v>
      </c>
      <c r="K113" s="160">
        <f t="shared" si="28"/>
        <v>0</v>
      </c>
      <c r="L113" s="156">
        <f>IF(Control!$Y$26=Control!$X$27,J113,I113)+K113</f>
        <v>4.5389999999999997</v>
      </c>
      <c r="M113" s="153">
        <v>0</v>
      </c>
      <c r="N113" s="154">
        <f>VLOOKUP($B113,Curve_Fetch,VLOOKUP(Control!$AJ$10,Control!$AI$11:$AK$22,3))</f>
        <v>-0.13</v>
      </c>
      <c r="O113" s="160">
        <f t="shared" si="29"/>
        <v>0</v>
      </c>
      <c r="P113" s="156">
        <f>IF(Control!$Y$31=Control!$X$32,N113,M113)+O113</f>
        <v>-0.13</v>
      </c>
      <c r="Q113" s="153">
        <v>0</v>
      </c>
      <c r="R113" s="154">
        <f>VLOOKUP($B113,Curve_Fetch,(VLOOKUP(Control!$AJ$10,Control!$AI$11:$AL$22,4)))</f>
        <v>5.0000000000000001E-3</v>
      </c>
      <c r="S113" s="160">
        <f t="shared" si="30"/>
        <v>0</v>
      </c>
      <c r="T113" s="156">
        <f>IF($C$11="Physical",IF(Control!$Y$37=Control!$X$38,R113,Q113)+S113,0)</f>
        <v>5.0000000000000001E-3</v>
      </c>
      <c r="U113" s="203">
        <f t="shared" si="19"/>
        <v>4.4139999999999997</v>
      </c>
      <c r="V113" s="172"/>
      <c r="W113" s="219">
        <f>VLOOKUP($B113,Model!$A$8:$S$289,19)</f>
        <v>0.223</v>
      </c>
      <c r="X113" s="221">
        <f t="shared" si="31"/>
        <v>0</v>
      </c>
      <c r="Y113" s="221">
        <f t="shared" si="21"/>
        <v>0.223</v>
      </c>
      <c r="Z113" s="160">
        <f t="shared" si="32"/>
        <v>0</v>
      </c>
      <c r="AA113" s="160">
        <f t="shared" si="33"/>
        <v>4.4139999999999997</v>
      </c>
      <c r="AB113" s="231">
        <f ca="1">_xll.EURO(U113,AA113,VLOOKUP($B113,Curve_Fetch,2),VLOOKUP($B113,Curve_Fetch,2),Y113,VLOOKUP($B113,Model!$A$8:$R$289,18),IF(Euro!$C$10="Call",1,0),0)</f>
        <v>0.73970211332106506</v>
      </c>
      <c r="AD113" s="157">
        <f t="shared" ca="1" si="22"/>
        <v>0</v>
      </c>
      <c r="AE113" s="158">
        <f t="shared" ca="1" si="23"/>
        <v>0</v>
      </c>
      <c r="AF113" s="158">
        <f t="shared" ca="1" si="24"/>
        <v>0</v>
      </c>
      <c r="AG113" s="158">
        <f t="shared" ca="1" si="25"/>
        <v>0</v>
      </c>
      <c r="AH113" s="158">
        <f t="shared" ca="1" si="26"/>
        <v>0</v>
      </c>
      <c r="AI113" s="159">
        <f t="shared" ca="1" si="27"/>
        <v>0</v>
      </c>
      <c r="AK113"/>
      <c r="AL113"/>
      <c r="AM113"/>
      <c r="AN113"/>
      <c r="AO113"/>
      <c r="AP113"/>
      <c r="AQ113"/>
      <c r="AR113"/>
    </row>
    <row r="114" spans="2:44">
      <c r="B114" s="151">
        <f>[1]!_xludf.edate(B113,1)</f>
        <v>39814</v>
      </c>
      <c r="C114" s="152">
        <f t="shared" si="18"/>
        <v>39869</v>
      </c>
      <c r="D114" s="183">
        <v>0</v>
      </c>
      <c r="E114" s="184">
        <f>VLOOKUP($B114,Model!$A$8:$E$289,5)</f>
        <v>0</v>
      </c>
      <c r="F114" s="184">
        <f>VLOOKUP($B114,Model!$A$8:$F$289,6)</f>
        <v>0</v>
      </c>
      <c r="G114" s="206">
        <f ca="1">VLOOKUP($B114,Model!$A$8:$AO$289,41)</f>
        <v>0</v>
      </c>
      <c r="I114" s="153">
        <v>0</v>
      </c>
      <c r="J114" s="154">
        <f t="shared" si="20"/>
        <v>4.6040000000000001</v>
      </c>
      <c r="K114" s="160">
        <f t="shared" si="28"/>
        <v>0</v>
      </c>
      <c r="L114" s="156">
        <f>IF(Control!$Y$26=Control!$X$27,J114,I114)+K114</f>
        <v>4.6040000000000001</v>
      </c>
      <c r="M114" s="153">
        <v>0</v>
      </c>
      <c r="N114" s="154">
        <f>VLOOKUP($B114,Curve_Fetch,VLOOKUP(Control!$AJ$10,Control!$AI$11:$AK$22,3))</f>
        <v>-0.13</v>
      </c>
      <c r="O114" s="160">
        <f t="shared" si="29"/>
        <v>0</v>
      </c>
      <c r="P114" s="156">
        <f>IF(Control!$Y$31=Control!$X$32,N114,M114)+O114</f>
        <v>-0.13</v>
      </c>
      <c r="Q114" s="153">
        <v>0</v>
      </c>
      <c r="R114" s="154">
        <f>VLOOKUP($B114,Curve_Fetch,(VLOOKUP(Control!$AJ$10,Control!$AI$11:$AL$22,4)))</f>
        <v>5.0000000000000001E-3</v>
      </c>
      <c r="S114" s="160">
        <f t="shared" si="30"/>
        <v>0</v>
      </c>
      <c r="T114" s="156">
        <f>IF($C$11="Physical",IF(Control!$Y$37=Control!$X$38,R114,Q114)+S114,0)</f>
        <v>5.0000000000000001E-3</v>
      </c>
      <c r="U114" s="203">
        <f t="shared" si="19"/>
        <v>4.4790000000000001</v>
      </c>
      <c r="V114" s="172"/>
      <c r="W114" s="219">
        <f>VLOOKUP($B114,Model!$A$8:$S$289,19)</f>
        <v>0.22500000000000001</v>
      </c>
      <c r="X114" s="221">
        <f t="shared" si="31"/>
        <v>0</v>
      </c>
      <c r="Y114" s="221">
        <f t="shared" si="21"/>
        <v>0.22500000000000001</v>
      </c>
      <c r="Z114" s="160">
        <f t="shared" si="32"/>
        <v>0</v>
      </c>
      <c r="AA114" s="160">
        <f t="shared" si="33"/>
        <v>4.4790000000000001</v>
      </c>
      <c r="AB114" s="231">
        <f ca="1">_xll.EURO(U114,AA114,VLOOKUP($B114,Curve_Fetch,2),VLOOKUP($B114,Curve_Fetch,2),Y114,VLOOKUP($B114,Model!$A$8:$R$289,18),IF(Euro!$C$10="Call",1,0),0)</f>
        <v>0.75798381274172844</v>
      </c>
      <c r="AD114" s="157">
        <f t="shared" ca="1" si="22"/>
        <v>0</v>
      </c>
      <c r="AE114" s="158">
        <f t="shared" ca="1" si="23"/>
        <v>0</v>
      </c>
      <c r="AF114" s="158">
        <f t="shared" ca="1" si="24"/>
        <v>0</v>
      </c>
      <c r="AG114" s="158">
        <f t="shared" ca="1" si="25"/>
        <v>0</v>
      </c>
      <c r="AH114" s="158">
        <f t="shared" ca="1" si="26"/>
        <v>0</v>
      </c>
      <c r="AI114" s="159">
        <f t="shared" ca="1" si="27"/>
        <v>0</v>
      </c>
      <c r="AK114"/>
      <c r="AL114"/>
      <c r="AM114"/>
      <c r="AN114"/>
      <c r="AO114"/>
      <c r="AP114"/>
      <c r="AQ114"/>
      <c r="AR114"/>
    </row>
    <row r="115" spans="2:44">
      <c r="B115" s="151">
        <f>[1]!_xludf.edate(B114,1)</f>
        <v>39845</v>
      </c>
      <c r="C115" s="152">
        <f t="shared" si="18"/>
        <v>39897</v>
      </c>
      <c r="D115" s="183">
        <v>0</v>
      </c>
      <c r="E115" s="184">
        <f>VLOOKUP($B115,Model!$A$8:$E$289,5)</f>
        <v>0</v>
      </c>
      <c r="F115" s="184">
        <f>VLOOKUP($B115,Model!$A$8:$F$289,6)</f>
        <v>0</v>
      </c>
      <c r="G115" s="206">
        <f ca="1">VLOOKUP($B115,Model!$A$8:$AO$289,41)</f>
        <v>0</v>
      </c>
      <c r="I115" s="153">
        <v>0</v>
      </c>
      <c r="J115" s="154">
        <f t="shared" si="20"/>
        <v>4.516</v>
      </c>
      <c r="K115" s="160">
        <f t="shared" si="28"/>
        <v>0</v>
      </c>
      <c r="L115" s="156">
        <f>IF(Control!$Y$26=Control!$X$27,J115,I115)+K115</f>
        <v>4.516</v>
      </c>
      <c r="M115" s="153">
        <v>0</v>
      </c>
      <c r="N115" s="154">
        <f>VLOOKUP($B115,Curve_Fetch,VLOOKUP(Control!$AJ$10,Control!$AI$11:$AK$22,3))</f>
        <v>-0.13</v>
      </c>
      <c r="O115" s="160">
        <f t="shared" si="29"/>
        <v>0</v>
      </c>
      <c r="P115" s="156">
        <f>IF(Control!$Y$31=Control!$X$32,N115,M115)+O115</f>
        <v>-0.13</v>
      </c>
      <c r="Q115" s="153">
        <v>0</v>
      </c>
      <c r="R115" s="154">
        <f>VLOOKUP($B115,Curve_Fetch,(VLOOKUP(Control!$AJ$10,Control!$AI$11:$AL$22,4)))</f>
        <v>5.0000000000000001E-3</v>
      </c>
      <c r="S115" s="160">
        <f t="shared" si="30"/>
        <v>0</v>
      </c>
      <c r="T115" s="156">
        <f>IF($C$11="Physical",IF(Control!$Y$37=Control!$X$38,R115,Q115)+S115,0)</f>
        <v>5.0000000000000001E-3</v>
      </c>
      <c r="U115" s="203">
        <f t="shared" si="19"/>
        <v>4.391</v>
      </c>
      <c r="V115" s="172"/>
      <c r="W115" s="219">
        <f>VLOOKUP($B115,Model!$A$8:$S$289,19)</f>
        <v>0.22</v>
      </c>
      <c r="X115" s="221">
        <f t="shared" si="31"/>
        <v>0</v>
      </c>
      <c r="Y115" s="221">
        <f t="shared" si="21"/>
        <v>0.22</v>
      </c>
      <c r="Z115" s="160">
        <f t="shared" si="32"/>
        <v>0</v>
      </c>
      <c r="AA115" s="160">
        <f t="shared" si="33"/>
        <v>4.391</v>
      </c>
      <c r="AB115" s="231">
        <f ca="1">_xll.EURO(U115,AA115,VLOOKUP($B115,Curve_Fetch,2),VLOOKUP($B115,Curve_Fetch,2),Y115,VLOOKUP($B115,Model!$A$8:$R$289,18),IF(Euro!$C$10="Call",1,0),0)</f>
        <v>0.72781915154283405</v>
      </c>
      <c r="AD115" s="157">
        <f t="shared" ca="1" si="22"/>
        <v>0</v>
      </c>
      <c r="AE115" s="158">
        <f t="shared" ca="1" si="23"/>
        <v>0</v>
      </c>
      <c r="AF115" s="158">
        <f t="shared" ca="1" si="24"/>
        <v>0</v>
      </c>
      <c r="AG115" s="158">
        <f t="shared" ca="1" si="25"/>
        <v>0</v>
      </c>
      <c r="AH115" s="158">
        <f t="shared" ca="1" si="26"/>
        <v>0</v>
      </c>
      <c r="AI115" s="159">
        <f t="shared" ca="1" si="27"/>
        <v>0</v>
      </c>
      <c r="AK115"/>
      <c r="AL115"/>
      <c r="AM115"/>
      <c r="AN115"/>
      <c r="AO115"/>
      <c r="AP115"/>
      <c r="AQ115"/>
      <c r="AR115"/>
    </row>
    <row r="116" spans="2:44">
      <c r="B116" s="151">
        <f>[1]!_xludf.edate(B115,1)</f>
        <v>39873</v>
      </c>
      <c r="C116" s="152">
        <f t="shared" si="18"/>
        <v>39928</v>
      </c>
      <c r="D116" s="183">
        <v>0</v>
      </c>
      <c r="E116" s="184">
        <f>VLOOKUP($B116,Model!$A$8:$E$289,5)</f>
        <v>0</v>
      </c>
      <c r="F116" s="184">
        <f>VLOOKUP($B116,Model!$A$8:$F$289,6)</f>
        <v>0</v>
      </c>
      <c r="G116" s="206">
        <f ca="1">VLOOKUP($B116,Model!$A$8:$AO$289,41)</f>
        <v>0</v>
      </c>
      <c r="I116" s="153">
        <v>0</v>
      </c>
      <c r="J116" s="154">
        <f t="shared" si="20"/>
        <v>4.3769999999999998</v>
      </c>
      <c r="K116" s="160">
        <f t="shared" si="28"/>
        <v>0</v>
      </c>
      <c r="L116" s="156">
        <f>IF(Control!$Y$26=Control!$X$27,J116,I116)+K116</f>
        <v>4.3769999999999998</v>
      </c>
      <c r="M116" s="153">
        <v>0</v>
      </c>
      <c r="N116" s="154">
        <f>VLOOKUP($B116,Curve_Fetch,VLOOKUP(Control!$AJ$10,Control!$AI$11:$AK$22,3))</f>
        <v>-0.13</v>
      </c>
      <c r="O116" s="160">
        <f t="shared" si="29"/>
        <v>0</v>
      </c>
      <c r="P116" s="156">
        <f>IF(Control!$Y$31=Control!$X$32,N116,M116)+O116</f>
        <v>-0.13</v>
      </c>
      <c r="Q116" s="153">
        <v>0</v>
      </c>
      <c r="R116" s="154">
        <f>VLOOKUP($B116,Curve_Fetch,(VLOOKUP(Control!$AJ$10,Control!$AI$11:$AL$22,4)))</f>
        <v>5.0000000000000001E-3</v>
      </c>
      <c r="S116" s="160">
        <f t="shared" si="30"/>
        <v>0</v>
      </c>
      <c r="T116" s="156">
        <f>IF($C$11="Physical",IF(Control!$Y$37=Control!$X$38,R116,Q116)+S116,0)</f>
        <v>5.0000000000000001E-3</v>
      </c>
      <c r="U116" s="203">
        <f t="shared" si="19"/>
        <v>4.2519999999999998</v>
      </c>
      <c r="V116" s="172"/>
      <c r="W116" s="219">
        <f>VLOOKUP($B116,Model!$A$8:$S$289,19)</f>
        <v>0.20499999999999999</v>
      </c>
      <c r="X116" s="221">
        <f t="shared" si="31"/>
        <v>0</v>
      </c>
      <c r="Y116" s="221">
        <f t="shared" si="21"/>
        <v>0.20499999999999999</v>
      </c>
      <c r="Z116" s="160">
        <f t="shared" si="32"/>
        <v>0</v>
      </c>
      <c r="AA116" s="160">
        <f t="shared" si="33"/>
        <v>4.2519999999999998</v>
      </c>
      <c r="AB116" s="231">
        <f ca="1">_xll.EURO(U116,AA116,VLOOKUP($B116,Curve_Fetch,2),VLOOKUP($B116,Curve_Fetch,2),Y116,VLOOKUP($B116,Model!$A$8:$R$289,18),IF(Euro!$C$10="Call",1,0),0)</f>
        <v>0.6585678117793623</v>
      </c>
      <c r="AD116" s="157">
        <f t="shared" ca="1" si="22"/>
        <v>0</v>
      </c>
      <c r="AE116" s="158">
        <f t="shared" ca="1" si="23"/>
        <v>0</v>
      </c>
      <c r="AF116" s="158">
        <f t="shared" ca="1" si="24"/>
        <v>0</v>
      </c>
      <c r="AG116" s="158">
        <f t="shared" ca="1" si="25"/>
        <v>0</v>
      </c>
      <c r="AH116" s="158">
        <f t="shared" ca="1" si="26"/>
        <v>0</v>
      </c>
      <c r="AI116" s="159">
        <f t="shared" ca="1" si="27"/>
        <v>0</v>
      </c>
      <c r="AK116"/>
      <c r="AL116"/>
      <c r="AM116"/>
      <c r="AN116"/>
      <c r="AO116"/>
      <c r="AP116"/>
      <c r="AQ116"/>
      <c r="AR116"/>
    </row>
    <row r="117" spans="2:44">
      <c r="B117" s="151">
        <f>[1]!_xludf.edate(B116,1)</f>
        <v>39904</v>
      </c>
      <c r="C117" s="152">
        <f t="shared" si="18"/>
        <v>39958</v>
      </c>
      <c r="D117" s="183">
        <v>0</v>
      </c>
      <c r="E117" s="184">
        <f>VLOOKUP($B117,Model!$A$8:$E$289,5)</f>
        <v>0</v>
      </c>
      <c r="F117" s="184">
        <f>VLOOKUP($B117,Model!$A$8:$F$289,6)</f>
        <v>0</v>
      </c>
      <c r="G117" s="206">
        <f ca="1">VLOOKUP($B117,Model!$A$8:$AO$289,41)</f>
        <v>0</v>
      </c>
      <c r="I117" s="153">
        <v>0</v>
      </c>
      <c r="J117" s="154">
        <f t="shared" si="20"/>
        <v>4.2229999999999999</v>
      </c>
      <c r="K117" s="160">
        <f t="shared" si="28"/>
        <v>0</v>
      </c>
      <c r="L117" s="156">
        <f>IF(Control!$Y$26=Control!$X$27,J117,I117)+K117</f>
        <v>4.2229999999999999</v>
      </c>
      <c r="M117" s="153">
        <v>0</v>
      </c>
      <c r="N117" s="154">
        <f>VLOOKUP($B117,Curve_Fetch,VLOOKUP(Control!$AJ$10,Control!$AI$11:$AK$22,3))</f>
        <v>-0.2</v>
      </c>
      <c r="O117" s="160">
        <f t="shared" si="29"/>
        <v>0</v>
      </c>
      <c r="P117" s="156">
        <f>IF(Control!$Y$31=Control!$X$32,N117,M117)+O117</f>
        <v>-0.2</v>
      </c>
      <c r="Q117" s="153">
        <v>0</v>
      </c>
      <c r="R117" s="154">
        <f>VLOOKUP($B117,Curve_Fetch,(VLOOKUP(Control!$AJ$10,Control!$AI$11:$AL$22,4)))</f>
        <v>2.5000000000000001E-3</v>
      </c>
      <c r="S117" s="160">
        <f t="shared" si="30"/>
        <v>0</v>
      </c>
      <c r="T117" s="156">
        <f>IF($C$11="Physical",IF(Control!$Y$37=Control!$X$38,R117,Q117)+S117,0)</f>
        <v>2.5000000000000001E-3</v>
      </c>
      <c r="U117" s="203">
        <f t="shared" si="19"/>
        <v>4.0255000000000001</v>
      </c>
      <c r="V117" s="172"/>
      <c r="W117" s="219">
        <f>VLOOKUP($B117,Model!$A$8:$S$289,19)</f>
        <v>0.19500000000000001</v>
      </c>
      <c r="X117" s="221">
        <f t="shared" si="31"/>
        <v>0</v>
      </c>
      <c r="Y117" s="221">
        <f t="shared" si="21"/>
        <v>0.19500000000000001</v>
      </c>
      <c r="Z117" s="160">
        <f t="shared" si="32"/>
        <v>0</v>
      </c>
      <c r="AA117" s="160">
        <f t="shared" si="33"/>
        <v>4.0255000000000001</v>
      </c>
      <c r="AB117" s="231">
        <f ca="1">_xll.EURO(U117,AA117,VLOOKUP($B117,Curve_Fetch,2),VLOOKUP($B117,Curve_Fetch,2),Y117,VLOOKUP($B117,Model!$A$8:$R$289,18),IF(Euro!$C$10="Call",1,0),0)</f>
        <v>0.59434007053403382</v>
      </c>
      <c r="AD117" s="157">
        <f t="shared" ca="1" si="22"/>
        <v>0</v>
      </c>
      <c r="AE117" s="158">
        <f t="shared" ca="1" si="23"/>
        <v>0</v>
      </c>
      <c r="AF117" s="158">
        <f t="shared" ca="1" si="24"/>
        <v>0</v>
      </c>
      <c r="AG117" s="158">
        <f t="shared" ca="1" si="25"/>
        <v>0</v>
      </c>
      <c r="AH117" s="158">
        <f t="shared" ca="1" si="26"/>
        <v>0</v>
      </c>
      <c r="AI117" s="159">
        <f t="shared" ca="1" si="27"/>
        <v>0</v>
      </c>
      <c r="AK117"/>
      <c r="AL117"/>
      <c r="AM117"/>
      <c r="AN117"/>
      <c r="AO117"/>
      <c r="AP117"/>
      <c r="AQ117"/>
      <c r="AR117"/>
    </row>
    <row r="118" spans="2:44">
      <c r="B118" s="151">
        <f>[1]!_xludf.edate(B117,1)</f>
        <v>39934</v>
      </c>
      <c r="C118" s="152">
        <f t="shared" si="18"/>
        <v>39989</v>
      </c>
      <c r="D118" s="183">
        <v>0</v>
      </c>
      <c r="E118" s="184">
        <f>VLOOKUP($B118,Model!$A$8:$E$289,5)</f>
        <v>0</v>
      </c>
      <c r="F118" s="184">
        <f>VLOOKUP($B118,Model!$A$8:$F$289,6)</f>
        <v>0</v>
      </c>
      <c r="G118" s="206">
        <f ca="1">VLOOKUP($B118,Model!$A$8:$AO$289,41)</f>
        <v>0</v>
      </c>
      <c r="I118" s="153">
        <v>0</v>
      </c>
      <c r="J118" s="154">
        <f t="shared" si="20"/>
        <v>4.2279999999999998</v>
      </c>
      <c r="K118" s="160">
        <f t="shared" si="28"/>
        <v>0</v>
      </c>
      <c r="L118" s="156">
        <f>IF(Control!$Y$26=Control!$X$27,J118,I118)+K118</f>
        <v>4.2279999999999998</v>
      </c>
      <c r="M118" s="153">
        <v>0</v>
      </c>
      <c r="N118" s="154">
        <f>VLOOKUP($B118,Curve_Fetch,VLOOKUP(Control!$AJ$10,Control!$AI$11:$AK$22,3))</f>
        <v>-0.2</v>
      </c>
      <c r="O118" s="160">
        <f t="shared" si="29"/>
        <v>0</v>
      </c>
      <c r="P118" s="156">
        <f>IF(Control!$Y$31=Control!$X$32,N118,M118)+O118</f>
        <v>-0.2</v>
      </c>
      <c r="Q118" s="153">
        <v>0</v>
      </c>
      <c r="R118" s="154">
        <f>VLOOKUP($B118,Curve_Fetch,(VLOOKUP(Control!$AJ$10,Control!$AI$11:$AL$22,4)))</f>
        <v>2.5000000000000001E-3</v>
      </c>
      <c r="S118" s="160">
        <f t="shared" si="30"/>
        <v>0</v>
      </c>
      <c r="T118" s="156">
        <f>IF($C$11="Physical",IF(Control!$Y$37=Control!$X$38,R118,Q118)+S118,0)</f>
        <v>2.5000000000000001E-3</v>
      </c>
      <c r="U118" s="203">
        <f t="shared" si="19"/>
        <v>4.0305</v>
      </c>
      <c r="V118" s="172"/>
      <c r="W118" s="219">
        <f>VLOOKUP($B118,Model!$A$8:$S$289,19)</f>
        <v>0.19500000000000001</v>
      </c>
      <c r="X118" s="221">
        <f t="shared" si="31"/>
        <v>0</v>
      </c>
      <c r="Y118" s="221">
        <f t="shared" si="21"/>
        <v>0.19500000000000001</v>
      </c>
      <c r="Z118" s="160">
        <f t="shared" si="32"/>
        <v>0</v>
      </c>
      <c r="AA118" s="160">
        <f t="shared" si="33"/>
        <v>4.0305</v>
      </c>
      <c r="AB118" s="231">
        <f ca="1">_xll.EURO(U118,AA118,VLOOKUP($B118,Curve_Fetch,2),VLOOKUP($B118,Curve_Fetch,2),Y118,VLOOKUP($B118,Model!$A$8:$R$289,18),IF(Euro!$C$10="Call",1,0),0)</f>
        <v>0.59556522150491387</v>
      </c>
      <c r="AD118" s="157">
        <f t="shared" ca="1" si="22"/>
        <v>0</v>
      </c>
      <c r="AE118" s="158">
        <f t="shared" ca="1" si="23"/>
        <v>0</v>
      </c>
      <c r="AF118" s="158">
        <f t="shared" ca="1" si="24"/>
        <v>0</v>
      </c>
      <c r="AG118" s="158">
        <f t="shared" ca="1" si="25"/>
        <v>0</v>
      </c>
      <c r="AH118" s="158">
        <f t="shared" ca="1" si="26"/>
        <v>0</v>
      </c>
      <c r="AI118" s="159">
        <f t="shared" ca="1" si="27"/>
        <v>0</v>
      </c>
      <c r="AK118"/>
      <c r="AL118"/>
      <c r="AM118"/>
      <c r="AN118"/>
      <c r="AO118"/>
      <c r="AP118"/>
      <c r="AQ118"/>
      <c r="AR118"/>
    </row>
    <row r="119" spans="2:44">
      <c r="B119" s="151">
        <f>[1]!_xludf.edate(B118,1)</f>
        <v>39965</v>
      </c>
      <c r="C119" s="152">
        <f t="shared" si="18"/>
        <v>40019</v>
      </c>
      <c r="D119" s="183">
        <v>0</v>
      </c>
      <c r="E119" s="184">
        <f>VLOOKUP($B119,Model!$A$8:$E$289,5)</f>
        <v>0</v>
      </c>
      <c r="F119" s="184">
        <f>VLOOKUP($B119,Model!$A$8:$F$289,6)</f>
        <v>0</v>
      </c>
      <c r="G119" s="206">
        <f ca="1">VLOOKUP($B119,Model!$A$8:$AO$289,41)</f>
        <v>0</v>
      </c>
      <c r="I119" s="153">
        <v>0</v>
      </c>
      <c r="J119" s="154">
        <f t="shared" si="20"/>
        <v>4.266</v>
      </c>
      <c r="K119" s="160">
        <f t="shared" si="28"/>
        <v>0</v>
      </c>
      <c r="L119" s="156">
        <f>IF(Control!$Y$26=Control!$X$27,J119,I119)+K119</f>
        <v>4.266</v>
      </c>
      <c r="M119" s="153">
        <v>0</v>
      </c>
      <c r="N119" s="154">
        <f>VLOOKUP($B119,Curve_Fetch,VLOOKUP(Control!$AJ$10,Control!$AI$11:$AK$22,3))</f>
        <v>-0.2</v>
      </c>
      <c r="O119" s="160">
        <f t="shared" si="29"/>
        <v>0</v>
      </c>
      <c r="P119" s="156">
        <f>IF(Control!$Y$31=Control!$X$32,N119,M119)+O119</f>
        <v>-0.2</v>
      </c>
      <c r="Q119" s="153">
        <v>0</v>
      </c>
      <c r="R119" s="154">
        <f>VLOOKUP($B119,Curve_Fetch,(VLOOKUP(Control!$AJ$10,Control!$AI$11:$AL$22,4)))</f>
        <v>2.5000000000000001E-3</v>
      </c>
      <c r="S119" s="160">
        <f t="shared" si="30"/>
        <v>0</v>
      </c>
      <c r="T119" s="156">
        <f>IF($C$11="Physical",IF(Control!$Y$37=Control!$X$38,R119,Q119)+S119,0)</f>
        <v>2.5000000000000001E-3</v>
      </c>
      <c r="U119" s="203">
        <f t="shared" si="19"/>
        <v>4.0685000000000002</v>
      </c>
      <c r="V119" s="172"/>
      <c r="W119" s="219">
        <f>VLOOKUP($B119,Model!$A$8:$S$289,19)</f>
        <v>0.19500000000000001</v>
      </c>
      <c r="X119" s="221">
        <f t="shared" si="31"/>
        <v>0</v>
      </c>
      <c r="Y119" s="221">
        <f t="shared" si="21"/>
        <v>0.19500000000000001</v>
      </c>
      <c r="Z119" s="160">
        <f t="shared" si="32"/>
        <v>0</v>
      </c>
      <c r="AA119" s="160">
        <f t="shared" si="33"/>
        <v>4.0685000000000002</v>
      </c>
      <c r="AB119" s="231">
        <f ca="1">_xll.EURO(U119,AA119,VLOOKUP($B119,Curve_Fetch,2),VLOOKUP($B119,Curve_Fetch,2),Y119,VLOOKUP($B119,Model!$A$8:$R$289,18),IF(Euro!$C$10="Call",1,0),0)</f>
        <v>0.60164101790422087</v>
      </c>
      <c r="AD119" s="157">
        <f t="shared" ca="1" si="22"/>
        <v>0</v>
      </c>
      <c r="AE119" s="158">
        <f t="shared" ca="1" si="23"/>
        <v>0</v>
      </c>
      <c r="AF119" s="158">
        <f t="shared" ca="1" si="24"/>
        <v>0</v>
      </c>
      <c r="AG119" s="158">
        <f t="shared" ca="1" si="25"/>
        <v>0</v>
      </c>
      <c r="AH119" s="158">
        <f t="shared" ca="1" si="26"/>
        <v>0</v>
      </c>
      <c r="AI119" s="159">
        <f t="shared" ca="1" si="27"/>
        <v>0</v>
      </c>
      <c r="AK119"/>
      <c r="AL119"/>
      <c r="AM119"/>
      <c r="AN119"/>
      <c r="AO119"/>
      <c r="AP119"/>
      <c r="AQ119"/>
      <c r="AR119"/>
    </row>
    <row r="120" spans="2:44">
      <c r="B120" s="151">
        <f>[1]!_xludf.edate(B119,1)</f>
        <v>39995</v>
      </c>
      <c r="C120" s="152">
        <f t="shared" si="18"/>
        <v>40050</v>
      </c>
      <c r="D120" s="183">
        <v>0</v>
      </c>
      <c r="E120" s="184">
        <f>VLOOKUP($B120,Model!$A$8:$E$289,5)</f>
        <v>0</v>
      </c>
      <c r="F120" s="184">
        <f>VLOOKUP($B120,Model!$A$8:$F$289,6)</f>
        <v>0</v>
      </c>
      <c r="G120" s="206">
        <f ca="1">VLOOKUP($B120,Model!$A$8:$AO$289,41)</f>
        <v>0</v>
      </c>
      <c r="I120" s="153">
        <v>0</v>
      </c>
      <c r="J120" s="154">
        <f t="shared" si="20"/>
        <v>4.3109999999999999</v>
      </c>
      <c r="K120" s="160">
        <f t="shared" si="28"/>
        <v>0</v>
      </c>
      <c r="L120" s="156">
        <f>IF(Control!$Y$26=Control!$X$27,J120,I120)+K120</f>
        <v>4.3109999999999999</v>
      </c>
      <c r="M120" s="153">
        <v>0</v>
      </c>
      <c r="N120" s="154">
        <f>VLOOKUP($B120,Curve_Fetch,VLOOKUP(Control!$AJ$10,Control!$AI$11:$AK$22,3))</f>
        <v>-0.2</v>
      </c>
      <c r="O120" s="160">
        <f t="shared" si="29"/>
        <v>0</v>
      </c>
      <c r="P120" s="156">
        <f>IF(Control!$Y$31=Control!$X$32,N120,M120)+O120</f>
        <v>-0.2</v>
      </c>
      <c r="Q120" s="153">
        <v>0</v>
      </c>
      <c r="R120" s="154">
        <f>VLOOKUP($B120,Curve_Fetch,(VLOOKUP(Control!$AJ$10,Control!$AI$11:$AL$22,4)))</f>
        <v>2.5000000000000001E-3</v>
      </c>
      <c r="S120" s="160">
        <f t="shared" si="30"/>
        <v>0</v>
      </c>
      <c r="T120" s="156">
        <f>IF($C$11="Physical",IF(Control!$Y$37=Control!$X$38,R120,Q120)+S120,0)</f>
        <v>2.5000000000000001E-3</v>
      </c>
      <c r="U120" s="203">
        <f t="shared" si="19"/>
        <v>4.1135000000000002</v>
      </c>
      <c r="V120" s="172"/>
      <c r="W120" s="219">
        <f>VLOOKUP($B120,Model!$A$8:$S$289,19)</f>
        <v>0.19500000000000001</v>
      </c>
      <c r="X120" s="221">
        <f t="shared" si="31"/>
        <v>0</v>
      </c>
      <c r="Y120" s="221">
        <f t="shared" si="21"/>
        <v>0.19500000000000001</v>
      </c>
      <c r="Z120" s="160">
        <f t="shared" si="32"/>
        <v>0</v>
      </c>
      <c r="AA120" s="160">
        <f t="shared" si="33"/>
        <v>4.1135000000000002</v>
      </c>
      <c r="AB120" s="231">
        <f ca="1">_xll.EURO(U120,AA120,VLOOKUP($B120,Curve_Fetch,2),VLOOKUP($B120,Curve_Fetch,2),Y120,VLOOKUP($B120,Model!$A$8:$R$289,18),IF(Euro!$C$10="Call",1,0),0)</f>
        <v>0.60870088873896466</v>
      </c>
      <c r="AD120" s="157">
        <f t="shared" ca="1" si="22"/>
        <v>0</v>
      </c>
      <c r="AE120" s="158">
        <f t="shared" ca="1" si="23"/>
        <v>0</v>
      </c>
      <c r="AF120" s="158">
        <f t="shared" ca="1" si="24"/>
        <v>0</v>
      </c>
      <c r="AG120" s="158">
        <f t="shared" ca="1" si="25"/>
        <v>0</v>
      </c>
      <c r="AH120" s="158">
        <f t="shared" ca="1" si="26"/>
        <v>0</v>
      </c>
      <c r="AI120" s="159">
        <f t="shared" ca="1" si="27"/>
        <v>0</v>
      </c>
      <c r="AK120"/>
      <c r="AL120"/>
      <c r="AM120"/>
      <c r="AN120"/>
      <c r="AO120"/>
      <c r="AP120"/>
      <c r="AQ120"/>
      <c r="AR120"/>
    </row>
    <row r="121" spans="2:44">
      <c r="B121" s="151">
        <f>[1]!_xludf.edate(B120,1)</f>
        <v>40026</v>
      </c>
      <c r="C121" s="152">
        <f t="shared" si="18"/>
        <v>40081</v>
      </c>
      <c r="D121" s="183">
        <v>0</v>
      </c>
      <c r="E121" s="184">
        <f>VLOOKUP($B121,Model!$A$8:$E$289,5)</f>
        <v>0</v>
      </c>
      <c r="F121" s="184">
        <f>VLOOKUP($B121,Model!$A$8:$F$289,6)</f>
        <v>0</v>
      </c>
      <c r="G121" s="206">
        <f ca="1">VLOOKUP($B121,Model!$A$8:$AO$289,41)</f>
        <v>0</v>
      </c>
      <c r="I121" s="153">
        <v>0</v>
      </c>
      <c r="J121" s="154">
        <f t="shared" si="20"/>
        <v>4.3490000000000002</v>
      </c>
      <c r="K121" s="160">
        <f t="shared" si="28"/>
        <v>0</v>
      </c>
      <c r="L121" s="156">
        <f>IF(Control!$Y$26=Control!$X$27,J121,I121)+K121</f>
        <v>4.3490000000000002</v>
      </c>
      <c r="M121" s="153">
        <v>0</v>
      </c>
      <c r="N121" s="154">
        <f>VLOOKUP($B121,Curve_Fetch,VLOOKUP(Control!$AJ$10,Control!$AI$11:$AK$22,3))</f>
        <v>-0.2</v>
      </c>
      <c r="O121" s="160">
        <f t="shared" si="29"/>
        <v>0</v>
      </c>
      <c r="P121" s="156">
        <f>IF(Control!$Y$31=Control!$X$32,N121,M121)+O121</f>
        <v>-0.2</v>
      </c>
      <c r="Q121" s="153">
        <v>0</v>
      </c>
      <c r="R121" s="154">
        <f>VLOOKUP($B121,Curve_Fetch,(VLOOKUP(Control!$AJ$10,Control!$AI$11:$AL$22,4)))</f>
        <v>2.5000000000000001E-3</v>
      </c>
      <c r="S121" s="160">
        <f t="shared" si="30"/>
        <v>0</v>
      </c>
      <c r="T121" s="156">
        <f>IF($C$11="Physical",IF(Control!$Y$37=Control!$X$38,R121,Q121)+S121,0)</f>
        <v>2.5000000000000001E-3</v>
      </c>
      <c r="U121" s="203">
        <f t="shared" si="19"/>
        <v>4.1515000000000004</v>
      </c>
      <c r="V121" s="172"/>
      <c r="W121" s="219">
        <f>VLOOKUP($B121,Model!$A$8:$S$289,19)</f>
        <v>0.19500000000000001</v>
      </c>
      <c r="X121" s="221">
        <f t="shared" si="31"/>
        <v>0</v>
      </c>
      <c r="Y121" s="221">
        <f t="shared" si="21"/>
        <v>0.19500000000000001</v>
      </c>
      <c r="Z121" s="160">
        <f t="shared" si="32"/>
        <v>0</v>
      </c>
      <c r="AA121" s="160">
        <f t="shared" si="33"/>
        <v>4.1515000000000004</v>
      </c>
      <c r="AB121" s="231">
        <f ca="1">_xll.EURO(U121,AA121,VLOOKUP($B121,Curve_Fetch,2),VLOOKUP($B121,Curve_Fetch,2),Y121,VLOOKUP($B121,Model!$A$8:$R$289,18),IF(Euro!$C$10="Call",1,0),0)</f>
        <v>0.6147000794981734</v>
      </c>
      <c r="AD121" s="157">
        <f t="shared" ca="1" si="22"/>
        <v>0</v>
      </c>
      <c r="AE121" s="158">
        <f t="shared" ca="1" si="23"/>
        <v>0</v>
      </c>
      <c r="AF121" s="158">
        <f t="shared" ca="1" si="24"/>
        <v>0</v>
      </c>
      <c r="AG121" s="158">
        <f t="shared" ca="1" si="25"/>
        <v>0</v>
      </c>
      <c r="AH121" s="158">
        <f t="shared" ca="1" si="26"/>
        <v>0</v>
      </c>
      <c r="AI121" s="159">
        <f t="shared" ca="1" si="27"/>
        <v>0</v>
      </c>
      <c r="AK121"/>
      <c r="AL121"/>
      <c r="AM121"/>
      <c r="AN121"/>
      <c r="AO121"/>
      <c r="AP121"/>
      <c r="AQ121"/>
      <c r="AR121"/>
    </row>
    <row r="122" spans="2:44">
      <c r="B122" s="151">
        <f>[1]!_xludf.edate(B121,1)</f>
        <v>40057</v>
      </c>
      <c r="C122" s="152">
        <f t="shared" si="18"/>
        <v>40111</v>
      </c>
      <c r="D122" s="183">
        <v>0</v>
      </c>
      <c r="E122" s="184">
        <f>VLOOKUP($B122,Model!$A$8:$E$289,5)</f>
        <v>0</v>
      </c>
      <c r="F122" s="184">
        <f>VLOOKUP($B122,Model!$A$8:$F$289,6)</f>
        <v>0</v>
      </c>
      <c r="G122" s="206">
        <f ca="1">VLOOKUP($B122,Model!$A$8:$AO$289,41)</f>
        <v>0</v>
      </c>
      <c r="I122" s="153">
        <v>0</v>
      </c>
      <c r="J122" s="154">
        <f t="shared" si="20"/>
        <v>4.343</v>
      </c>
      <c r="K122" s="160">
        <f t="shared" si="28"/>
        <v>0</v>
      </c>
      <c r="L122" s="156">
        <f>IF(Control!$Y$26=Control!$X$27,J122,I122)+K122</f>
        <v>4.343</v>
      </c>
      <c r="M122" s="153">
        <v>0</v>
      </c>
      <c r="N122" s="154">
        <f>VLOOKUP($B122,Curve_Fetch,VLOOKUP(Control!$AJ$10,Control!$AI$11:$AK$22,3))</f>
        <v>-0.2</v>
      </c>
      <c r="O122" s="160">
        <f t="shared" si="29"/>
        <v>0</v>
      </c>
      <c r="P122" s="156">
        <f>IF(Control!$Y$31=Control!$X$32,N122,M122)+O122</f>
        <v>-0.2</v>
      </c>
      <c r="Q122" s="153">
        <v>0</v>
      </c>
      <c r="R122" s="154">
        <f>VLOOKUP($B122,Curve_Fetch,(VLOOKUP(Control!$AJ$10,Control!$AI$11:$AL$22,4)))</f>
        <v>2.5000000000000001E-3</v>
      </c>
      <c r="S122" s="160">
        <f t="shared" si="30"/>
        <v>0</v>
      </c>
      <c r="T122" s="156">
        <f>IF($C$11="Physical",IF(Control!$Y$37=Control!$X$38,R122,Q122)+S122,0)</f>
        <v>2.5000000000000001E-3</v>
      </c>
      <c r="U122" s="203">
        <f t="shared" si="19"/>
        <v>4.1455000000000002</v>
      </c>
      <c r="V122" s="172"/>
      <c r="W122" s="219">
        <f>VLOOKUP($B122,Model!$A$8:$S$289,19)</f>
        <v>0.19500000000000001</v>
      </c>
      <c r="X122" s="221">
        <f t="shared" si="31"/>
        <v>0</v>
      </c>
      <c r="Y122" s="221">
        <f t="shared" si="21"/>
        <v>0.19500000000000001</v>
      </c>
      <c r="Z122" s="160">
        <f t="shared" si="32"/>
        <v>0</v>
      </c>
      <c r="AA122" s="160">
        <f t="shared" si="33"/>
        <v>4.1455000000000002</v>
      </c>
      <c r="AB122" s="231">
        <f ca="1">_xll.EURO(U122,AA122,VLOOKUP($B122,Curve_Fetch,2),VLOOKUP($B122,Curve_Fetch,2),Y122,VLOOKUP($B122,Model!$A$8:$R$289,18),IF(Euro!$C$10="Call",1,0),0)</f>
        <v>0.61414059012183797</v>
      </c>
      <c r="AD122" s="157">
        <f t="shared" ca="1" si="22"/>
        <v>0</v>
      </c>
      <c r="AE122" s="158">
        <f t="shared" ca="1" si="23"/>
        <v>0</v>
      </c>
      <c r="AF122" s="158">
        <f t="shared" ca="1" si="24"/>
        <v>0</v>
      </c>
      <c r="AG122" s="158">
        <f t="shared" ca="1" si="25"/>
        <v>0</v>
      </c>
      <c r="AH122" s="158">
        <f t="shared" ca="1" si="26"/>
        <v>0</v>
      </c>
      <c r="AI122" s="159">
        <f t="shared" ca="1" si="27"/>
        <v>0</v>
      </c>
      <c r="AK122"/>
      <c r="AL122"/>
      <c r="AM122"/>
      <c r="AN122"/>
      <c r="AO122"/>
      <c r="AP122"/>
      <c r="AQ122"/>
      <c r="AR122"/>
    </row>
    <row r="123" spans="2:44">
      <c r="B123" s="151">
        <f>[1]!_xludf.edate(B122,1)</f>
        <v>40087</v>
      </c>
      <c r="C123" s="152">
        <f t="shared" si="18"/>
        <v>40142</v>
      </c>
      <c r="D123" s="183">
        <v>0</v>
      </c>
      <c r="E123" s="184">
        <f>VLOOKUP($B123,Model!$A$8:$E$289,5)</f>
        <v>0</v>
      </c>
      <c r="F123" s="184">
        <f>VLOOKUP($B123,Model!$A$8:$F$289,6)</f>
        <v>0</v>
      </c>
      <c r="G123" s="206">
        <f ca="1">VLOOKUP($B123,Model!$A$8:$AO$289,41)</f>
        <v>0</v>
      </c>
      <c r="I123" s="153">
        <v>0</v>
      </c>
      <c r="J123" s="154">
        <f t="shared" si="20"/>
        <v>4.343</v>
      </c>
      <c r="K123" s="160">
        <f t="shared" si="28"/>
        <v>0</v>
      </c>
      <c r="L123" s="156">
        <f>IF(Control!$Y$26=Control!$X$27,J123,I123)+K123</f>
        <v>4.343</v>
      </c>
      <c r="M123" s="153">
        <v>0</v>
      </c>
      <c r="N123" s="154">
        <f>VLOOKUP($B123,Curve_Fetch,VLOOKUP(Control!$AJ$10,Control!$AI$11:$AK$22,3))</f>
        <v>-0.2</v>
      </c>
      <c r="O123" s="160">
        <f t="shared" si="29"/>
        <v>0</v>
      </c>
      <c r="P123" s="156">
        <f>IF(Control!$Y$31=Control!$X$32,N123,M123)+O123</f>
        <v>-0.2</v>
      </c>
      <c r="Q123" s="153">
        <v>0</v>
      </c>
      <c r="R123" s="154">
        <f>VLOOKUP($B123,Curve_Fetch,(VLOOKUP(Control!$AJ$10,Control!$AI$11:$AL$22,4)))</f>
        <v>2.5000000000000001E-3</v>
      </c>
      <c r="S123" s="160">
        <f t="shared" si="30"/>
        <v>0</v>
      </c>
      <c r="T123" s="156">
        <f>IF($C$11="Physical",IF(Control!$Y$37=Control!$X$38,R123,Q123)+S123,0)</f>
        <v>2.5000000000000001E-3</v>
      </c>
      <c r="U123" s="203">
        <f t="shared" si="19"/>
        <v>4.1455000000000002</v>
      </c>
      <c r="V123" s="172"/>
      <c r="W123" s="219">
        <f>VLOOKUP($B123,Model!$A$8:$S$289,19)</f>
        <v>0.19500000000000001</v>
      </c>
      <c r="X123" s="221">
        <f t="shared" si="31"/>
        <v>0</v>
      </c>
      <c r="Y123" s="221">
        <f t="shared" si="21"/>
        <v>0.19500000000000001</v>
      </c>
      <c r="Z123" s="160">
        <f t="shared" si="32"/>
        <v>0</v>
      </c>
      <c r="AA123" s="160">
        <f t="shared" si="33"/>
        <v>4.1455000000000002</v>
      </c>
      <c r="AB123" s="231">
        <f ca="1">_xll.EURO(U123,AA123,VLOOKUP($B123,Curve_Fetch,2),VLOOKUP($B123,Curve_Fetch,2),Y123,VLOOKUP($B123,Model!$A$8:$R$289,18),IF(Euro!$C$10="Call",1,0),0)</f>
        <v>0.61441517138767021</v>
      </c>
      <c r="AD123" s="157">
        <f t="shared" ca="1" si="22"/>
        <v>0</v>
      </c>
      <c r="AE123" s="158">
        <f t="shared" ca="1" si="23"/>
        <v>0</v>
      </c>
      <c r="AF123" s="158">
        <f t="shared" ca="1" si="24"/>
        <v>0</v>
      </c>
      <c r="AG123" s="158">
        <f t="shared" ca="1" si="25"/>
        <v>0</v>
      </c>
      <c r="AH123" s="158">
        <f t="shared" ca="1" si="26"/>
        <v>0</v>
      </c>
      <c r="AI123" s="159">
        <f t="shared" ca="1" si="27"/>
        <v>0</v>
      </c>
      <c r="AK123"/>
      <c r="AL123"/>
      <c r="AM123"/>
      <c r="AN123"/>
      <c r="AO123"/>
      <c r="AP123"/>
      <c r="AQ123"/>
      <c r="AR123"/>
    </row>
    <row r="124" spans="2:44">
      <c r="B124" s="151">
        <f>[1]!_xludf.edate(B123,1)</f>
        <v>40118</v>
      </c>
      <c r="C124" s="152">
        <f t="shared" si="18"/>
        <v>40172</v>
      </c>
      <c r="D124" s="183">
        <v>0</v>
      </c>
      <c r="E124" s="184">
        <f>VLOOKUP($B124,Model!$A$8:$E$289,5)</f>
        <v>0</v>
      </c>
      <c r="F124" s="184">
        <f>VLOOKUP($B124,Model!$A$8:$F$289,6)</f>
        <v>0</v>
      </c>
      <c r="G124" s="206">
        <f ca="1">VLOOKUP($B124,Model!$A$8:$AO$289,41)</f>
        <v>0</v>
      </c>
      <c r="I124" s="153">
        <v>0</v>
      </c>
      <c r="J124" s="154">
        <f t="shared" si="20"/>
        <v>4.5129999999999999</v>
      </c>
      <c r="K124" s="160">
        <f t="shared" si="28"/>
        <v>0</v>
      </c>
      <c r="L124" s="156">
        <f>IF(Control!$Y$26=Control!$X$27,J124,I124)+K124</f>
        <v>4.5129999999999999</v>
      </c>
      <c r="M124" s="153">
        <v>0</v>
      </c>
      <c r="N124" s="154">
        <f>VLOOKUP($B124,Curve_Fetch,VLOOKUP(Control!$AJ$10,Control!$AI$11:$AK$22,3))</f>
        <v>-0.13</v>
      </c>
      <c r="O124" s="160">
        <f t="shared" si="29"/>
        <v>0</v>
      </c>
      <c r="P124" s="156">
        <f>IF(Control!$Y$31=Control!$X$32,N124,M124)+O124</f>
        <v>-0.13</v>
      </c>
      <c r="Q124" s="153">
        <v>0</v>
      </c>
      <c r="R124" s="154">
        <f>VLOOKUP($B124,Curve_Fetch,(VLOOKUP(Control!$AJ$10,Control!$AI$11:$AL$22,4)))</f>
        <v>5.0000000000000001E-3</v>
      </c>
      <c r="S124" s="160">
        <f t="shared" si="30"/>
        <v>0</v>
      </c>
      <c r="T124" s="156">
        <f>IF($C$11="Physical",IF(Control!$Y$37=Control!$X$38,R124,Q124)+S124,0)</f>
        <v>5.0000000000000001E-3</v>
      </c>
      <c r="U124" s="203">
        <f t="shared" si="19"/>
        <v>4.3879999999999999</v>
      </c>
      <c r="V124" s="172"/>
      <c r="W124" s="219">
        <f>VLOOKUP($B124,Model!$A$8:$S$289,19)</f>
        <v>0.19500000000000001</v>
      </c>
      <c r="X124" s="221">
        <f t="shared" si="31"/>
        <v>0</v>
      </c>
      <c r="Y124" s="221">
        <f t="shared" si="21"/>
        <v>0.19500000000000001</v>
      </c>
      <c r="Z124" s="160">
        <f t="shared" si="32"/>
        <v>0</v>
      </c>
      <c r="AA124" s="160">
        <f t="shared" si="33"/>
        <v>4.3879999999999999</v>
      </c>
      <c r="AB124" s="231">
        <f ca="1">_xll.EURO(U124,AA124,VLOOKUP($B124,Curve_Fetch,2),VLOOKUP($B124,Curve_Fetch,2),Y124,VLOOKUP($B124,Model!$A$8:$R$289,18),IF(Euro!$C$10="Call",1,0),0)</f>
        <v>0.65060995591220183</v>
      </c>
      <c r="AD124" s="157">
        <f t="shared" ca="1" si="22"/>
        <v>0</v>
      </c>
      <c r="AE124" s="158">
        <f t="shared" ca="1" si="23"/>
        <v>0</v>
      </c>
      <c r="AF124" s="158">
        <f t="shared" ca="1" si="24"/>
        <v>0</v>
      </c>
      <c r="AG124" s="158">
        <f t="shared" ca="1" si="25"/>
        <v>0</v>
      </c>
      <c r="AH124" s="158">
        <f t="shared" ca="1" si="26"/>
        <v>0</v>
      </c>
      <c r="AI124" s="159">
        <f t="shared" ca="1" si="27"/>
        <v>0</v>
      </c>
      <c r="AK124"/>
      <c r="AL124"/>
      <c r="AM124"/>
      <c r="AN124"/>
      <c r="AO124"/>
      <c r="AP124"/>
      <c r="AQ124"/>
      <c r="AR124"/>
    </row>
    <row r="125" spans="2:44">
      <c r="B125" s="151">
        <f>[1]!_xludf.edate(B124,1)</f>
        <v>40148</v>
      </c>
      <c r="C125" s="152">
        <f t="shared" ref="C125:C156" si="34">IF($C$11="Physical",B126+24,B126)</f>
        <v>40203</v>
      </c>
      <c r="D125" s="183">
        <v>0</v>
      </c>
      <c r="E125" s="184">
        <f>VLOOKUP($B125,Model!$A$8:$E$289,5)</f>
        <v>0</v>
      </c>
      <c r="F125" s="184">
        <f>VLOOKUP($B125,Model!$A$8:$F$289,6)</f>
        <v>0</v>
      </c>
      <c r="G125" s="206">
        <f ca="1">VLOOKUP($B125,Model!$A$8:$AO$289,41)</f>
        <v>0</v>
      </c>
      <c r="I125" s="153">
        <v>0</v>
      </c>
      <c r="J125" s="154">
        <f t="shared" si="20"/>
        <v>4.6440000000000001</v>
      </c>
      <c r="K125" s="160">
        <f t="shared" si="28"/>
        <v>0</v>
      </c>
      <c r="L125" s="156">
        <f>IF(Control!$Y$26=Control!$X$27,J125,I125)+K125</f>
        <v>4.6440000000000001</v>
      </c>
      <c r="M125" s="153">
        <v>0</v>
      </c>
      <c r="N125" s="154">
        <f>VLOOKUP($B125,Curve_Fetch,VLOOKUP(Control!$AJ$10,Control!$AI$11:$AK$22,3))</f>
        <v>-0.13</v>
      </c>
      <c r="O125" s="160">
        <f t="shared" si="29"/>
        <v>0</v>
      </c>
      <c r="P125" s="156">
        <f>IF(Control!$Y$31=Control!$X$32,N125,M125)+O125</f>
        <v>-0.13</v>
      </c>
      <c r="Q125" s="153">
        <v>0</v>
      </c>
      <c r="R125" s="154">
        <f>VLOOKUP($B125,Curve_Fetch,(VLOOKUP(Control!$AJ$10,Control!$AI$11:$AL$22,4)))</f>
        <v>5.0000000000000001E-3</v>
      </c>
      <c r="S125" s="160">
        <f t="shared" si="30"/>
        <v>0</v>
      </c>
      <c r="T125" s="156">
        <f>IF($C$11="Physical",IF(Control!$Y$37=Control!$X$38,R125,Q125)+S125,0)</f>
        <v>5.0000000000000001E-3</v>
      </c>
      <c r="U125" s="203">
        <f t="shared" ref="U125:U156" si="35">IF($C$11="Financial",L125+P125,L125+P125+T125)</f>
        <v>4.5190000000000001</v>
      </c>
      <c r="V125" s="172"/>
      <c r="W125" s="219">
        <f>VLOOKUP($B125,Model!$A$8:$S$289,19)</f>
        <v>0.19500000000000001</v>
      </c>
      <c r="X125" s="221">
        <f t="shared" si="31"/>
        <v>0</v>
      </c>
      <c r="Y125" s="221">
        <f t="shared" si="21"/>
        <v>0.19500000000000001</v>
      </c>
      <c r="Z125" s="160">
        <f t="shared" si="32"/>
        <v>0</v>
      </c>
      <c r="AA125" s="160">
        <f t="shared" si="33"/>
        <v>4.5190000000000001</v>
      </c>
      <c r="AB125" s="231">
        <f ca="1">_xll.EURO(U125,AA125,VLOOKUP($B125,Curve_Fetch,2),VLOOKUP($B125,Curve_Fetch,2),Y125,VLOOKUP($B125,Model!$A$8:$R$289,18),IF(Euro!$C$10="Call",1,0),0)</f>
        <v>0.67023951771343437</v>
      </c>
      <c r="AD125" s="157">
        <f t="shared" ca="1" si="22"/>
        <v>0</v>
      </c>
      <c r="AE125" s="158">
        <f t="shared" ca="1" si="23"/>
        <v>0</v>
      </c>
      <c r="AF125" s="158">
        <f t="shared" ca="1" si="24"/>
        <v>0</v>
      </c>
      <c r="AG125" s="158">
        <f t="shared" ca="1" si="25"/>
        <v>0</v>
      </c>
      <c r="AH125" s="158">
        <f t="shared" ca="1" si="26"/>
        <v>0</v>
      </c>
      <c r="AI125" s="159">
        <f t="shared" ca="1" si="27"/>
        <v>0</v>
      </c>
      <c r="AK125"/>
      <c r="AL125"/>
      <c r="AM125"/>
      <c r="AN125"/>
      <c r="AO125"/>
      <c r="AP125"/>
      <c r="AQ125"/>
      <c r="AR125"/>
    </row>
    <row r="126" spans="2:44">
      <c r="B126" s="151">
        <f>[1]!_xludf.edate(B125,1)</f>
        <v>40179</v>
      </c>
      <c r="C126" s="152">
        <f t="shared" si="34"/>
        <v>40234</v>
      </c>
      <c r="D126" s="183">
        <v>0</v>
      </c>
      <c r="E126" s="184">
        <f>VLOOKUP($B126,Model!$A$8:$E$289,5)</f>
        <v>0</v>
      </c>
      <c r="F126" s="184">
        <f>VLOOKUP($B126,Model!$A$8:$F$289,6)</f>
        <v>0</v>
      </c>
      <c r="G126" s="206">
        <f ca="1">VLOOKUP($B126,Model!$A$8:$AO$289,41)</f>
        <v>0</v>
      </c>
      <c r="I126" s="153">
        <v>0</v>
      </c>
      <c r="J126" s="154">
        <f t="shared" si="20"/>
        <v>4.7115</v>
      </c>
      <c r="K126" s="160">
        <f t="shared" si="28"/>
        <v>0</v>
      </c>
      <c r="L126" s="156">
        <f>IF(Control!$Y$26=Control!$X$27,J126,I126)+K126</f>
        <v>4.7115</v>
      </c>
      <c r="M126" s="153">
        <v>0</v>
      </c>
      <c r="N126" s="154">
        <f>VLOOKUP($B126,Curve_Fetch,VLOOKUP(Control!$AJ$10,Control!$AI$11:$AK$22,3))</f>
        <v>-0.13</v>
      </c>
      <c r="O126" s="160">
        <f t="shared" si="29"/>
        <v>0</v>
      </c>
      <c r="P126" s="156">
        <f>IF(Control!$Y$31=Control!$X$32,N126,M126)+O126</f>
        <v>-0.13</v>
      </c>
      <c r="Q126" s="153">
        <v>0</v>
      </c>
      <c r="R126" s="154">
        <f>VLOOKUP($B126,Curve_Fetch,(VLOOKUP(Control!$AJ$10,Control!$AI$11:$AL$22,4)))</f>
        <v>5.0000000000000001E-3</v>
      </c>
      <c r="S126" s="160">
        <f t="shared" si="30"/>
        <v>0</v>
      </c>
      <c r="T126" s="156">
        <f>IF($C$11="Physical",IF(Control!$Y$37=Control!$X$38,R126,Q126)+S126,0)</f>
        <v>5.0000000000000001E-3</v>
      </c>
      <c r="U126" s="203">
        <f t="shared" si="35"/>
        <v>4.5865</v>
      </c>
      <c r="V126" s="172"/>
      <c r="W126" s="219">
        <f>VLOOKUP($B126,Model!$A$8:$S$289,19)</f>
        <v>0.19500000000000001</v>
      </c>
      <c r="X126" s="221">
        <f t="shared" si="31"/>
        <v>0</v>
      </c>
      <c r="Y126" s="221">
        <f t="shared" si="21"/>
        <v>0.19500000000000001</v>
      </c>
      <c r="Z126" s="160">
        <f t="shared" si="32"/>
        <v>0</v>
      </c>
      <c r="AA126" s="160">
        <f t="shared" si="33"/>
        <v>4.5865</v>
      </c>
      <c r="AB126" s="231">
        <f ca="1">_xll.EURO(U126,AA126,VLOOKUP($B126,Curve_Fetch,2),VLOOKUP($B126,Curve_Fetch,2),Y126,VLOOKUP($B126,Model!$A$8:$R$289,18),IF(Euro!$C$10="Call",1,0),0)</f>
        <v>0.68041929996129658</v>
      </c>
      <c r="AD126" s="157">
        <f t="shared" ca="1" si="22"/>
        <v>0</v>
      </c>
      <c r="AE126" s="158">
        <f t="shared" ca="1" si="23"/>
        <v>0</v>
      </c>
      <c r="AF126" s="158">
        <f t="shared" ca="1" si="24"/>
        <v>0</v>
      </c>
      <c r="AG126" s="158">
        <f t="shared" ca="1" si="25"/>
        <v>0</v>
      </c>
      <c r="AH126" s="158">
        <f t="shared" ca="1" si="26"/>
        <v>0</v>
      </c>
      <c r="AI126" s="159">
        <f t="shared" ca="1" si="27"/>
        <v>0</v>
      </c>
      <c r="AK126"/>
      <c r="AL126"/>
      <c r="AM126"/>
      <c r="AN126"/>
      <c r="AO126"/>
      <c r="AP126"/>
      <c r="AQ126"/>
      <c r="AR126"/>
    </row>
    <row r="127" spans="2:44">
      <c r="B127" s="151">
        <f>[1]!_xludf.edate(B126,1)</f>
        <v>40210</v>
      </c>
      <c r="C127" s="152">
        <f t="shared" si="34"/>
        <v>40262</v>
      </c>
      <c r="D127" s="183">
        <v>0</v>
      </c>
      <c r="E127" s="184">
        <f>VLOOKUP($B127,Model!$A$8:$E$289,5)</f>
        <v>0</v>
      </c>
      <c r="F127" s="184">
        <f>VLOOKUP($B127,Model!$A$8:$F$289,6)</f>
        <v>0</v>
      </c>
      <c r="G127" s="206">
        <f ca="1">VLOOKUP($B127,Model!$A$8:$AO$289,41)</f>
        <v>0</v>
      </c>
      <c r="I127" s="153">
        <v>0</v>
      </c>
      <c r="J127" s="154">
        <f t="shared" si="20"/>
        <v>4.6234999999999999</v>
      </c>
      <c r="K127" s="160">
        <f t="shared" si="28"/>
        <v>0</v>
      </c>
      <c r="L127" s="156">
        <f>IF(Control!$Y$26=Control!$X$27,J127,I127)+K127</f>
        <v>4.6234999999999999</v>
      </c>
      <c r="M127" s="153">
        <v>0</v>
      </c>
      <c r="N127" s="154">
        <f>VLOOKUP($B127,Curve_Fetch,VLOOKUP(Control!$AJ$10,Control!$AI$11:$AK$22,3))</f>
        <v>-0.13</v>
      </c>
      <c r="O127" s="160">
        <f t="shared" si="29"/>
        <v>0</v>
      </c>
      <c r="P127" s="156">
        <f>IF(Control!$Y$31=Control!$X$32,N127,M127)+O127</f>
        <v>-0.13</v>
      </c>
      <c r="Q127" s="153">
        <v>0</v>
      </c>
      <c r="R127" s="154">
        <f>VLOOKUP($B127,Curve_Fetch,(VLOOKUP(Control!$AJ$10,Control!$AI$11:$AL$22,4)))</f>
        <v>5.0000000000000001E-3</v>
      </c>
      <c r="S127" s="160">
        <f t="shared" si="30"/>
        <v>0</v>
      </c>
      <c r="T127" s="156">
        <f>IF($C$11="Physical",IF(Control!$Y$37=Control!$X$38,R127,Q127)+S127,0)</f>
        <v>5.0000000000000001E-3</v>
      </c>
      <c r="U127" s="203">
        <f t="shared" si="35"/>
        <v>4.4984999999999999</v>
      </c>
      <c r="V127" s="172"/>
      <c r="W127" s="219">
        <f>VLOOKUP($B127,Model!$A$8:$S$289,19)</f>
        <v>0.19</v>
      </c>
      <c r="X127" s="221">
        <f t="shared" si="31"/>
        <v>0</v>
      </c>
      <c r="Y127" s="221">
        <f t="shared" si="21"/>
        <v>0.19</v>
      </c>
      <c r="Z127" s="160">
        <f t="shared" si="32"/>
        <v>0</v>
      </c>
      <c r="AA127" s="160">
        <f t="shared" si="33"/>
        <v>4.4984999999999999</v>
      </c>
      <c r="AB127" s="231">
        <f ca="1">_xll.EURO(U127,AA127,VLOOKUP($B127,Curve_Fetch,2),VLOOKUP($B127,Curve_Fetch,2),Y127,VLOOKUP($B127,Model!$A$8:$R$289,18),IF(Euro!$C$10="Call",1,0),0)</f>
        <v>0.65079376171341874</v>
      </c>
      <c r="AD127" s="157">
        <f t="shared" ca="1" si="22"/>
        <v>0</v>
      </c>
      <c r="AE127" s="158">
        <f t="shared" ca="1" si="23"/>
        <v>0</v>
      </c>
      <c r="AF127" s="158">
        <f t="shared" ca="1" si="24"/>
        <v>0</v>
      </c>
      <c r="AG127" s="158">
        <f t="shared" ca="1" si="25"/>
        <v>0</v>
      </c>
      <c r="AH127" s="158">
        <f t="shared" ca="1" si="26"/>
        <v>0</v>
      </c>
      <c r="AI127" s="159">
        <f t="shared" ca="1" si="27"/>
        <v>0</v>
      </c>
      <c r="AK127"/>
      <c r="AL127"/>
      <c r="AM127"/>
      <c r="AN127"/>
      <c r="AO127"/>
      <c r="AP127"/>
      <c r="AQ127"/>
      <c r="AR127"/>
    </row>
    <row r="128" spans="2:44">
      <c r="B128" s="151">
        <f>[1]!_xludf.edate(B127,1)</f>
        <v>40238</v>
      </c>
      <c r="C128" s="152">
        <f t="shared" si="34"/>
        <v>40293</v>
      </c>
      <c r="D128" s="183">
        <v>0</v>
      </c>
      <c r="E128" s="184">
        <f>VLOOKUP($B128,Model!$A$8:$E$289,5)</f>
        <v>0</v>
      </c>
      <c r="F128" s="184">
        <f>VLOOKUP($B128,Model!$A$8:$F$289,6)</f>
        <v>0</v>
      </c>
      <c r="G128" s="206">
        <f ca="1">VLOOKUP($B128,Model!$A$8:$AO$289,41)</f>
        <v>0</v>
      </c>
      <c r="I128" s="153">
        <v>0</v>
      </c>
      <c r="J128" s="154">
        <f t="shared" si="20"/>
        <v>4.4844999999999997</v>
      </c>
      <c r="K128" s="160">
        <f t="shared" si="28"/>
        <v>0</v>
      </c>
      <c r="L128" s="156">
        <f>IF(Control!$Y$26=Control!$X$27,J128,I128)+K128</f>
        <v>4.4844999999999997</v>
      </c>
      <c r="M128" s="153">
        <v>0</v>
      </c>
      <c r="N128" s="154">
        <f>VLOOKUP($B128,Curve_Fetch,VLOOKUP(Control!$AJ$10,Control!$AI$11:$AK$22,3))</f>
        <v>-0.13</v>
      </c>
      <c r="O128" s="160">
        <f t="shared" si="29"/>
        <v>0</v>
      </c>
      <c r="P128" s="156">
        <f>IF(Control!$Y$31=Control!$X$32,N128,M128)+O128</f>
        <v>-0.13</v>
      </c>
      <c r="Q128" s="153">
        <v>0</v>
      </c>
      <c r="R128" s="154">
        <f>VLOOKUP($B128,Curve_Fetch,(VLOOKUP(Control!$AJ$10,Control!$AI$11:$AL$22,4)))</f>
        <v>5.0000000000000001E-3</v>
      </c>
      <c r="S128" s="160">
        <f t="shared" si="30"/>
        <v>0</v>
      </c>
      <c r="T128" s="156">
        <f>IF($C$11="Physical",IF(Control!$Y$37=Control!$X$38,R128,Q128)+S128,0)</f>
        <v>5.0000000000000001E-3</v>
      </c>
      <c r="U128" s="203">
        <f t="shared" si="35"/>
        <v>4.3594999999999997</v>
      </c>
      <c r="V128" s="172"/>
      <c r="W128" s="219">
        <f>VLOOKUP($B128,Model!$A$8:$S$289,19)</f>
        <v>0.188</v>
      </c>
      <c r="X128" s="221">
        <f t="shared" si="31"/>
        <v>0</v>
      </c>
      <c r="Y128" s="221">
        <f t="shared" si="21"/>
        <v>0.188</v>
      </c>
      <c r="Z128" s="160">
        <f t="shared" si="32"/>
        <v>0</v>
      </c>
      <c r="AA128" s="160">
        <f t="shared" si="33"/>
        <v>4.3594999999999997</v>
      </c>
      <c r="AB128" s="231">
        <f ca="1">_xll.EURO(U128,AA128,VLOOKUP($B128,Curve_Fetch,2),VLOOKUP($B128,Curve_Fetch,2),Y128,VLOOKUP($B128,Model!$A$8:$R$289,18),IF(Euro!$C$10="Call",1,0),0)</f>
        <v>0.62427463651004422</v>
      </c>
      <c r="AD128" s="157">
        <f t="shared" ca="1" si="22"/>
        <v>0</v>
      </c>
      <c r="AE128" s="158">
        <f t="shared" ca="1" si="23"/>
        <v>0</v>
      </c>
      <c r="AF128" s="158">
        <f t="shared" ca="1" si="24"/>
        <v>0</v>
      </c>
      <c r="AG128" s="158">
        <f t="shared" ca="1" si="25"/>
        <v>0</v>
      </c>
      <c r="AH128" s="158">
        <f t="shared" ca="1" si="26"/>
        <v>0</v>
      </c>
      <c r="AI128" s="159">
        <f t="shared" ca="1" si="27"/>
        <v>0</v>
      </c>
      <c r="AK128"/>
      <c r="AL128"/>
      <c r="AM128"/>
      <c r="AN128"/>
      <c r="AO128"/>
      <c r="AP128"/>
      <c r="AQ128"/>
      <c r="AR128"/>
    </row>
    <row r="129" spans="2:44">
      <c r="B129" s="151">
        <f>[1]!_xludf.edate(B128,1)</f>
        <v>40269</v>
      </c>
      <c r="C129" s="152">
        <f t="shared" si="34"/>
        <v>40323</v>
      </c>
      <c r="D129" s="183">
        <v>0</v>
      </c>
      <c r="E129" s="184">
        <f>VLOOKUP($B129,Model!$A$8:$E$289,5)</f>
        <v>0</v>
      </c>
      <c r="F129" s="184">
        <f>VLOOKUP($B129,Model!$A$8:$F$289,6)</f>
        <v>0</v>
      </c>
      <c r="G129" s="206">
        <f ca="1">VLOOKUP($B129,Model!$A$8:$AO$289,41)</f>
        <v>0</v>
      </c>
      <c r="I129" s="153">
        <v>0</v>
      </c>
      <c r="J129" s="154">
        <f t="shared" si="20"/>
        <v>4.3304999999999998</v>
      </c>
      <c r="K129" s="160">
        <f t="shared" si="28"/>
        <v>0</v>
      </c>
      <c r="L129" s="156">
        <f>IF(Control!$Y$26=Control!$X$27,J129,I129)+K129</f>
        <v>4.3304999999999998</v>
      </c>
      <c r="M129" s="153">
        <v>0</v>
      </c>
      <c r="N129" s="154">
        <f>VLOOKUP($B129,Curve_Fetch,VLOOKUP(Control!$AJ$10,Control!$AI$11:$AK$22,3))</f>
        <v>-0.2</v>
      </c>
      <c r="O129" s="160">
        <f t="shared" si="29"/>
        <v>0</v>
      </c>
      <c r="P129" s="156">
        <f>IF(Control!$Y$31=Control!$X$32,N129,M129)+O129</f>
        <v>-0.2</v>
      </c>
      <c r="Q129" s="153">
        <v>0</v>
      </c>
      <c r="R129" s="154">
        <f>VLOOKUP($B129,Curve_Fetch,(VLOOKUP(Control!$AJ$10,Control!$AI$11:$AL$22,4)))</f>
        <v>2.5000000000000001E-3</v>
      </c>
      <c r="S129" s="160">
        <f t="shared" si="30"/>
        <v>0</v>
      </c>
      <c r="T129" s="156">
        <f>IF($C$11="Physical",IF(Control!$Y$37=Control!$X$38,R129,Q129)+S129,0)</f>
        <v>2.5000000000000001E-3</v>
      </c>
      <c r="U129" s="203">
        <f t="shared" si="35"/>
        <v>4.133</v>
      </c>
      <c r="V129" s="172"/>
      <c r="W129" s="219">
        <f>VLOOKUP($B129,Model!$A$8:$S$289,19)</f>
        <v>0.185</v>
      </c>
      <c r="X129" s="221">
        <f t="shared" si="31"/>
        <v>0</v>
      </c>
      <c r="Y129" s="221">
        <f t="shared" si="21"/>
        <v>0.185</v>
      </c>
      <c r="Z129" s="160">
        <f t="shared" si="32"/>
        <v>0</v>
      </c>
      <c r="AA129" s="160">
        <f t="shared" si="33"/>
        <v>4.133</v>
      </c>
      <c r="AB129" s="231">
        <f ca="1">_xll.EURO(U129,AA129,VLOOKUP($B129,Curve_Fetch,2),VLOOKUP($B129,Curve_Fetch,2),Y129,VLOOKUP($B129,Model!$A$8:$R$289,18),IF(Euro!$C$10="Call",1,0),0)</f>
        <v>0.58265462273012325</v>
      </c>
      <c r="AD129" s="157">
        <f t="shared" ca="1" si="22"/>
        <v>0</v>
      </c>
      <c r="AE129" s="158">
        <f t="shared" ca="1" si="23"/>
        <v>0</v>
      </c>
      <c r="AF129" s="158">
        <f t="shared" ca="1" si="24"/>
        <v>0</v>
      </c>
      <c r="AG129" s="158">
        <f t="shared" ca="1" si="25"/>
        <v>0</v>
      </c>
      <c r="AH129" s="158">
        <f t="shared" ca="1" si="26"/>
        <v>0</v>
      </c>
      <c r="AI129" s="159">
        <f t="shared" ca="1" si="27"/>
        <v>0</v>
      </c>
      <c r="AK129"/>
      <c r="AL129"/>
      <c r="AM129"/>
      <c r="AN129"/>
      <c r="AO129"/>
      <c r="AP129"/>
      <c r="AQ129"/>
      <c r="AR129"/>
    </row>
    <row r="130" spans="2:44">
      <c r="B130" s="151">
        <f>[1]!_xludf.edate(B129,1)</f>
        <v>40299</v>
      </c>
      <c r="C130" s="152">
        <f t="shared" si="34"/>
        <v>40354</v>
      </c>
      <c r="D130" s="183">
        <v>0</v>
      </c>
      <c r="E130" s="184">
        <f>VLOOKUP($B130,Model!$A$8:$E$289,5)</f>
        <v>0</v>
      </c>
      <c r="F130" s="184">
        <f>VLOOKUP($B130,Model!$A$8:$F$289,6)</f>
        <v>0</v>
      </c>
      <c r="G130" s="206">
        <f ca="1">VLOOKUP($B130,Model!$A$8:$AO$289,41)</f>
        <v>0</v>
      </c>
      <c r="I130" s="153">
        <v>0</v>
      </c>
      <c r="J130" s="154">
        <f t="shared" si="20"/>
        <v>4.3354999999999997</v>
      </c>
      <c r="K130" s="160">
        <f t="shared" si="28"/>
        <v>0</v>
      </c>
      <c r="L130" s="156">
        <f>IF(Control!$Y$26=Control!$X$27,J130,I130)+K130</f>
        <v>4.3354999999999997</v>
      </c>
      <c r="M130" s="153">
        <v>0</v>
      </c>
      <c r="N130" s="154">
        <f>VLOOKUP($B130,Curve_Fetch,VLOOKUP(Control!$AJ$10,Control!$AI$11:$AK$22,3))</f>
        <v>-0.2</v>
      </c>
      <c r="O130" s="160">
        <f t="shared" si="29"/>
        <v>0</v>
      </c>
      <c r="P130" s="156">
        <f>IF(Control!$Y$31=Control!$X$32,N130,M130)+O130</f>
        <v>-0.2</v>
      </c>
      <c r="Q130" s="153">
        <v>0</v>
      </c>
      <c r="R130" s="154">
        <f>VLOOKUP($B130,Curve_Fetch,(VLOOKUP(Control!$AJ$10,Control!$AI$11:$AL$22,4)))</f>
        <v>2.5000000000000001E-3</v>
      </c>
      <c r="S130" s="160">
        <f t="shared" si="30"/>
        <v>0</v>
      </c>
      <c r="T130" s="156">
        <f>IF($C$11="Physical",IF(Control!$Y$37=Control!$X$38,R130,Q130)+S130,0)</f>
        <v>2.5000000000000001E-3</v>
      </c>
      <c r="U130" s="203">
        <f t="shared" si="35"/>
        <v>4.1379999999999999</v>
      </c>
      <c r="V130" s="172"/>
      <c r="W130" s="219">
        <f>VLOOKUP($B130,Model!$A$8:$S$289,19)</f>
        <v>0.185</v>
      </c>
      <c r="X130" s="221">
        <f t="shared" si="31"/>
        <v>0</v>
      </c>
      <c r="Y130" s="221">
        <f t="shared" si="21"/>
        <v>0.185</v>
      </c>
      <c r="Z130" s="160">
        <f t="shared" si="32"/>
        <v>0</v>
      </c>
      <c r="AA130" s="160">
        <f t="shared" si="33"/>
        <v>4.1379999999999999</v>
      </c>
      <c r="AB130" s="231">
        <f ca="1">_xll.EURO(U130,AA130,VLOOKUP($B130,Curve_Fetch,2),VLOOKUP($B130,Curve_Fetch,2),Y130,VLOOKUP($B130,Model!$A$8:$R$289,18),IF(Euro!$C$10="Call",1,0),0)</f>
        <v>0.58335589586025716</v>
      </c>
      <c r="AD130" s="157">
        <f t="shared" ca="1" si="22"/>
        <v>0</v>
      </c>
      <c r="AE130" s="158">
        <f t="shared" ca="1" si="23"/>
        <v>0</v>
      </c>
      <c r="AF130" s="158">
        <f t="shared" ca="1" si="24"/>
        <v>0</v>
      </c>
      <c r="AG130" s="158">
        <f t="shared" ca="1" si="25"/>
        <v>0</v>
      </c>
      <c r="AH130" s="158">
        <f t="shared" ca="1" si="26"/>
        <v>0</v>
      </c>
      <c r="AI130" s="159">
        <f t="shared" ca="1" si="27"/>
        <v>0</v>
      </c>
      <c r="AK130"/>
      <c r="AL130"/>
      <c r="AM130"/>
      <c r="AN130"/>
      <c r="AO130"/>
      <c r="AP130"/>
      <c r="AQ130"/>
      <c r="AR130"/>
    </row>
    <row r="131" spans="2:44">
      <c r="B131" s="151">
        <f>[1]!_xludf.edate(B130,1)</f>
        <v>40330</v>
      </c>
      <c r="C131" s="152">
        <f t="shared" si="34"/>
        <v>40384</v>
      </c>
      <c r="D131" s="183">
        <v>0</v>
      </c>
      <c r="E131" s="184">
        <f>VLOOKUP($B131,Model!$A$8:$E$289,5)</f>
        <v>0</v>
      </c>
      <c r="F131" s="184">
        <f>VLOOKUP($B131,Model!$A$8:$F$289,6)</f>
        <v>0</v>
      </c>
      <c r="G131" s="206">
        <f ca="1">VLOOKUP($B131,Model!$A$8:$AO$289,41)</f>
        <v>0</v>
      </c>
      <c r="I131" s="153">
        <v>0</v>
      </c>
      <c r="J131" s="154">
        <f t="shared" si="20"/>
        <v>4.3734999999999999</v>
      </c>
      <c r="K131" s="160">
        <f t="shared" si="28"/>
        <v>0</v>
      </c>
      <c r="L131" s="156">
        <f>IF(Control!$Y$26=Control!$X$27,J131,I131)+K131</f>
        <v>4.3734999999999999</v>
      </c>
      <c r="M131" s="153">
        <v>0</v>
      </c>
      <c r="N131" s="154">
        <f>VLOOKUP($B131,Curve_Fetch,VLOOKUP(Control!$AJ$10,Control!$AI$11:$AK$22,3))</f>
        <v>-0.2</v>
      </c>
      <c r="O131" s="160">
        <f t="shared" si="29"/>
        <v>0</v>
      </c>
      <c r="P131" s="156">
        <f>IF(Control!$Y$31=Control!$X$32,N131,M131)+O131</f>
        <v>-0.2</v>
      </c>
      <c r="Q131" s="153">
        <v>0</v>
      </c>
      <c r="R131" s="154">
        <f>VLOOKUP($B131,Curve_Fetch,(VLOOKUP(Control!$AJ$10,Control!$AI$11:$AL$22,4)))</f>
        <v>2.5000000000000001E-3</v>
      </c>
      <c r="S131" s="160">
        <f t="shared" si="30"/>
        <v>0</v>
      </c>
      <c r="T131" s="156">
        <f>IF($C$11="Physical",IF(Control!$Y$37=Control!$X$38,R131,Q131)+S131,0)</f>
        <v>2.5000000000000001E-3</v>
      </c>
      <c r="U131" s="203">
        <f t="shared" si="35"/>
        <v>4.1760000000000002</v>
      </c>
      <c r="V131" s="172"/>
      <c r="W131" s="219">
        <f>VLOOKUP($B131,Model!$A$8:$S$289,19)</f>
        <v>0.185</v>
      </c>
      <c r="X131" s="221">
        <f t="shared" si="31"/>
        <v>0</v>
      </c>
      <c r="Y131" s="221">
        <f t="shared" si="21"/>
        <v>0.185</v>
      </c>
      <c r="Z131" s="160">
        <f t="shared" si="32"/>
        <v>0</v>
      </c>
      <c r="AA131" s="160">
        <f t="shared" si="33"/>
        <v>4.1760000000000002</v>
      </c>
      <c r="AB131" s="231">
        <f ca="1">_xll.EURO(U131,AA131,VLOOKUP($B131,Curve_Fetch,2),VLOOKUP($B131,Curve_Fetch,2),Y131,VLOOKUP($B131,Model!$A$8:$R$289,18),IF(Euro!$C$10="Call",1,0),0)</f>
        <v>0.58867085907917183</v>
      </c>
      <c r="AD131" s="157">
        <f t="shared" ca="1" si="22"/>
        <v>0</v>
      </c>
      <c r="AE131" s="158">
        <f t="shared" ca="1" si="23"/>
        <v>0</v>
      </c>
      <c r="AF131" s="158">
        <f t="shared" ca="1" si="24"/>
        <v>0</v>
      </c>
      <c r="AG131" s="158">
        <f t="shared" ca="1" si="25"/>
        <v>0</v>
      </c>
      <c r="AH131" s="158">
        <f t="shared" ca="1" si="26"/>
        <v>0</v>
      </c>
      <c r="AI131" s="159">
        <f t="shared" ca="1" si="27"/>
        <v>0</v>
      </c>
      <c r="AK131"/>
      <c r="AL131"/>
      <c r="AM131"/>
      <c r="AN131"/>
      <c r="AO131"/>
      <c r="AP131"/>
      <c r="AQ131"/>
      <c r="AR131"/>
    </row>
    <row r="132" spans="2:44">
      <c r="B132" s="151">
        <f>[1]!_xludf.edate(B131,1)</f>
        <v>40360</v>
      </c>
      <c r="C132" s="152">
        <f t="shared" si="34"/>
        <v>40415</v>
      </c>
      <c r="D132" s="183">
        <v>0</v>
      </c>
      <c r="E132" s="184">
        <f>VLOOKUP($B132,Model!$A$8:$E$289,5)</f>
        <v>0</v>
      </c>
      <c r="F132" s="184">
        <f>VLOOKUP($B132,Model!$A$8:$F$289,6)</f>
        <v>0</v>
      </c>
      <c r="G132" s="206">
        <f ca="1">VLOOKUP($B132,Model!$A$8:$AO$289,41)</f>
        <v>0</v>
      </c>
      <c r="I132" s="153">
        <v>0</v>
      </c>
      <c r="J132" s="154">
        <f t="shared" si="20"/>
        <v>4.4184999999999999</v>
      </c>
      <c r="K132" s="160">
        <f t="shared" si="28"/>
        <v>0</v>
      </c>
      <c r="L132" s="156">
        <f>IF(Control!$Y$26=Control!$X$27,J132,I132)+K132</f>
        <v>4.4184999999999999</v>
      </c>
      <c r="M132" s="153">
        <v>0</v>
      </c>
      <c r="N132" s="154">
        <f>VLOOKUP($B132,Curve_Fetch,VLOOKUP(Control!$AJ$10,Control!$AI$11:$AK$22,3))</f>
        <v>-0.2</v>
      </c>
      <c r="O132" s="160">
        <f t="shared" si="29"/>
        <v>0</v>
      </c>
      <c r="P132" s="156">
        <f>IF(Control!$Y$31=Control!$X$32,N132,M132)+O132</f>
        <v>-0.2</v>
      </c>
      <c r="Q132" s="153">
        <v>0</v>
      </c>
      <c r="R132" s="154">
        <f>VLOOKUP($B132,Curve_Fetch,(VLOOKUP(Control!$AJ$10,Control!$AI$11:$AL$22,4)))</f>
        <v>2.5000000000000001E-3</v>
      </c>
      <c r="S132" s="160">
        <f t="shared" si="30"/>
        <v>0</v>
      </c>
      <c r="T132" s="156">
        <f>IF($C$11="Physical",IF(Control!$Y$37=Control!$X$38,R132,Q132)+S132,0)</f>
        <v>2.5000000000000001E-3</v>
      </c>
      <c r="U132" s="203">
        <f t="shared" si="35"/>
        <v>4.2210000000000001</v>
      </c>
      <c r="V132" s="172"/>
      <c r="W132" s="219">
        <f>VLOOKUP($B132,Model!$A$8:$S$289,19)</f>
        <v>0.185</v>
      </c>
      <c r="X132" s="221">
        <f t="shared" si="31"/>
        <v>0</v>
      </c>
      <c r="Y132" s="221">
        <f t="shared" si="21"/>
        <v>0.185</v>
      </c>
      <c r="Z132" s="160">
        <f t="shared" si="32"/>
        <v>0</v>
      </c>
      <c r="AA132" s="160">
        <f t="shared" si="33"/>
        <v>4.2210000000000001</v>
      </c>
      <c r="AB132" s="231">
        <f ca="1">_xll.EURO(U132,AA132,VLOOKUP($B132,Curve_Fetch,2),VLOOKUP($B132,Curve_Fetch,2),Y132,VLOOKUP($B132,Model!$A$8:$R$289,18),IF(Euro!$C$10="Call",1,0),0)</f>
        <v>0.59493616797514282</v>
      </c>
      <c r="AD132" s="157">
        <f t="shared" ca="1" si="22"/>
        <v>0</v>
      </c>
      <c r="AE132" s="158">
        <f t="shared" ca="1" si="23"/>
        <v>0</v>
      </c>
      <c r="AF132" s="158">
        <f t="shared" ca="1" si="24"/>
        <v>0</v>
      </c>
      <c r="AG132" s="158">
        <f t="shared" ca="1" si="25"/>
        <v>0</v>
      </c>
      <c r="AH132" s="158">
        <f t="shared" ca="1" si="26"/>
        <v>0</v>
      </c>
      <c r="AI132" s="159">
        <f t="shared" ca="1" si="27"/>
        <v>0</v>
      </c>
      <c r="AK132"/>
      <c r="AL132"/>
      <c r="AM132"/>
      <c r="AN132"/>
      <c r="AO132"/>
      <c r="AP132"/>
      <c r="AQ132"/>
      <c r="AR132"/>
    </row>
    <row r="133" spans="2:44">
      <c r="B133" s="151">
        <f>[1]!_xludf.edate(B132,1)</f>
        <v>40391</v>
      </c>
      <c r="C133" s="152">
        <f t="shared" si="34"/>
        <v>40446</v>
      </c>
      <c r="D133" s="183">
        <v>0</v>
      </c>
      <c r="E133" s="184">
        <f>VLOOKUP($B133,Model!$A$8:$E$289,5)</f>
        <v>0</v>
      </c>
      <c r="F133" s="184">
        <f>VLOOKUP($B133,Model!$A$8:$F$289,6)</f>
        <v>0</v>
      </c>
      <c r="G133" s="206">
        <f ca="1">VLOOKUP($B133,Model!$A$8:$AO$289,41)</f>
        <v>0</v>
      </c>
      <c r="I133" s="153">
        <v>0</v>
      </c>
      <c r="J133" s="154">
        <f t="shared" si="20"/>
        <v>4.4565000000000001</v>
      </c>
      <c r="K133" s="160">
        <f t="shared" si="28"/>
        <v>0</v>
      </c>
      <c r="L133" s="156">
        <f>IF(Control!$Y$26=Control!$X$27,J133,I133)+K133</f>
        <v>4.4565000000000001</v>
      </c>
      <c r="M133" s="153">
        <v>0</v>
      </c>
      <c r="N133" s="154">
        <f>VLOOKUP($B133,Curve_Fetch,VLOOKUP(Control!$AJ$10,Control!$AI$11:$AK$22,3))</f>
        <v>-0.2</v>
      </c>
      <c r="O133" s="160">
        <f t="shared" si="29"/>
        <v>0</v>
      </c>
      <c r="P133" s="156">
        <f>IF(Control!$Y$31=Control!$X$32,N133,M133)+O133</f>
        <v>-0.2</v>
      </c>
      <c r="Q133" s="153">
        <v>0</v>
      </c>
      <c r="R133" s="154">
        <f>VLOOKUP($B133,Curve_Fetch,(VLOOKUP(Control!$AJ$10,Control!$AI$11:$AL$22,4)))</f>
        <v>2.5000000000000001E-3</v>
      </c>
      <c r="S133" s="160">
        <f t="shared" si="30"/>
        <v>0</v>
      </c>
      <c r="T133" s="156">
        <f>IF($C$11="Physical",IF(Control!$Y$37=Control!$X$38,R133,Q133)+S133,0)</f>
        <v>2.5000000000000001E-3</v>
      </c>
      <c r="U133" s="203">
        <f t="shared" si="35"/>
        <v>4.2590000000000003</v>
      </c>
      <c r="V133" s="172"/>
      <c r="W133" s="219">
        <f>VLOOKUP($B133,Model!$A$8:$S$289,19)</f>
        <v>0.185</v>
      </c>
      <c r="X133" s="221">
        <f t="shared" si="31"/>
        <v>0</v>
      </c>
      <c r="Y133" s="221">
        <f t="shared" si="21"/>
        <v>0.185</v>
      </c>
      <c r="Z133" s="160">
        <f t="shared" si="32"/>
        <v>0</v>
      </c>
      <c r="AA133" s="160">
        <f t="shared" si="33"/>
        <v>4.2590000000000003</v>
      </c>
      <c r="AB133" s="231">
        <f ca="1">_xll.EURO(U133,AA133,VLOOKUP($B133,Curve_Fetch,2),VLOOKUP($B133,Curve_Fetch,2),Y133,VLOOKUP($B133,Model!$A$8:$R$289,18),IF(Euro!$C$10="Call",1,0),0)</f>
        <v>0.60017273696983131</v>
      </c>
      <c r="AD133" s="157">
        <f t="shared" ca="1" si="22"/>
        <v>0</v>
      </c>
      <c r="AE133" s="158">
        <f t="shared" ca="1" si="23"/>
        <v>0</v>
      </c>
      <c r="AF133" s="158">
        <f t="shared" ca="1" si="24"/>
        <v>0</v>
      </c>
      <c r="AG133" s="158">
        <f t="shared" ca="1" si="25"/>
        <v>0</v>
      </c>
      <c r="AH133" s="158">
        <f t="shared" ca="1" si="26"/>
        <v>0</v>
      </c>
      <c r="AI133" s="159">
        <f t="shared" ca="1" si="27"/>
        <v>0</v>
      </c>
      <c r="AK133"/>
      <c r="AL133"/>
      <c r="AM133"/>
      <c r="AN133"/>
      <c r="AO133"/>
      <c r="AP133"/>
      <c r="AQ133"/>
      <c r="AR133"/>
    </row>
    <row r="134" spans="2:44">
      <c r="B134" s="151">
        <f>[1]!_xludf.edate(B133,1)</f>
        <v>40422</v>
      </c>
      <c r="C134" s="152">
        <f t="shared" si="34"/>
        <v>40476</v>
      </c>
      <c r="D134" s="183">
        <v>0</v>
      </c>
      <c r="E134" s="184">
        <f>VLOOKUP($B134,Model!$A$8:$E$289,5)</f>
        <v>0</v>
      </c>
      <c r="F134" s="184">
        <f>VLOOKUP($B134,Model!$A$8:$F$289,6)</f>
        <v>0</v>
      </c>
      <c r="G134" s="206">
        <f ca="1">VLOOKUP($B134,Model!$A$8:$AO$289,41)</f>
        <v>0</v>
      </c>
      <c r="I134" s="153">
        <v>0</v>
      </c>
      <c r="J134" s="154">
        <f t="shared" si="20"/>
        <v>4.4504999999999999</v>
      </c>
      <c r="K134" s="160">
        <f t="shared" si="28"/>
        <v>0</v>
      </c>
      <c r="L134" s="156">
        <f>IF(Control!$Y$26=Control!$X$27,J134,I134)+K134</f>
        <v>4.4504999999999999</v>
      </c>
      <c r="M134" s="153">
        <v>0</v>
      </c>
      <c r="N134" s="154">
        <f>VLOOKUP($B134,Curve_Fetch,VLOOKUP(Control!$AJ$10,Control!$AI$11:$AK$22,3))</f>
        <v>-0.2</v>
      </c>
      <c r="O134" s="160">
        <f t="shared" si="29"/>
        <v>0</v>
      </c>
      <c r="P134" s="156">
        <f>IF(Control!$Y$31=Control!$X$32,N134,M134)+O134</f>
        <v>-0.2</v>
      </c>
      <c r="Q134" s="153">
        <v>0</v>
      </c>
      <c r="R134" s="154">
        <f>VLOOKUP($B134,Curve_Fetch,(VLOOKUP(Control!$AJ$10,Control!$AI$11:$AL$22,4)))</f>
        <v>2.5000000000000001E-3</v>
      </c>
      <c r="S134" s="160">
        <f t="shared" si="30"/>
        <v>0</v>
      </c>
      <c r="T134" s="156">
        <f>IF($C$11="Physical",IF(Control!$Y$37=Control!$X$38,R134,Q134)+S134,0)</f>
        <v>2.5000000000000001E-3</v>
      </c>
      <c r="U134" s="203">
        <f t="shared" si="35"/>
        <v>4.2530000000000001</v>
      </c>
      <c r="V134" s="172"/>
      <c r="W134" s="219">
        <f>VLOOKUP($B134,Model!$A$8:$S$289,19)</f>
        <v>0.185</v>
      </c>
      <c r="X134" s="221">
        <f t="shared" si="31"/>
        <v>0</v>
      </c>
      <c r="Y134" s="221">
        <f t="shared" si="21"/>
        <v>0.185</v>
      </c>
      <c r="Z134" s="160">
        <f t="shared" si="32"/>
        <v>0</v>
      </c>
      <c r="AA134" s="160">
        <f t="shared" si="33"/>
        <v>4.2530000000000001</v>
      </c>
      <c r="AB134" s="231">
        <f ca="1">_xll.EURO(U134,AA134,VLOOKUP($B134,Curve_Fetch,2),VLOOKUP($B134,Curve_Fetch,2),Y134,VLOOKUP($B134,Model!$A$8:$R$289,18),IF(Euro!$C$10="Call",1,0),0)</f>
        <v>0.59917004210717129</v>
      </c>
      <c r="AD134" s="157">
        <f t="shared" ca="1" si="22"/>
        <v>0</v>
      </c>
      <c r="AE134" s="158">
        <f t="shared" ca="1" si="23"/>
        <v>0</v>
      </c>
      <c r="AF134" s="158">
        <f t="shared" ca="1" si="24"/>
        <v>0</v>
      </c>
      <c r="AG134" s="158">
        <f t="shared" ca="1" si="25"/>
        <v>0</v>
      </c>
      <c r="AH134" s="158">
        <f t="shared" ca="1" si="26"/>
        <v>0</v>
      </c>
      <c r="AI134" s="159">
        <f t="shared" ca="1" si="27"/>
        <v>0</v>
      </c>
      <c r="AK134"/>
      <c r="AL134"/>
      <c r="AM134"/>
      <c r="AN134"/>
      <c r="AO134"/>
      <c r="AP134"/>
      <c r="AQ134"/>
      <c r="AR134"/>
    </row>
    <row r="135" spans="2:44">
      <c r="B135" s="151">
        <f>[1]!_xludf.edate(B134,1)</f>
        <v>40452</v>
      </c>
      <c r="C135" s="152">
        <f t="shared" si="34"/>
        <v>40507</v>
      </c>
      <c r="D135" s="183">
        <v>0</v>
      </c>
      <c r="E135" s="184">
        <f>VLOOKUP($B135,Model!$A$8:$E$289,5)</f>
        <v>0</v>
      </c>
      <c r="F135" s="184">
        <f>VLOOKUP($B135,Model!$A$8:$F$289,6)</f>
        <v>0</v>
      </c>
      <c r="G135" s="206">
        <f ca="1">VLOOKUP($B135,Model!$A$8:$AO$289,41)</f>
        <v>0</v>
      </c>
      <c r="I135" s="153">
        <v>0</v>
      </c>
      <c r="J135" s="154">
        <f t="shared" si="20"/>
        <v>4.4504999999999999</v>
      </c>
      <c r="K135" s="160">
        <f t="shared" si="28"/>
        <v>0</v>
      </c>
      <c r="L135" s="156">
        <f>IF(Control!$Y$26=Control!$X$27,J135,I135)+K135</f>
        <v>4.4504999999999999</v>
      </c>
      <c r="M135" s="153">
        <v>0</v>
      </c>
      <c r="N135" s="154">
        <f>VLOOKUP($B135,Curve_Fetch,VLOOKUP(Control!$AJ$10,Control!$AI$11:$AK$22,3))</f>
        <v>-0.2</v>
      </c>
      <c r="O135" s="160">
        <f t="shared" si="29"/>
        <v>0</v>
      </c>
      <c r="P135" s="156">
        <f>IF(Control!$Y$31=Control!$X$32,N135,M135)+O135</f>
        <v>-0.2</v>
      </c>
      <c r="Q135" s="153">
        <v>0</v>
      </c>
      <c r="R135" s="154">
        <f>VLOOKUP($B135,Curve_Fetch,(VLOOKUP(Control!$AJ$10,Control!$AI$11:$AL$22,4)))</f>
        <v>2.5000000000000001E-3</v>
      </c>
      <c r="S135" s="160">
        <f t="shared" si="30"/>
        <v>0</v>
      </c>
      <c r="T135" s="156">
        <f>IF($C$11="Physical",IF(Control!$Y$37=Control!$X$38,R135,Q135)+S135,0)</f>
        <v>2.5000000000000001E-3</v>
      </c>
      <c r="U135" s="203">
        <f t="shared" si="35"/>
        <v>4.2530000000000001</v>
      </c>
      <c r="V135" s="172"/>
      <c r="W135" s="219">
        <f>VLOOKUP($B135,Model!$A$8:$S$289,19)</f>
        <v>0.185</v>
      </c>
      <c r="X135" s="221">
        <f t="shared" si="31"/>
        <v>0</v>
      </c>
      <c r="Y135" s="221">
        <f t="shared" si="21"/>
        <v>0.185</v>
      </c>
      <c r="Z135" s="160">
        <f t="shared" si="32"/>
        <v>0</v>
      </c>
      <c r="AA135" s="160">
        <f t="shared" si="33"/>
        <v>4.2530000000000001</v>
      </c>
      <c r="AB135" s="231">
        <f ca="1">_xll.EURO(U135,AA135,VLOOKUP($B135,Curve_Fetch,2),VLOOKUP($B135,Curve_Fetch,2),Y135,VLOOKUP($B135,Model!$A$8:$R$289,18),IF(Euro!$C$10="Call",1,0),0)</f>
        <v>0.59898233878632157</v>
      </c>
      <c r="AD135" s="157">
        <f t="shared" ca="1" si="22"/>
        <v>0</v>
      </c>
      <c r="AE135" s="158">
        <f t="shared" ca="1" si="23"/>
        <v>0</v>
      </c>
      <c r="AF135" s="158">
        <f t="shared" ca="1" si="24"/>
        <v>0</v>
      </c>
      <c r="AG135" s="158">
        <f t="shared" ca="1" si="25"/>
        <v>0</v>
      </c>
      <c r="AH135" s="158">
        <f t="shared" ca="1" si="26"/>
        <v>0</v>
      </c>
      <c r="AI135" s="159">
        <f t="shared" ca="1" si="27"/>
        <v>0</v>
      </c>
      <c r="AK135"/>
      <c r="AL135"/>
      <c r="AM135"/>
      <c r="AN135"/>
      <c r="AO135"/>
      <c r="AP135"/>
      <c r="AQ135"/>
      <c r="AR135"/>
    </row>
    <row r="136" spans="2:44">
      <c r="B136" s="151">
        <f>[1]!_xludf.edate(B135,1)</f>
        <v>40483</v>
      </c>
      <c r="C136" s="152">
        <f t="shared" si="34"/>
        <v>40537</v>
      </c>
      <c r="D136" s="183">
        <v>0</v>
      </c>
      <c r="E136" s="184">
        <f>VLOOKUP($B136,Model!$A$8:$E$289,5)</f>
        <v>0</v>
      </c>
      <c r="F136" s="184">
        <f>VLOOKUP($B136,Model!$A$8:$F$289,6)</f>
        <v>0</v>
      </c>
      <c r="G136" s="206">
        <f ca="1">VLOOKUP($B136,Model!$A$8:$AO$289,41)</f>
        <v>0</v>
      </c>
      <c r="I136" s="153">
        <v>0</v>
      </c>
      <c r="J136" s="154">
        <f t="shared" si="20"/>
        <v>4.6204999999999998</v>
      </c>
      <c r="K136" s="160">
        <f t="shared" si="28"/>
        <v>0</v>
      </c>
      <c r="L136" s="156">
        <f>IF(Control!$Y$26=Control!$X$27,J136,I136)+K136</f>
        <v>4.6204999999999998</v>
      </c>
      <c r="M136" s="153">
        <v>0</v>
      </c>
      <c r="N136" s="154">
        <f>VLOOKUP($B136,Curve_Fetch,VLOOKUP(Control!$AJ$10,Control!$AI$11:$AK$22,3))</f>
        <v>-0.13</v>
      </c>
      <c r="O136" s="160">
        <f t="shared" si="29"/>
        <v>0</v>
      </c>
      <c r="P136" s="156">
        <f>IF(Control!$Y$31=Control!$X$32,N136,M136)+O136</f>
        <v>-0.13</v>
      </c>
      <c r="Q136" s="153">
        <v>0</v>
      </c>
      <c r="R136" s="154">
        <f>VLOOKUP($B136,Curve_Fetch,(VLOOKUP(Control!$AJ$10,Control!$AI$11:$AL$22,4)))</f>
        <v>5.0000000000000001E-3</v>
      </c>
      <c r="S136" s="160">
        <f t="shared" si="30"/>
        <v>0</v>
      </c>
      <c r="T136" s="156">
        <f>IF($C$11="Physical",IF(Control!$Y$37=Control!$X$38,R136,Q136)+S136,0)</f>
        <v>5.0000000000000001E-3</v>
      </c>
      <c r="U136" s="203">
        <f t="shared" si="35"/>
        <v>4.4954999999999998</v>
      </c>
      <c r="V136" s="172"/>
      <c r="W136" s="219">
        <f>VLOOKUP($B136,Model!$A$8:$S$289,19)</f>
        <v>0.185</v>
      </c>
      <c r="X136" s="221">
        <f t="shared" si="31"/>
        <v>0</v>
      </c>
      <c r="Y136" s="221">
        <f t="shared" si="21"/>
        <v>0.185</v>
      </c>
      <c r="Z136" s="160">
        <f t="shared" si="32"/>
        <v>0</v>
      </c>
      <c r="AA136" s="160">
        <f t="shared" si="33"/>
        <v>4.4954999999999998</v>
      </c>
      <c r="AB136" s="231">
        <f ca="1">_xll.EURO(U136,AA136,VLOOKUP($B136,Curve_Fetch,2),VLOOKUP($B136,Curve_Fetch,2),Y136,VLOOKUP($B136,Model!$A$8:$R$289,18),IF(Euro!$C$10="Call",1,0),0)</f>
        <v>0.63289214140251238</v>
      </c>
      <c r="AD136" s="157">
        <f t="shared" ca="1" si="22"/>
        <v>0</v>
      </c>
      <c r="AE136" s="158">
        <f t="shared" ca="1" si="23"/>
        <v>0</v>
      </c>
      <c r="AF136" s="158">
        <f t="shared" ca="1" si="24"/>
        <v>0</v>
      </c>
      <c r="AG136" s="158">
        <f t="shared" ca="1" si="25"/>
        <v>0</v>
      </c>
      <c r="AH136" s="158">
        <f t="shared" ca="1" si="26"/>
        <v>0</v>
      </c>
      <c r="AI136" s="159">
        <f t="shared" ca="1" si="27"/>
        <v>0</v>
      </c>
      <c r="AK136"/>
      <c r="AL136"/>
      <c r="AM136"/>
      <c r="AN136"/>
      <c r="AO136"/>
      <c r="AP136"/>
      <c r="AQ136"/>
      <c r="AR136"/>
    </row>
    <row r="137" spans="2:44">
      <c r="B137" s="151">
        <f>[1]!_xludf.edate(B136,1)</f>
        <v>40513</v>
      </c>
      <c r="C137" s="152">
        <f t="shared" si="34"/>
        <v>40568</v>
      </c>
      <c r="D137" s="183">
        <v>0</v>
      </c>
      <c r="E137" s="184">
        <f>VLOOKUP($B137,Model!$A$8:$E$289,5)</f>
        <v>0</v>
      </c>
      <c r="F137" s="184">
        <f>VLOOKUP($B137,Model!$A$8:$F$289,6)</f>
        <v>0</v>
      </c>
      <c r="G137" s="206">
        <f ca="1">VLOOKUP($B137,Model!$A$8:$AO$289,41)</f>
        <v>0</v>
      </c>
      <c r="I137" s="153">
        <v>0</v>
      </c>
      <c r="J137" s="154">
        <f t="shared" si="20"/>
        <v>4.7515000000000001</v>
      </c>
      <c r="K137" s="160">
        <f t="shared" si="28"/>
        <v>0</v>
      </c>
      <c r="L137" s="156">
        <f>IF(Control!$Y$26=Control!$X$27,J137,I137)+K137</f>
        <v>4.7515000000000001</v>
      </c>
      <c r="M137" s="153">
        <v>0</v>
      </c>
      <c r="N137" s="154">
        <f>VLOOKUP($B137,Curve_Fetch,VLOOKUP(Control!$AJ$10,Control!$AI$11:$AK$22,3))</f>
        <v>-0.13</v>
      </c>
      <c r="O137" s="160">
        <f t="shared" si="29"/>
        <v>0</v>
      </c>
      <c r="P137" s="156">
        <f>IF(Control!$Y$31=Control!$X$32,N137,M137)+O137</f>
        <v>-0.13</v>
      </c>
      <c r="Q137" s="153">
        <v>0</v>
      </c>
      <c r="R137" s="154">
        <f>VLOOKUP($B137,Curve_Fetch,(VLOOKUP(Control!$AJ$10,Control!$AI$11:$AL$22,4)))</f>
        <v>5.0000000000000001E-3</v>
      </c>
      <c r="S137" s="160">
        <f t="shared" si="30"/>
        <v>0</v>
      </c>
      <c r="T137" s="156">
        <f>IF($C$11="Physical",IF(Control!$Y$37=Control!$X$38,R137,Q137)+S137,0)</f>
        <v>5.0000000000000001E-3</v>
      </c>
      <c r="U137" s="203">
        <f t="shared" si="35"/>
        <v>4.6265000000000001</v>
      </c>
      <c r="V137" s="172"/>
      <c r="W137" s="219">
        <f>VLOOKUP($B137,Model!$A$8:$S$289,19)</f>
        <v>0.185</v>
      </c>
      <c r="X137" s="221">
        <f t="shared" si="31"/>
        <v>0</v>
      </c>
      <c r="Y137" s="221">
        <f t="shared" si="21"/>
        <v>0.185</v>
      </c>
      <c r="Z137" s="160">
        <f t="shared" si="32"/>
        <v>0</v>
      </c>
      <c r="AA137" s="160">
        <f t="shared" si="33"/>
        <v>4.6265000000000001</v>
      </c>
      <c r="AB137" s="231">
        <f ca="1">_xll.EURO(U137,AA137,VLOOKUP($B137,Curve_Fetch,2),VLOOKUP($B137,Curve_Fetch,2),Y137,VLOOKUP($B137,Model!$A$8:$R$289,18),IF(Euro!$C$10="Call",1,0),0)</f>
        <v>0.65105486562462689</v>
      </c>
      <c r="AD137" s="157">
        <f t="shared" ca="1" si="22"/>
        <v>0</v>
      </c>
      <c r="AE137" s="158">
        <f t="shared" ca="1" si="23"/>
        <v>0</v>
      </c>
      <c r="AF137" s="158">
        <f t="shared" ca="1" si="24"/>
        <v>0</v>
      </c>
      <c r="AG137" s="158">
        <f t="shared" ca="1" si="25"/>
        <v>0</v>
      </c>
      <c r="AH137" s="158">
        <f t="shared" ca="1" si="26"/>
        <v>0</v>
      </c>
      <c r="AI137" s="159">
        <f t="shared" ca="1" si="27"/>
        <v>0</v>
      </c>
      <c r="AK137"/>
      <c r="AL137"/>
      <c r="AM137"/>
      <c r="AN137"/>
      <c r="AO137"/>
      <c r="AP137"/>
      <c r="AQ137"/>
      <c r="AR137"/>
    </row>
    <row r="138" spans="2:44">
      <c r="B138" s="151">
        <f>[1]!_xludf.edate(B137,1)</f>
        <v>40544</v>
      </c>
      <c r="C138" s="152">
        <f t="shared" si="34"/>
        <v>40599</v>
      </c>
      <c r="D138" s="183">
        <v>0</v>
      </c>
      <c r="E138" s="184">
        <f>VLOOKUP($B138,Model!$A$8:$E$289,5)</f>
        <v>0</v>
      </c>
      <c r="F138" s="184">
        <f>VLOOKUP($B138,Model!$A$8:$F$289,6)</f>
        <v>0</v>
      </c>
      <c r="G138" s="206">
        <f ca="1">VLOOKUP($B138,Model!$A$8:$AO$289,41)</f>
        <v>0</v>
      </c>
      <c r="I138" s="153">
        <v>0</v>
      </c>
      <c r="J138" s="154">
        <f t="shared" si="20"/>
        <v>4.8215000000000003</v>
      </c>
      <c r="K138" s="160">
        <f t="shared" si="28"/>
        <v>0</v>
      </c>
      <c r="L138" s="156">
        <f>IF(Control!$Y$26=Control!$X$27,J138,I138)+K138</f>
        <v>4.8215000000000003</v>
      </c>
      <c r="M138" s="153">
        <v>0</v>
      </c>
      <c r="N138" s="154">
        <f>VLOOKUP($B138,Curve_Fetch,VLOOKUP(Control!$AJ$10,Control!$AI$11:$AK$22,3))</f>
        <v>-0.13</v>
      </c>
      <c r="O138" s="160">
        <f t="shared" si="29"/>
        <v>0</v>
      </c>
      <c r="P138" s="156">
        <f>IF(Control!$Y$31=Control!$X$32,N138,M138)+O138</f>
        <v>-0.13</v>
      </c>
      <c r="Q138" s="153">
        <v>0</v>
      </c>
      <c r="R138" s="154">
        <f>VLOOKUP($B138,Curve_Fetch,(VLOOKUP(Control!$AJ$10,Control!$AI$11:$AL$22,4)))</f>
        <v>5.0000000000000001E-3</v>
      </c>
      <c r="S138" s="160">
        <f t="shared" si="30"/>
        <v>0</v>
      </c>
      <c r="T138" s="156">
        <f>IF($C$11="Physical",IF(Control!$Y$37=Control!$X$38,R138,Q138)+S138,0)</f>
        <v>5.0000000000000001E-3</v>
      </c>
      <c r="U138" s="203">
        <f t="shared" si="35"/>
        <v>4.6965000000000003</v>
      </c>
      <c r="V138" s="172"/>
      <c r="W138" s="219">
        <f>VLOOKUP($B138,Model!$A$8:$S$289,19)</f>
        <v>0.185</v>
      </c>
      <c r="X138" s="221">
        <f t="shared" si="31"/>
        <v>0</v>
      </c>
      <c r="Y138" s="221">
        <f t="shared" si="21"/>
        <v>0.185</v>
      </c>
      <c r="Z138" s="160">
        <f t="shared" si="32"/>
        <v>0</v>
      </c>
      <c r="AA138" s="160">
        <f t="shared" si="33"/>
        <v>4.6965000000000003</v>
      </c>
      <c r="AB138" s="231">
        <f ca="1">_xll.EURO(U138,AA138,VLOOKUP($B138,Curve_Fetch,2),VLOOKUP($B138,Curve_Fetch,2),Y138,VLOOKUP($B138,Model!$A$8:$R$289,18),IF(Euro!$C$10="Call",1,0),0)</f>
        <v>0.6605730175824851</v>
      </c>
      <c r="AD138" s="157">
        <f t="shared" ca="1" si="22"/>
        <v>0</v>
      </c>
      <c r="AE138" s="158">
        <f t="shared" ca="1" si="23"/>
        <v>0</v>
      </c>
      <c r="AF138" s="158">
        <f t="shared" ca="1" si="24"/>
        <v>0</v>
      </c>
      <c r="AG138" s="158">
        <f t="shared" ca="1" si="25"/>
        <v>0</v>
      </c>
      <c r="AH138" s="158">
        <f t="shared" ca="1" si="26"/>
        <v>0</v>
      </c>
      <c r="AI138" s="159">
        <f t="shared" ca="1" si="27"/>
        <v>0</v>
      </c>
      <c r="AK138"/>
      <c r="AL138"/>
      <c r="AM138"/>
      <c r="AN138"/>
      <c r="AO138"/>
      <c r="AP138"/>
      <c r="AQ138"/>
      <c r="AR138"/>
    </row>
    <row r="139" spans="2:44">
      <c r="B139" s="151">
        <f>[1]!_xludf.edate(B138,1)</f>
        <v>40575</v>
      </c>
      <c r="C139" s="152">
        <f t="shared" si="34"/>
        <v>40627</v>
      </c>
      <c r="D139" s="183">
        <v>0</v>
      </c>
      <c r="E139" s="184">
        <f>VLOOKUP($B139,Model!$A$8:$E$289,5)</f>
        <v>0</v>
      </c>
      <c r="F139" s="184">
        <f>VLOOKUP($B139,Model!$A$8:$F$289,6)</f>
        <v>0</v>
      </c>
      <c r="G139" s="206">
        <f ca="1">VLOOKUP($B139,Model!$A$8:$AO$289,41)</f>
        <v>0</v>
      </c>
      <c r="I139" s="153">
        <v>0</v>
      </c>
      <c r="J139" s="154">
        <f t="shared" si="20"/>
        <v>4.7335000000000003</v>
      </c>
      <c r="K139" s="160">
        <f t="shared" si="28"/>
        <v>0</v>
      </c>
      <c r="L139" s="156">
        <f>IF(Control!$Y$26=Control!$X$27,J139,I139)+K139</f>
        <v>4.7335000000000003</v>
      </c>
      <c r="M139" s="153">
        <v>0</v>
      </c>
      <c r="N139" s="154">
        <f>VLOOKUP($B139,Curve_Fetch,VLOOKUP(Control!$AJ$10,Control!$AI$11:$AK$22,3))</f>
        <v>-0.13</v>
      </c>
      <c r="O139" s="160">
        <f t="shared" si="29"/>
        <v>0</v>
      </c>
      <c r="P139" s="156">
        <f>IF(Control!$Y$31=Control!$X$32,N139,M139)+O139</f>
        <v>-0.13</v>
      </c>
      <c r="Q139" s="153">
        <v>0</v>
      </c>
      <c r="R139" s="154">
        <f>VLOOKUP($B139,Curve_Fetch,(VLOOKUP(Control!$AJ$10,Control!$AI$11:$AL$22,4)))</f>
        <v>5.0000000000000001E-3</v>
      </c>
      <c r="S139" s="160">
        <f t="shared" si="30"/>
        <v>0</v>
      </c>
      <c r="T139" s="156">
        <f>IF($C$11="Physical",IF(Control!$Y$37=Control!$X$38,R139,Q139)+S139,0)</f>
        <v>5.0000000000000001E-3</v>
      </c>
      <c r="U139" s="203">
        <f t="shared" si="35"/>
        <v>4.6085000000000003</v>
      </c>
      <c r="V139" s="172"/>
      <c r="W139" s="219">
        <f>VLOOKUP($B139,Model!$A$8:$S$289,19)</f>
        <v>0.185</v>
      </c>
      <c r="X139" s="221">
        <f t="shared" si="31"/>
        <v>0</v>
      </c>
      <c r="Y139" s="221">
        <f t="shared" si="21"/>
        <v>0.185</v>
      </c>
      <c r="Z139" s="160">
        <f t="shared" si="32"/>
        <v>0</v>
      </c>
      <c r="AA139" s="160">
        <f t="shared" si="33"/>
        <v>4.6085000000000003</v>
      </c>
      <c r="AB139" s="231">
        <f ca="1">_xll.EURO(U139,AA139,VLOOKUP($B139,Curve_Fetch,2),VLOOKUP($B139,Curve_Fetch,2),Y139,VLOOKUP($B139,Model!$A$8:$R$289,18),IF(Euro!$C$10="Call",1,0),0)</f>
        <v>0.64783123666430287</v>
      </c>
      <c r="AD139" s="157">
        <f t="shared" ca="1" si="22"/>
        <v>0</v>
      </c>
      <c r="AE139" s="158">
        <f t="shared" ca="1" si="23"/>
        <v>0</v>
      </c>
      <c r="AF139" s="158">
        <f t="shared" ca="1" si="24"/>
        <v>0</v>
      </c>
      <c r="AG139" s="158">
        <f t="shared" ca="1" si="25"/>
        <v>0</v>
      </c>
      <c r="AH139" s="158">
        <f t="shared" ca="1" si="26"/>
        <v>0</v>
      </c>
      <c r="AI139" s="159">
        <f t="shared" ca="1" si="27"/>
        <v>0</v>
      </c>
      <c r="AK139"/>
      <c r="AL139"/>
      <c r="AM139"/>
      <c r="AN139"/>
      <c r="AO139"/>
      <c r="AP139"/>
      <c r="AQ139"/>
      <c r="AR139"/>
    </row>
    <row r="140" spans="2:44">
      <c r="B140" s="151">
        <f>[1]!_xludf.edate(B139,1)</f>
        <v>40603</v>
      </c>
      <c r="C140" s="152">
        <f t="shared" si="34"/>
        <v>40658</v>
      </c>
      <c r="D140" s="183">
        <v>0</v>
      </c>
      <c r="E140" s="184">
        <f>VLOOKUP($B140,Model!$A$8:$E$289,5)</f>
        <v>0</v>
      </c>
      <c r="F140" s="184">
        <f>VLOOKUP($B140,Model!$A$8:$F$289,6)</f>
        <v>0</v>
      </c>
      <c r="G140" s="206">
        <f ca="1">VLOOKUP($B140,Model!$A$8:$AO$289,41)</f>
        <v>0</v>
      </c>
      <c r="I140" s="153">
        <v>0</v>
      </c>
      <c r="J140" s="154">
        <f t="shared" si="20"/>
        <v>4.5945</v>
      </c>
      <c r="K140" s="160">
        <f t="shared" si="28"/>
        <v>0</v>
      </c>
      <c r="L140" s="156">
        <f>IF(Control!$Y$26=Control!$X$27,J140,I140)+K140</f>
        <v>4.5945</v>
      </c>
      <c r="M140" s="153">
        <v>0</v>
      </c>
      <c r="N140" s="154">
        <f>VLOOKUP($B140,Curve_Fetch,VLOOKUP(Control!$AJ$10,Control!$AI$11:$AK$22,3))</f>
        <v>-0.13</v>
      </c>
      <c r="O140" s="160">
        <f t="shared" si="29"/>
        <v>0</v>
      </c>
      <c r="P140" s="156">
        <f>IF(Control!$Y$31=Control!$X$32,N140,M140)+O140</f>
        <v>-0.13</v>
      </c>
      <c r="Q140" s="153">
        <v>0</v>
      </c>
      <c r="R140" s="154">
        <f>VLOOKUP($B140,Curve_Fetch,(VLOOKUP(Control!$AJ$10,Control!$AI$11:$AL$22,4)))</f>
        <v>5.0000000000000001E-3</v>
      </c>
      <c r="S140" s="160">
        <f t="shared" si="30"/>
        <v>0</v>
      </c>
      <c r="T140" s="156">
        <f>IF($C$11="Physical",IF(Control!$Y$37=Control!$X$38,R140,Q140)+S140,0)</f>
        <v>5.0000000000000001E-3</v>
      </c>
      <c r="U140" s="203">
        <f t="shared" si="35"/>
        <v>4.4695</v>
      </c>
      <c r="V140" s="172"/>
      <c r="W140" s="219">
        <f>VLOOKUP($B140,Model!$A$8:$S$289,19)</f>
        <v>0.18</v>
      </c>
      <c r="X140" s="221">
        <f t="shared" si="31"/>
        <v>0</v>
      </c>
      <c r="Y140" s="221">
        <f t="shared" si="21"/>
        <v>0.18</v>
      </c>
      <c r="Z140" s="160">
        <f t="shared" si="32"/>
        <v>0</v>
      </c>
      <c r="AA140" s="160">
        <f t="shared" si="33"/>
        <v>4.4695</v>
      </c>
      <c r="AB140" s="231">
        <f ca="1">_xll.EURO(U140,AA140,VLOOKUP($B140,Curve_Fetch,2),VLOOKUP($B140,Curve_Fetch,2),Y140,VLOOKUP($B140,Model!$A$8:$R$289,18),IF(Euro!$C$10="Call",1,0),0)</f>
        <v>0.61139856562769501</v>
      </c>
      <c r="AD140" s="157">
        <f t="shared" ca="1" si="22"/>
        <v>0</v>
      </c>
      <c r="AE140" s="158">
        <f t="shared" ca="1" si="23"/>
        <v>0</v>
      </c>
      <c r="AF140" s="158">
        <f t="shared" ca="1" si="24"/>
        <v>0</v>
      </c>
      <c r="AG140" s="158">
        <f t="shared" ca="1" si="25"/>
        <v>0</v>
      </c>
      <c r="AH140" s="158">
        <f t="shared" ca="1" si="26"/>
        <v>0</v>
      </c>
      <c r="AI140" s="159">
        <f t="shared" ca="1" si="27"/>
        <v>0</v>
      </c>
      <c r="AK140"/>
      <c r="AL140"/>
      <c r="AM140"/>
      <c r="AN140"/>
      <c r="AO140"/>
      <c r="AP140"/>
      <c r="AQ140"/>
      <c r="AR140"/>
    </row>
    <row r="141" spans="2:44">
      <c r="B141" s="151">
        <f>[1]!_xludf.edate(B140,1)</f>
        <v>40634</v>
      </c>
      <c r="C141" s="152">
        <f t="shared" si="34"/>
        <v>40688</v>
      </c>
      <c r="D141" s="183">
        <v>0</v>
      </c>
      <c r="E141" s="184">
        <f>VLOOKUP($B141,Model!$A$8:$E$289,5)</f>
        <v>0</v>
      </c>
      <c r="F141" s="184">
        <f>VLOOKUP($B141,Model!$A$8:$F$289,6)</f>
        <v>0</v>
      </c>
      <c r="G141" s="206">
        <f ca="1">VLOOKUP($B141,Model!$A$8:$AO$289,41)</f>
        <v>0</v>
      </c>
      <c r="I141" s="153">
        <v>0</v>
      </c>
      <c r="J141" s="154">
        <f t="shared" si="20"/>
        <v>4.4405000000000001</v>
      </c>
      <c r="K141" s="160">
        <f t="shared" si="28"/>
        <v>0</v>
      </c>
      <c r="L141" s="156">
        <f>IF(Control!$Y$26=Control!$X$27,J141,I141)+K141</f>
        <v>4.4405000000000001</v>
      </c>
      <c r="M141" s="153">
        <v>0</v>
      </c>
      <c r="N141" s="154">
        <f>VLOOKUP($B141,Curve_Fetch,VLOOKUP(Control!$AJ$10,Control!$AI$11:$AK$22,3))</f>
        <v>-0.2</v>
      </c>
      <c r="O141" s="160">
        <f t="shared" si="29"/>
        <v>0</v>
      </c>
      <c r="P141" s="156">
        <f>IF(Control!$Y$31=Control!$X$32,N141,M141)+O141</f>
        <v>-0.2</v>
      </c>
      <c r="Q141" s="153">
        <v>0</v>
      </c>
      <c r="R141" s="154">
        <f>VLOOKUP($B141,Curve_Fetch,(VLOOKUP(Control!$AJ$10,Control!$AI$11:$AL$22,4)))</f>
        <v>2.5000000000000001E-3</v>
      </c>
      <c r="S141" s="160">
        <f t="shared" si="30"/>
        <v>0</v>
      </c>
      <c r="T141" s="156">
        <f>IF($C$11="Physical",IF(Control!$Y$37=Control!$X$38,R141,Q141)+S141,0)</f>
        <v>2.5000000000000001E-3</v>
      </c>
      <c r="U141" s="203">
        <f t="shared" si="35"/>
        <v>4.2430000000000003</v>
      </c>
      <c r="V141" s="172"/>
      <c r="W141" s="219">
        <f>VLOOKUP($B141,Model!$A$8:$S$289,19)</f>
        <v>0.18</v>
      </c>
      <c r="X141" s="221">
        <f t="shared" si="31"/>
        <v>0</v>
      </c>
      <c r="Y141" s="221">
        <f t="shared" si="21"/>
        <v>0.18</v>
      </c>
      <c r="Z141" s="160">
        <f t="shared" si="32"/>
        <v>0</v>
      </c>
      <c r="AA141" s="160">
        <f t="shared" si="33"/>
        <v>4.2430000000000003</v>
      </c>
      <c r="AB141" s="231">
        <f ca="1">_xll.EURO(U141,AA141,VLOOKUP($B141,Curve_Fetch,2),VLOOKUP($B141,Curve_Fetch,2),Y141,VLOOKUP($B141,Model!$A$8:$R$289,18),IF(Euro!$C$10="Call",1,0),0)</f>
        <v>0.58002815561896526</v>
      </c>
      <c r="AD141" s="157">
        <f t="shared" ca="1" si="22"/>
        <v>0</v>
      </c>
      <c r="AE141" s="158">
        <f t="shared" ca="1" si="23"/>
        <v>0</v>
      </c>
      <c r="AF141" s="158">
        <f t="shared" ca="1" si="24"/>
        <v>0</v>
      </c>
      <c r="AG141" s="158">
        <f t="shared" ca="1" si="25"/>
        <v>0</v>
      </c>
      <c r="AH141" s="158">
        <f t="shared" ca="1" si="26"/>
        <v>0</v>
      </c>
      <c r="AI141" s="159">
        <f t="shared" ca="1" si="27"/>
        <v>0</v>
      </c>
      <c r="AK141"/>
      <c r="AL141"/>
      <c r="AM141"/>
      <c r="AN141"/>
      <c r="AO141"/>
      <c r="AP141"/>
      <c r="AQ141"/>
      <c r="AR141"/>
    </row>
    <row r="142" spans="2:44">
      <c r="B142" s="151">
        <f>[1]!_xludf.edate(B141,1)</f>
        <v>40664</v>
      </c>
      <c r="C142" s="152">
        <f t="shared" si="34"/>
        <v>40719</v>
      </c>
      <c r="D142" s="183">
        <v>0</v>
      </c>
      <c r="E142" s="184">
        <f>VLOOKUP($B142,Model!$A$8:$E$289,5)</f>
        <v>0</v>
      </c>
      <c r="F142" s="184">
        <f>VLOOKUP($B142,Model!$A$8:$F$289,6)</f>
        <v>0</v>
      </c>
      <c r="G142" s="206">
        <f ca="1">VLOOKUP($B142,Model!$A$8:$AO$289,41)</f>
        <v>0</v>
      </c>
      <c r="I142" s="153">
        <v>0</v>
      </c>
      <c r="J142" s="154">
        <f t="shared" si="20"/>
        <v>4.4455</v>
      </c>
      <c r="K142" s="160">
        <f t="shared" si="28"/>
        <v>0</v>
      </c>
      <c r="L142" s="156">
        <f>IF(Control!$Y$26=Control!$X$27,J142,I142)+K142</f>
        <v>4.4455</v>
      </c>
      <c r="M142" s="153">
        <v>0</v>
      </c>
      <c r="N142" s="154">
        <f>VLOOKUP($B142,Curve_Fetch,VLOOKUP(Control!$AJ$10,Control!$AI$11:$AK$22,3))</f>
        <v>-0.2</v>
      </c>
      <c r="O142" s="160">
        <f t="shared" si="29"/>
        <v>0</v>
      </c>
      <c r="P142" s="156">
        <f>IF(Control!$Y$31=Control!$X$32,N142,M142)+O142</f>
        <v>-0.2</v>
      </c>
      <c r="Q142" s="153">
        <v>0</v>
      </c>
      <c r="R142" s="154">
        <f>VLOOKUP($B142,Curve_Fetch,(VLOOKUP(Control!$AJ$10,Control!$AI$11:$AL$22,4)))</f>
        <v>2.5000000000000001E-3</v>
      </c>
      <c r="S142" s="160">
        <f t="shared" si="30"/>
        <v>0</v>
      </c>
      <c r="T142" s="156">
        <f>IF($C$11="Physical",IF(Control!$Y$37=Control!$X$38,R142,Q142)+S142,0)</f>
        <v>2.5000000000000001E-3</v>
      </c>
      <c r="U142" s="203">
        <f t="shared" si="35"/>
        <v>4.2480000000000002</v>
      </c>
      <c r="V142" s="172"/>
      <c r="W142" s="219">
        <f>VLOOKUP($B142,Model!$A$8:$S$289,19)</f>
        <v>0.18</v>
      </c>
      <c r="X142" s="221">
        <f t="shared" si="31"/>
        <v>0</v>
      </c>
      <c r="Y142" s="221">
        <f t="shared" si="21"/>
        <v>0.18</v>
      </c>
      <c r="Z142" s="160">
        <f t="shared" si="32"/>
        <v>0</v>
      </c>
      <c r="AA142" s="160">
        <f t="shared" si="33"/>
        <v>4.2480000000000002</v>
      </c>
      <c r="AB142" s="231">
        <f ca="1">_xll.EURO(U142,AA142,VLOOKUP($B142,Curve_Fetch,2),VLOOKUP($B142,Curve_Fetch,2),Y142,VLOOKUP($B142,Model!$A$8:$R$289,18),IF(Euro!$C$10="Call",1,0),0)</f>
        <v>0.580305797513055</v>
      </c>
      <c r="AD142" s="157">
        <f t="shared" ca="1" si="22"/>
        <v>0</v>
      </c>
      <c r="AE142" s="158">
        <f t="shared" ca="1" si="23"/>
        <v>0</v>
      </c>
      <c r="AF142" s="158">
        <f t="shared" ca="1" si="24"/>
        <v>0</v>
      </c>
      <c r="AG142" s="158">
        <f t="shared" ca="1" si="25"/>
        <v>0</v>
      </c>
      <c r="AH142" s="158">
        <f t="shared" ca="1" si="26"/>
        <v>0</v>
      </c>
      <c r="AI142" s="159">
        <f t="shared" ca="1" si="27"/>
        <v>0</v>
      </c>
      <c r="AK142"/>
      <c r="AL142"/>
      <c r="AM142"/>
      <c r="AN142"/>
      <c r="AO142"/>
      <c r="AP142"/>
      <c r="AQ142"/>
      <c r="AR142"/>
    </row>
    <row r="143" spans="2:44">
      <c r="B143" s="151">
        <f>[1]!_xludf.edate(B142,1)</f>
        <v>40695</v>
      </c>
      <c r="C143" s="152">
        <f t="shared" si="34"/>
        <v>40749</v>
      </c>
      <c r="D143" s="183">
        <v>0</v>
      </c>
      <c r="E143" s="184">
        <f>VLOOKUP($B143,Model!$A$8:$E$289,5)</f>
        <v>0</v>
      </c>
      <c r="F143" s="184">
        <f>VLOOKUP($B143,Model!$A$8:$F$289,6)</f>
        <v>0</v>
      </c>
      <c r="G143" s="206">
        <f ca="1">VLOOKUP($B143,Model!$A$8:$AO$289,41)</f>
        <v>0</v>
      </c>
      <c r="I143" s="153">
        <v>0</v>
      </c>
      <c r="J143" s="154">
        <f t="shared" si="20"/>
        <v>4.4835000000000003</v>
      </c>
      <c r="K143" s="160">
        <f t="shared" si="28"/>
        <v>0</v>
      </c>
      <c r="L143" s="156">
        <f>IF(Control!$Y$26=Control!$X$27,J143,I143)+K143</f>
        <v>4.4835000000000003</v>
      </c>
      <c r="M143" s="153">
        <v>0</v>
      </c>
      <c r="N143" s="154">
        <f>VLOOKUP($B143,Curve_Fetch,VLOOKUP(Control!$AJ$10,Control!$AI$11:$AK$22,3))</f>
        <v>-0.2</v>
      </c>
      <c r="O143" s="160">
        <f t="shared" si="29"/>
        <v>0</v>
      </c>
      <c r="P143" s="156">
        <f>IF(Control!$Y$31=Control!$X$32,N143,M143)+O143</f>
        <v>-0.2</v>
      </c>
      <c r="Q143" s="153">
        <v>0</v>
      </c>
      <c r="R143" s="154">
        <f>VLOOKUP($B143,Curve_Fetch,(VLOOKUP(Control!$AJ$10,Control!$AI$11:$AL$22,4)))</f>
        <v>2.5000000000000001E-3</v>
      </c>
      <c r="S143" s="160">
        <f t="shared" si="30"/>
        <v>0</v>
      </c>
      <c r="T143" s="156">
        <f>IF($C$11="Physical",IF(Control!$Y$37=Control!$X$38,R143,Q143)+S143,0)</f>
        <v>2.5000000000000001E-3</v>
      </c>
      <c r="U143" s="203">
        <f t="shared" si="35"/>
        <v>4.2860000000000005</v>
      </c>
      <c r="V143" s="172"/>
      <c r="W143" s="219">
        <f>VLOOKUP($B143,Model!$A$8:$S$289,19)</f>
        <v>0.18</v>
      </c>
      <c r="X143" s="221">
        <f t="shared" si="31"/>
        <v>0</v>
      </c>
      <c r="Y143" s="221">
        <f t="shared" si="21"/>
        <v>0.18</v>
      </c>
      <c r="Z143" s="160">
        <f t="shared" si="32"/>
        <v>0</v>
      </c>
      <c r="AA143" s="160">
        <f t="shared" si="33"/>
        <v>4.2860000000000005</v>
      </c>
      <c r="AB143" s="231">
        <f ca="1">_xll.EURO(U143,AA143,VLOOKUP($B143,Curve_Fetch,2),VLOOKUP($B143,Curve_Fetch,2),Y143,VLOOKUP($B143,Model!$A$8:$R$289,18),IF(Euro!$C$10="Call",1,0),0)</f>
        <v>0.58504163834280987</v>
      </c>
      <c r="AD143" s="157">
        <f t="shared" ca="1" si="22"/>
        <v>0</v>
      </c>
      <c r="AE143" s="158">
        <f t="shared" ca="1" si="23"/>
        <v>0</v>
      </c>
      <c r="AF143" s="158">
        <f t="shared" ca="1" si="24"/>
        <v>0</v>
      </c>
      <c r="AG143" s="158">
        <f t="shared" ca="1" si="25"/>
        <v>0</v>
      </c>
      <c r="AH143" s="158">
        <f t="shared" ca="1" si="26"/>
        <v>0</v>
      </c>
      <c r="AI143" s="159">
        <f t="shared" ca="1" si="27"/>
        <v>0</v>
      </c>
      <c r="AK143"/>
      <c r="AL143"/>
      <c r="AM143"/>
      <c r="AN143"/>
      <c r="AO143"/>
      <c r="AP143"/>
      <c r="AQ143"/>
      <c r="AR143"/>
    </row>
    <row r="144" spans="2:44">
      <c r="B144" s="151">
        <f>[1]!_xludf.edate(B143,1)</f>
        <v>40725</v>
      </c>
      <c r="C144" s="152">
        <f t="shared" si="34"/>
        <v>40780</v>
      </c>
      <c r="D144" s="183">
        <v>0</v>
      </c>
      <c r="E144" s="184">
        <f>VLOOKUP($B144,Model!$A$8:$E$289,5)</f>
        <v>0</v>
      </c>
      <c r="F144" s="184">
        <f>VLOOKUP($B144,Model!$A$8:$F$289,6)</f>
        <v>0</v>
      </c>
      <c r="G144" s="206">
        <f ca="1">VLOOKUP($B144,Model!$A$8:$AO$289,41)</f>
        <v>0</v>
      </c>
      <c r="I144" s="153">
        <v>0</v>
      </c>
      <c r="J144" s="154">
        <f t="shared" si="20"/>
        <v>4.5285000000000002</v>
      </c>
      <c r="K144" s="160">
        <f t="shared" si="28"/>
        <v>0</v>
      </c>
      <c r="L144" s="156">
        <f>IF(Control!$Y$26=Control!$X$27,J144,I144)+K144</f>
        <v>4.5285000000000002</v>
      </c>
      <c r="M144" s="153">
        <v>0</v>
      </c>
      <c r="N144" s="154">
        <f>VLOOKUP($B144,Curve_Fetch,VLOOKUP(Control!$AJ$10,Control!$AI$11:$AK$22,3))</f>
        <v>-0.2</v>
      </c>
      <c r="O144" s="160">
        <f t="shared" si="29"/>
        <v>0</v>
      </c>
      <c r="P144" s="156">
        <f>IF(Control!$Y$31=Control!$X$32,N144,M144)+O144</f>
        <v>-0.2</v>
      </c>
      <c r="Q144" s="153">
        <v>0</v>
      </c>
      <c r="R144" s="154">
        <f>VLOOKUP($B144,Curve_Fetch,(VLOOKUP(Control!$AJ$10,Control!$AI$11:$AL$22,4)))</f>
        <v>2.5000000000000001E-3</v>
      </c>
      <c r="S144" s="160">
        <f t="shared" si="30"/>
        <v>0</v>
      </c>
      <c r="T144" s="156">
        <f>IF($C$11="Physical",IF(Control!$Y$37=Control!$X$38,R144,Q144)+S144,0)</f>
        <v>2.5000000000000001E-3</v>
      </c>
      <c r="U144" s="203">
        <f t="shared" si="35"/>
        <v>4.3310000000000004</v>
      </c>
      <c r="V144" s="172"/>
      <c r="W144" s="219">
        <f>VLOOKUP($B144,Model!$A$8:$S$289,19)</f>
        <v>0.18</v>
      </c>
      <c r="X144" s="221">
        <f t="shared" si="31"/>
        <v>0</v>
      </c>
      <c r="Y144" s="221">
        <f t="shared" si="21"/>
        <v>0.18</v>
      </c>
      <c r="Z144" s="160">
        <f t="shared" si="32"/>
        <v>0</v>
      </c>
      <c r="AA144" s="160">
        <f t="shared" si="33"/>
        <v>4.3310000000000004</v>
      </c>
      <c r="AB144" s="231">
        <f ca="1">_xll.EURO(U144,AA144,VLOOKUP($B144,Curve_Fetch,2),VLOOKUP($B144,Curve_Fetch,2),Y144,VLOOKUP($B144,Model!$A$8:$R$289,18),IF(Euro!$C$10="Call",1,0),0)</f>
        <v>0.5907081076089653</v>
      </c>
      <c r="AD144" s="157">
        <f t="shared" ca="1" si="22"/>
        <v>0</v>
      </c>
      <c r="AE144" s="158">
        <f t="shared" ca="1" si="23"/>
        <v>0</v>
      </c>
      <c r="AF144" s="158">
        <f t="shared" ca="1" si="24"/>
        <v>0</v>
      </c>
      <c r="AG144" s="158">
        <f t="shared" ca="1" si="25"/>
        <v>0</v>
      </c>
      <c r="AH144" s="158">
        <f t="shared" ca="1" si="26"/>
        <v>0</v>
      </c>
      <c r="AI144" s="159">
        <f t="shared" ca="1" si="27"/>
        <v>0</v>
      </c>
      <c r="AK144"/>
      <c r="AL144"/>
      <c r="AM144"/>
      <c r="AN144"/>
      <c r="AO144"/>
      <c r="AP144"/>
      <c r="AQ144"/>
      <c r="AR144"/>
    </row>
    <row r="145" spans="2:44">
      <c r="B145" s="151">
        <f>[1]!_xludf.edate(B144,1)</f>
        <v>40756</v>
      </c>
      <c r="C145" s="152">
        <f t="shared" si="34"/>
        <v>40811</v>
      </c>
      <c r="D145" s="183">
        <v>0</v>
      </c>
      <c r="E145" s="184">
        <f>VLOOKUP($B145,Model!$A$8:$E$289,5)</f>
        <v>0</v>
      </c>
      <c r="F145" s="184">
        <f>VLOOKUP($B145,Model!$A$8:$F$289,6)</f>
        <v>0</v>
      </c>
      <c r="G145" s="206">
        <f ca="1">VLOOKUP($B145,Model!$A$8:$AO$289,41)</f>
        <v>0</v>
      </c>
      <c r="I145" s="153">
        <v>0</v>
      </c>
      <c r="J145" s="154">
        <f t="shared" si="20"/>
        <v>4.5664999999999996</v>
      </c>
      <c r="K145" s="160">
        <f t="shared" si="28"/>
        <v>0</v>
      </c>
      <c r="L145" s="156">
        <f>IF(Control!$Y$26=Control!$X$27,J145,I145)+K145</f>
        <v>4.5664999999999996</v>
      </c>
      <c r="M145" s="153">
        <v>0</v>
      </c>
      <c r="N145" s="154">
        <f>VLOOKUP($B145,Curve_Fetch,VLOOKUP(Control!$AJ$10,Control!$AI$11:$AK$22,3))</f>
        <v>-0.2</v>
      </c>
      <c r="O145" s="160">
        <f t="shared" si="29"/>
        <v>0</v>
      </c>
      <c r="P145" s="156">
        <f>IF(Control!$Y$31=Control!$X$32,N145,M145)+O145</f>
        <v>-0.2</v>
      </c>
      <c r="Q145" s="153">
        <v>0</v>
      </c>
      <c r="R145" s="154">
        <f>VLOOKUP($B145,Curve_Fetch,(VLOOKUP(Control!$AJ$10,Control!$AI$11:$AL$22,4)))</f>
        <v>2.5000000000000001E-3</v>
      </c>
      <c r="S145" s="160">
        <f t="shared" si="30"/>
        <v>0</v>
      </c>
      <c r="T145" s="156">
        <f>IF($C$11="Physical",IF(Control!$Y$37=Control!$X$38,R145,Q145)+S145,0)</f>
        <v>2.5000000000000001E-3</v>
      </c>
      <c r="U145" s="203">
        <f t="shared" si="35"/>
        <v>4.3689999999999998</v>
      </c>
      <c r="V145" s="172"/>
      <c r="W145" s="219">
        <f>VLOOKUP($B145,Model!$A$8:$S$289,19)</f>
        <v>0.18</v>
      </c>
      <c r="X145" s="221">
        <f t="shared" si="31"/>
        <v>0</v>
      </c>
      <c r="Y145" s="221">
        <f t="shared" si="21"/>
        <v>0.18</v>
      </c>
      <c r="Z145" s="160">
        <f t="shared" si="32"/>
        <v>0</v>
      </c>
      <c r="AA145" s="160">
        <f t="shared" si="33"/>
        <v>4.3689999999999998</v>
      </c>
      <c r="AB145" s="231">
        <f ca="1">_xll.EURO(U145,AA145,VLOOKUP($B145,Curve_Fetch,2),VLOOKUP($B145,Curve_Fetch,2),Y145,VLOOKUP($B145,Model!$A$8:$R$289,18),IF(Euro!$C$10="Call",1,0),0)</f>
        <v>0.59536298009919242</v>
      </c>
      <c r="AD145" s="157">
        <f t="shared" ca="1" si="22"/>
        <v>0</v>
      </c>
      <c r="AE145" s="158">
        <f t="shared" ca="1" si="23"/>
        <v>0</v>
      </c>
      <c r="AF145" s="158">
        <f t="shared" ca="1" si="24"/>
        <v>0</v>
      </c>
      <c r="AG145" s="158">
        <f t="shared" ca="1" si="25"/>
        <v>0</v>
      </c>
      <c r="AH145" s="158">
        <f t="shared" ca="1" si="26"/>
        <v>0</v>
      </c>
      <c r="AI145" s="159">
        <f t="shared" ca="1" si="27"/>
        <v>0</v>
      </c>
      <c r="AK145"/>
      <c r="AL145"/>
      <c r="AM145"/>
      <c r="AN145"/>
      <c r="AO145"/>
      <c r="AP145"/>
      <c r="AQ145"/>
      <c r="AR145"/>
    </row>
    <row r="146" spans="2:44">
      <c r="B146" s="151">
        <f>[1]!_xludf.edate(B145,1)</f>
        <v>40787</v>
      </c>
      <c r="C146" s="152">
        <f t="shared" si="34"/>
        <v>40841</v>
      </c>
      <c r="D146" s="183">
        <v>0</v>
      </c>
      <c r="E146" s="184">
        <f>VLOOKUP($B146,Model!$A$8:$E$289,5)</f>
        <v>0</v>
      </c>
      <c r="F146" s="184">
        <f>VLOOKUP($B146,Model!$A$8:$F$289,6)</f>
        <v>0</v>
      </c>
      <c r="G146" s="206">
        <f ca="1">VLOOKUP($B146,Model!$A$8:$AO$289,41)</f>
        <v>0</v>
      </c>
      <c r="I146" s="153">
        <v>0</v>
      </c>
      <c r="J146" s="154">
        <f t="shared" si="20"/>
        <v>4.5605000000000002</v>
      </c>
      <c r="K146" s="160">
        <f t="shared" si="28"/>
        <v>0</v>
      </c>
      <c r="L146" s="156">
        <f>IF(Control!$Y$26=Control!$X$27,J146,I146)+K146</f>
        <v>4.5605000000000002</v>
      </c>
      <c r="M146" s="153">
        <v>0</v>
      </c>
      <c r="N146" s="154">
        <f>VLOOKUP($B146,Curve_Fetch,VLOOKUP(Control!$AJ$10,Control!$AI$11:$AK$22,3))</f>
        <v>-0.2</v>
      </c>
      <c r="O146" s="160">
        <f t="shared" si="29"/>
        <v>0</v>
      </c>
      <c r="P146" s="156">
        <f>IF(Control!$Y$31=Control!$X$32,N146,M146)+O146</f>
        <v>-0.2</v>
      </c>
      <c r="Q146" s="153">
        <v>0</v>
      </c>
      <c r="R146" s="154">
        <f>VLOOKUP($B146,Curve_Fetch,(VLOOKUP(Control!$AJ$10,Control!$AI$11:$AL$22,4)))</f>
        <v>2.5000000000000001E-3</v>
      </c>
      <c r="S146" s="160">
        <f t="shared" si="30"/>
        <v>0</v>
      </c>
      <c r="T146" s="156">
        <f>IF($C$11="Physical",IF(Control!$Y$37=Control!$X$38,R146,Q146)+S146,0)</f>
        <v>2.5000000000000001E-3</v>
      </c>
      <c r="U146" s="203">
        <f t="shared" si="35"/>
        <v>4.3630000000000004</v>
      </c>
      <c r="V146" s="172"/>
      <c r="W146" s="219">
        <f>VLOOKUP($B146,Model!$A$8:$S$289,19)</f>
        <v>0.18</v>
      </c>
      <c r="X146" s="221">
        <f t="shared" si="31"/>
        <v>0</v>
      </c>
      <c r="Y146" s="221">
        <f t="shared" si="21"/>
        <v>0.18</v>
      </c>
      <c r="Z146" s="160">
        <f t="shared" si="32"/>
        <v>0</v>
      </c>
      <c r="AA146" s="160">
        <f t="shared" si="33"/>
        <v>4.3630000000000004</v>
      </c>
      <c r="AB146" s="231">
        <f ca="1">_xll.EURO(U146,AA146,VLOOKUP($B146,Curve_Fetch,2),VLOOKUP($B146,Curve_Fetch,2),Y146,VLOOKUP($B146,Model!$A$8:$R$289,18),IF(Euro!$C$10="Call",1,0),0)</f>
        <v>0.59398638426588923</v>
      </c>
      <c r="AD146" s="157">
        <f t="shared" ca="1" si="22"/>
        <v>0</v>
      </c>
      <c r="AE146" s="158">
        <f t="shared" ca="1" si="23"/>
        <v>0</v>
      </c>
      <c r="AF146" s="158">
        <f t="shared" ca="1" si="24"/>
        <v>0</v>
      </c>
      <c r="AG146" s="158">
        <f t="shared" ca="1" si="25"/>
        <v>0</v>
      </c>
      <c r="AH146" s="158">
        <f t="shared" ca="1" si="26"/>
        <v>0</v>
      </c>
      <c r="AI146" s="159">
        <f t="shared" ca="1" si="27"/>
        <v>0</v>
      </c>
      <c r="AK146"/>
      <c r="AL146"/>
      <c r="AM146"/>
      <c r="AN146"/>
      <c r="AO146"/>
      <c r="AP146"/>
      <c r="AQ146"/>
      <c r="AR146"/>
    </row>
    <row r="147" spans="2:44">
      <c r="B147" s="151">
        <f>[1]!_xludf.edate(B146,1)</f>
        <v>40817</v>
      </c>
      <c r="C147" s="152">
        <f t="shared" si="34"/>
        <v>40872</v>
      </c>
      <c r="D147" s="183">
        <v>0</v>
      </c>
      <c r="E147" s="184">
        <f>VLOOKUP($B147,Model!$A$8:$E$289,5)</f>
        <v>0</v>
      </c>
      <c r="F147" s="184">
        <f>VLOOKUP($B147,Model!$A$8:$F$289,6)</f>
        <v>0</v>
      </c>
      <c r="G147" s="206">
        <f ca="1">VLOOKUP($B147,Model!$A$8:$AO$289,41)</f>
        <v>0</v>
      </c>
      <c r="I147" s="153">
        <v>0</v>
      </c>
      <c r="J147" s="154">
        <f t="shared" si="20"/>
        <v>4.5605000000000002</v>
      </c>
      <c r="K147" s="160">
        <f t="shared" si="28"/>
        <v>0</v>
      </c>
      <c r="L147" s="156">
        <f>IF(Control!$Y$26=Control!$X$27,J147,I147)+K147</f>
        <v>4.5605000000000002</v>
      </c>
      <c r="M147" s="153">
        <v>0</v>
      </c>
      <c r="N147" s="154">
        <f>VLOOKUP($B147,Curve_Fetch,VLOOKUP(Control!$AJ$10,Control!$AI$11:$AK$22,3))</f>
        <v>-0.2</v>
      </c>
      <c r="O147" s="160">
        <f t="shared" si="29"/>
        <v>0</v>
      </c>
      <c r="P147" s="156">
        <f>IF(Control!$Y$31=Control!$X$32,N147,M147)+O147</f>
        <v>-0.2</v>
      </c>
      <c r="Q147" s="153">
        <v>0</v>
      </c>
      <c r="R147" s="154">
        <f>VLOOKUP($B147,Curve_Fetch,(VLOOKUP(Control!$AJ$10,Control!$AI$11:$AL$22,4)))</f>
        <v>2.5000000000000001E-3</v>
      </c>
      <c r="S147" s="160">
        <f t="shared" si="30"/>
        <v>0</v>
      </c>
      <c r="T147" s="156">
        <f>IF($C$11="Physical",IF(Control!$Y$37=Control!$X$38,R147,Q147)+S147,0)</f>
        <v>2.5000000000000001E-3</v>
      </c>
      <c r="U147" s="203">
        <f t="shared" si="35"/>
        <v>4.3630000000000004</v>
      </c>
      <c r="V147" s="172"/>
      <c r="W147" s="219">
        <f>VLOOKUP($B147,Model!$A$8:$S$289,19)</f>
        <v>0.18</v>
      </c>
      <c r="X147" s="221">
        <f t="shared" si="31"/>
        <v>0</v>
      </c>
      <c r="Y147" s="221">
        <f t="shared" si="21"/>
        <v>0.18</v>
      </c>
      <c r="Z147" s="160">
        <f t="shared" si="32"/>
        <v>0</v>
      </c>
      <c r="AA147" s="160">
        <f t="shared" si="33"/>
        <v>4.3630000000000004</v>
      </c>
      <c r="AB147" s="231">
        <f ca="1">_xll.EURO(U147,AA147,VLOOKUP($B147,Curve_Fetch,2),VLOOKUP($B147,Curve_Fetch,2),Y147,VLOOKUP($B147,Model!$A$8:$R$289,18),IF(Euro!$C$10="Call",1,0),0)</f>
        <v>0.59341567974693099</v>
      </c>
      <c r="AD147" s="157">
        <f t="shared" ca="1" si="22"/>
        <v>0</v>
      </c>
      <c r="AE147" s="158">
        <f t="shared" ca="1" si="23"/>
        <v>0</v>
      </c>
      <c r="AF147" s="158">
        <f t="shared" ca="1" si="24"/>
        <v>0</v>
      </c>
      <c r="AG147" s="158">
        <f t="shared" ca="1" si="25"/>
        <v>0</v>
      </c>
      <c r="AH147" s="158">
        <f t="shared" ca="1" si="26"/>
        <v>0</v>
      </c>
      <c r="AI147" s="159">
        <f t="shared" ca="1" si="27"/>
        <v>0</v>
      </c>
      <c r="AK147"/>
      <c r="AL147"/>
      <c r="AM147"/>
      <c r="AN147"/>
      <c r="AO147"/>
      <c r="AP147"/>
      <c r="AQ147"/>
      <c r="AR147"/>
    </row>
    <row r="148" spans="2:44">
      <c r="B148" s="151">
        <f>[1]!_xludf.edate(B147,1)</f>
        <v>40848</v>
      </c>
      <c r="C148" s="152">
        <f t="shared" si="34"/>
        <v>40902</v>
      </c>
      <c r="D148" s="183">
        <v>0</v>
      </c>
      <c r="E148" s="184">
        <f>VLOOKUP($B148,Model!$A$8:$E$289,5)</f>
        <v>0</v>
      </c>
      <c r="F148" s="184">
        <f>VLOOKUP($B148,Model!$A$8:$F$289,6)</f>
        <v>0</v>
      </c>
      <c r="G148" s="206">
        <f ca="1">VLOOKUP($B148,Model!$A$8:$AO$289,41)</f>
        <v>0</v>
      </c>
      <c r="I148" s="153">
        <v>0</v>
      </c>
      <c r="J148" s="154">
        <f t="shared" si="20"/>
        <v>4.7305000000000001</v>
      </c>
      <c r="K148" s="160">
        <f t="shared" si="28"/>
        <v>0</v>
      </c>
      <c r="L148" s="156">
        <f>IF(Control!$Y$26=Control!$X$27,J148,I148)+K148</f>
        <v>4.7305000000000001</v>
      </c>
      <c r="M148" s="153">
        <v>0</v>
      </c>
      <c r="N148" s="154">
        <f>VLOOKUP($B148,Curve_Fetch,VLOOKUP(Control!$AJ$10,Control!$AI$11:$AK$22,3))</f>
        <v>-0.13</v>
      </c>
      <c r="O148" s="160">
        <f t="shared" si="29"/>
        <v>0</v>
      </c>
      <c r="P148" s="156">
        <f>IF(Control!$Y$31=Control!$X$32,N148,M148)+O148</f>
        <v>-0.13</v>
      </c>
      <c r="Q148" s="153">
        <v>0</v>
      </c>
      <c r="R148" s="154">
        <f>VLOOKUP($B148,Curve_Fetch,(VLOOKUP(Control!$AJ$10,Control!$AI$11:$AL$22,4)))</f>
        <v>5.0000000000000001E-3</v>
      </c>
      <c r="S148" s="160">
        <f t="shared" si="30"/>
        <v>0</v>
      </c>
      <c r="T148" s="156">
        <f>IF($C$11="Physical",IF(Control!$Y$37=Control!$X$38,R148,Q148)+S148,0)</f>
        <v>5.0000000000000001E-3</v>
      </c>
      <c r="U148" s="203">
        <f t="shared" si="35"/>
        <v>4.6055000000000001</v>
      </c>
      <c r="V148" s="172"/>
      <c r="W148" s="219">
        <f>VLOOKUP($B148,Model!$A$8:$S$289,19)</f>
        <v>0.18</v>
      </c>
      <c r="X148" s="221">
        <f t="shared" si="31"/>
        <v>0</v>
      </c>
      <c r="Y148" s="221">
        <f t="shared" si="21"/>
        <v>0.18</v>
      </c>
      <c r="Z148" s="160">
        <f t="shared" si="32"/>
        <v>0</v>
      </c>
      <c r="AA148" s="160">
        <f t="shared" si="33"/>
        <v>4.6055000000000001</v>
      </c>
      <c r="AB148" s="231">
        <f ca="1">_xll.EURO(U148,AA148,VLOOKUP($B148,Curve_Fetch,2),VLOOKUP($B148,Curve_Fetch,2),Y148,VLOOKUP($B148,Model!$A$8:$R$289,18),IF(Euro!$C$10="Call",1,0),0)</f>
        <v>0.62574384773077751</v>
      </c>
      <c r="AD148" s="157">
        <f t="shared" ca="1" si="22"/>
        <v>0</v>
      </c>
      <c r="AE148" s="158">
        <f t="shared" ca="1" si="23"/>
        <v>0</v>
      </c>
      <c r="AF148" s="158">
        <f t="shared" ca="1" si="24"/>
        <v>0</v>
      </c>
      <c r="AG148" s="158">
        <f t="shared" ca="1" si="25"/>
        <v>0</v>
      </c>
      <c r="AH148" s="158">
        <f t="shared" ca="1" si="26"/>
        <v>0</v>
      </c>
      <c r="AI148" s="159">
        <f t="shared" ca="1" si="27"/>
        <v>0</v>
      </c>
      <c r="AK148"/>
      <c r="AL148"/>
      <c r="AM148"/>
      <c r="AN148"/>
      <c r="AO148"/>
      <c r="AP148"/>
      <c r="AQ148"/>
      <c r="AR148"/>
    </row>
    <row r="149" spans="2:44">
      <c r="B149" s="151">
        <f>[1]!_xludf.edate(B148,1)</f>
        <v>40878</v>
      </c>
      <c r="C149" s="152">
        <f t="shared" si="34"/>
        <v>40933</v>
      </c>
      <c r="D149" s="183">
        <v>0</v>
      </c>
      <c r="E149" s="184">
        <f>VLOOKUP($B149,Model!$A$8:$E$289,5)</f>
        <v>0</v>
      </c>
      <c r="F149" s="184">
        <f>VLOOKUP($B149,Model!$A$8:$F$289,6)</f>
        <v>0</v>
      </c>
      <c r="G149" s="206">
        <f ca="1">VLOOKUP($B149,Model!$A$8:$AO$289,41)</f>
        <v>0</v>
      </c>
      <c r="I149" s="153">
        <v>0</v>
      </c>
      <c r="J149" s="154">
        <f t="shared" si="20"/>
        <v>4.8615000000000004</v>
      </c>
      <c r="K149" s="160">
        <f t="shared" si="28"/>
        <v>0</v>
      </c>
      <c r="L149" s="156">
        <f>IF(Control!$Y$26=Control!$X$27,J149,I149)+K149</f>
        <v>4.8615000000000004</v>
      </c>
      <c r="M149" s="153">
        <v>0</v>
      </c>
      <c r="N149" s="154">
        <f>VLOOKUP($B149,Curve_Fetch,VLOOKUP(Control!$AJ$10,Control!$AI$11:$AK$22,3))</f>
        <v>-0.13</v>
      </c>
      <c r="O149" s="160">
        <f t="shared" si="29"/>
        <v>0</v>
      </c>
      <c r="P149" s="156">
        <f>IF(Control!$Y$31=Control!$X$32,N149,M149)+O149</f>
        <v>-0.13</v>
      </c>
      <c r="Q149" s="153">
        <v>0</v>
      </c>
      <c r="R149" s="154">
        <f>VLOOKUP($B149,Curve_Fetch,(VLOOKUP(Control!$AJ$10,Control!$AI$11:$AL$22,4)))</f>
        <v>5.0000000000000001E-3</v>
      </c>
      <c r="S149" s="160">
        <f t="shared" si="30"/>
        <v>0</v>
      </c>
      <c r="T149" s="156">
        <f>IF($C$11="Physical",IF(Control!$Y$37=Control!$X$38,R149,Q149)+S149,0)</f>
        <v>5.0000000000000001E-3</v>
      </c>
      <c r="U149" s="203">
        <f t="shared" si="35"/>
        <v>4.7365000000000004</v>
      </c>
      <c r="V149" s="172"/>
      <c r="W149" s="219">
        <f>VLOOKUP($B149,Model!$A$8:$S$289,19)</f>
        <v>0.18</v>
      </c>
      <c r="X149" s="221">
        <f t="shared" si="31"/>
        <v>0</v>
      </c>
      <c r="Y149" s="221">
        <f t="shared" si="21"/>
        <v>0.18</v>
      </c>
      <c r="Z149" s="160">
        <f t="shared" si="32"/>
        <v>0</v>
      </c>
      <c r="AA149" s="160">
        <f t="shared" si="33"/>
        <v>4.7365000000000004</v>
      </c>
      <c r="AB149" s="231">
        <f ca="1">_xll.EURO(U149,AA149,VLOOKUP($B149,Curve_Fetch,2),VLOOKUP($B149,Curve_Fetch,2),Y149,VLOOKUP($B149,Model!$A$8:$R$289,18),IF(Euro!$C$10="Call",1,0),0)</f>
        <v>0.64305966768141731</v>
      </c>
      <c r="AD149" s="157">
        <f t="shared" ca="1" si="22"/>
        <v>0</v>
      </c>
      <c r="AE149" s="158">
        <f t="shared" ca="1" si="23"/>
        <v>0</v>
      </c>
      <c r="AF149" s="158">
        <f t="shared" ca="1" si="24"/>
        <v>0</v>
      </c>
      <c r="AG149" s="158">
        <f t="shared" ca="1" si="25"/>
        <v>0</v>
      </c>
      <c r="AH149" s="158">
        <f t="shared" ca="1" si="26"/>
        <v>0</v>
      </c>
      <c r="AI149" s="159">
        <f t="shared" ca="1" si="27"/>
        <v>0</v>
      </c>
      <c r="AK149"/>
      <c r="AL149"/>
      <c r="AM149"/>
      <c r="AN149"/>
      <c r="AO149"/>
      <c r="AP149"/>
      <c r="AQ149"/>
      <c r="AR149"/>
    </row>
    <row r="150" spans="2:44">
      <c r="B150" s="151">
        <f>[1]!_xludf.edate(B149,1)</f>
        <v>40909</v>
      </c>
      <c r="C150" s="152">
        <f t="shared" si="34"/>
        <v>40964</v>
      </c>
      <c r="D150" s="183">
        <v>0</v>
      </c>
      <c r="E150" s="184">
        <f>VLOOKUP($B150,Model!$A$8:$E$289,5)</f>
        <v>0</v>
      </c>
      <c r="F150" s="184">
        <f>VLOOKUP($B150,Model!$A$8:$F$289,6)</f>
        <v>0</v>
      </c>
      <c r="G150" s="206">
        <f ca="1">VLOOKUP($B150,Model!$A$8:$AO$289,41)</f>
        <v>0</v>
      </c>
      <c r="I150" s="153">
        <v>0</v>
      </c>
      <c r="J150" s="154">
        <f t="shared" si="20"/>
        <v>4.9340000000000002</v>
      </c>
      <c r="K150" s="160">
        <f t="shared" si="28"/>
        <v>0</v>
      </c>
      <c r="L150" s="156">
        <f>IF(Control!$Y$26=Control!$X$27,J150,I150)+K150</f>
        <v>4.9340000000000002</v>
      </c>
      <c r="M150" s="153">
        <v>0</v>
      </c>
      <c r="N150" s="154">
        <f>VLOOKUP($B150,Curve_Fetch,VLOOKUP(Control!$AJ$10,Control!$AI$11:$AK$22,3))</f>
        <v>-0.13</v>
      </c>
      <c r="O150" s="160">
        <f t="shared" si="29"/>
        <v>0</v>
      </c>
      <c r="P150" s="156">
        <f>IF(Control!$Y$31=Control!$X$32,N150,M150)+O150</f>
        <v>-0.13</v>
      </c>
      <c r="Q150" s="153">
        <v>0</v>
      </c>
      <c r="R150" s="154">
        <f>VLOOKUP($B150,Curve_Fetch,(VLOOKUP(Control!$AJ$10,Control!$AI$11:$AL$22,4)))</f>
        <v>5.0000000000000001E-3</v>
      </c>
      <c r="S150" s="160">
        <f t="shared" si="30"/>
        <v>0</v>
      </c>
      <c r="T150" s="156">
        <f>IF($C$11="Physical",IF(Control!$Y$37=Control!$X$38,R150,Q150)+S150,0)</f>
        <v>5.0000000000000001E-3</v>
      </c>
      <c r="U150" s="203">
        <f t="shared" si="35"/>
        <v>4.8090000000000002</v>
      </c>
      <c r="V150" s="172"/>
      <c r="W150" s="219">
        <f>VLOOKUP($B150,Model!$A$8:$S$289,19)</f>
        <v>0.18</v>
      </c>
      <c r="X150" s="221">
        <f t="shared" si="31"/>
        <v>0</v>
      </c>
      <c r="Y150" s="221">
        <f t="shared" si="21"/>
        <v>0.18</v>
      </c>
      <c r="Z150" s="160">
        <f t="shared" si="32"/>
        <v>0</v>
      </c>
      <c r="AA150" s="160">
        <f t="shared" si="33"/>
        <v>4.8090000000000002</v>
      </c>
      <c r="AB150" s="231">
        <f ca="1">_xll.EURO(U150,AA150,VLOOKUP($B150,Curve_Fetch,2),VLOOKUP($B150,Curve_Fetch,2),Y150,VLOOKUP($B150,Model!$A$8:$R$289,18),IF(Euro!$C$10="Call",1,0),0)</f>
        <v>0.6524194880254186</v>
      </c>
      <c r="AD150" s="157">
        <f t="shared" ca="1" si="22"/>
        <v>0</v>
      </c>
      <c r="AE150" s="158">
        <f t="shared" ca="1" si="23"/>
        <v>0</v>
      </c>
      <c r="AF150" s="158">
        <f t="shared" ca="1" si="24"/>
        <v>0</v>
      </c>
      <c r="AG150" s="158">
        <f t="shared" ca="1" si="25"/>
        <v>0</v>
      </c>
      <c r="AH150" s="158">
        <f t="shared" ca="1" si="26"/>
        <v>0</v>
      </c>
      <c r="AI150" s="159">
        <f t="shared" ca="1" si="27"/>
        <v>0</v>
      </c>
      <c r="AK150"/>
      <c r="AL150"/>
      <c r="AM150"/>
      <c r="AN150"/>
      <c r="AO150"/>
      <c r="AP150"/>
      <c r="AQ150"/>
      <c r="AR150"/>
    </row>
    <row r="151" spans="2:44">
      <c r="B151" s="151">
        <f>[1]!_xludf.edate(B150,1)</f>
        <v>40940</v>
      </c>
      <c r="C151" s="152">
        <f t="shared" si="34"/>
        <v>40993</v>
      </c>
      <c r="D151" s="183">
        <v>0</v>
      </c>
      <c r="E151" s="184">
        <f>VLOOKUP($B151,Model!$A$8:$E$289,5)</f>
        <v>0</v>
      </c>
      <c r="F151" s="184">
        <f>VLOOKUP($B151,Model!$A$8:$F$289,6)</f>
        <v>0</v>
      </c>
      <c r="G151" s="206">
        <f ca="1">VLOOKUP($B151,Model!$A$8:$AO$289,41)</f>
        <v>0</v>
      </c>
      <c r="I151" s="153">
        <v>0</v>
      </c>
      <c r="J151" s="154">
        <f t="shared" si="20"/>
        <v>4.8460000000000001</v>
      </c>
      <c r="K151" s="160">
        <f t="shared" si="28"/>
        <v>0</v>
      </c>
      <c r="L151" s="156">
        <f>IF(Control!$Y$26=Control!$X$27,J151,I151)+K151</f>
        <v>4.8460000000000001</v>
      </c>
      <c r="M151" s="153">
        <v>0</v>
      </c>
      <c r="N151" s="154">
        <f>VLOOKUP($B151,Curve_Fetch,VLOOKUP(Control!$AJ$10,Control!$AI$11:$AK$22,3))</f>
        <v>-0.13</v>
      </c>
      <c r="O151" s="160">
        <f t="shared" si="29"/>
        <v>0</v>
      </c>
      <c r="P151" s="156">
        <f>IF(Control!$Y$31=Control!$X$32,N151,M151)+O151</f>
        <v>-0.13</v>
      </c>
      <c r="Q151" s="153">
        <v>0</v>
      </c>
      <c r="R151" s="154">
        <f>VLOOKUP($B151,Curve_Fetch,(VLOOKUP(Control!$AJ$10,Control!$AI$11:$AL$22,4)))</f>
        <v>5.0000000000000001E-3</v>
      </c>
      <c r="S151" s="160">
        <f t="shared" si="30"/>
        <v>0</v>
      </c>
      <c r="T151" s="156">
        <f>IF($C$11="Physical",IF(Control!$Y$37=Control!$X$38,R151,Q151)+S151,0)</f>
        <v>5.0000000000000001E-3</v>
      </c>
      <c r="U151" s="203">
        <f t="shared" si="35"/>
        <v>4.7210000000000001</v>
      </c>
      <c r="V151" s="172"/>
      <c r="W151" s="219">
        <f>VLOOKUP($B151,Model!$A$8:$S$289,19)</f>
        <v>0.17499999999999999</v>
      </c>
      <c r="X151" s="221">
        <f t="shared" si="31"/>
        <v>0</v>
      </c>
      <c r="Y151" s="221">
        <f t="shared" si="21"/>
        <v>0.17499999999999999</v>
      </c>
      <c r="Z151" s="160">
        <f t="shared" si="32"/>
        <v>0</v>
      </c>
      <c r="AA151" s="160">
        <f t="shared" si="33"/>
        <v>4.7210000000000001</v>
      </c>
      <c r="AB151" s="231">
        <f ca="1">_xll.EURO(U151,AA151,VLOOKUP($B151,Curve_Fetch,2),VLOOKUP($B151,Curve_Fetch,2),Y151,VLOOKUP($B151,Model!$A$8:$R$289,18),IF(Euro!$C$10="Call",1,0),0)</f>
        <v>0.62266787806207113</v>
      </c>
      <c r="AD151" s="157">
        <f t="shared" ca="1" si="22"/>
        <v>0</v>
      </c>
      <c r="AE151" s="158">
        <f t="shared" ca="1" si="23"/>
        <v>0</v>
      </c>
      <c r="AF151" s="158">
        <f t="shared" ca="1" si="24"/>
        <v>0</v>
      </c>
      <c r="AG151" s="158">
        <f t="shared" ca="1" si="25"/>
        <v>0</v>
      </c>
      <c r="AH151" s="158">
        <f t="shared" ca="1" si="26"/>
        <v>0</v>
      </c>
      <c r="AI151" s="159">
        <f t="shared" ca="1" si="27"/>
        <v>0</v>
      </c>
      <c r="AK151"/>
      <c r="AL151"/>
      <c r="AM151"/>
      <c r="AN151"/>
      <c r="AO151"/>
      <c r="AP151"/>
      <c r="AQ151"/>
      <c r="AR151"/>
    </row>
    <row r="152" spans="2:44">
      <c r="B152" s="151">
        <f>[1]!_xludf.edate(B151,1)</f>
        <v>40969</v>
      </c>
      <c r="C152" s="152">
        <f t="shared" si="34"/>
        <v>41024</v>
      </c>
      <c r="D152" s="183">
        <v>0</v>
      </c>
      <c r="E152" s="184">
        <f>VLOOKUP($B152,Model!$A$8:$E$289,5)</f>
        <v>0</v>
      </c>
      <c r="F152" s="184">
        <f>VLOOKUP($B152,Model!$A$8:$F$289,6)</f>
        <v>0</v>
      </c>
      <c r="G152" s="206">
        <f ca="1">VLOOKUP($B152,Model!$A$8:$AO$289,41)</f>
        <v>0</v>
      </c>
      <c r="I152" s="153">
        <v>0</v>
      </c>
      <c r="J152" s="154">
        <f t="shared" si="20"/>
        <v>4.7069999999999999</v>
      </c>
      <c r="K152" s="160">
        <f t="shared" si="28"/>
        <v>0</v>
      </c>
      <c r="L152" s="156">
        <f>IF(Control!$Y$26=Control!$X$27,J152,I152)+K152</f>
        <v>4.7069999999999999</v>
      </c>
      <c r="M152" s="153">
        <v>0</v>
      </c>
      <c r="N152" s="154">
        <f>VLOOKUP($B152,Curve_Fetch,VLOOKUP(Control!$AJ$10,Control!$AI$11:$AK$22,3))</f>
        <v>-0.13</v>
      </c>
      <c r="O152" s="160">
        <f t="shared" si="29"/>
        <v>0</v>
      </c>
      <c r="P152" s="156">
        <f>IF(Control!$Y$31=Control!$X$32,N152,M152)+O152</f>
        <v>-0.13</v>
      </c>
      <c r="Q152" s="153">
        <v>0</v>
      </c>
      <c r="R152" s="154">
        <f>VLOOKUP($B152,Curve_Fetch,(VLOOKUP(Control!$AJ$10,Control!$AI$11:$AL$22,4)))</f>
        <v>5.0000000000000001E-3</v>
      </c>
      <c r="S152" s="160">
        <f t="shared" si="30"/>
        <v>0</v>
      </c>
      <c r="T152" s="156">
        <f>IF($C$11="Physical",IF(Control!$Y$37=Control!$X$38,R152,Q152)+S152,0)</f>
        <v>5.0000000000000001E-3</v>
      </c>
      <c r="U152" s="203">
        <f t="shared" si="35"/>
        <v>4.5819999999999999</v>
      </c>
      <c r="V152" s="172"/>
      <c r="W152" s="219">
        <f>VLOOKUP($B152,Model!$A$8:$S$289,19)</f>
        <v>0.17</v>
      </c>
      <c r="X152" s="221">
        <f t="shared" si="31"/>
        <v>0</v>
      </c>
      <c r="Y152" s="221">
        <f t="shared" si="21"/>
        <v>0.17</v>
      </c>
      <c r="Z152" s="160">
        <f t="shared" si="32"/>
        <v>0</v>
      </c>
      <c r="AA152" s="160">
        <f t="shared" si="33"/>
        <v>4.5819999999999999</v>
      </c>
      <c r="AB152" s="231">
        <f ca="1">_xll.EURO(U152,AA152,VLOOKUP($B152,Curve_Fetch,2),VLOOKUP($B152,Curve_Fetch,2),Y152,VLOOKUP($B152,Model!$A$8:$R$289,18),IF(Euro!$C$10="Call",1,0),0)</f>
        <v>0.58704838160515926</v>
      </c>
      <c r="AD152" s="157">
        <f t="shared" ca="1" si="22"/>
        <v>0</v>
      </c>
      <c r="AE152" s="158">
        <f t="shared" ca="1" si="23"/>
        <v>0</v>
      </c>
      <c r="AF152" s="158">
        <f t="shared" ca="1" si="24"/>
        <v>0</v>
      </c>
      <c r="AG152" s="158">
        <f t="shared" ca="1" si="25"/>
        <v>0</v>
      </c>
      <c r="AH152" s="158">
        <f t="shared" ca="1" si="26"/>
        <v>0</v>
      </c>
      <c r="AI152" s="159">
        <f t="shared" ca="1" si="27"/>
        <v>0</v>
      </c>
      <c r="AK152"/>
      <c r="AL152"/>
      <c r="AM152"/>
      <c r="AN152"/>
      <c r="AO152"/>
      <c r="AP152"/>
      <c r="AQ152"/>
      <c r="AR152"/>
    </row>
    <row r="153" spans="2:44">
      <c r="B153" s="151">
        <f>[1]!_xludf.edate(B152,1)</f>
        <v>41000</v>
      </c>
      <c r="C153" s="152">
        <f t="shared" si="34"/>
        <v>41054</v>
      </c>
      <c r="D153" s="183">
        <v>0</v>
      </c>
      <c r="E153" s="184">
        <f>VLOOKUP($B153,Model!$A$8:$E$289,5)</f>
        <v>0</v>
      </c>
      <c r="F153" s="184">
        <f>VLOOKUP($B153,Model!$A$8:$F$289,6)</f>
        <v>0</v>
      </c>
      <c r="G153" s="206">
        <f ca="1">VLOOKUP($B153,Model!$A$8:$AO$289,41)</f>
        <v>0</v>
      </c>
      <c r="I153" s="153">
        <v>0</v>
      </c>
      <c r="J153" s="154">
        <f t="shared" si="20"/>
        <v>4.5529999999999999</v>
      </c>
      <c r="K153" s="160">
        <f t="shared" si="28"/>
        <v>0</v>
      </c>
      <c r="L153" s="156">
        <f>IF(Control!$Y$26=Control!$X$27,J153,I153)+K153</f>
        <v>4.5529999999999999</v>
      </c>
      <c r="M153" s="153">
        <v>0</v>
      </c>
      <c r="N153" s="154">
        <f>VLOOKUP($B153,Curve_Fetch,VLOOKUP(Control!$AJ$10,Control!$AI$11:$AK$22,3))</f>
        <v>-0.2</v>
      </c>
      <c r="O153" s="160">
        <f t="shared" si="29"/>
        <v>0</v>
      </c>
      <c r="P153" s="156">
        <f>IF(Control!$Y$31=Control!$X$32,N153,M153)+O153</f>
        <v>-0.2</v>
      </c>
      <c r="Q153" s="153">
        <v>0</v>
      </c>
      <c r="R153" s="154">
        <f>VLOOKUP($B153,Curve_Fetch,(VLOOKUP(Control!$AJ$10,Control!$AI$11:$AL$22,4)))</f>
        <v>2.5000000000000001E-3</v>
      </c>
      <c r="S153" s="160">
        <f t="shared" si="30"/>
        <v>0</v>
      </c>
      <c r="T153" s="156">
        <f>IF($C$11="Physical",IF(Control!$Y$37=Control!$X$38,R153,Q153)+S153,0)</f>
        <v>2.5000000000000001E-3</v>
      </c>
      <c r="U153" s="203">
        <f t="shared" si="35"/>
        <v>4.3555000000000001</v>
      </c>
      <c r="V153" s="172"/>
      <c r="W153" s="219">
        <f>VLOOKUP($B153,Model!$A$8:$S$289,19)</f>
        <v>0.17</v>
      </c>
      <c r="X153" s="221">
        <f t="shared" si="31"/>
        <v>0</v>
      </c>
      <c r="Y153" s="221">
        <f t="shared" si="21"/>
        <v>0.17</v>
      </c>
      <c r="Z153" s="160">
        <f t="shared" si="32"/>
        <v>0</v>
      </c>
      <c r="AA153" s="160">
        <f t="shared" si="33"/>
        <v>4.3555000000000001</v>
      </c>
      <c r="AB153" s="231">
        <f ca="1">_xll.EURO(U153,AA153,VLOOKUP($B153,Curve_Fetch,2),VLOOKUP($B153,Curve_Fetch,2),Y153,VLOOKUP($B153,Model!$A$8:$R$289,18),IF(Euro!$C$10="Call",1,0),0)</f>
        <v>0.55755104725032067</v>
      </c>
      <c r="AD153" s="157">
        <f t="shared" ca="1" si="22"/>
        <v>0</v>
      </c>
      <c r="AE153" s="158">
        <f t="shared" ca="1" si="23"/>
        <v>0</v>
      </c>
      <c r="AF153" s="158">
        <f t="shared" ca="1" si="24"/>
        <v>0</v>
      </c>
      <c r="AG153" s="158">
        <f t="shared" ca="1" si="25"/>
        <v>0</v>
      </c>
      <c r="AH153" s="158">
        <f t="shared" ca="1" si="26"/>
        <v>0</v>
      </c>
      <c r="AI153" s="159">
        <f t="shared" ca="1" si="27"/>
        <v>0</v>
      </c>
      <c r="AK153"/>
      <c r="AL153"/>
      <c r="AM153"/>
      <c r="AN153"/>
      <c r="AO153"/>
      <c r="AP153"/>
      <c r="AQ153"/>
      <c r="AR153"/>
    </row>
    <row r="154" spans="2:44">
      <c r="B154" s="151">
        <f>[1]!_xludf.edate(B153,1)</f>
        <v>41030</v>
      </c>
      <c r="C154" s="152">
        <f t="shared" si="34"/>
        <v>41085</v>
      </c>
      <c r="D154" s="183">
        <v>0</v>
      </c>
      <c r="E154" s="184">
        <f>VLOOKUP($B154,Model!$A$8:$E$289,5)</f>
        <v>0</v>
      </c>
      <c r="F154" s="184">
        <f>VLOOKUP($B154,Model!$A$8:$F$289,6)</f>
        <v>0</v>
      </c>
      <c r="G154" s="206">
        <f ca="1">VLOOKUP($B154,Model!$A$8:$AO$289,41)</f>
        <v>0</v>
      </c>
      <c r="I154" s="153">
        <v>0</v>
      </c>
      <c r="J154" s="154">
        <f t="shared" si="20"/>
        <v>4.5579999999999998</v>
      </c>
      <c r="K154" s="160">
        <f t="shared" si="28"/>
        <v>0</v>
      </c>
      <c r="L154" s="156">
        <f>IF(Control!$Y$26=Control!$X$27,J154,I154)+K154</f>
        <v>4.5579999999999998</v>
      </c>
      <c r="M154" s="153">
        <v>0</v>
      </c>
      <c r="N154" s="154">
        <f>VLOOKUP($B154,Curve_Fetch,VLOOKUP(Control!$AJ$10,Control!$AI$11:$AK$22,3))</f>
        <v>-0.2</v>
      </c>
      <c r="O154" s="160">
        <f t="shared" si="29"/>
        <v>0</v>
      </c>
      <c r="P154" s="156">
        <f>IF(Control!$Y$31=Control!$X$32,N154,M154)+O154</f>
        <v>-0.2</v>
      </c>
      <c r="Q154" s="153">
        <v>0</v>
      </c>
      <c r="R154" s="154">
        <f>VLOOKUP($B154,Curve_Fetch,(VLOOKUP(Control!$AJ$10,Control!$AI$11:$AL$22,4)))</f>
        <v>2.5000000000000001E-3</v>
      </c>
      <c r="S154" s="160">
        <f t="shared" si="30"/>
        <v>0</v>
      </c>
      <c r="T154" s="156">
        <f>IF($C$11="Physical",IF(Control!$Y$37=Control!$X$38,R154,Q154)+S154,0)</f>
        <v>2.5000000000000001E-3</v>
      </c>
      <c r="U154" s="203">
        <f t="shared" si="35"/>
        <v>4.3605</v>
      </c>
      <c r="V154" s="172"/>
      <c r="W154" s="219">
        <f>VLOOKUP($B154,Model!$A$8:$S$289,19)</f>
        <v>0.17</v>
      </c>
      <c r="X154" s="221">
        <f t="shared" si="31"/>
        <v>0</v>
      </c>
      <c r="Y154" s="221">
        <f t="shared" si="21"/>
        <v>0.17</v>
      </c>
      <c r="Z154" s="160">
        <f t="shared" si="32"/>
        <v>0</v>
      </c>
      <c r="AA154" s="160">
        <f t="shared" si="33"/>
        <v>4.3605</v>
      </c>
      <c r="AB154" s="231">
        <f ca="1">_xll.EURO(U154,AA154,VLOOKUP($B154,Curve_Fetch,2),VLOOKUP($B154,Curve_Fetch,2),Y154,VLOOKUP($B154,Model!$A$8:$R$289,18),IF(Euro!$C$10="Call",1,0),0)</f>
        <v>0.55770565774942704</v>
      </c>
      <c r="AD154" s="157">
        <f t="shared" ca="1" si="22"/>
        <v>0</v>
      </c>
      <c r="AE154" s="158">
        <f t="shared" ca="1" si="23"/>
        <v>0</v>
      </c>
      <c r="AF154" s="158">
        <f t="shared" ca="1" si="24"/>
        <v>0</v>
      </c>
      <c r="AG154" s="158">
        <f t="shared" ca="1" si="25"/>
        <v>0</v>
      </c>
      <c r="AH154" s="158">
        <f t="shared" ca="1" si="26"/>
        <v>0</v>
      </c>
      <c r="AI154" s="159">
        <f t="shared" ca="1" si="27"/>
        <v>0</v>
      </c>
      <c r="AK154"/>
      <c r="AL154"/>
      <c r="AM154"/>
      <c r="AN154"/>
      <c r="AO154"/>
      <c r="AP154"/>
      <c r="AQ154"/>
      <c r="AR154"/>
    </row>
    <row r="155" spans="2:44">
      <c r="B155" s="151">
        <f>[1]!_xludf.edate(B154,1)</f>
        <v>41061</v>
      </c>
      <c r="C155" s="152">
        <f t="shared" si="34"/>
        <v>41115</v>
      </c>
      <c r="D155" s="183">
        <v>0</v>
      </c>
      <c r="E155" s="184">
        <f>VLOOKUP($B155,Model!$A$8:$E$289,5)</f>
        <v>0</v>
      </c>
      <c r="F155" s="184">
        <f>VLOOKUP($B155,Model!$A$8:$F$289,6)</f>
        <v>0</v>
      </c>
      <c r="G155" s="206">
        <f ca="1">VLOOKUP($B155,Model!$A$8:$AO$289,41)</f>
        <v>0</v>
      </c>
      <c r="I155" s="153">
        <v>0</v>
      </c>
      <c r="J155" s="154">
        <f t="shared" si="20"/>
        <v>4.5960000000000001</v>
      </c>
      <c r="K155" s="160">
        <f t="shared" si="28"/>
        <v>0</v>
      </c>
      <c r="L155" s="156">
        <f>IF(Control!$Y$26=Control!$X$27,J155,I155)+K155</f>
        <v>4.5960000000000001</v>
      </c>
      <c r="M155" s="153">
        <v>0</v>
      </c>
      <c r="N155" s="154">
        <f>VLOOKUP($B155,Curve_Fetch,VLOOKUP(Control!$AJ$10,Control!$AI$11:$AK$22,3))</f>
        <v>-0.2</v>
      </c>
      <c r="O155" s="160">
        <f t="shared" si="29"/>
        <v>0</v>
      </c>
      <c r="P155" s="156">
        <f>IF(Control!$Y$31=Control!$X$32,N155,M155)+O155</f>
        <v>-0.2</v>
      </c>
      <c r="Q155" s="153">
        <v>0</v>
      </c>
      <c r="R155" s="154">
        <f>VLOOKUP($B155,Curve_Fetch,(VLOOKUP(Control!$AJ$10,Control!$AI$11:$AL$22,4)))</f>
        <v>2.5000000000000001E-3</v>
      </c>
      <c r="S155" s="160">
        <f t="shared" si="30"/>
        <v>0</v>
      </c>
      <c r="T155" s="156">
        <f>IF($C$11="Physical",IF(Control!$Y$37=Control!$X$38,R155,Q155)+S155,0)</f>
        <v>2.5000000000000001E-3</v>
      </c>
      <c r="U155" s="203">
        <f t="shared" si="35"/>
        <v>4.3985000000000003</v>
      </c>
      <c r="V155" s="172"/>
      <c r="W155" s="219">
        <f>VLOOKUP($B155,Model!$A$8:$S$289,19)</f>
        <v>0.17</v>
      </c>
      <c r="X155" s="221">
        <f t="shared" si="31"/>
        <v>0</v>
      </c>
      <c r="Y155" s="221">
        <f t="shared" si="21"/>
        <v>0.17</v>
      </c>
      <c r="Z155" s="160">
        <f t="shared" si="32"/>
        <v>0</v>
      </c>
      <c r="AA155" s="160">
        <f t="shared" si="33"/>
        <v>4.3985000000000003</v>
      </c>
      <c r="AB155" s="231">
        <f ca="1">_xll.EURO(U155,AA155,VLOOKUP($B155,Curve_Fetch,2),VLOOKUP($B155,Curve_Fetch,2),Y155,VLOOKUP($B155,Model!$A$8:$R$289,18),IF(Euro!$C$10="Call",1,0),0)</f>
        <v>0.56203694860400044</v>
      </c>
      <c r="AD155" s="157">
        <f t="shared" ca="1" si="22"/>
        <v>0</v>
      </c>
      <c r="AE155" s="158">
        <f t="shared" ca="1" si="23"/>
        <v>0</v>
      </c>
      <c r="AF155" s="158">
        <f t="shared" ca="1" si="24"/>
        <v>0</v>
      </c>
      <c r="AG155" s="158">
        <f t="shared" ca="1" si="25"/>
        <v>0</v>
      </c>
      <c r="AH155" s="158">
        <f t="shared" ca="1" si="26"/>
        <v>0</v>
      </c>
      <c r="AI155" s="159">
        <f t="shared" ca="1" si="27"/>
        <v>0</v>
      </c>
      <c r="AK155"/>
      <c r="AL155"/>
      <c r="AM155"/>
      <c r="AN155"/>
      <c r="AO155"/>
      <c r="AP155"/>
      <c r="AQ155"/>
      <c r="AR155"/>
    </row>
    <row r="156" spans="2:44">
      <c r="B156" s="151">
        <f>[1]!_xludf.edate(B155,1)</f>
        <v>41091</v>
      </c>
      <c r="C156" s="152">
        <f t="shared" si="34"/>
        <v>41146</v>
      </c>
      <c r="D156" s="183">
        <v>0</v>
      </c>
      <c r="E156" s="184">
        <f>VLOOKUP($B156,Model!$A$8:$E$289,5)</f>
        <v>0</v>
      </c>
      <c r="F156" s="184">
        <f>VLOOKUP($B156,Model!$A$8:$F$289,6)</f>
        <v>0</v>
      </c>
      <c r="G156" s="206">
        <f ca="1">VLOOKUP($B156,Model!$A$8:$AO$289,41)</f>
        <v>0</v>
      </c>
      <c r="I156" s="153">
        <v>0</v>
      </c>
      <c r="J156" s="154">
        <f t="shared" si="20"/>
        <v>4.641</v>
      </c>
      <c r="K156" s="160">
        <f t="shared" si="28"/>
        <v>0</v>
      </c>
      <c r="L156" s="156">
        <f>IF(Control!$Y$26=Control!$X$27,J156,I156)+K156</f>
        <v>4.641</v>
      </c>
      <c r="M156" s="153">
        <v>0</v>
      </c>
      <c r="N156" s="154">
        <f>VLOOKUP($B156,Curve_Fetch,VLOOKUP(Control!$AJ$10,Control!$AI$11:$AK$22,3))</f>
        <v>-0.2</v>
      </c>
      <c r="O156" s="160">
        <f t="shared" si="29"/>
        <v>0</v>
      </c>
      <c r="P156" s="156">
        <f>IF(Control!$Y$31=Control!$X$32,N156,M156)+O156</f>
        <v>-0.2</v>
      </c>
      <c r="Q156" s="153">
        <v>0</v>
      </c>
      <c r="R156" s="154">
        <f>VLOOKUP($B156,Curve_Fetch,(VLOOKUP(Control!$AJ$10,Control!$AI$11:$AL$22,4)))</f>
        <v>2.5000000000000001E-3</v>
      </c>
      <c r="S156" s="160">
        <f t="shared" si="30"/>
        <v>0</v>
      </c>
      <c r="T156" s="156">
        <f>IF($C$11="Physical",IF(Control!$Y$37=Control!$X$38,R156,Q156)+S156,0)</f>
        <v>2.5000000000000001E-3</v>
      </c>
      <c r="U156" s="203">
        <f t="shared" si="35"/>
        <v>4.4435000000000002</v>
      </c>
      <c r="V156" s="172"/>
      <c r="W156" s="219">
        <f>VLOOKUP($B156,Model!$A$8:$S$289,19)</f>
        <v>0.17</v>
      </c>
      <c r="X156" s="221">
        <f t="shared" si="31"/>
        <v>0</v>
      </c>
      <c r="Y156" s="221">
        <f t="shared" si="21"/>
        <v>0.17</v>
      </c>
      <c r="Z156" s="160">
        <f t="shared" si="32"/>
        <v>0</v>
      </c>
      <c r="AA156" s="160">
        <f t="shared" si="33"/>
        <v>4.4435000000000002</v>
      </c>
      <c r="AB156" s="231">
        <f ca="1">_xll.EURO(U156,AA156,VLOOKUP($B156,Curve_Fetch,2),VLOOKUP($B156,Curve_Fetch,2),Y156,VLOOKUP($B156,Model!$A$8:$R$289,18),IF(Euro!$C$10="Call",1,0),0)</f>
        <v>0.56724790728400754</v>
      </c>
      <c r="AD156" s="157">
        <f t="shared" ca="1" si="22"/>
        <v>0</v>
      </c>
      <c r="AE156" s="158">
        <f t="shared" ca="1" si="23"/>
        <v>0</v>
      </c>
      <c r="AF156" s="158">
        <f t="shared" ca="1" si="24"/>
        <v>0</v>
      </c>
      <c r="AG156" s="158">
        <f t="shared" ca="1" si="25"/>
        <v>0</v>
      </c>
      <c r="AH156" s="158">
        <f t="shared" ca="1" si="26"/>
        <v>0</v>
      </c>
      <c r="AI156" s="159">
        <f t="shared" ca="1" si="27"/>
        <v>0</v>
      </c>
      <c r="AK156"/>
      <c r="AL156"/>
      <c r="AM156"/>
      <c r="AN156"/>
      <c r="AO156"/>
      <c r="AP156"/>
      <c r="AQ156"/>
      <c r="AR156"/>
    </row>
    <row r="157" spans="2:44">
      <c r="B157" s="151">
        <f>[1]!_xludf.edate(B156,1)</f>
        <v>41122</v>
      </c>
      <c r="C157" s="152">
        <f t="shared" ref="C157:C182" si="36">IF($C$11="Physical",B158+24,B158)</f>
        <v>41177</v>
      </c>
      <c r="D157" s="183">
        <v>0</v>
      </c>
      <c r="E157" s="184">
        <f>VLOOKUP($B157,Model!$A$8:$E$289,5)</f>
        <v>0</v>
      </c>
      <c r="F157" s="184">
        <f>VLOOKUP($B157,Model!$A$8:$F$289,6)</f>
        <v>0</v>
      </c>
      <c r="G157" s="206">
        <f ca="1">VLOOKUP($B157,Model!$A$8:$AO$289,41)</f>
        <v>0</v>
      </c>
      <c r="I157" s="153">
        <v>0</v>
      </c>
      <c r="J157" s="154">
        <f t="shared" si="20"/>
        <v>4.6790000000000003</v>
      </c>
      <c r="K157" s="160">
        <f t="shared" si="28"/>
        <v>0</v>
      </c>
      <c r="L157" s="156">
        <f>IF(Control!$Y$26=Control!$X$27,J157,I157)+K157</f>
        <v>4.6790000000000003</v>
      </c>
      <c r="M157" s="153">
        <v>0</v>
      </c>
      <c r="N157" s="154">
        <f>VLOOKUP($B157,Curve_Fetch,VLOOKUP(Control!$AJ$10,Control!$AI$11:$AK$22,3))</f>
        <v>-0.2</v>
      </c>
      <c r="O157" s="160">
        <f t="shared" si="29"/>
        <v>0</v>
      </c>
      <c r="P157" s="156">
        <f>IF(Control!$Y$31=Control!$X$32,N157,M157)+O157</f>
        <v>-0.2</v>
      </c>
      <c r="Q157" s="153">
        <v>0</v>
      </c>
      <c r="R157" s="154">
        <f>VLOOKUP($B157,Curve_Fetch,(VLOOKUP(Control!$AJ$10,Control!$AI$11:$AL$22,4)))</f>
        <v>2.5000000000000001E-3</v>
      </c>
      <c r="S157" s="160">
        <f t="shared" si="30"/>
        <v>0</v>
      </c>
      <c r="T157" s="156">
        <f>IF($C$11="Physical",IF(Control!$Y$37=Control!$X$38,R157,Q157)+S157,0)</f>
        <v>2.5000000000000001E-3</v>
      </c>
      <c r="U157" s="203">
        <f t="shared" ref="U157:U188" si="37">IF($C$11="Financial",L157+P157,L157+P157+T157)</f>
        <v>4.4815000000000005</v>
      </c>
      <c r="V157" s="172"/>
      <c r="W157" s="219">
        <f>VLOOKUP($B157,Model!$A$8:$S$289,19)</f>
        <v>0.17</v>
      </c>
      <c r="X157" s="221">
        <f t="shared" si="31"/>
        <v>0</v>
      </c>
      <c r="Y157" s="221">
        <f t="shared" si="21"/>
        <v>0.17</v>
      </c>
      <c r="Z157" s="160">
        <f t="shared" si="32"/>
        <v>0</v>
      </c>
      <c r="AA157" s="160">
        <f t="shared" si="33"/>
        <v>4.4815000000000005</v>
      </c>
      <c r="AB157" s="231">
        <f ca="1">_xll.EURO(U157,AA157,VLOOKUP($B157,Curve_Fetch,2),VLOOKUP($B157,Curve_Fetch,2),Y157,VLOOKUP($B157,Model!$A$8:$R$289,18),IF(Euro!$C$10="Call",1,0),0)</f>
        <v>0.57151444695261189</v>
      </c>
      <c r="AD157" s="157">
        <f t="shared" ca="1" si="22"/>
        <v>0</v>
      </c>
      <c r="AE157" s="158">
        <f t="shared" ca="1" si="23"/>
        <v>0</v>
      </c>
      <c r="AF157" s="158">
        <f t="shared" ca="1" si="24"/>
        <v>0</v>
      </c>
      <c r="AG157" s="158">
        <f t="shared" ca="1" si="25"/>
        <v>0</v>
      </c>
      <c r="AH157" s="158">
        <f t="shared" ca="1" si="26"/>
        <v>0</v>
      </c>
      <c r="AI157" s="159">
        <f t="shared" ca="1" si="27"/>
        <v>0</v>
      </c>
      <c r="AK157"/>
      <c r="AL157"/>
      <c r="AM157"/>
      <c r="AN157"/>
      <c r="AO157"/>
      <c r="AP157"/>
      <c r="AQ157"/>
      <c r="AR157"/>
    </row>
    <row r="158" spans="2:44">
      <c r="B158" s="151">
        <f>[1]!_xludf.edate(B157,1)</f>
        <v>41153</v>
      </c>
      <c r="C158" s="152">
        <f t="shared" si="36"/>
        <v>41207</v>
      </c>
      <c r="D158" s="183">
        <v>0</v>
      </c>
      <c r="E158" s="184">
        <f>VLOOKUP($B158,Model!$A$8:$E$289,5)</f>
        <v>0</v>
      </c>
      <c r="F158" s="184">
        <f>VLOOKUP($B158,Model!$A$8:$F$289,6)</f>
        <v>0</v>
      </c>
      <c r="G158" s="206">
        <f ca="1">VLOOKUP($B158,Model!$A$8:$AO$289,41)</f>
        <v>0</v>
      </c>
      <c r="I158" s="153">
        <v>0</v>
      </c>
      <c r="J158" s="154">
        <f t="shared" ref="J158:J182" si="38">VLOOKUP($B158,Curve_Fetch,3)</f>
        <v>4.673</v>
      </c>
      <c r="K158" s="160">
        <f t="shared" si="28"/>
        <v>0</v>
      </c>
      <c r="L158" s="156">
        <f>IF(Control!$Y$26=Control!$X$27,J158,I158)+K158</f>
        <v>4.673</v>
      </c>
      <c r="M158" s="153">
        <v>0</v>
      </c>
      <c r="N158" s="154">
        <f>VLOOKUP($B158,Curve_Fetch,VLOOKUP(Control!$AJ$10,Control!$AI$11:$AK$22,3))</f>
        <v>-0.2</v>
      </c>
      <c r="O158" s="160">
        <f t="shared" si="29"/>
        <v>0</v>
      </c>
      <c r="P158" s="156">
        <f>IF(Control!$Y$31=Control!$X$32,N158,M158)+O158</f>
        <v>-0.2</v>
      </c>
      <c r="Q158" s="153">
        <v>0</v>
      </c>
      <c r="R158" s="154">
        <f>VLOOKUP($B158,Curve_Fetch,(VLOOKUP(Control!$AJ$10,Control!$AI$11:$AL$22,4)))</f>
        <v>2.5000000000000001E-3</v>
      </c>
      <c r="S158" s="160">
        <f t="shared" si="30"/>
        <v>0</v>
      </c>
      <c r="T158" s="156">
        <f>IF($C$11="Physical",IF(Control!$Y$37=Control!$X$38,R158,Q158)+S158,0)</f>
        <v>2.5000000000000001E-3</v>
      </c>
      <c r="U158" s="203">
        <f t="shared" si="37"/>
        <v>4.4755000000000003</v>
      </c>
      <c r="V158" s="172"/>
      <c r="W158" s="219">
        <f>VLOOKUP($B158,Model!$A$8:$S$289,19)</f>
        <v>0.17</v>
      </c>
      <c r="X158" s="221">
        <f t="shared" si="31"/>
        <v>0</v>
      </c>
      <c r="Y158" s="221">
        <f t="shared" ref="Y158:Y182" si="39">W158+X158</f>
        <v>0.17</v>
      </c>
      <c r="Z158" s="160">
        <f t="shared" si="32"/>
        <v>0</v>
      </c>
      <c r="AA158" s="160">
        <f t="shared" si="33"/>
        <v>4.4755000000000003</v>
      </c>
      <c r="AB158" s="231">
        <f ca="1">_xll.EURO(U158,AA158,VLOOKUP($B158,Curve_Fetch,2),VLOOKUP($B158,Curve_Fetch,2),Y158,VLOOKUP($B158,Model!$A$8:$R$289,18),IF(Euro!$C$10="Call",1,0),0)</f>
        <v>0.57014299582794115</v>
      </c>
      <c r="AD158" s="157">
        <f t="shared" ref="AD158:AD182" ca="1" si="40">$G158*L158</f>
        <v>0</v>
      </c>
      <c r="AE158" s="158">
        <f t="shared" ref="AE158:AE182" ca="1" si="41">$G158*P158</f>
        <v>0</v>
      </c>
      <c r="AF158" s="158">
        <f t="shared" ref="AF158:AF182" ca="1" si="42">$G158*T158</f>
        <v>0</v>
      </c>
      <c r="AG158" s="158">
        <f t="shared" ref="AG158:AG182" ca="1" si="43">$G158*U158</f>
        <v>0</v>
      </c>
      <c r="AH158" s="158">
        <f t="shared" ref="AH158:AH182" ca="1" si="44">$G158*AA158</f>
        <v>0</v>
      </c>
      <c r="AI158" s="159">
        <f t="shared" ref="AI158:AI182" ca="1" si="45">$F158*AB158</f>
        <v>0</v>
      </c>
      <c r="AK158"/>
      <c r="AL158"/>
      <c r="AM158"/>
      <c r="AN158"/>
      <c r="AO158"/>
      <c r="AP158"/>
      <c r="AQ158"/>
      <c r="AR158"/>
    </row>
    <row r="159" spans="2:44">
      <c r="B159" s="151">
        <f>[1]!_xludf.edate(B158,1)</f>
        <v>41183</v>
      </c>
      <c r="C159" s="152">
        <f t="shared" si="36"/>
        <v>41238</v>
      </c>
      <c r="D159" s="183">
        <v>0</v>
      </c>
      <c r="E159" s="184">
        <f>VLOOKUP($B159,Model!$A$8:$E$289,5)</f>
        <v>0</v>
      </c>
      <c r="F159" s="184">
        <f>VLOOKUP($B159,Model!$A$8:$F$289,6)</f>
        <v>0</v>
      </c>
      <c r="G159" s="206">
        <f ca="1">VLOOKUP($B159,Model!$A$8:$AO$289,41)</f>
        <v>0</v>
      </c>
      <c r="I159" s="153">
        <v>0</v>
      </c>
      <c r="J159" s="154">
        <f t="shared" si="38"/>
        <v>4.673</v>
      </c>
      <c r="K159" s="160">
        <f t="shared" ref="K159:K182" si="46">K158</f>
        <v>0</v>
      </c>
      <c r="L159" s="156">
        <f>IF(Control!$Y$26=Control!$X$27,J159,I159)+K159</f>
        <v>4.673</v>
      </c>
      <c r="M159" s="153">
        <v>0</v>
      </c>
      <c r="N159" s="154">
        <f>VLOOKUP($B159,Curve_Fetch,VLOOKUP(Control!$AJ$10,Control!$AI$11:$AK$22,3))</f>
        <v>-0.2</v>
      </c>
      <c r="O159" s="160">
        <f t="shared" ref="O159:O182" si="47">O158</f>
        <v>0</v>
      </c>
      <c r="P159" s="156">
        <f>IF(Control!$Y$31=Control!$X$32,N159,M159)+O159</f>
        <v>-0.2</v>
      </c>
      <c r="Q159" s="153">
        <v>0</v>
      </c>
      <c r="R159" s="154">
        <f>VLOOKUP($B159,Curve_Fetch,(VLOOKUP(Control!$AJ$10,Control!$AI$11:$AL$22,4)))</f>
        <v>2.5000000000000001E-3</v>
      </c>
      <c r="S159" s="160">
        <f t="shared" ref="S159:S182" si="48">S158</f>
        <v>0</v>
      </c>
      <c r="T159" s="156">
        <f>IF($C$11="Physical",IF(Control!$Y$37=Control!$X$38,R159,Q159)+S159,0)</f>
        <v>2.5000000000000001E-3</v>
      </c>
      <c r="U159" s="203">
        <f t="shared" si="37"/>
        <v>4.4755000000000003</v>
      </c>
      <c r="V159" s="172"/>
      <c r="W159" s="219">
        <f>VLOOKUP($B159,Model!$A$8:$S$289,19)</f>
        <v>0.17</v>
      </c>
      <c r="X159" s="221">
        <f t="shared" ref="X159:X182" si="49">X158</f>
        <v>0</v>
      </c>
      <c r="Y159" s="221">
        <f t="shared" si="39"/>
        <v>0.17</v>
      </c>
      <c r="Z159" s="160">
        <f t="shared" ref="Z159:Z182" si="50">Z158</f>
        <v>0</v>
      </c>
      <c r="AA159" s="160">
        <f t="shared" ref="AA159:AA182" si="51">U159+Z159</f>
        <v>4.4755000000000003</v>
      </c>
      <c r="AB159" s="231">
        <f ca="1">_xll.EURO(U159,AA159,VLOOKUP($B159,Curve_Fetch,2),VLOOKUP($B159,Curve_Fetch,2),Y159,VLOOKUP($B159,Model!$A$8:$R$289,18),IF(Euro!$C$10="Call",1,0),0)</f>
        <v>0.56953507184204977</v>
      </c>
      <c r="AD159" s="157">
        <f t="shared" ca="1" si="40"/>
        <v>0</v>
      </c>
      <c r="AE159" s="158">
        <f t="shared" ca="1" si="41"/>
        <v>0</v>
      </c>
      <c r="AF159" s="158">
        <f t="shared" ca="1" si="42"/>
        <v>0</v>
      </c>
      <c r="AG159" s="158">
        <f t="shared" ca="1" si="43"/>
        <v>0</v>
      </c>
      <c r="AH159" s="158">
        <f t="shared" ca="1" si="44"/>
        <v>0</v>
      </c>
      <c r="AI159" s="159">
        <f t="shared" ca="1" si="45"/>
        <v>0</v>
      </c>
      <c r="AK159"/>
      <c r="AL159"/>
      <c r="AM159"/>
      <c r="AN159"/>
      <c r="AO159"/>
      <c r="AP159"/>
      <c r="AQ159"/>
      <c r="AR159"/>
    </row>
    <row r="160" spans="2:44">
      <c r="B160" s="151">
        <f>[1]!_xludf.edate(B159,1)</f>
        <v>41214</v>
      </c>
      <c r="C160" s="152">
        <f t="shared" si="36"/>
        <v>41268</v>
      </c>
      <c r="D160" s="183">
        <v>0</v>
      </c>
      <c r="E160" s="184">
        <f>VLOOKUP($B160,Model!$A$8:$E$289,5)</f>
        <v>0</v>
      </c>
      <c r="F160" s="184">
        <f>VLOOKUP($B160,Model!$A$8:$F$289,6)</f>
        <v>0</v>
      </c>
      <c r="G160" s="206">
        <f ca="1">VLOOKUP($B160,Model!$A$8:$AO$289,41)</f>
        <v>0</v>
      </c>
      <c r="I160" s="153">
        <v>0</v>
      </c>
      <c r="J160" s="154">
        <f t="shared" si="38"/>
        <v>4.843</v>
      </c>
      <c r="K160" s="160">
        <f t="shared" si="46"/>
        <v>0</v>
      </c>
      <c r="L160" s="156">
        <f>IF(Control!$Y$26=Control!$X$27,J160,I160)+K160</f>
        <v>4.843</v>
      </c>
      <c r="M160" s="153">
        <v>0</v>
      </c>
      <c r="N160" s="154">
        <f>VLOOKUP($B160,Curve_Fetch,VLOOKUP(Control!$AJ$10,Control!$AI$11:$AK$22,3))</f>
        <v>-0.13</v>
      </c>
      <c r="O160" s="160">
        <f t="shared" si="47"/>
        <v>0</v>
      </c>
      <c r="P160" s="156">
        <f>IF(Control!$Y$31=Control!$X$32,N160,M160)+O160</f>
        <v>-0.13</v>
      </c>
      <c r="Q160" s="153">
        <v>0</v>
      </c>
      <c r="R160" s="154">
        <f>VLOOKUP($B160,Curve_Fetch,(VLOOKUP(Control!$AJ$10,Control!$AI$11:$AL$22,4)))</f>
        <v>5.0000000000000001E-3</v>
      </c>
      <c r="S160" s="160">
        <f t="shared" si="48"/>
        <v>0</v>
      </c>
      <c r="T160" s="156">
        <f>IF($C$11="Physical",IF(Control!$Y$37=Control!$X$38,R160,Q160)+S160,0)</f>
        <v>5.0000000000000001E-3</v>
      </c>
      <c r="U160" s="203">
        <f t="shared" si="37"/>
        <v>4.718</v>
      </c>
      <c r="V160" s="172"/>
      <c r="W160" s="219">
        <f>VLOOKUP($B160,Model!$A$8:$S$289,19)</f>
        <v>0.17</v>
      </c>
      <c r="X160" s="221">
        <f t="shared" si="49"/>
        <v>0</v>
      </c>
      <c r="Y160" s="221">
        <f t="shared" si="39"/>
        <v>0.17</v>
      </c>
      <c r="Z160" s="160">
        <f t="shared" si="50"/>
        <v>0</v>
      </c>
      <c r="AA160" s="160">
        <f t="shared" si="51"/>
        <v>4.718</v>
      </c>
      <c r="AB160" s="231">
        <f ca="1">_xll.EURO(U160,AA160,VLOOKUP($B160,Curve_Fetch,2),VLOOKUP($B160,Curve_Fetch,2),Y160,VLOOKUP($B160,Model!$A$8:$R$289,18),IF(Euro!$C$10="Call",1,0),0)</f>
        <v>0.59970973780034287</v>
      </c>
      <c r="AD160" s="157">
        <f t="shared" ca="1" si="40"/>
        <v>0</v>
      </c>
      <c r="AE160" s="158">
        <f t="shared" ca="1" si="41"/>
        <v>0</v>
      </c>
      <c r="AF160" s="158">
        <f t="shared" ca="1" si="42"/>
        <v>0</v>
      </c>
      <c r="AG160" s="158">
        <f t="shared" ca="1" si="43"/>
        <v>0</v>
      </c>
      <c r="AH160" s="158">
        <f t="shared" ca="1" si="44"/>
        <v>0</v>
      </c>
      <c r="AI160" s="159">
        <f t="shared" ca="1" si="45"/>
        <v>0</v>
      </c>
      <c r="AK160"/>
      <c r="AL160"/>
      <c r="AM160"/>
      <c r="AN160"/>
      <c r="AO160"/>
      <c r="AP160"/>
      <c r="AQ160"/>
      <c r="AR160"/>
    </row>
    <row r="161" spans="2:44">
      <c r="B161" s="151">
        <f>[1]!_xludf.edate(B160,1)</f>
        <v>41244</v>
      </c>
      <c r="C161" s="152">
        <f t="shared" si="36"/>
        <v>41299</v>
      </c>
      <c r="D161" s="183">
        <v>0</v>
      </c>
      <c r="E161" s="184">
        <f>VLOOKUP($B161,Model!$A$8:$E$289,5)</f>
        <v>0</v>
      </c>
      <c r="F161" s="184">
        <f>VLOOKUP($B161,Model!$A$8:$F$289,6)</f>
        <v>0</v>
      </c>
      <c r="G161" s="206">
        <f ca="1">VLOOKUP($B161,Model!$A$8:$AO$289,41)</f>
        <v>0</v>
      </c>
      <c r="I161" s="153">
        <v>0</v>
      </c>
      <c r="J161" s="154">
        <f t="shared" si="38"/>
        <v>4.9740000000000002</v>
      </c>
      <c r="K161" s="160">
        <f t="shared" si="46"/>
        <v>0</v>
      </c>
      <c r="L161" s="156">
        <f>IF(Control!$Y$26=Control!$X$27,J161,I161)+K161</f>
        <v>4.9740000000000002</v>
      </c>
      <c r="M161" s="153">
        <v>0</v>
      </c>
      <c r="N161" s="154">
        <f>VLOOKUP($B161,Curve_Fetch,VLOOKUP(Control!$AJ$10,Control!$AI$11:$AK$22,3))</f>
        <v>-0.13</v>
      </c>
      <c r="O161" s="160">
        <f t="shared" si="47"/>
        <v>0</v>
      </c>
      <c r="P161" s="156">
        <f>IF(Control!$Y$31=Control!$X$32,N161,M161)+O161</f>
        <v>-0.13</v>
      </c>
      <c r="Q161" s="153">
        <v>0</v>
      </c>
      <c r="R161" s="154">
        <f>VLOOKUP($B161,Curve_Fetch,(VLOOKUP(Control!$AJ$10,Control!$AI$11:$AL$22,4)))</f>
        <v>5.0000000000000001E-3</v>
      </c>
      <c r="S161" s="160">
        <f t="shared" si="48"/>
        <v>0</v>
      </c>
      <c r="T161" s="156">
        <f>IF($C$11="Physical",IF(Control!$Y$37=Control!$X$38,R161,Q161)+S161,0)</f>
        <v>5.0000000000000001E-3</v>
      </c>
      <c r="U161" s="203">
        <f t="shared" si="37"/>
        <v>4.8490000000000002</v>
      </c>
      <c r="V161" s="172"/>
      <c r="W161" s="219">
        <f>VLOOKUP($B161,Model!$A$8:$S$289,19)</f>
        <v>0.17</v>
      </c>
      <c r="X161" s="221">
        <f t="shared" si="49"/>
        <v>0</v>
      </c>
      <c r="Y161" s="221">
        <f t="shared" si="39"/>
        <v>0.17</v>
      </c>
      <c r="Z161" s="160">
        <f t="shared" si="50"/>
        <v>0</v>
      </c>
      <c r="AA161" s="160">
        <f t="shared" si="51"/>
        <v>4.8490000000000002</v>
      </c>
      <c r="AB161" s="231">
        <f ca="1">_xll.EURO(U161,AA161,VLOOKUP($B161,Curve_Fetch,2),VLOOKUP($B161,Curve_Fetch,2),Y161,VLOOKUP($B161,Model!$A$8:$R$289,18),IF(Euro!$C$10="Call",1,0),0)</f>
        <v>0.61565774310317689</v>
      </c>
      <c r="AD161" s="157">
        <f t="shared" ca="1" si="40"/>
        <v>0</v>
      </c>
      <c r="AE161" s="158">
        <f t="shared" ca="1" si="41"/>
        <v>0</v>
      </c>
      <c r="AF161" s="158">
        <f t="shared" ca="1" si="42"/>
        <v>0</v>
      </c>
      <c r="AG161" s="158">
        <f t="shared" ca="1" si="43"/>
        <v>0</v>
      </c>
      <c r="AH161" s="158">
        <f t="shared" ca="1" si="44"/>
        <v>0</v>
      </c>
      <c r="AI161" s="159">
        <f t="shared" ca="1" si="45"/>
        <v>0</v>
      </c>
      <c r="AK161"/>
      <c r="AL161"/>
      <c r="AM161"/>
      <c r="AN161"/>
      <c r="AO161"/>
      <c r="AP161"/>
      <c r="AQ161"/>
      <c r="AR161"/>
    </row>
    <row r="162" spans="2:44">
      <c r="B162" s="151">
        <f>[1]!_xludf.edate(B161,1)</f>
        <v>41275</v>
      </c>
      <c r="C162" s="152">
        <f t="shared" si="36"/>
        <v>41330</v>
      </c>
      <c r="D162" s="183">
        <v>0</v>
      </c>
      <c r="E162" s="184">
        <f>VLOOKUP($B162,Model!$A$8:$E$289,5)</f>
        <v>0</v>
      </c>
      <c r="F162" s="184">
        <f>VLOOKUP($B162,Model!$A$8:$F$289,6)</f>
        <v>0</v>
      </c>
      <c r="G162" s="206">
        <f ca="1">VLOOKUP($B162,Model!$A$8:$AO$289,41)</f>
        <v>0</v>
      </c>
      <c r="I162" s="153">
        <v>0</v>
      </c>
      <c r="J162" s="154">
        <f t="shared" si="38"/>
        <v>5.0465</v>
      </c>
      <c r="K162" s="160">
        <f t="shared" si="46"/>
        <v>0</v>
      </c>
      <c r="L162" s="156">
        <f>IF(Control!$Y$26=Control!$X$27,J162,I162)+K162</f>
        <v>5.0465</v>
      </c>
      <c r="M162" s="153">
        <v>0</v>
      </c>
      <c r="N162" s="154">
        <f>VLOOKUP($B162,Curve_Fetch,VLOOKUP(Control!$AJ$10,Control!$AI$11:$AK$22,3))</f>
        <v>-0.13</v>
      </c>
      <c r="O162" s="160">
        <f t="shared" si="47"/>
        <v>0</v>
      </c>
      <c r="P162" s="156">
        <f>IF(Control!$Y$31=Control!$X$32,N162,M162)+O162</f>
        <v>-0.13</v>
      </c>
      <c r="Q162" s="153">
        <v>0</v>
      </c>
      <c r="R162" s="154">
        <f>VLOOKUP($B162,Curve_Fetch,(VLOOKUP(Control!$AJ$10,Control!$AI$11:$AL$22,4)))</f>
        <v>5.0000000000000001E-3</v>
      </c>
      <c r="S162" s="160">
        <f t="shared" si="48"/>
        <v>0</v>
      </c>
      <c r="T162" s="156">
        <f>IF($C$11="Physical",IF(Control!$Y$37=Control!$X$38,R162,Q162)+S162,0)</f>
        <v>5.0000000000000001E-3</v>
      </c>
      <c r="U162" s="203">
        <f t="shared" si="37"/>
        <v>4.9215</v>
      </c>
      <c r="V162" s="172"/>
      <c r="W162" s="219">
        <f>VLOOKUP($B162,Model!$A$8:$S$289,19)</f>
        <v>0.17</v>
      </c>
      <c r="X162" s="221">
        <f t="shared" si="49"/>
        <v>0</v>
      </c>
      <c r="Y162" s="221">
        <f t="shared" si="39"/>
        <v>0.17</v>
      </c>
      <c r="Z162" s="160">
        <f t="shared" si="50"/>
        <v>0</v>
      </c>
      <c r="AA162" s="160">
        <f t="shared" si="51"/>
        <v>4.9215</v>
      </c>
      <c r="AB162" s="231">
        <f ca="1">_xll.EURO(U162,AA162,VLOOKUP($B162,Curve_Fetch,2),VLOOKUP($B162,Curve_Fetch,2),Y162,VLOOKUP($B162,Model!$A$8:$R$289,18),IF(Euro!$C$10="Call",1,0),0)</f>
        <v>0.624101920683652</v>
      </c>
      <c r="AD162" s="157">
        <f t="shared" ca="1" si="40"/>
        <v>0</v>
      </c>
      <c r="AE162" s="158">
        <f t="shared" ca="1" si="41"/>
        <v>0</v>
      </c>
      <c r="AF162" s="158">
        <f t="shared" ca="1" si="42"/>
        <v>0</v>
      </c>
      <c r="AG162" s="158">
        <f t="shared" ca="1" si="43"/>
        <v>0</v>
      </c>
      <c r="AH162" s="158">
        <f t="shared" ca="1" si="44"/>
        <v>0</v>
      </c>
      <c r="AI162" s="159">
        <f t="shared" ca="1" si="45"/>
        <v>0</v>
      </c>
      <c r="AK162"/>
      <c r="AL162"/>
      <c r="AM162"/>
      <c r="AN162"/>
      <c r="AO162"/>
      <c r="AP162"/>
      <c r="AQ162"/>
      <c r="AR162"/>
    </row>
    <row r="163" spans="2:44">
      <c r="B163" s="151">
        <f>[1]!_xludf.edate(B162,1)</f>
        <v>41306</v>
      </c>
      <c r="C163" s="152">
        <f t="shared" si="36"/>
        <v>41358</v>
      </c>
      <c r="D163" s="183">
        <v>0</v>
      </c>
      <c r="E163" s="184">
        <f>VLOOKUP($B163,Model!$A$8:$E$289,5)</f>
        <v>0</v>
      </c>
      <c r="F163" s="184">
        <f>VLOOKUP($B163,Model!$A$8:$F$289,6)</f>
        <v>0</v>
      </c>
      <c r="G163" s="206">
        <f ca="1">VLOOKUP($B163,Model!$A$8:$AO$289,41)</f>
        <v>0</v>
      </c>
      <c r="I163" s="153">
        <v>0</v>
      </c>
      <c r="J163" s="154">
        <f t="shared" si="38"/>
        <v>4.9584999999999999</v>
      </c>
      <c r="K163" s="160">
        <f t="shared" si="46"/>
        <v>0</v>
      </c>
      <c r="L163" s="156">
        <f>IF(Control!$Y$26=Control!$X$27,J163,I163)+K163</f>
        <v>4.9584999999999999</v>
      </c>
      <c r="M163" s="153">
        <v>0</v>
      </c>
      <c r="N163" s="154">
        <f>VLOOKUP($B163,Curve_Fetch,VLOOKUP(Control!$AJ$10,Control!$AI$11:$AK$22,3))</f>
        <v>-0.13</v>
      </c>
      <c r="O163" s="160">
        <f t="shared" si="47"/>
        <v>0</v>
      </c>
      <c r="P163" s="156">
        <f>IF(Control!$Y$31=Control!$X$32,N163,M163)+O163</f>
        <v>-0.13</v>
      </c>
      <c r="Q163" s="153">
        <v>0</v>
      </c>
      <c r="R163" s="154">
        <f>VLOOKUP($B163,Curve_Fetch,(VLOOKUP(Control!$AJ$10,Control!$AI$11:$AL$22,4)))</f>
        <v>5.0000000000000001E-3</v>
      </c>
      <c r="S163" s="160">
        <f t="shared" si="48"/>
        <v>0</v>
      </c>
      <c r="T163" s="156">
        <f>IF($C$11="Physical",IF(Control!$Y$37=Control!$X$38,R163,Q163)+S163,0)</f>
        <v>5.0000000000000001E-3</v>
      </c>
      <c r="U163" s="203">
        <f t="shared" si="37"/>
        <v>4.8334999999999999</v>
      </c>
      <c r="V163" s="172"/>
      <c r="W163" s="219">
        <f>VLOOKUP($B163,Model!$A$8:$S$289,19)</f>
        <v>0.17</v>
      </c>
      <c r="X163" s="221">
        <f t="shared" si="49"/>
        <v>0</v>
      </c>
      <c r="Y163" s="221">
        <f t="shared" si="39"/>
        <v>0.17</v>
      </c>
      <c r="Z163" s="160">
        <f t="shared" si="50"/>
        <v>0</v>
      </c>
      <c r="AA163" s="160">
        <f t="shared" si="51"/>
        <v>4.8334999999999999</v>
      </c>
      <c r="AB163" s="231">
        <f ca="1">_xll.EURO(U163,AA163,VLOOKUP($B163,Curve_Fetch,2),VLOOKUP($B163,Curve_Fetch,2),Y163,VLOOKUP($B163,Model!$A$8:$R$289,18),IF(Euro!$C$10="Call",1,0),0)</f>
        <v>0.61217267845255607</v>
      </c>
      <c r="AD163" s="157">
        <f t="shared" ca="1" si="40"/>
        <v>0</v>
      </c>
      <c r="AE163" s="158">
        <f t="shared" ca="1" si="41"/>
        <v>0</v>
      </c>
      <c r="AF163" s="158">
        <f t="shared" ca="1" si="42"/>
        <v>0</v>
      </c>
      <c r="AG163" s="158">
        <f t="shared" ca="1" si="43"/>
        <v>0</v>
      </c>
      <c r="AH163" s="158">
        <f t="shared" ca="1" si="44"/>
        <v>0</v>
      </c>
      <c r="AI163" s="159">
        <f t="shared" ca="1" si="45"/>
        <v>0</v>
      </c>
      <c r="AK163"/>
      <c r="AL163"/>
      <c r="AM163"/>
      <c r="AN163"/>
      <c r="AO163"/>
      <c r="AP163"/>
      <c r="AQ163"/>
      <c r="AR163"/>
    </row>
    <row r="164" spans="2:44">
      <c r="B164" s="151">
        <f>[1]!_xludf.edate(B163,1)</f>
        <v>41334</v>
      </c>
      <c r="C164" s="152">
        <f t="shared" si="36"/>
        <v>41389</v>
      </c>
      <c r="D164" s="183">
        <v>0</v>
      </c>
      <c r="E164" s="184">
        <f>VLOOKUP($B164,Model!$A$8:$E$289,5)</f>
        <v>0</v>
      </c>
      <c r="F164" s="184">
        <f>VLOOKUP($B164,Model!$A$8:$F$289,6)</f>
        <v>0</v>
      </c>
      <c r="G164" s="206">
        <f ca="1">VLOOKUP($B164,Model!$A$8:$AO$289,41)</f>
        <v>0</v>
      </c>
      <c r="I164" s="153">
        <v>0</v>
      </c>
      <c r="J164" s="154">
        <f t="shared" si="38"/>
        <v>4.8194999999999997</v>
      </c>
      <c r="K164" s="160">
        <f t="shared" si="46"/>
        <v>0</v>
      </c>
      <c r="L164" s="156">
        <f>IF(Control!$Y$26=Control!$X$27,J164,I164)+K164</f>
        <v>4.8194999999999997</v>
      </c>
      <c r="M164" s="153">
        <v>0</v>
      </c>
      <c r="N164" s="154">
        <f>VLOOKUP($B164,Curve_Fetch,VLOOKUP(Control!$AJ$10,Control!$AI$11:$AK$22,3))</f>
        <v>-0.13</v>
      </c>
      <c r="O164" s="160">
        <f t="shared" si="47"/>
        <v>0</v>
      </c>
      <c r="P164" s="156">
        <f>IF(Control!$Y$31=Control!$X$32,N164,M164)+O164</f>
        <v>-0.13</v>
      </c>
      <c r="Q164" s="153">
        <v>0</v>
      </c>
      <c r="R164" s="154">
        <f>VLOOKUP($B164,Curve_Fetch,(VLOOKUP(Control!$AJ$10,Control!$AI$11:$AL$22,4)))</f>
        <v>5.0000000000000001E-3</v>
      </c>
      <c r="S164" s="160">
        <f t="shared" si="48"/>
        <v>0</v>
      </c>
      <c r="T164" s="156">
        <f>IF($C$11="Physical",IF(Control!$Y$37=Control!$X$38,R164,Q164)+S164,0)</f>
        <v>5.0000000000000001E-3</v>
      </c>
      <c r="U164" s="203">
        <f t="shared" si="37"/>
        <v>4.6944999999999997</v>
      </c>
      <c r="V164" s="172"/>
      <c r="W164" s="219">
        <f>VLOOKUP($B164,Model!$A$8:$S$289,19)</f>
        <v>0.17</v>
      </c>
      <c r="X164" s="221">
        <f t="shared" si="49"/>
        <v>0</v>
      </c>
      <c r="Y164" s="221">
        <f t="shared" si="39"/>
        <v>0.17</v>
      </c>
      <c r="Z164" s="160">
        <f t="shared" si="50"/>
        <v>0</v>
      </c>
      <c r="AA164" s="160">
        <f t="shared" si="51"/>
        <v>4.6944999999999997</v>
      </c>
      <c r="AB164" s="231">
        <f ca="1">_xll.EURO(U164,AA164,VLOOKUP($B164,Curve_Fetch,2),VLOOKUP($B164,Curve_Fetch,2),Y164,VLOOKUP($B164,Model!$A$8:$R$289,18),IF(Euro!$C$10="Call",1,0),0)</f>
        <v>0.59387411507326604</v>
      </c>
      <c r="AD164" s="157">
        <f t="shared" ca="1" si="40"/>
        <v>0</v>
      </c>
      <c r="AE164" s="158">
        <f t="shared" ca="1" si="41"/>
        <v>0</v>
      </c>
      <c r="AF164" s="158">
        <f t="shared" ca="1" si="42"/>
        <v>0</v>
      </c>
      <c r="AG164" s="158">
        <f t="shared" ca="1" si="43"/>
        <v>0</v>
      </c>
      <c r="AH164" s="158">
        <f t="shared" ca="1" si="44"/>
        <v>0</v>
      </c>
      <c r="AI164" s="159">
        <f t="shared" ca="1" si="45"/>
        <v>0</v>
      </c>
      <c r="AK164"/>
      <c r="AL164"/>
      <c r="AM164"/>
      <c r="AN164"/>
      <c r="AO164"/>
      <c r="AP164"/>
      <c r="AQ164"/>
      <c r="AR164"/>
    </row>
    <row r="165" spans="2:44">
      <c r="B165" s="151">
        <f>[1]!_xludf.edate(B164,1)</f>
        <v>41365</v>
      </c>
      <c r="C165" s="152">
        <f t="shared" si="36"/>
        <v>41419</v>
      </c>
      <c r="D165" s="183">
        <v>0</v>
      </c>
      <c r="E165" s="184">
        <f>VLOOKUP($B165,Model!$A$8:$E$289,5)</f>
        <v>0</v>
      </c>
      <c r="F165" s="184">
        <f>VLOOKUP($B165,Model!$A$8:$F$289,6)</f>
        <v>0</v>
      </c>
      <c r="G165" s="206">
        <f ca="1">VLOOKUP($B165,Model!$A$8:$AO$289,41)</f>
        <v>0</v>
      </c>
      <c r="I165" s="153">
        <v>0</v>
      </c>
      <c r="J165" s="154">
        <f t="shared" si="38"/>
        <v>4.6654999999999998</v>
      </c>
      <c r="K165" s="160">
        <f t="shared" si="46"/>
        <v>0</v>
      </c>
      <c r="L165" s="156">
        <f>IF(Control!$Y$26=Control!$X$27,J165,I165)+K165</f>
        <v>4.6654999999999998</v>
      </c>
      <c r="M165" s="153">
        <v>0</v>
      </c>
      <c r="N165" s="154">
        <f>VLOOKUP($B165,Curve_Fetch,VLOOKUP(Control!$AJ$10,Control!$AI$11:$AK$22,3))</f>
        <v>-0.2</v>
      </c>
      <c r="O165" s="160">
        <f t="shared" si="47"/>
        <v>0</v>
      </c>
      <c r="P165" s="156">
        <f>IF(Control!$Y$31=Control!$X$32,N165,M165)+O165</f>
        <v>-0.2</v>
      </c>
      <c r="Q165" s="153">
        <v>0</v>
      </c>
      <c r="R165" s="154">
        <f>VLOOKUP($B165,Curve_Fetch,(VLOOKUP(Control!$AJ$10,Control!$AI$11:$AL$22,4)))</f>
        <v>2.5000000000000001E-3</v>
      </c>
      <c r="S165" s="160">
        <f t="shared" si="48"/>
        <v>0</v>
      </c>
      <c r="T165" s="156">
        <f>IF($C$11="Physical",IF(Control!$Y$37=Control!$X$38,R165,Q165)+S165,0)</f>
        <v>2.5000000000000001E-3</v>
      </c>
      <c r="U165" s="203">
        <f t="shared" si="37"/>
        <v>4.468</v>
      </c>
      <c r="V165" s="172"/>
      <c r="W165" s="219">
        <f>VLOOKUP($B165,Model!$A$8:$S$289,19)</f>
        <v>0.17</v>
      </c>
      <c r="X165" s="221">
        <f t="shared" si="49"/>
        <v>0</v>
      </c>
      <c r="Y165" s="221">
        <f t="shared" si="39"/>
        <v>0.17</v>
      </c>
      <c r="Z165" s="160">
        <f t="shared" si="50"/>
        <v>0</v>
      </c>
      <c r="AA165" s="160">
        <f t="shared" si="51"/>
        <v>4.468</v>
      </c>
      <c r="AB165" s="231">
        <f ca="1">_xll.EURO(U165,AA165,VLOOKUP($B165,Curve_Fetch,2),VLOOKUP($B165,Curve_Fetch,2),Y165,VLOOKUP($B165,Model!$A$8:$R$289,18),IF(Euro!$C$10="Call",1,0),0)</f>
        <v>0.56447041437352607</v>
      </c>
      <c r="AD165" s="157">
        <f t="shared" ca="1" si="40"/>
        <v>0</v>
      </c>
      <c r="AE165" s="158">
        <f t="shared" ca="1" si="41"/>
        <v>0</v>
      </c>
      <c r="AF165" s="158">
        <f t="shared" ca="1" si="42"/>
        <v>0</v>
      </c>
      <c r="AG165" s="158">
        <f t="shared" ca="1" si="43"/>
        <v>0</v>
      </c>
      <c r="AH165" s="158">
        <f t="shared" ca="1" si="44"/>
        <v>0</v>
      </c>
      <c r="AI165" s="159">
        <f t="shared" ca="1" si="45"/>
        <v>0</v>
      </c>
      <c r="AK165"/>
      <c r="AL165"/>
      <c r="AM165"/>
      <c r="AN165"/>
      <c r="AO165"/>
      <c r="AP165"/>
      <c r="AQ165"/>
      <c r="AR165"/>
    </row>
    <row r="166" spans="2:44">
      <c r="B166" s="151">
        <f>[1]!_xludf.edate(B165,1)</f>
        <v>41395</v>
      </c>
      <c r="C166" s="152">
        <f t="shared" si="36"/>
        <v>41450</v>
      </c>
      <c r="D166" s="183">
        <v>0</v>
      </c>
      <c r="E166" s="184">
        <f>VLOOKUP($B166,Model!$A$8:$E$289,5)</f>
        <v>0</v>
      </c>
      <c r="F166" s="184">
        <f>VLOOKUP($B166,Model!$A$8:$F$289,6)</f>
        <v>0</v>
      </c>
      <c r="G166" s="206">
        <f ca="1">VLOOKUP($B166,Model!$A$8:$AO$289,41)</f>
        <v>0</v>
      </c>
      <c r="I166" s="153">
        <v>0</v>
      </c>
      <c r="J166" s="154">
        <f t="shared" si="38"/>
        <v>4.6704999999999997</v>
      </c>
      <c r="K166" s="160">
        <f t="shared" si="46"/>
        <v>0</v>
      </c>
      <c r="L166" s="156">
        <f>IF(Control!$Y$26=Control!$X$27,J166,I166)+K166</f>
        <v>4.6704999999999997</v>
      </c>
      <c r="M166" s="153">
        <v>0</v>
      </c>
      <c r="N166" s="154">
        <f>VLOOKUP($B166,Curve_Fetch,VLOOKUP(Control!$AJ$10,Control!$AI$11:$AK$22,3))</f>
        <v>-0.2</v>
      </c>
      <c r="O166" s="160">
        <f t="shared" si="47"/>
        <v>0</v>
      </c>
      <c r="P166" s="156">
        <f>IF(Control!$Y$31=Control!$X$32,N166,M166)+O166</f>
        <v>-0.2</v>
      </c>
      <c r="Q166" s="153">
        <v>0</v>
      </c>
      <c r="R166" s="154">
        <f>VLOOKUP($B166,Curve_Fetch,(VLOOKUP(Control!$AJ$10,Control!$AI$11:$AL$22,4)))</f>
        <v>2.5000000000000001E-3</v>
      </c>
      <c r="S166" s="160">
        <f t="shared" si="48"/>
        <v>0</v>
      </c>
      <c r="T166" s="156">
        <f>IF($C$11="Physical",IF(Control!$Y$37=Control!$X$38,R166,Q166)+S166,0)</f>
        <v>2.5000000000000001E-3</v>
      </c>
      <c r="U166" s="203">
        <f t="shared" si="37"/>
        <v>4.4729999999999999</v>
      </c>
      <c r="V166" s="172"/>
      <c r="W166" s="219">
        <f>VLOOKUP($B166,Model!$A$8:$S$289,19)</f>
        <v>0.17</v>
      </c>
      <c r="X166" s="221">
        <f t="shared" si="49"/>
        <v>0</v>
      </c>
      <c r="Y166" s="221">
        <f t="shared" si="39"/>
        <v>0.17</v>
      </c>
      <c r="Z166" s="160">
        <f t="shared" si="50"/>
        <v>0</v>
      </c>
      <c r="AA166" s="160">
        <f t="shared" si="51"/>
        <v>4.4729999999999999</v>
      </c>
      <c r="AB166" s="231">
        <f ca="1">_xll.EURO(U166,AA166,VLOOKUP($B166,Curve_Fetch,2),VLOOKUP($B166,Curve_Fetch,2),Y166,VLOOKUP($B166,Model!$A$8:$R$289,18),IF(Euro!$C$10="Call",1,0),0)</f>
        <v>0.56435597581184271</v>
      </c>
      <c r="AD166" s="157">
        <f t="shared" ca="1" si="40"/>
        <v>0</v>
      </c>
      <c r="AE166" s="158">
        <f t="shared" ca="1" si="41"/>
        <v>0</v>
      </c>
      <c r="AF166" s="158">
        <f t="shared" ca="1" si="42"/>
        <v>0</v>
      </c>
      <c r="AG166" s="158">
        <f t="shared" ca="1" si="43"/>
        <v>0</v>
      </c>
      <c r="AH166" s="158">
        <f t="shared" ca="1" si="44"/>
        <v>0</v>
      </c>
      <c r="AI166" s="159">
        <f t="shared" ca="1" si="45"/>
        <v>0</v>
      </c>
      <c r="AK166"/>
      <c r="AL166"/>
      <c r="AM166"/>
      <c r="AN166"/>
      <c r="AO166"/>
      <c r="AP166"/>
      <c r="AQ166"/>
      <c r="AR166"/>
    </row>
    <row r="167" spans="2:44">
      <c r="B167" s="151">
        <f>[1]!_xludf.edate(B166,1)</f>
        <v>41426</v>
      </c>
      <c r="C167" s="152">
        <f t="shared" si="36"/>
        <v>41480</v>
      </c>
      <c r="D167" s="183">
        <v>0</v>
      </c>
      <c r="E167" s="184">
        <f>VLOOKUP($B167,Model!$A$8:$E$289,5)</f>
        <v>0</v>
      </c>
      <c r="F167" s="184">
        <f>VLOOKUP($B167,Model!$A$8:$F$289,6)</f>
        <v>0</v>
      </c>
      <c r="G167" s="206">
        <f ca="1">VLOOKUP($B167,Model!$A$8:$AO$289,41)</f>
        <v>0</v>
      </c>
      <c r="I167" s="153">
        <v>0</v>
      </c>
      <c r="J167" s="154">
        <f t="shared" si="38"/>
        <v>4.7084999999999999</v>
      </c>
      <c r="K167" s="160">
        <f t="shared" si="46"/>
        <v>0</v>
      </c>
      <c r="L167" s="156">
        <f>IF(Control!$Y$26=Control!$X$27,J167,I167)+K167</f>
        <v>4.7084999999999999</v>
      </c>
      <c r="M167" s="153">
        <v>0</v>
      </c>
      <c r="N167" s="154">
        <f>VLOOKUP($B167,Curve_Fetch,VLOOKUP(Control!$AJ$10,Control!$AI$11:$AK$22,3))</f>
        <v>-0.2</v>
      </c>
      <c r="O167" s="160">
        <f t="shared" si="47"/>
        <v>0</v>
      </c>
      <c r="P167" s="156">
        <f>IF(Control!$Y$31=Control!$X$32,N167,M167)+O167</f>
        <v>-0.2</v>
      </c>
      <c r="Q167" s="153">
        <v>0</v>
      </c>
      <c r="R167" s="154">
        <f>VLOOKUP($B167,Curve_Fetch,(VLOOKUP(Control!$AJ$10,Control!$AI$11:$AL$22,4)))</f>
        <v>2.5000000000000001E-3</v>
      </c>
      <c r="S167" s="160">
        <f t="shared" si="48"/>
        <v>0</v>
      </c>
      <c r="T167" s="156">
        <f>IF($C$11="Physical",IF(Control!$Y$37=Control!$X$38,R167,Q167)+S167,0)</f>
        <v>2.5000000000000001E-3</v>
      </c>
      <c r="U167" s="203">
        <f t="shared" si="37"/>
        <v>4.5110000000000001</v>
      </c>
      <c r="V167" s="172"/>
      <c r="W167" s="219">
        <f>VLOOKUP($B167,Model!$A$8:$S$289,19)</f>
        <v>0.17</v>
      </c>
      <c r="X167" s="221">
        <f t="shared" si="49"/>
        <v>0</v>
      </c>
      <c r="Y167" s="221">
        <f t="shared" si="39"/>
        <v>0.17</v>
      </c>
      <c r="Z167" s="160">
        <f t="shared" si="50"/>
        <v>0</v>
      </c>
      <c r="AA167" s="160">
        <f t="shared" si="51"/>
        <v>4.5110000000000001</v>
      </c>
      <c r="AB167" s="231">
        <f ca="1">_xll.EURO(U167,AA167,VLOOKUP($B167,Curve_Fetch,2),VLOOKUP($B167,Curve_Fetch,2),Y167,VLOOKUP($B167,Model!$A$8:$R$289,18),IF(Euro!$C$10="Call",1,0),0)</f>
        <v>0.56835335743638649</v>
      </c>
      <c r="AD167" s="157">
        <f t="shared" ca="1" si="40"/>
        <v>0</v>
      </c>
      <c r="AE167" s="158">
        <f t="shared" ca="1" si="41"/>
        <v>0</v>
      </c>
      <c r="AF167" s="158">
        <f t="shared" ca="1" si="42"/>
        <v>0</v>
      </c>
      <c r="AG167" s="158">
        <f t="shared" ca="1" si="43"/>
        <v>0</v>
      </c>
      <c r="AH167" s="158">
        <f t="shared" ca="1" si="44"/>
        <v>0</v>
      </c>
      <c r="AI167" s="159">
        <f t="shared" ca="1" si="45"/>
        <v>0</v>
      </c>
      <c r="AK167"/>
      <c r="AL167"/>
      <c r="AM167"/>
      <c r="AN167"/>
      <c r="AO167"/>
      <c r="AP167"/>
      <c r="AQ167"/>
      <c r="AR167"/>
    </row>
    <row r="168" spans="2:44">
      <c r="B168" s="151">
        <f>[1]!_xludf.edate(B167,1)</f>
        <v>41456</v>
      </c>
      <c r="C168" s="152">
        <f t="shared" si="36"/>
        <v>41511</v>
      </c>
      <c r="D168" s="183">
        <v>0</v>
      </c>
      <c r="E168" s="184">
        <f>VLOOKUP($B168,Model!$A$8:$E$289,5)</f>
        <v>0</v>
      </c>
      <c r="F168" s="184">
        <f>VLOOKUP($B168,Model!$A$8:$F$289,6)</f>
        <v>0</v>
      </c>
      <c r="G168" s="206">
        <f ca="1">VLOOKUP($B168,Model!$A$8:$AO$289,41)</f>
        <v>0</v>
      </c>
      <c r="I168" s="153">
        <v>0</v>
      </c>
      <c r="J168" s="154">
        <f t="shared" si="38"/>
        <v>4.7534999999999998</v>
      </c>
      <c r="K168" s="160">
        <f t="shared" si="46"/>
        <v>0</v>
      </c>
      <c r="L168" s="156">
        <f>IF(Control!$Y$26=Control!$X$27,J168,I168)+K168</f>
        <v>4.7534999999999998</v>
      </c>
      <c r="M168" s="153">
        <v>0</v>
      </c>
      <c r="N168" s="154">
        <f>VLOOKUP($B168,Curve_Fetch,VLOOKUP(Control!$AJ$10,Control!$AI$11:$AK$22,3))</f>
        <v>-0.2</v>
      </c>
      <c r="O168" s="160">
        <f t="shared" si="47"/>
        <v>0</v>
      </c>
      <c r="P168" s="156">
        <f>IF(Control!$Y$31=Control!$X$32,N168,M168)+O168</f>
        <v>-0.2</v>
      </c>
      <c r="Q168" s="153">
        <v>0</v>
      </c>
      <c r="R168" s="154">
        <f>VLOOKUP($B168,Curve_Fetch,(VLOOKUP(Control!$AJ$10,Control!$AI$11:$AL$22,4)))</f>
        <v>2.5000000000000001E-3</v>
      </c>
      <c r="S168" s="160">
        <f t="shared" si="48"/>
        <v>0</v>
      </c>
      <c r="T168" s="156">
        <f>IF($C$11="Physical",IF(Control!$Y$37=Control!$X$38,R168,Q168)+S168,0)</f>
        <v>2.5000000000000001E-3</v>
      </c>
      <c r="U168" s="203">
        <f t="shared" si="37"/>
        <v>4.556</v>
      </c>
      <c r="V168" s="172"/>
      <c r="W168" s="219">
        <f>VLOOKUP($B168,Model!$A$8:$S$289,19)</f>
        <v>0.17</v>
      </c>
      <c r="X168" s="221">
        <f t="shared" si="49"/>
        <v>0</v>
      </c>
      <c r="Y168" s="221">
        <f t="shared" si="39"/>
        <v>0.17</v>
      </c>
      <c r="Z168" s="160">
        <f t="shared" si="50"/>
        <v>0</v>
      </c>
      <c r="AA168" s="160">
        <f t="shared" si="51"/>
        <v>4.556</v>
      </c>
      <c r="AB168" s="231">
        <f ca="1">_xll.EURO(U168,AA168,VLOOKUP($B168,Curve_Fetch,2),VLOOKUP($B168,Curve_Fetch,2),Y168,VLOOKUP($B168,Model!$A$8:$R$289,18),IF(Euro!$C$10="Call",1,0),0)</f>
        <v>0.57322520884466044</v>
      </c>
      <c r="AD168" s="157">
        <f t="shared" ca="1" si="40"/>
        <v>0</v>
      </c>
      <c r="AE168" s="158">
        <f t="shared" ca="1" si="41"/>
        <v>0</v>
      </c>
      <c r="AF168" s="158">
        <f t="shared" ca="1" si="42"/>
        <v>0</v>
      </c>
      <c r="AG168" s="158">
        <f t="shared" ca="1" si="43"/>
        <v>0</v>
      </c>
      <c r="AH168" s="158">
        <f t="shared" ca="1" si="44"/>
        <v>0</v>
      </c>
      <c r="AI168" s="159">
        <f t="shared" ca="1" si="45"/>
        <v>0</v>
      </c>
      <c r="AK168"/>
      <c r="AL168"/>
      <c r="AM168"/>
      <c r="AN168"/>
      <c r="AO168"/>
      <c r="AP168"/>
      <c r="AQ168"/>
      <c r="AR168"/>
    </row>
    <row r="169" spans="2:44">
      <c r="B169" s="151">
        <f>[1]!_xludf.edate(B168,1)</f>
        <v>41487</v>
      </c>
      <c r="C169" s="152">
        <f t="shared" si="36"/>
        <v>41542</v>
      </c>
      <c r="D169" s="183">
        <v>0</v>
      </c>
      <c r="E169" s="184">
        <f>VLOOKUP($B169,Model!$A$8:$E$289,5)</f>
        <v>0</v>
      </c>
      <c r="F169" s="184">
        <f>VLOOKUP($B169,Model!$A$8:$F$289,6)</f>
        <v>0</v>
      </c>
      <c r="G169" s="206">
        <f ca="1">VLOOKUP($B169,Model!$A$8:$AO$289,41)</f>
        <v>0</v>
      </c>
      <c r="I169" s="153">
        <v>0</v>
      </c>
      <c r="J169" s="154">
        <f t="shared" si="38"/>
        <v>4.7915000000000001</v>
      </c>
      <c r="K169" s="160">
        <f t="shared" si="46"/>
        <v>0</v>
      </c>
      <c r="L169" s="156">
        <f>IF(Control!$Y$26=Control!$X$27,J169,I169)+K169</f>
        <v>4.7915000000000001</v>
      </c>
      <c r="M169" s="153">
        <v>0</v>
      </c>
      <c r="N169" s="154">
        <f>VLOOKUP($B169,Curve_Fetch,VLOOKUP(Control!$AJ$10,Control!$AI$11:$AK$22,3))</f>
        <v>-0.2</v>
      </c>
      <c r="O169" s="160">
        <f t="shared" si="47"/>
        <v>0</v>
      </c>
      <c r="P169" s="156">
        <f>IF(Control!$Y$31=Control!$X$32,N169,M169)+O169</f>
        <v>-0.2</v>
      </c>
      <c r="Q169" s="153">
        <v>0</v>
      </c>
      <c r="R169" s="154">
        <f>VLOOKUP($B169,Curve_Fetch,(VLOOKUP(Control!$AJ$10,Control!$AI$11:$AL$22,4)))</f>
        <v>2.5000000000000001E-3</v>
      </c>
      <c r="S169" s="160">
        <f t="shared" si="48"/>
        <v>0</v>
      </c>
      <c r="T169" s="156">
        <f>IF($C$11="Physical",IF(Control!$Y$37=Control!$X$38,R169,Q169)+S169,0)</f>
        <v>2.5000000000000001E-3</v>
      </c>
      <c r="U169" s="203">
        <f t="shared" si="37"/>
        <v>4.5940000000000003</v>
      </c>
      <c r="V169" s="172"/>
      <c r="W169" s="219">
        <f>VLOOKUP($B169,Model!$A$8:$S$289,19)</f>
        <v>0.17</v>
      </c>
      <c r="X169" s="221">
        <f t="shared" si="49"/>
        <v>0</v>
      </c>
      <c r="Y169" s="221">
        <f t="shared" si="39"/>
        <v>0.17</v>
      </c>
      <c r="Z169" s="160">
        <f t="shared" si="50"/>
        <v>0</v>
      </c>
      <c r="AA169" s="160">
        <f t="shared" si="51"/>
        <v>4.5940000000000003</v>
      </c>
      <c r="AB169" s="231">
        <f ca="1">_xll.EURO(U169,AA169,VLOOKUP($B169,Curve_Fetch,2),VLOOKUP($B169,Curve_Fetch,2),Y169,VLOOKUP($B169,Model!$A$8:$R$289,18),IF(Euro!$C$10="Call",1,0),0)</f>
        <v>0.57715572174058583</v>
      </c>
      <c r="AD169" s="157">
        <f t="shared" ca="1" si="40"/>
        <v>0</v>
      </c>
      <c r="AE169" s="158">
        <f t="shared" ca="1" si="41"/>
        <v>0</v>
      </c>
      <c r="AF169" s="158">
        <f t="shared" ca="1" si="42"/>
        <v>0</v>
      </c>
      <c r="AG169" s="158">
        <f t="shared" ca="1" si="43"/>
        <v>0</v>
      </c>
      <c r="AH169" s="158">
        <f t="shared" ca="1" si="44"/>
        <v>0</v>
      </c>
      <c r="AI169" s="159">
        <f t="shared" ca="1" si="45"/>
        <v>0</v>
      </c>
      <c r="AK169"/>
      <c r="AL169"/>
      <c r="AM169"/>
      <c r="AN169"/>
      <c r="AO169"/>
      <c r="AP169"/>
      <c r="AQ169"/>
      <c r="AR169"/>
    </row>
    <row r="170" spans="2:44">
      <c r="B170" s="151">
        <f>[1]!_xludf.edate(B169,1)</f>
        <v>41518</v>
      </c>
      <c r="C170" s="152">
        <f t="shared" si="36"/>
        <v>41572</v>
      </c>
      <c r="D170" s="183">
        <v>0</v>
      </c>
      <c r="E170" s="184">
        <f>VLOOKUP($B170,Model!$A$8:$E$289,5)</f>
        <v>0</v>
      </c>
      <c r="F170" s="184">
        <f>VLOOKUP($B170,Model!$A$8:$F$289,6)</f>
        <v>0</v>
      </c>
      <c r="G170" s="206">
        <f ca="1">VLOOKUP($B170,Model!$A$8:$AO$289,41)</f>
        <v>0</v>
      </c>
      <c r="I170" s="153">
        <v>0</v>
      </c>
      <c r="J170" s="154">
        <f t="shared" si="38"/>
        <v>4.7854999999999999</v>
      </c>
      <c r="K170" s="160">
        <f t="shared" si="46"/>
        <v>0</v>
      </c>
      <c r="L170" s="156">
        <f>IF(Control!$Y$26=Control!$X$27,J170,I170)+K170</f>
        <v>4.7854999999999999</v>
      </c>
      <c r="M170" s="153">
        <v>0</v>
      </c>
      <c r="N170" s="154">
        <f>VLOOKUP($B170,Curve_Fetch,VLOOKUP(Control!$AJ$10,Control!$AI$11:$AK$22,3))</f>
        <v>-0.2</v>
      </c>
      <c r="O170" s="160">
        <f t="shared" si="47"/>
        <v>0</v>
      </c>
      <c r="P170" s="156">
        <f>IF(Control!$Y$31=Control!$X$32,N170,M170)+O170</f>
        <v>-0.2</v>
      </c>
      <c r="Q170" s="153">
        <v>0</v>
      </c>
      <c r="R170" s="154">
        <f>VLOOKUP($B170,Curve_Fetch,(VLOOKUP(Control!$AJ$10,Control!$AI$11:$AL$22,4)))</f>
        <v>2.5000000000000001E-3</v>
      </c>
      <c r="S170" s="160">
        <f t="shared" si="48"/>
        <v>0</v>
      </c>
      <c r="T170" s="156">
        <f>IF($C$11="Physical",IF(Control!$Y$37=Control!$X$38,R170,Q170)+S170,0)</f>
        <v>2.5000000000000001E-3</v>
      </c>
      <c r="U170" s="203">
        <f t="shared" si="37"/>
        <v>4.5880000000000001</v>
      </c>
      <c r="V170" s="172"/>
      <c r="W170" s="219">
        <f>VLOOKUP($B170,Model!$A$8:$S$289,19)</f>
        <v>0.17</v>
      </c>
      <c r="X170" s="221">
        <f t="shared" si="49"/>
        <v>0</v>
      </c>
      <c r="Y170" s="221">
        <f t="shared" si="39"/>
        <v>0.17</v>
      </c>
      <c r="Z170" s="160">
        <f t="shared" si="50"/>
        <v>0</v>
      </c>
      <c r="AA170" s="160">
        <f t="shared" si="51"/>
        <v>4.5880000000000001</v>
      </c>
      <c r="AB170" s="231">
        <f ca="1">_xll.EURO(U170,AA170,VLOOKUP($B170,Curve_Fetch,2),VLOOKUP($B170,Curve_Fetch,2),Y170,VLOOKUP($B170,Model!$A$8:$R$289,18),IF(Euro!$C$10="Call",1,0),0)</f>
        <v>0.57553323113341792</v>
      </c>
      <c r="AD170" s="157">
        <f t="shared" ca="1" si="40"/>
        <v>0</v>
      </c>
      <c r="AE170" s="158">
        <f t="shared" ca="1" si="41"/>
        <v>0</v>
      </c>
      <c r="AF170" s="158">
        <f t="shared" ca="1" si="42"/>
        <v>0</v>
      </c>
      <c r="AG170" s="158">
        <f t="shared" ca="1" si="43"/>
        <v>0</v>
      </c>
      <c r="AH170" s="158">
        <f t="shared" ca="1" si="44"/>
        <v>0</v>
      </c>
      <c r="AI170" s="159">
        <f t="shared" ca="1" si="45"/>
        <v>0</v>
      </c>
      <c r="AK170"/>
      <c r="AL170"/>
      <c r="AM170"/>
      <c r="AN170"/>
      <c r="AO170"/>
      <c r="AP170"/>
      <c r="AQ170"/>
      <c r="AR170"/>
    </row>
    <row r="171" spans="2:44">
      <c r="B171" s="151">
        <f>[1]!_xludf.edate(B170,1)</f>
        <v>41548</v>
      </c>
      <c r="C171" s="152">
        <f t="shared" si="36"/>
        <v>41603</v>
      </c>
      <c r="D171" s="183">
        <v>0</v>
      </c>
      <c r="E171" s="184">
        <f>VLOOKUP($B171,Model!$A$8:$E$289,5)</f>
        <v>0</v>
      </c>
      <c r="F171" s="184">
        <f>VLOOKUP($B171,Model!$A$8:$F$289,6)</f>
        <v>0</v>
      </c>
      <c r="G171" s="206">
        <f ca="1">VLOOKUP($B171,Model!$A$8:$AO$289,41)</f>
        <v>0</v>
      </c>
      <c r="I171" s="153">
        <v>0</v>
      </c>
      <c r="J171" s="154">
        <f t="shared" si="38"/>
        <v>4.7854999999999999</v>
      </c>
      <c r="K171" s="160">
        <f t="shared" si="46"/>
        <v>0</v>
      </c>
      <c r="L171" s="156">
        <f>IF(Control!$Y$26=Control!$X$27,J171,I171)+K171</f>
        <v>4.7854999999999999</v>
      </c>
      <c r="M171" s="153">
        <v>0</v>
      </c>
      <c r="N171" s="154">
        <f>VLOOKUP($B171,Curve_Fetch,VLOOKUP(Control!$AJ$10,Control!$AI$11:$AK$22,3))</f>
        <v>-0.2</v>
      </c>
      <c r="O171" s="160">
        <f t="shared" si="47"/>
        <v>0</v>
      </c>
      <c r="P171" s="156">
        <f>IF(Control!$Y$31=Control!$X$32,N171,M171)+O171</f>
        <v>-0.2</v>
      </c>
      <c r="Q171" s="153">
        <v>0</v>
      </c>
      <c r="R171" s="154">
        <f>VLOOKUP($B171,Curve_Fetch,(VLOOKUP(Control!$AJ$10,Control!$AI$11:$AL$22,4)))</f>
        <v>2.5000000000000001E-3</v>
      </c>
      <c r="S171" s="160">
        <f t="shared" si="48"/>
        <v>0</v>
      </c>
      <c r="T171" s="156">
        <f>IF($C$11="Physical",IF(Control!$Y$37=Control!$X$38,R171,Q171)+S171,0)</f>
        <v>2.5000000000000001E-3</v>
      </c>
      <c r="U171" s="203">
        <f t="shared" si="37"/>
        <v>4.5880000000000001</v>
      </c>
      <c r="V171" s="172"/>
      <c r="W171" s="219">
        <f>VLOOKUP($B171,Model!$A$8:$S$289,19)</f>
        <v>0.17</v>
      </c>
      <c r="X171" s="221">
        <f t="shared" si="49"/>
        <v>0</v>
      </c>
      <c r="Y171" s="221">
        <f t="shared" si="39"/>
        <v>0.17</v>
      </c>
      <c r="Z171" s="160">
        <f t="shared" si="50"/>
        <v>0</v>
      </c>
      <c r="AA171" s="160">
        <f t="shared" si="51"/>
        <v>4.5880000000000001</v>
      </c>
      <c r="AB171" s="231">
        <f ca="1">_xll.EURO(U171,AA171,VLOOKUP($B171,Curve_Fetch,2),VLOOKUP($B171,Curve_Fetch,2),Y171,VLOOKUP($B171,Model!$A$8:$R$289,18),IF(Euro!$C$10="Call",1,0),0)</f>
        <v>0.57467451830690774</v>
      </c>
      <c r="AD171" s="157">
        <f t="shared" ca="1" si="40"/>
        <v>0</v>
      </c>
      <c r="AE171" s="158">
        <f t="shared" ca="1" si="41"/>
        <v>0</v>
      </c>
      <c r="AF171" s="158">
        <f t="shared" ca="1" si="42"/>
        <v>0</v>
      </c>
      <c r="AG171" s="158">
        <f t="shared" ca="1" si="43"/>
        <v>0</v>
      </c>
      <c r="AH171" s="158">
        <f t="shared" ca="1" si="44"/>
        <v>0</v>
      </c>
      <c r="AI171" s="159">
        <f t="shared" ca="1" si="45"/>
        <v>0</v>
      </c>
      <c r="AK171"/>
      <c r="AL171"/>
      <c r="AM171"/>
      <c r="AN171"/>
      <c r="AO171"/>
      <c r="AP171"/>
      <c r="AQ171"/>
      <c r="AR171"/>
    </row>
    <row r="172" spans="2:44">
      <c r="B172" s="151">
        <f>[1]!_xludf.edate(B171,1)</f>
        <v>41579</v>
      </c>
      <c r="C172" s="152">
        <f t="shared" si="36"/>
        <v>41633</v>
      </c>
      <c r="D172" s="183">
        <v>0</v>
      </c>
      <c r="E172" s="184">
        <f>VLOOKUP($B172,Model!$A$8:$E$289,5)</f>
        <v>0</v>
      </c>
      <c r="F172" s="184">
        <f>VLOOKUP($B172,Model!$A$8:$F$289,6)</f>
        <v>0</v>
      </c>
      <c r="G172" s="206">
        <f ca="1">VLOOKUP($B172,Model!$A$8:$AO$289,41)</f>
        <v>0</v>
      </c>
      <c r="I172" s="153">
        <v>0</v>
      </c>
      <c r="J172" s="154">
        <f t="shared" si="38"/>
        <v>4.9554999999999998</v>
      </c>
      <c r="K172" s="160">
        <f t="shared" si="46"/>
        <v>0</v>
      </c>
      <c r="L172" s="156">
        <f>IF(Control!$Y$26=Control!$X$27,J172,I172)+K172</f>
        <v>4.9554999999999998</v>
      </c>
      <c r="M172" s="153">
        <v>0</v>
      </c>
      <c r="N172" s="154">
        <f>VLOOKUP($B172,Curve_Fetch,VLOOKUP(Control!$AJ$10,Control!$AI$11:$AK$22,3))</f>
        <v>-0.13</v>
      </c>
      <c r="O172" s="160">
        <f t="shared" si="47"/>
        <v>0</v>
      </c>
      <c r="P172" s="156">
        <f>IF(Control!$Y$31=Control!$X$32,N172,M172)+O172</f>
        <v>-0.13</v>
      </c>
      <c r="Q172" s="153">
        <v>0</v>
      </c>
      <c r="R172" s="154">
        <f>VLOOKUP($B172,Curve_Fetch,(VLOOKUP(Control!$AJ$10,Control!$AI$11:$AL$22,4)))</f>
        <v>5.0000000000000001E-3</v>
      </c>
      <c r="S172" s="160">
        <f t="shared" si="48"/>
        <v>0</v>
      </c>
      <c r="T172" s="156">
        <f>IF($C$11="Physical",IF(Control!$Y$37=Control!$X$38,R172,Q172)+S172,0)</f>
        <v>5.0000000000000001E-3</v>
      </c>
      <c r="U172" s="203">
        <f t="shared" si="37"/>
        <v>4.8304999999999998</v>
      </c>
      <c r="V172" s="172"/>
      <c r="W172" s="219">
        <f>VLOOKUP($B172,Model!$A$8:$S$289,19)</f>
        <v>0.17</v>
      </c>
      <c r="X172" s="221">
        <f t="shared" si="49"/>
        <v>0</v>
      </c>
      <c r="Y172" s="221">
        <f t="shared" si="39"/>
        <v>0.17</v>
      </c>
      <c r="Z172" s="160">
        <f t="shared" si="50"/>
        <v>0</v>
      </c>
      <c r="AA172" s="160">
        <f t="shared" si="51"/>
        <v>4.8304999999999998</v>
      </c>
      <c r="AB172" s="231">
        <f ca="1">_xll.EURO(U172,AA172,VLOOKUP($B172,Curve_Fetch,2),VLOOKUP($B172,Curve_Fetch,2),Y172,VLOOKUP($B172,Model!$A$8:$R$289,18),IF(Euro!$C$10="Call",1,0),0)</f>
        <v>0.6040955433728239</v>
      </c>
      <c r="AD172" s="157">
        <f t="shared" ca="1" si="40"/>
        <v>0</v>
      </c>
      <c r="AE172" s="158">
        <f t="shared" ca="1" si="41"/>
        <v>0</v>
      </c>
      <c r="AF172" s="158">
        <f t="shared" ca="1" si="42"/>
        <v>0</v>
      </c>
      <c r="AG172" s="158">
        <f t="shared" ca="1" si="43"/>
        <v>0</v>
      </c>
      <c r="AH172" s="158">
        <f t="shared" ca="1" si="44"/>
        <v>0</v>
      </c>
      <c r="AI172" s="159">
        <f t="shared" ca="1" si="45"/>
        <v>0</v>
      </c>
      <c r="AK172"/>
      <c r="AL172"/>
      <c r="AM172"/>
      <c r="AN172"/>
      <c r="AO172"/>
      <c r="AP172"/>
      <c r="AQ172"/>
      <c r="AR172"/>
    </row>
    <row r="173" spans="2:44">
      <c r="B173" s="151">
        <f>[1]!_xludf.edate(B172,1)</f>
        <v>41609</v>
      </c>
      <c r="C173" s="152">
        <f t="shared" si="36"/>
        <v>41664</v>
      </c>
      <c r="D173" s="183">
        <v>0</v>
      </c>
      <c r="E173" s="184">
        <f>VLOOKUP($B173,Model!$A$8:$E$289,5)</f>
        <v>0</v>
      </c>
      <c r="F173" s="184">
        <f>VLOOKUP($B173,Model!$A$8:$F$289,6)</f>
        <v>0</v>
      </c>
      <c r="G173" s="206">
        <f ca="1">VLOOKUP($B173,Model!$A$8:$AO$289,41)</f>
        <v>0</v>
      </c>
      <c r="I173" s="153">
        <v>0</v>
      </c>
      <c r="J173" s="154">
        <f t="shared" si="38"/>
        <v>5.0865</v>
      </c>
      <c r="K173" s="160">
        <f t="shared" si="46"/>
        <v>0</v>
      </c>
      <c r="L173" s="156">
        <f>IF(Control!$Y$26=Control!$X$27,J173,I173)+K173</f>
        <v>5.0865</v>
      </c>
      <c r="M173" s="153">
        <v>0</v>
      </c>
      <c r="N173" s="154">
        <f>VLOOKUP($B173,Curve_Fetch,VLOOKUP(Control!$AJ$10,Control!$AI$11:$AK$22,3))</f>
        <v>-0.13</v>
      </c>
      <c r="O173" s="160">
        <f t="shared" si="47"/>
        <v>0</v>
      </c>
      <c r="P173" s="156">
        <f>IF(Control!$Y$31=Control!$X$32,N173,M173)+O173</f>
        <v>-0.13</v>
      </c>
      <c r="Q173" s="153">
        <v>0</v>
      </c>
      <c r="R173" s="154">
        <f>VLOOKUP($B173,Curve_Fetch,(VLOOKUP(Control!$AJ$10,Control!$AI$11:$AL$22,4)))</f>
        <v>5.0000000000000001E-3</v>
      </c>
      <c r="S173" s="160">
        <f t="shared" si="48"/>
        <v>0</v>
      </c>
      <c r="T173" s="156">
        <f>IF($C$11="Physical",IF(Control!$Y$37=Control!$X$38,R173,Q173)+S173,0)</f>
        <v>5.0000000000000001E-3</v>
      </c>
      <c r="U173" s="203">
        <f t="shared" si="37"/>
        <v>4.9615</v>
      </c>
      <c r="V173" s="172"/>
      <c r="W173" s="219">
        <f>VLOOKUP($B173,Model!$A$8:$S$289,19)</f>
        <v>0.17</v>
      </c>
      <c r="X173" s="221">
        <f t="shared" si="49"/>
        <v>0</v>
      </c>
      <c r="Y173" s="221">
        <f t="shared" si="39"/>
        <v>0.17</v>
      </c>
      <c r="Z173" s="160">
        <f t="shared" si="50"/>
        <v>0</v>
      </c>
      <c r="AA173" s="160">
        <f t="shared" si="51"/>
        <v>4.9615</v>
      </c>
      <c r="AB173" s="231">
        <f ca="1">_xll.EURO(U173,AA173,VLOOKUP($B173,Curve_Fetch,2),VLOOKUP($B173,Curve_Fetch,2),Y173,VLOOKUP($B173,Model!$A$8:$R$289,18),IF(Euro!$C$10="Call",1,0),0)</f>
        <v>0.61951149765897218</v>
      </c>
      <c r="AD173" s="157">
        <f t="shared" ca="1" si="40"/>
        <v>0</v>
      </c>
      <c r="AE173" s="158">
        <f t="shared" ca="1" si="41"/>
        <v>0</v>
      </c>
      <c r="AF173" s="158">
        <f t="shared" ca="1" si="42"/>
        <v>0</v>
      </c>
      <c r="AG173" s="158">
        <f t="shared" ca="1" si="43"/>
        <v>0</v>
      </c>
      <c r="AH173" s="158">
        <f t="shared" ca="1" si="44"/>
        <v>0</v>
      </c>
      <c r="AI173" s="159">
        <f t="shared" ca="1" si="45"/>
        <v>0</v>
      </c>
      <c r="AK173"/>
      <c r="AL173"/>
      <c r="AM173"/>
      <c r="AN173"/>
      <c r="AO173"/>
      <c r="AP173"/>
      <c r="AQ173"/>
      <c r="AR173"/>
    </row>
    <row r="174" spans="2:44">
      <c r="B174" s="151">
        <f>[1]!_xludf.edate(B173,1)</f>
        <v>41640</v>
      </c>
      <c r="C174" s="152">
        <f t="shared" si="36"/>
        <v>41695</v>
      </c>
      <c r="D174" s="183">
        <v>0</v>
      </c>
      <c r="E174" s="184">
        <f>VLOOKUP($B174,Model!$A$8:$E$289,5)</f>
        <v>0</v>
      </c>
      <c r="F174" s="184">
        <f>VLOOKUP($B174,Model!$A$8:$F$289,6)</f>
        <v>0</v>
      </c>
      <c r="G174" s="206">
        <f ca="1">VLOOKUP($B174,Model!$A$8:$AO$289,41)</f>
        <v>0</v>
      </c>
      <c r="I174" s="153">
        <v>0</v>
      </c>
      <c r="J174" s="154">
        <f t="shared" si="38"/>
        <v>5.1589999999999998</v>
      </c>
      <c r="K174" s="160">
        <f t="shared" si="46"/>
        <v>0</v>
      </c>
      <c r="L174" s="156">
        <f>IF(Control!$Y$26=Control!$X$27,J174,I174)+K174</f>
        <v>5.1589999999999998</v>
      </c>
      <c r="M174" s="153">
        <v>0</v>
      </c>
      <c r="N174" s="154">
        <f>VLOOKUP($B174,Curve_Fetch,VLOOKUP(Control!$AJ$10,Control!$AI$11:$AK$22,3))</f>
        <v>-0.13</v>
      </c>
      <c r="O174" s="160">
        <f t="shared" si="47"/>
        <v>0</v>
      </c>
      <c r="P174" s="156">
        <f>IF(Control!$Y$31=Control!$X$32,N174,M174)+O174</f>
        <v>-0.13</v>
      </c>
      <c r="Q174" s="153">
        <v>0</v>
      </c>
      <c r="R174" s="154">
        <f>VLOOKUP($B174,Curve_Fetch,(VLOOKUP(Control!$AJ$10,Control!$AI$11:$AL$22,4)))</f>
        <v>5.0000000000000001E-3</v>
      </c>
      <c r="S174" s="160">
        <f t="shared" si="48"/>
        <v>0</v>
      </c>
      <c r="T174" s="156">
        <f>IF($C$11="Physical",IF(Control!$Y$37=Control!$X$38,R174,Q174)+S174,0)</f>
        <v>5.0000000000000001E-3</v>
      </c>
      <c r="U174" s="203">
        <f t="shared" si="37"/>
        <v>5.0339999999999998</v>
      </c>
      <c r="V174" s="172"/>
      <c r="W174" s="219">
        <f>VLOOKUP($B174,Model!$A$8:$S$289,19)</f>
        <v>0.17</v>
      </c>
      <c r="X174" s="221">
        <f t="shared" si="49"/>
        <v>0</v>
      </c>
      <c r="Y174" s="221">
        <f t="shared" si="39"/>
        <v>0.17</v>
      </c>
      <c r="Z174" s="160">
        <f t="shared" si="50"/>
        <v>0</v>
      </c>
      <c r="AA174" s="160">
        <f t="shared" si="51"/>
        <v>5.0339999999999998</v>
      </c>
      <c r="AB174" s="231">
        <f ca="1">_xll.EURO(U174,AA174,VLOOKUP($B174,Curve_Fetch,2),VLOOKUP($B174,Curve_Fetch,2),Y174,VLOOKUP($B174,Model!$A$8:$R$289,18),IF(Euro!$C$10="Call",1,0),0)</f>
        <v>0.62753107349644677</v>
      </c>
      <c r="AD174" s="157">
        <f t="shared" ca="1" si="40"/>
        <v>0</v>
      </c>
      <c r="AE174" s="158">
        <f t="shared" ca="1" si="41"/>
        <v>0</v>
      </c>
      <c r="AF174" s="158">
        <f t="shared" ca="1" si="42"/>
        <v>0</v>
      </c>
      <c r="AG174" s="158">
        <f t="shared" ca="1" si="43"/>
        <v>0</v>
      </c>
      <c r="AH174" s="158">
        <f t="shared" ca="1" si="44"/>
        <v>0</v>
      </c>
      <c r="AI174" s="159">
        <f t="shared" ca="1" si="45"/>
        <v>0</v>
      </c>
      <c r="AK174"/>
      <c r="AL174"/>
      <c r="AM174"/>
      <c r="AN174"/>
      <c r="AO174"/>
      <c r="AP174"/>
      <c r="AQ174"/>
      <c r="AR174"/>
    </row>
    <row r="175" spans="2:44">
      <c r="B175" s="151">
        <f>[1]!_xludf.edate(B174,1)</f>
        <v>41671</v>
      </c>
      <c r="C175" s="152">
        <f t="shared" si="36"/>
        <v>41723</v>
      </c>
      <c r="D175" s="183">
        <v>0</v>
      </c>
      <c r="E175" s="184">
        <f>VLOOKUP($B175,Model!$A$8:$E$289,5)</f>
        <v>0</v>
      </c>
      <c r="F175" s="184">
        <f>VLOOKUP($B175,Model!$A$8:$F$289,6)</f>
        <v>0</v>
      </c>
      <c r="G175" s="206">
        <f ca="1">VLOOKUP($B175,Model!$A$8:$AO$289,41)</f>
        <v>0</v>
      </c>
      <c r="I175" s="153">
        <v>0</v>
      </c>
      <c r="J175" s="154">
        <f t="shared" si="38"/>
        <v>5.0709999999999997</v>
      </c>
      <c r="K175" s="160">
        <f t="shared" si="46"/>
        <v>0</v>
      </c>
      <c r="L175" s="156">
        <f>IF(Control!$Y$26=Control!$X$27,J175,I175)+K175</f>
        <v>5.0709999999999997</v>
      </c>
      <c r="M175" s="153">
        <v>0</v>
      </c>
      <c r="N175" s="154">
        <f>VLOOKUP($B175,Curve_Fetch,VLOOKUP(Control!$AJ$10,Control!$AI$11:$AK$22,3))</f>
        <v>-0.13</v>
      </c>
      <c r="O175" s="160">
        <f t="shared" si="47"/>
        <v>0</v>
      </c>
      <c r="P175" s="156">
        <f>IF(Control!$Y$31=Control!$X$32,N175,M175)+O175</f>
        <v>-0.13</v>
      </c>
      <c r="Q175" s="153">
        <v>0</v>
      </c>
      <c r="R175" s="154">
        <f>VLOOKUP($B175,Curve_Fetch,(VLOOKUP(Control!$AJ$10,Control!$AI$11:$AL$22,4)))</f>
        <v>5.0000000000000001E-3</v>
      </c>
      <c r="S175" s="160">
        <f t="shared" si="48"/>
        <v>0</v>
      </c>
      <c r="T175" s="156">
        <f>IF($C$11="Physical",IF(Control!$Y$37=Control!$X$38,R175,Q175)+S175,0)</f>
        <v>5.0000000000000001E-3</v>
      </c>
      <c r="U175" s="203">
        <f t="shared" si="37"/>
        <v>4.9459999999999997</v>
      </c>
      <c r="V175" s="172"/>
      <c r="W175" s="219">
        <f>VLOOKUP($B175,Model!$A$8:$S$289,19)</f>
        <v>0.17</v>
      </c>
      <c r="X175" s="221">
        <f t="shared" si="49"/>
        <v>0</v>
      </c>
      <c r="Y175" s="221">
        <f t="shared" si="39"/>
        <v>0.17</v>
      </c>
      <c r="Z175" s="160">
        <f t="shared" si="50"/>
        <v>0</v>
      </c>
      <c r="AA175" s="160">
        <f t="shared" si="51"/>
        <v>4.9459999999999997</v>
      </c>
      <c r="AB175" s="231">
        <f ca="1">_xll.EURO(U175,AA175,VLOOKUP($B175,Curve_Fetch,2),VLOOKUP($B175,Curve_Fetch,2),Y175,VLOOKUP($B175,Model!$A$8:$R$289,18),IF(Euro!$C$10="Call",1,0),0)</f>
        <v>0.61552696784657224</v>
      </c>
      <c r="AD175" s="157">
        <f t="shared" ca="1" si="40"/>
        <v>0</v>
      </c>
      <c r="AE175" s="158">
        <f t="shared" ca="1" si="41"/>
        <v>0</v>
      </c>
      <c r="AF175" s="158">
        <f t="shared" ca="1" si="42"/>
        <v>0</v>
      </c>
      <c r="AG175" s="158">
        <f t="shared" ca="1" si="43"/>
        <v>0</v>
      </c>
      <c r="AH175" s="158">
        <f t="shared" ca="1" si="44"/>
        <v>0</v>
      </c>
      <c r="AI175" s="159">
        <f t="shared" ca="1" si="45"/>
        <v>0</v>
      </c>
      <c r="AK175"/>
      <c r="AL175"/>
      <c r="AM175"/>
      <c r="AN175"/>
      <c r="AO175"/>
      <c r="AP175"/>
      <c r="AQ175"/>
      <c r="AR175"/>
    </row>
    <row r="176" spans="2:44">
      <c r="B176" s="151">
        <f>[1]!_xludf.edate(B175,1)</f>
        <v>41699</v>
      </c>
      <c r="C176" s="152">
        <f t="shared" si="36"/>
        <v>41754</v>
      </c>
      <c r="D176" s="183">
        <v>0</v>
      </c>
      <c r="E176" s="184">
        <f>VLOOKUP($B176,Model!$A$8:$E$289,5)</f>
        <v>0</v>
      </c>
      <c r="F176" s="184">
        <f>VLOOKUP($B176,Model!$A$8:$F$289,6)</f>
        <v>0</v>
      </c>
      <c r="G176" s="206">
        <f ca="1">VLOOKUP($B176,Model!$A$8:$AO$289,41)</f>
        <v>0</v>
      </c>
      <c r="I176" s="153">
        <v>0</v>
      </c>
      <c r="J176" s="154">
        <f t="shared" si="38"/>
        <v>4.9320000000000004</v>
      </c>
      <c r="K176" s="160">
        <f t="shared" si="46"/>
        <v>0</v>
      </c>
      <c r="L176" s="156">
        <f>IF(Control!$Y$26=Control!$X$27,J176,I176)+K176</f>
        <v>4.9320000000000004</v>
      </c>
      <c r="M176" s="153">
        <v>0</v>
      </c>
      <c r="N176" s="154">
        <f>VLOOKUP($B176,Curve_Fetch,VLOOKUP(Control!$AJ$10,Control!$AI$11:$AK$22,3))</f>
        <v>-0.13</v>
      </c>
      <c r="O176" s="160">
        <f t="shared" si="47"/>
        <v>0</v>
      </c>
      <c r="P176" s="156">
        <f>IF(Control!$Y$31=Control!$X$32,N176,M176)+O176</f>
        <v>-0.13</v>
      </c>
      <c r="Q176" s="153">
        <v>0</v>
      </c>
      <c r="R176" s="154">
        <f>VLOOKUP($B176,Curve_Fetch,(VLOOKUP(Control!$AJ$10,Control!$AI$11:$AL$22,4)))</f>
        <v>5.0000000000000001E-3</v>
      </c>
      <c r="S176" s="160">
        <f t="shared" si="48"/>
        <v>0</v>
      </c>
      <c r="T176" s="156">
        <f>IF($C$11="Physical",IF(Control!$Y$37=Control!$X$38,R176,Q176)+S176,0)</f>
        <v>5.0000000000000001E-3</v>
      </c>
      <c r="U176" s="203">
        <f t="shared" si="37"/>
        <v>4.8070000000000004</v>
      </c>
      <c r="V176" s="172"/>
      <c r="W176" s="219">
        <f>VLOOKUP($B176,Model!$A$8:$S$289,19)</f>
        <v>0.17</v>
      </c>
      <c r="X176" s="221">
        <f t="shared" si="49"/>
        <v>0</v>
      </c>
      <c r="Y176" s="221">
        <f t="shared" si="39"/>
        <v>0.17</v>
      </c>
      <c r="Z176" s="160">
        <f t="shared" si="50"/>
        <v>0</v>
      </c>
      <c r="AA176" s="160">
        <f t="shared" si="51"/>
        <v>4.8070000000000004</v>
      </c>
      <c r="AB176" s="231">
        <f ca="1">_xll.EURO(U176,AA176,VLOOKUP($B176,Curve_Fetch,2),VLOOKUP($B176,Curve_Fetch,2),Y176,VLOOKUP($B176,Model!$A$8:$R$289,18),IF(Euro!$C$10="Call",1,0),0)</f>
        <v>0.59730490846663886</v>
      </c>
      <c r="AD176" s="157">
        <f t="shared" ca="1" si="40"/>
        <v>0</v>
      </c>
      <c r="AE176" s="158">
        <f t="shared" ca="1" si="41"/>
        <v>0</v>
      </c>
      <c r="AF176" s="158">
        <f t="shared" ca="1" si="42"/>
        <v>0</v>
      </c>
      <c r="AG176" s="158">
        <f t="shared" ca="1" si="43"/>
        <v>0</v>
      </c>
      <c r="AH176" s="158">
        <f t="shared" ca="1" si="44"/>
        <v>0</v>
      </c>
      <c r="AI176" s="159">
        <f t="shared" ca="1" si="45"/>
        <v>0</v>
      </c>
      <c r="AK176"/>
      <c r="AL176"/>
      <c r="AM176"/>
      <c r="AN176"/>
      <c r="AO176"/>
      <c r="AP176"/>
      <c r="AQ176"/>
      <c r="AR176"/>
    </row>
    <row r="177" spans="2:44">
      <c r="B177" s="151">
        <f>[1]!_xludf.edate(B176,1)</f>
        <v>41730</v>
      </c>
      <c r="C177" s="152">
        <f t="shared" si="36"/>
        <v>41784</v>
      </c>
      <c r="D177" s="183">
        <v>0</v>
      </c>
      <c r="E177" s="184">
        <f>VLOOKUP($B177,Model!$A$8:$E$289,5)</f>
        <v>0</v>
      </c>
      <c r="F177" s="184">
        <f>VLOOKUP($B177,Model!$A$8:$F$289,6)</f>
        <v>0</v>
      </c>
      <c r="G177" s="206">
        <f ca="1">VLOOKUP($B177,Model!$A$8:$AO$289,41)</f>
        <v>0</v>
      </c>
      <c r="I177" s="153">
        <v>0</v>
      </c>
      <c r="J177" s="154">
        <f t="shared" si="38"/>
        <v>4.7779999999999996</v>
      </c>
      <c r="K177" s="160">
        <f t="shared" si="46"/>
        <v>0</v>
      </c>
      <c r="L177" s="156">
        <f>IF(Control!$Y$26=Control!$X$27,J177,I177)+K177</f>
        <v>4.7779999999999996</v>
      </c>
      <c r="M177" s="153">
        <v>0</v>
      </c>
      <c r="N177" s="154">
        <f>VLOOKUP($B177,Curve_Fetch,VLOOKUP(Control!$AJ$10,Control!$AI$11:$AK$22,3))</f>
        <v>-0.2</v>
      </c>
      <c r="O177" s="160">
        <f t="shared" si="47"/>
        <v>0</v>
      </c>
      <c r="P177" s="156">
        <f>IF(Control!$Y$31=Control!$X$32,N177,M177)+O177</f>
        <v>-0.2</v>
      </c>
      <c r="Q177" s="153">
        <v>0</v>
      </c>
      <c r="R177" s="154">
        <f>VLOOKUP($B177,Curve_Fetch,(VLOOKUP(Control!$AJ$10,Control!$AI$11:$AL$22,4)))</f>
        <v>2.5000000000000001E-3</v>
      </c>
      <c r="S177" s="160">
        <f t="shared" si="48"/>
        <v>0</v>
      </c>
      <c r="T177" s="156">
        <f>IF($C$11="Physical",IF(Control!$Y$37=Control!$X$38,R177,Q177)+S177,0)</f>
        <v>2.5000000000000001E-3</v>
      </c>
      <c r="U177" s="203">
        <f t="shared" si="37"/>
        <v>4.5804999999999998</v>
      </c>
      <c r="V177" s="172"/>
      <c r="W177" s="219">
        <f>VLOOKUP($B177,Model!$A$8:$S$289,19)</f>
        <v>0.17</v>
      </c>
      <c r="X177" s="221">
        <f t="shared" si="49"/>
        <v>0</v>
      </c>
      <c r="Y177" s="221">
        <f t="shared" si="39"/>
        <v>0.17</v>
      </c>
      <c r="Z177" s="160">
        <f t="shared" si="50"/>
        <v>0</v>
      </c>
      <c r="AA177" s="160">
        <f t="shared" si="51"/>
        <v>4.5804999999999998</v>
      </c>
      <c r="AB177" s="231">
        <f ca="1">_xll.EURO(U177,AA177,VLOOKUP($B177,Curve_Fetch,2),VLOOKUP($B177,Curve_Fetch,2),Y177,VLOOKUP($B177,Model!$A$8:$R$289,18),IF(Euro!$C$10="Call",1,0),0)</f>
        <v>0.56816989749093583</v>
      </c>
      <c r="AD177" s="157">
        <f t="shared" ca="1" si="40"/>
        <v>0</v>
      </c>
      <c r="AE177" s="158">
        <f t="shared" ca="1" si="41"/>
        <v>0</v>
      </c>
      <c r="AF177" s="158">
        <f t="shared" ca="1" si="42"/>
        <v>0</v>
      </c>
      <c r="AG177" s="158">
        <f t="shared" ca="1" si="43"/>
        <v>0</v>
      </c>
      <c r="AH177" s="158">
        <f t="shared" ca="1" si="44"/>
        <v>0</v>
      </c>
      <c r="AI177" s="159">
        <f t="shared" ca="1" si="45"/>
        <v>0</v>
      </c>
      <c r="AK177"/>
      <c r="AL177"/>
      <c r="AM177"/>
      <c r="AN177"/>
      <c r="AO177"/>
      <c r="AP177"/>
      <c r="AQ177"/>
      <c r="AR177"/>
    </row>
    <row r="178" spans="2:44">
      <c r="B178" s="151">
        <f>[1]!_xludf.edate(B177,1)</f>
        <v>41760</v>
      </c>
      <c r="C178" s="152">
        <f t="shared" si="36"/>
        <v>41815</v>
      </c>
      <c r="D178" s="183">
        <v>0</v>
      </c>
      <c r="E178" s="184">
        <f>VLOOKUP($B178,Model!$A$8:$E$289,5)</f>
        <v>0</v>
      </c>
      <c r="F178" s="184">
        <f>VLOOKUP($B178,Model!$A$8:$F$289,6)</f>
        <v>0</v>
      </c>
      <c r="G178" s="206">
        <f ca="1">VLOOKUP($B178,Model!$A$8:$AO$289,41)</f>
        <v>0</v>
      </c>
      <c r="I178" s="153">
        <v>0</v>
      </c>
      <c r="J178" s="154">
        <f t="shared" si="38"/>
        <v>4.7830000000000004</v>
      </c>
      <c r="K178" s="160">
        <f t="shared" si="46"/>
        <v>0</v>
      </c>
      <c r="L178" s="156">
        <f>IF(Control!$Y$26=Control!$X$27,J178,I178)+K178</f>
        <v>4.7830000000000004</v>
      </c>
      <c r="M178" s="153">
        <v>0</v>
      </c>
      <c r="N178" s="154">
        <f>VLOOKUP($B178,Curve_Fetch,VLOOKUP(Control!$AJ$10,Control!$AI$11:$AK$22,3))</f>
        <v>-0.2</v>
      </c>
      <c r="O178" s="160">
        <f t="shared" si="47"/>
        <v>0</v>
      </c>
      <c r="P178" s="156">
        <f>IF(Control!$Y$31=Control!$X$32,N178,M178)+O178</f>
        <v>-0.2</v>
      </c>
      <c r="Q178" s="153">
        <v>0</v>
      </c>
      <c r="R178" s="154">
        <f>VLOOKUP($B178,Curve_Fetch,(VLOOKUP(Control!$AJ$10,Control!$AI$11:$AL$22,4)))</f>
        <v>2.5000000000000001E-3</v>
      </c>
      <c r="S178" s="160">
        <f t="shared" si="48"/>
        <v>0</v>
      </c>
      <c r="T178" s="156">
        <f>IF($C$11="Physical",IF(Control!$Y$37=Control!$X$38,R178,Q178)+S178,0)</f>
        <v>2.5000000000000001E-3</v>
      </c>
      <c r="U178" s="203">
        <f t="shared" si="37"/>
        <v>4.5855000000000006</v>
      </c>
      <c r="V178" s="172"/>
      <c r="W178" s="219">
        <f>VLOOKUP($B178,Model!$A$8:$S$289,19)</f>
        <v>0.17</v>
      </c>
      <c r="X178" s="221">
        <f t="shared" si="49"/>
        <v>0</v>
      </c>
      <c r="Y178" s="221">
        <f t="shared" si="39"/>
        <v>0.17</v>
      </c>
      <c r="Z178" s="160">
        <f t="shared" si="50"/>
        <v>0</v>
      </c>
      <c r="AA178" s="160">
        <f t="shared" si="51"/>
        <v>4.5855000000000006</v>
      </c>
      <c r="AB178" s="231">
        <f ca="1">_xll.EURO(U178,AA178,VLOOKUP($B178,Curve_Fetch,2),VLOOKUP($B178,Curve_Fetch,2),Y178,VLOOKUP($B178,Model!$A$8:$R$289,18),IF(Euro!$C$10="Call",1,0),0)</f>
        <v>0.56781414483733084</v>
      </c>
      <c r="AD178" s="157">
        <f t="shared" ca="1" si="40"/>
        <v>0</v>
      </c>
      <c r="AE178" s="158">
        <f t="shared" ca="1" si="41"/>
        <v>0</v>
      </c>
      <c r="AF178" s="158">
        <f t="shared" ca="1" si="42"/>
        <v>0</v>
      </c>
      <c r="AG178" s="158">
        <f t="shared" ca="1" si="43"/>
        <v>0</v>
      </c>
      <c r="AH178" s="158">
        <f t="shared" ca="1" si="44"/>
        <v>0</v>
      </c>
      <c r="AI178" s="159">
        <f t="shared" ca="1" si="45"/>
        <v>0</v>
      </c>
      <c r="AK178"/>
      <c r="AL178"/>
      <c r="AM178"/>
      <c r="AN178"/>
      <c r="AO178"/>
      <c r="AP178"/>
      <c r="AQ178"/>
      <c r="AR178"/>
    </row>
    <row r="179" spans="2:44">
      <c r="B179" s="151">
        <f>[1]!_xludf.edate(B178,1)</f>
        <v>41791</v>
      </c>
      <c r="C179" s="152">
        <f t="shared" si="36"/>
        <v>41845</v>
      </c>
      <c r="D179" s="183">
        <v>0</v>
      </c>
      <c r="E179" s="184">
        <f>VLOOKUP($B179,Model!$A$8:$E$289,5)</f>
        <v>0</v>
      </c>
      <c r="F179" s="184">
        <f>VLOOKUP($B179,Model!$A$8:$F$289,6)</f>
        <v>0</v>
      </c>
      <c r="G179" s="206">
        <f ca="1">VLOOKUP($B179,Model!$A$8:$AO$289,41)</f>
        <v>0</v>
      </c>
      <c r="I179" s="153">
        <v>0</v>
      </c>
      <c r="J179" s="154">
        <f t="shared" si="38"/>
        <v>4.8209999999999997</v>
      </c>
      <c r="K179" s="160">
        <f t="shared" si="46"/>
        <v>0</v>
      </c>
      <c r="L179" s="156">
        <f>IF(Control!$Y$26=Control!$X$27,J179,I179)+K179</f>
        <v>4.8209999999999997</v>
      </c>
      <c r="M179" s="153">
        <v>0</v>
      </c>
      <c r="N179" s="154">
        <f>VLOOKUP($B179,Curve_Fetch,VLOOKUP(Control!$AJ$10,Control!$AI$11:$AK$22,3))</f>
        <v>-0.2</v>
      </c>
      <c r="O179" s="160">
        <f t="shared" si="47"/>
        <v>0</v>
      </c>
      <c r="P179" s="156">
        <f>IF(Control!$Y$31=Control!$X$32,N179,M179)+O179</f>
        <v>-0.2</v>
      </c>
      <c r="Q179" s="153">
        <v>0</v>
      </c>
      <c r="R179" s="154">
        <f>VLOOKUP($B179,Curve_Fetch,(VLOOKUP(Control!$AJ$10,Control!$AI$11:$AL$22,4)))</f>
        <v>2.5000000000000001E-3</v>
      </c>
      <c r="S179" s="160">
        <f t="shared" si="48"/>
        <v>0</v>
      </c>
      <c r="T179" s="156">
        <f>IF($C$11="Physical",IF(Control!$Y$37=Control!$X$38,R179,Q179)+S179,0)</f>
        <v>2.5000000000000001E-3</v>
      </c>
      <c r="U179" s="203">
        <f t="shared" si="37"/>
        <v>4.6234999999999999</v>
      </c>
      <c r="V179" s="172"/>
      <c r="W179" s="219">
        <f>VLOOKUP($B179,Model!$A$8:$S$289,19)</f>
        <v>0.17</v>
      </c>
      <c r="X179" s="221">
        <f t="shared" si="49"/>
        <v>0</v>
      </c>
      <c r="Y179" s="221">
        <f t="shared" si="39"/>
        <v>0.17</v>
      </c>
      <c r="Z179" s="160">
        <f t="shared" si="50"/>
        <v>0</v>
      </c>
      <c r="AA179" s="160">
        <f t="shared" si="51"/>
        <v>4.6234999999999999</v>
      </c>
      <c r="AB179" s="231">
        <f ca="1">_xll.EURO(U179,AA179,VLOOKUP($B179,Curve_Fetch,2),VLOOKUP($B179,Curve_Fetch,2),Y179,VLOOKUP($B179,Model!$A$8:$R$289,18),IF(Euro!$C$10="Call",1,0),0)</f>
        <v>0.57148622247831804</v>
      </c>
      <c r="AD179" s="157">
        <f t="shared" ca="1" si="40"/>
        <v>0</v>
      </c>
      <c r="AE179" s="158">
        <f t="shared" ca="1" si="41"/>
        <v>0</v>
      </c>
      <c r="AF179" s="158">
        <f t="shared" ca="1" si="42"/>
        <v>0</v>
      </c>
      <c r="AG179" s="158">
        <f t="shared" ca="1" si="43"/>
        <v>0</v>
      </c>
      <c r="AH179" s="158">
        <f t="shared" ca="1" si="44"/>
        <v>0</v>
      </c>
      <c r="AI179" s="159">
        <f t="shared" ca="1" si="45"/>
        <v>0</v>
      </c>
      <c r="AK179"/>
      <c r="AL179"/>
      <c r="AM179"/>
      <c r="AN179"/>
      <c r="AO179"/>
      <c r="AP179"/>
      <c r="AQ179"/>
      <c r="AR179"/>
    </row>
    <row r="180" spans="2:44">
      <c r="B180" s="151">
        <f>[1]!_xludf.edate(B179,1)</f>
        <v>41821</v>
      </c>
      <c r="C180" s="152">
        <f t="shared" si="36"/>
        <v>41876</v>
      </c>
      <c r="D180" s="183">
        <v>0</v>
      </c>
      <c r="E180" s="184">
        <f>VLOOKUP($B180,Model!$A$8:$E$289,5)</f>
        <v>0</v>
      </c>
      <c r="F180" s="184">
        <f>VLOOKUP($B180,Model!$A$8:$F$289,6)</f>
        <v>0</v>
      </c>
      <c r="G180" s="206">
        <f ca="1">VLOOKUP($B180,Model!$A$8:$AO$289,41)</f>
        <v>0</v>
      </c>
      <c r="I180" s="153">
        <v>0</v>
      </c>
      <c r="J180" s="154">
        <f t="shared" si="38"/>
        <v>4.8659999999999997</v>
      </c>
      <c r="K180" s="160">
        <f t="shared" si="46"/>
        <v>0</v>
      </c>
      <c r="L180" s="156">
        <f>IF(Control!$Y$26=Control!$X$27,J180,I180)+K180</f>
        <v>4.8659999999999997</v>
      </c>
      <c r="M180" s="153">
        <v>0</v>
      </c>
      <c r="N180" s="154">
        <f>VLOOKUP($B180,Curve_Fetch,VLOOKUP(Control!$AJ$10,Control!$AI$11:$AK$22,3))</f>
        <v>-0.2</v>
      </c>
      <c r="O180" s="160">
        <f t="shared" si="47"/>
        <v>0</v>
      </c>
      <c r="P180" s="156">
        <f>IF(Control!$Y$31=Control!$X$32,N180,M180)+O180</f>
        <v>-0.2</v>
      </c>
      <c r="Q180" s="153">
        <v>0</v>
      </c>
      <c r="R180" s="154">
        <f>VLOOKUP($B180,Curve_Fetch,(VLOOKUP(Control!$AJ$10,Control!$AI$11:$AL$22,4)))</f>
        <v>2.5000000000000001E-3</v>
      </c>
      <c r="S180" s="160">
        <f t="shared" si="48"/>
        <v>0</v>
      </c>
      <c r="T180" s="156">
        <f>IF($C$11="Physical",IF(Control!$Y$37=Control!$X$38,R180,Q180)+S180,0)</f>
        <v>2.5000000000000001E-3</v>
      </c>
      <c r="U180" s="203">
        <f t="shared" si="37"/>
        <v>4.6684999999999999</v>
      </c>
      <c r="V180" s="172"/>
      <c r="W180" s="219">
        <f>VLOOKUP($B180,Model!$A$8:$S$289,19)</f>
        <v>0.17</v>
      </c>
      <c r="X180" s="221">
        <f t="shared" si="49"/>
        <v>0</v>
      </c>
      <c r="Y180" s="221">
        <f t="shared" si="39"/>
        <v>0.17</v>
      </c>
      <c r="Z180" s="160">
        <f t="shared" si="50"/>
        <v>0</v>
      </c>
      <c r="AA180" s="160">
        <f t="shared" si="51"/>
        <v>4.6684999999999999</v>
      </c>
      <c r="AB180" s="231">
        <f ca="1">_xll.EURO(U180,AA180,VLOOKUP($B180,Curve_Fetch,2),VLOOKUP($B180,Curve_Fetch,2),Y180,VLOOKUP($B180,Model!$A$8:$R$289,18),IF(Euro!$C$10="Call",1,0),0)</f>
        <v>0.57602273129630399</v>
      </c>
      <c r="AD180" s="157">
        <f t="shared" ca="1" si="40"/>
        <v>0</v>
      </c>
      <c r="AE180" s="158">
        <f t="shared" ca="1" si="41"/>
        <v>0</v>
      </c>
      <c r="AF180" s="158">
        <f t="shared" ca="1" si="42"/>
        <v>0</v>
      </c>
      <c r="AG180" s="158">
        <f t="shared" ca="1" si="43"/>
        <v>0</v>
      </c>
      <c r="AH180" s="158">
        <f t="shared" ca="1" si="44"/>
        <v>0</v>
      </c>
      <c r="AI180" s="159">
        <f t="shared" ca="1" si="45"/>
        <v>0</v>
      </c>
      <c r="AK180"/>
      <c r="AL180"/>
      <c r="AM180"/>
      <c r="AN180"/>
      <c r="AO180"/>
      <c r="AP180"/>
      <c r="AQ180"/>
      <c r="AR180"/>
    </row>
    <row r="181" spans="2:44">
      <c r="B181" s="151">
        <f>[1]!_xludf.edate(B180,1)</f>
        <v>41852</v>
      </c>
      <c r="C181" s="152">
        <f t="shared" si="36"/>
        <v>41907</v>
      </c>
      <c r="D181" s="183">
        <v>0</v>
      </c>
      <c r="E181" s="184">
        <f>VLOOKUP($B181,Model!$A$8:$E$289,5)</f>
        <v>0</v>
      </c>
      <c r="F181" s="184">
        <f>VLOOKUP($B181,Model!$A$8:$F$289,6)</f>
        <v>0</v>
      </c>
      <c r="G181" s="206">
        <f ca="1">VLOOKUP($B181,Model!$A$8:$AO$289,41)</f>
        <v>0</v>
      </c>
      <c r="I181" s="153">
        <v>0</v>
      </c>
      <c r="J181" s="154">
        <f t="shared" si="38"/>
        <v>4.9039999999999999</v>
      </c>
      <c r="K181" s="160">
        <f t="shared" si="46"/>
        <v>0</v>
      </c>
      <c r="L181" s="156">
        <f>IF(Control!$Y$26=Control!$X$27,J181,I181)+K181</f>
        <v>4.9039999999999999</v>
      </c>
      <c r="M181" s="153">
        <v>0</v>
      </c>
      <c r="N181" s="154">
        <f>VLOOKUP($B181,Curve_Fetch,VLOOKUP(Control!$AJ$10,Control!$AI$11:$AK$22,3))</f>
        <v>-0.2</v>
      </c>
      <c r="O181" s="160">
        <f t="shared" si="47"/>
        <v>0</v>
      </c>
      <c r="P181" s="156">
        <f>IF(Control!$Y$31=Control!$X$32,N181,M181)+O181</f>
        <v>-0.2</v>
      </c>
      <c r="Q181" s="153">
        <v>0</v>
      </c>
      <c r="R181" s="154">
        <f>VLOOKUP($B181,Curve_Fetch,(VLOOKUP(Control!$AJ$10,Control!$AI$11:$AL$22,4)))</f>
        <v>2.5000000000000001E-3</v>
      </c>
      <c r="S181" s="160">
        <f t="shared" si="48"/>
        <v>0</v>
      </c>
      <c r="T181" s="156">
        <f>IF($C$11="Physical",IF(Control!$Y$37=Control!$X$38,R181,Q181)+S181,0)</f>
        <v>2.5000000000000001E-3</v>
      </c>
      <c r="U181" s="203">
        <f t="shared" si="37"/>
        <v>4.7065000000000001</v>
      </c>
      <c r="V181" s="172"/>
      <c r="W181" s="219">
        <f>VLOOKUP($B181,Model!$A$8:$S$289,19)</f>
        <v>0.17</v>
      </c>
      <c r="X181" s="221">
        <f t="shared" si="49"/>
        <v>0</v>
      </c>
      <c r="Y181" s="221">
        <f t="shared" si="39"/>
        <v>0.17</v>
      </c>
      <c r="Z181" s="160">
        <f t="shared" si="50"/>
        <v>0</v>
      </c>
      <c r="AA181" s="160">
        <f t="shared" si="51"/>
        <v>4.7065000000000001</v>
      </c>
      <c r="AB181" s="231">
        <f ca="1">_xll.EURO(U181,AA181,VLOOKUP($B181,Curve_Fetch,2),VLOOKUP($B181,Curve_Fetch,2),Y181,VLOOKUP($B181,Model!$A$8:$R$289,18),IF(Euro!$C$10="Call",1,0),0)</f>
        <v>0.57962653596551938</v>
      </c>
      <c r="AD181" s="157">
        <f t="shared" ca="1" si="40"/>
        <v>0</v>
      </c>
      <c r="AE181" s="158">
        <f t="shared" ca="1" si="41"/>
        <v>0</v>
      </c>
      <c r="AF181" s="158">
        <f t="shared" ca="1" si="42"/>
        <v>0</v>
      </c>
      <c r="AG181" s="158">
        <f t="shared" ca="1" si="43"/>
        <v>0</v>
      </c>
      <c r="AH181" s="158">
        <f t="shared" ca="1" si="44"/>
        <v>0</v>
      </c>
      <c r="AI181" s="159">
        <f t="shared" ca="1" si="45"/>
        <v>0</v>
      </c>
      <c r="AK181"/>
      <c r="AL181"/>
      <c r="AM181"/>
      <c r="AN181"/>
      <c r="AO181"/>
      <c r="AP181"/>
      <c r="AQ181"/>
      <c r="AR181"/>
    </row>
    <row r="182" spans="2:44">
      <c r="B182" s="151">
        <f>[1]!_xludf.edate(B181,1)</f>
        <v>41883</v>
      </c>
      <c r="C182" s="152">
        <f t="shared" si="36"/>
        <v>41937</v>
      </c>
      <c r="D182" s="183">
        <v>0</v>
      </c>
      <c r="E182" s="184">
        <f>VLOOKUP($B182,Model!$A$8:$E$289,5)</f>
        <v>0</v>
      </c>
      <c r="F182" s="184">
        <f>VLOOKUP($B182,Model!$A$8:$F$289,6)</f>
        <v>0</v>
      </c>
      <c r="G182" s="206">
        <f ca="1">VLOOKUP($B182,Model!$A$8:$AO$289,41)</f>
        <v>0</v>
      </c>
      <c r="I182" s="153">
        <v>0</v>
      </c>
      <c r="J182" s="154">
        <f t="shared" si="38"/>
        <v>4.8979999999999997</v>
      </c>
      <c r="K182" s="161">
        <f t="shared" si="46"/>
        <v>0</v>
      </c>
      <c r="L182" s="162">
        <f>IF(Control!$Y$26=Control!$X$27,J182,I182)+K182</f>
        <v>4.8979999999999997</v>
      </c>
      <c r="M182" s="153">
        <v>0</v>
      </c>
      <c r="N182" s="154">
        <f>VLOOKUP($B182,Curve_Fetch,VLOOKUP(Control!$AJ$10,Control!$AI$11:$AK$22,3))</f>
        <v>-0.2</v>
      </c>
      <c r="O182" s="161">
        <f t="shared" si="47"/>
        <v>0</v>
      </c>
      <c r="P182" s="162">
        <f>IF(Control!$Y$31=Control!$X$32,N182,M182)+O182</f>
        <v>-0.2</v>
      </c>
      <c r="Q182" s="153">
        <v>0</v>
      </c>
      <c r="R182" s="154">
        <f>VLOOKUP($B182,Curve_Fetch,(VLOOKUP(Control!$AJ$10,Control!$AI$11:$AL$22,4)))</f>
        <v>2.5000000000000001E-3</v>
      </c>
      <c r="S182" s="161">
        <f t="shared" si="48"/>
        <v>0</v>
      </c>
      <c r="T182" s="162">
        <f>IF($C$11="Physical",IF(Control!$Y$37=Control!$X$38,R182,Q182)+S182,0)</f>
        <v>2.5000000000000001E-3</v>
      </c>
      <c r="U182" s="204">
        <f t="shared" si="37"/>
        <v>4.7004999999999999</v>
      </c>
      <c r="V182" s="172"/>
      <c r="W182" s="220">
        <f>VLOOKUP($B182,Model!$A$8:$S$289,19)</f>
        <v>0.17</v>
      </c>
      <c r="X182" s="222">
        <f t="shared" si="49"/>
        <v>0</v>
      </c>
      <c r="Y182" s="222">
        <f t="shared" si="39"/>
        <v>0.17</v>
      </c>
      <c r="Z182" s="161">
        <f t="shared" si="50"/>
        <v>0</v>
      </c>
      <c r="AA182" s="160">
        <f t="shared" si="51"/>
        <v>4.7004999999999999</v>
      </c>
      <c r="AB182" s="231">
        <f ca="1">_xll.EURO(U182,AA182,VLOOKUP($B182,Curve_Fetch,2),VLOOKUP($B182,Curve_Fetch,2),Y182,VLOOKUP($B182,Model!$A$8:$R$289,18),IF(Euro!$C$10="Call",1,0),0)</f>
        <v>0.57778788596429353</v>
      </c>
      <c r="AD182" s="157">
        <f t="shared" ca="1" si="40"/>
        <v>0</v>
      </c>
      <c r="AE182" s="158">
        <f t="shared" ca="1" si="41"/>
        <v>0</v>
      </c>
      <c r="AF182" s="158">
        <f t="shared" ca="1" si="42"/>
        <v>0</v>
      </c>
      <c r="AG182" s="158">
        <f t="shared" ca="1" si="43"/>
        <v>0</v>
      </c>
      <c r="AH182" s="158">
        <f t="shared" ca="1" si="44"/>
        <v>0</v>
      </c>
      <c r="AI182" s="174">
        <f t="shared" ca="1" si="45"/>
        <v>0</v>
      </c>
      <c r="AK182"/>
      <c r="AL182"/>
      <c r="AM182"/>
      <c r="AN182"/>
      <c r="AO182"/>
      <c r="AP182"/>
      <c r="AQ182"/>
      <c r="AR182"/>
    </row>
    <row r="183" spans="2:44">
      <c r="B183" s="151">
        <f>[1]!_xludf.edate(B182,1)</f>
        <v>41913</v>
      </c>
      <c r="C183" s="152"/>
      <c r="D183" s="152"/>
      <c r="E183" s="163"/>
      <c r="F183" s="163"/>
    </row>
    <row r="184" spans="2:44">
      <c r="B184" s="151"/>
      <c r="C184" s="152"/>
      <c r="D184" s="152"/>
      <c r="E184" s="163"/>
      <c r="F184" s="163"/>
    </row>
    <row r="185" spans="2:44">
      <c r="B185" s="151"/>
      <c r="C185" s="152"/>
      <c r="D185" s="152"/>
      <c r="E185" s="163"/>
      <c r="F185" s="163"/>
    </row>
    <row r="186" spans="2:44">
      <c r="B186" s="151"/>
      <c r="C186" s="152"/>
      <c r="D186" s="152"/>
      <c r="E186" s="163"/>
      <c r="F186" s="163"/>
    </row>
    <row r="187" spans="2:44">
      <c r="B187" s="151"/>
      <c r="C187" s="152"/>
      <c r="D187" s="152"/>
      <c r="E187" s="163"/>
      <c r="F187" s="163"/>
    </row>
  </sheetData>
  <mergeCells count="5">
    <mergeCell ref="U6:AD7"/>
    <mergeCell ref="D23:G23"/>
    <mergeCell ref="I23:U23"/>
    <mergeCell ref="AD23:AI23"/>
    <mergeCell ref="W23:AB23"/>
  </mergeCells>
  <phoneticPr fontId="26" type="noConversion"/>
  <conditionalFormatting sqref="D29:D182">
    <cfRule type="expression" dxfId="23" priority="1" stopIfTrue="1">
      <formula>$F$24="Flat"</formula>
    </cfRule>
    <cfRule type="expression" dxfId="22" priority="2" stopIfTrue="1">
      <formula>$F$24=Custom</formula>
    </cfRule>
  </conditionalFormatting>
  <conditionalFormatting sqref="D28">
    <cfRule type="expression" dxfId="21" priority="3" stopIfTrue="1">
      <formula>$F$24="Flat"</formula>
    </cfRule>
  </conditionalFormatting>
  <conditionalFormatting sqref="D25:E25 G25">
    <cfRule type="expression" dxfId="20" priority="4" stopIfTrue="1">
      <formula>$F$24="Custom"</formula>
    </cfRule>
    <cfRule type="expression" dxfId="19" priority="5" stopIfTrue="1">
      <formula>$F$24="Custom"</formula>
    </cfRule>
  </conditionalFormatting>
  <conditionalFormatting sqref="F25">
    <cfRule type="expression" dxfId="18" priority="6" stopIfTrue="1">
      <formula>$F$24="Custom"</formula>
    </cfRule>
    <cfRule type="expression" dxfId="17" priority="7" stopIfTrue="1">
      <formula>$F$24="Flat"</formula>
    </cfRule>
  </conditionalFormatting>
  <conditionalFormatting sqref="I29:I182">
    <cfRule type="expression" dxfId="16" priority="8" stopIfTrue="1">
      <formula>$I$27=2</formula>
    </cfRule>
    <cfRule type="expression" dxfId="15" priority="9" stopIfTrue="1">
      <formula>I$27=1</formula>
    </cfRule>
  </conditionalFormatting>
  <conditionalFormatting sqref="I28 M28 Q28">
    <cfRule type="expression" dxfId="14" priority="10" stopIfTrue="1">
      <formula>I$27=1</formula>
    </cfRule>
  </conditionalFormatting>
  <conditionalFormatting sqref="J28 N28 R28">
    <cfRule type="expression" dxfId="13" priority="11" stopIfTrue="1">
      <formula>I$27=2</formula>
    </cfRule>
  </conditionalFormatting>
  <conditionalFormatting sqref="J29:J182 N29:N182">
    <cfRule type="expression" dxfId="12" priority="12" stopIfTrue="1">
      <formula>I$27=2</formula>
    </cfRule>
  </conditionalFormatting>
  <conditionalFormatting sqref="M29:M182">
    <cfRule type="expression" dxfId="11" priority="13" stopIfTrue="1">
      <formula>M$27=2</formula>
    </cfRule>
    <cfRule type="expression" dxfId="10" priority="14" stopIfTrue="1">
      <formula>M$27=1</formula>
    </cfRule>
  </conditionalFormatting>
  <conditionalFormatting sqref="S29:T182">
    <cfRule type="expression" dxfId="9" priority="15" stopIfTrue="1">
      <formula>$C$11="Financial"</formula>
    </cfRule>
  </conditionalFormatting>
  <conditionalFormatting sqref="T26:T27">
    <cfRule type="expression" dxfId="8" priority="16" stopIfTrue="1">
      <formula>$C$11="Financial"</formula>
    </cfRule>
    <cfRule type="expression" dxfId="7" priority="17" stopIfTrue="1">
      <formula>$C$11="Physical"</formula>
    </cfRule>
  </conditionalFormatting>
  <conditionalFormatting sqref="R29:R182">
    <cfRule type="expression" dxfId="6" priority="18" stopIfTrue="1">
      <formula>$C$11="Financial"</formula>
    </cfRule>
    <cfRule type="expression" dxfId="5" priority="19" stopIfTrue="1">
      <formula>$Q$26=2</formula>
    </cfRule>
  </conditionalFormatting>
  <conditionalFormatting sqref="Q29:Q182">
    <cfRule type="expression" dxfId="4" priority="20" stopIfTrue="1">
      <formula>$C$11="Financial"</formula>
    </cfRule>
    <cfRule type="expression" dxfId="3" priority="21" stopIfTrue="1">
      <formula>$Q$26=1</formula>
    </cfRule>
  </conditionalFormatting>
  <conditionalFormatting sqref="I7">
    <cfRule type="expression" dxfId="2" priority="22" stopIfTrue="1">
      <formula>$I$7="WARNING FLAGS:"</formula>
    </cfRule>
  </conditionalFormatting>
  <dataValidations count="3">
    <dataValidation type="list" allowBlank="1" showInputMessage="1" showErrorMessage="1" sqref="C11">
      <formula1>$BB$11:$BB$12</formula1>
    </dataValidation>
    <dataValidation type="list" allowBlank="1" showInputMessage="1" showErrorMessage="1" sqref="C10">
      <formula1>$BB$15:$BB$16</formula1>
    </dataValidation>
    <dataValidation type="list" allowBlank="1" showInputMessage="1" showErrorMessage="1" sqref="F24">
      <formula1>$BB$18:$BB$19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3" r:id="rId4" name="Drop Down 9">
              <controlPr defaultSize="0" autoLine="0" autoPict="0">
                <anchor moveWithCells="1">
                  <from>
                    <xdr:col>11</xdr:col>
                    <xdr:colOff>0</xdr:colOff>
                    <xdr:row>23</xdr:row>
                    <xdr:rowOff>38100</xdr:rowOff>
                  </from>
                  <to>
                    <xdr:col>13</xdr:col>
                    <xdr:colOff>962025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5" name="Drop Down 10">
              <controlPr defaultSize="0" autoLine="0" autoPict="0">
                <anchor moveWithCells="1">
                  <from>
                    <xdr:col>8</xdr:col>
                    <xdr:colOff>47625</xdr:colOff>
                    <xdr:row>26</xdr:row>
                    <xdr:rowOff>28575</xdr:rowOff>
                  </from>
                  <to>
                    <xdr:col>9</xdr:col>
                    <xdr:colOff>304800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6" name="Drop Down 12">
              <controlPr defaultSize="0" autoLine="0" autoPict="0">
                <anchor moveWithCells="1">
                  <from>
                    <xdr:col>12</xdr:col>
                    <xdr:colOff>66675</xdr:colOff>
                    <xdr:row>26</xdr:row>
                    <xdr:rowOff>28575</xdr:rowOff>
                  </from>
                  <to>
                    <xdr:col>13</xdr:col>
                    <xdr:colOff>314325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7" name="Drop Down 13">
              <controlPr defaultSize="0" autoLine="0" autoPict="0">
                <anchor moveWithCells="1">
                  <from>
                    <xdr:col>16</xdr:col>
                    <xdr:colOff>66675</xdr:colOff>
                    <xdr:row>26</xdr:row>
                    <xdr:rowOff>28575</xdr:rowOff>
                  </from>
                  <to>
                    <xdr:col>17</xdr:col>
                    <xdr:colOff>314325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8" name="Button 40">
              <controlPr defaultSize="0" autoFill="0" autoPict="0" macro="[0]!CurveFetch">
                <anchor moveWithCells="1" sizeWithCells="1">
                  <from>
                    <xdr:col>1</xdr:col>
                    <xdr:colOff>76200</xdr:colOff>
                    <xdr:row>14</xdr:row>
                    <xdr:rowOff>66675</xdr:rowOff>
                  </from>
                  <to>
                    <xdr:col>3</xdr:col>
                    <xdr:colOff>476250</xdr:colOff>
                    <xdr:row>17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AN67"/>
  <sheetViews>
    <sheetView showGridLines="0" zoomScale="90" zoomScaleNormal="95" zoomScaleSheetLayoutView="200" workbookViewId="0">
      <selection activeCell="E30" sqref="E30"/>
    </sheetView>
  </sheetViews>
  <sheetFormatPr defaultRowHeight="12.75"/>
  <cols>
    <col min="1" max="1" width="4" customWidth="1"/>
    <col min="2" max="2" width="22.7109375" customWidth="1"/>
    <col min="3" max="3" width="18.5703125" customWidth="1"/>
    <col min="5" max="5" width="22.7109375" customWidth="1"/>
    <col min="6" max="6" width="18.5703125" customWidth="1"/>
    <col min="7" max="7" width="4" customWidth="1"/>
    <col min="8" max="8" width="3" customWidth="1"/>
    <col min="9" max="9" width="23.5703125" bestFit="1" customWidth="1"/>
    <col min="10" max="10" width="13.28515625" bestFit="1" customWidth="1"/>
    <col min="13" max="13" width="16.85546875" bestFit="1" customWidth="1"/>
    <col min="25" max="25" width="10.7109375" customWidth="1"/>
  </cols>
  <sheetData>
    <row r="2" spans="2:40">
      <c r="B2" s="251" t="s">
        <v>73</v>
      </c>
      <c r="C2" s="251"/>
      <c r="D2" s="251"/>
      <c r="E2" s="251"/>
      <c r="F2" s="251"/>
      <c r="I2" s="250" t="s">
        <v>81</v>
      </c>
      <c r="J2" s="250"/>
    </row>
    <row r="3" spans="2:40">
      <c r="B3" s="34" t="s">
        <v>71</v>
      </c>
      <c r="C3" s="39">
        <f ca="1">Model!AO7</f>
        <v>600180.53638174222</v>
      </c>
      <c r="D3" s="35"/>
      <c r="E3" s="34" t="s">
        <v>78</v>
      </c>
      <c r="F3" s="32">
        <f ca="1">F10-C10</f>
        <v>0.3205045389701735</v>
      </c>
      <c r="I3" s="62" t="s">
        <v>32</v>
      </c>
      <c r="J3" s="52">
        <f>Start_Date</f>
        <v>37226</v>
      </c>
      <c r="K3" s="46"/>
      <c r="L3" s="46"/>
      <c r="M3" s="46"/>
      <c r="N3" s="46"/>
      <c r="O3" s="46"/>
      <c r="P3" s="46"/>
      <c r="Q3" s="46"/>
      <c r="R3" s="46"/>
      <c r="U3" s="18" t="s">
        <v>40</v>
      </c>
    </row>
    <row r="4" spans="2:40">
      <c r="B4" s="34"/>
      <c r="C4" s="36"/>
      <c r="D4" s="35"/>
      <c r="E4" s="34" t="s">
        <v>77</v>
      </c>
      <c r="F4" s="37">
        <f ca="1">F3*C3</f>
        <v>192360.58611190174</v>
      </c>
      <c r="I4" s="62" t="s">
        <v>80</v>
      </c>
      <c r="J4" s="71">
        <v>29</v>
      </c>
      <c r="K4" s="52"/>
      <c r="L4" s="46"/>
      <c r="M4" s="46"/>
      <c r="N4" s="46"/>
      <c r="O4" s="46"/>
      <c r="P4" s="46"/>
      <c r="Q4" s="46"/>
      <c r="R4" s="46"/>
    </row>
    <row r="5" spans="2:40">
      <c r="B5" s="35"/>
      <c r="C5" s="35"/>
      <c r="D5" s="35"/>
      <c r="E5" s="34"/>
      <c r="F5" s="37"/>
      <c r="I5" s="63" t="s">
        <v>33</v>
      </c>
      <c r="J5" s="64">
        <f>[1]!_xludf.eomonth([1]!_xludf.edate(J3,(J4-1)),0)</f>
        <v>38107</v>
      </c>
      <c r="K5" s="46"/>
      <c r="L5" s="46"/>
      <c r="M5" s="46"/>
      <c r="N5" s="46"/>
      <c r="O5" s="46"/>
      <c r="P5" s="46"/>
      <c r="Q5" s="46"/>
      <c r="R5" s="46"/>
      <c r="U5" s="178"/>
    </row>
    <row r="6" spans="2:40" ht="13.5" thickBot="1">
      <c r="B6" s="252" t="str">
        <f>CONCATENATE("Receipt: ",$C$31)</f>
        <v>Receipt: IF-ELPO/SJ</v>
      </c>
      <c r="C6" s="252"/>
      <c r="D6" s="35"/>
      <c r="E6" s="252" t="str">
        <f>CONCATENATE("Delivery: ",$F$31)</f>
        <v xml:space="preserve">Delivery: </v>
      </c>
      <c r="F6" s="252"/>
      <c r="K6" s="46"/>
      <c r="L6" s="46"/>
      <c r="M6" s="46"/>
      <c r="N6" s="46"/>
      <c r="O6" s="46"/>
      <c r="P6" s="46"/>
      <c r="Q6" s="46"/>
      <c r="R6" s="46"/>
      <c r="T6">
        <v>1</v>
      </c>
      <c r="U6" s="177" t="s">
        <v>39</v>
      </c>
      <c r="Y6" s="18" t="s">
        <v>28</v>
      </c>
    </row>
    <row r="7" spans="2:40">
      <c r="B7" s="34" t="s">
        <v>57</v>
      </c>
      <c r="C7" s="54">
        <f ca="1">Model!$AQ$6</f>
        <v>3.3755356319199388</v>
      </c>
      <c r="D7" s="35"/>
      <c r="E7" s="34" t="s">
        <v>57</v>
      </c>
      <c r="F7" s="32">
        <f ca="1">Model!$AQ$6</f>
        <v>3.3755356319199388</v>
      </c>
      <c r="I7" s="46"/>
      <c r="J7" s="46"/>
      <c r="K7" s="46"/>
      <c r="L7" s="46"/>
      <c r="M7" s="46"/>
      <c r="N7" s="46"/>
      <c r="O7" s="46"/>
      <c r="P7" s="46"/>
      <c r="Q7" s="46"/>
      <c r="R7" s="46"/>
      <c r="T7">
        <v>2</v>
      </c>
      <c r="U7" s="177" t="s">
        <v>41</v>
      </c>
      <c r="Y7" s="40">
        <v>37137</v>
      </c>
    </row>
    <row r="8" spans="2:40">
      <c r="B8" s="34" t="s">
        <v>45</v>
      </c>
      <c r="C8" s="32">
        <f ca="1">Model!AS6</f>
        <v>-0.31050453897017383</v>
      </c>
      <c r="D8" s="35"/>
      <c r="E8" s="34" t="s">
        <v>45</v>
      </c>
      <c r="F8" s="32">
        <f>Model!$AY$6</f>
        <v>0</v>
      </c>
      <c r="I8" s="250" t="s">
        <v>83</v>
      </c>
      <c r="J8" s="250"/>
      <c r="K8" s="46"/>
      <c r="L8" s="46"/>
      <c r="M8" s="46"/>
      <c r="N8" s="46"/>
      <c r="O8" s="46"/>
      <c r="P8" s="46"/>
      <c r="Q8" s="46"/>
      <c r="R8" s="46"/>
      <c r="Y8" s="41">
        <v>37217</v>
      </c>
    </row>
    <row r="9" spans="2:40" ht="13.5" thickBot="1">
      <c r="B9" s="34" t="s">
        <v>46</v>
      </c>
      <c r="C9" s="33">
        <f ca="1">Model!AT6</f>
        <v>-0.01</v>
      </c>
      <c r="D9" s="35"/>
      <c r="E9" s="34" t="s">
        <v>46</v>
      </c>
      <c r="F9" s="33">
        <f>Model!$AZ$6</f>
        <v>0</v>
      </c>
      <c r="I9" s="63" t="s">
        <v>84</v>
      </c>
      <c r="J9" s="66">
        <v>0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63"/>
      <c r="V9" s="46"/>
      <c r="W9" s="46"/>
      <c r="Y9" s="41">
        <v>37218</v>
      </c>
      <c r="AI9" s="18" t="s">
        <v>170</v>
      </c>
    </row>
    <row r="10" spans="2:40" ht="13.5" thickTop="1">
      <c r="B10" s="38" t="s">
        <v>72</v>
      </c>
      <c r="C10" s="32">
        <f ca="1">SUM(C7:C9)</f>
        <v>3.0550310929497653</v>
      </c>
      <c r="D10" s="35"/>
      <c r="E10" s="38" t="s">
        <v>72</v>
      </c>
      <c r="F10" s="32">
        <f ca="1">SUM(F7:F9)</f>
        <v>3.3755356319199388</v>
      </c>
      <c r="I10" s="63" t="s">
        <v>85</v>
      </c>
      <c r="J10" s="70">
        <f ca="1">J9*$C$3</f>
        <v>0</v>
      </c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62"/>
      <c r="V10" s="46"/>
      <c r="W10" s="46"/>
      <c r="Y10" s="41">
        <v>37249</v>
      </c>
      <c r="AD10" t="str">
        <f>CONCATENATE(CurveFetch!$E$4," ",,CurveFetch!$E$5," ",CurveFetch!$E$6)</f>
        <v>INTNS AA R</v>
      </c>
      <c r="AJ10" s="226">
        <v>1</v>
      </c>
      <c r="AK10" t="s">
        <v>167</v>
      </c>
      <c r="AL10" t="s">
        <v>168</v>
      </c>
      <c r="AM10" t="s">
        <v>169</v>
      </c>
    </row>
    <row r="11" spans="2:40">
      <c r="B11" s="38"/>
      <c r="C11" s="80"/>
      <c r="D11" s="35"/>
      <c r="E11" s="38"/>
      <c r="F11" s="80"/>
      <c r="I11" s="63"/>
      <c r="J11" s="82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Y11" s="41">
        <v>37250</v>
      </c>
      <c r="AD11" t="str">
        <f>CONCATENATE(CurveFetch!$F$4," ",,CurveFetch!$F$5," ",CurveFetch!$F$6)</f>
        <v>NG PR P</v>
      </c>
      <c r="AI11">
        <v>1</v>
      </c>
      <c r="AJ11" t="str">
        <f>CONCATENATE(CurveFetch!$H$4)</f>
        <v>IF-ELPO/SJ</v>
      </c>
      <c r="AK11" s="227">
        <v>5</v>
      </c>
      <c r="AL11" s="227">
        <v>6</v>
      </c>
      <c r="AM11" s="227">
        <v>7</v>
      </c>
      <c r="AN11" t="str">
        <f>AJ11</f>
        <v>IF-ELPO/SJ</v>
      </c>
    </row>
    <row r="12" spans="2:40">
      <c r="B12" s="38" t="str">
        <f>CONCATENATE(C38," Premium")</f>
        <v>Call Premium</v>
      </c>
      <c r="C12" s="32">
        <f ca="1">Model!U6</f>
        <v>0.4049175744970564</v>
      </c>
      <c r="D12" s="35"/>
      <c r="E12" s="38" t="str">
        <f>CONCATENATE(F38," Premium")</f>
        <v xml:space="preserve"> Premium</v>
      </c>
      <c r="F12" s="32">
        <f>Model!AH6</f>
        <v>0</v>
      </c>
      <c r="I12" s="63"/>
      <c r="J12" s="82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Y12" s="42"/>
      <c r="AD12" t="str">
        <f>CONCATENATE(CurveFetch!$G$4," ",,CurveFetch!$G$5," ",CurveFetch!$G$6)</f>
        <v>NG VO P</v>
      </c>
      <c r="AI12">
        <v>2</v>
      </c>
      <c r="AJ12" t="str">
        <f>CONCATENATE(CurveFetch!$K$4)</f>
        <v>IF-ELPO/PERMIAN</v>
      </c>
      <c r="AK12" s="227">
        <v>8</v>
      </c>
      <c r="AL12" s="227">
        <v>9</v>
      </c>
      <c r="AM12" s="227">
        <v>10</v>
      </c>
      <c r="AN12" t="str">
        <f>AJ12</f>
        <v>IF-ELPO/PERMIAN</v>
      </c>
    </row>
    <row r="13" spans="2:40">
      <c r="B13" s="38" t="str">
        <f>CONCATENATE(C38," Value")</f>
        <v>Call Value</v>
      </c>
      <c r="C13" s="81">
        <f ca="1">Model!U7</f>
        <v>244975.13257071911</v>
      </c>
      <c r="D13" s="35"/>
      <c r="E13" s="38" t="str">
        <f>CONCATENATE(F38," Value")</f>
        <v xml:space="preserve"> Value</v>
      </c>
      <c r="F13" s="81">
        <f>Model!AH7</f>
        <v>0</v>
      </c>
      <c r="I13" s="63"/>
      <c r="J13" s="82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Y13" s="42"/>
      <c r="AD13" t="str">
        <f>CONCATENATE(CurveFetch!$H$4," ",,CurveFetch!$H$5," ",CurveFetch!$H$6)</f>
        <v>IF-ELPO/SJ PR D</v>
      </c>
      <c r="AI13">
        <v>3</v>
      </c>
      <c r="AJ13" t="str">
        <f>CONCATENATE(CurveFetch!$P$4)</f>
        <v>IF-NWPL_ROCKY_M</v>
      </c>
      <c r="AK13" s="227">
        <v>11</v>
      </c>
      <c r="AL13" s="227">
        <v>12</v>
      </c>
      <c r="AM13" s="227">
        <v>13</v>
      </c>
      <c r="AN13" t="str">
        <f>AJ13</f>
        <v>IF-NWPL_ROCKY_M</v>
      </c>
    </row>
    <row r="14" spans="2:40"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Y14" s="42"/>
      <c r="AD14" t="str">
        <f>CONCATENATE(CurveFetch!$I$4," ",,CurveFetch!$I$5," ",CurveFetch!$I$6)</f>
        <v>IF-ELPO/SJ PR I</v>
      </c>
      <c r="AI14">
        <v>4</v>
      </c>
      <c r="AJ14" t="str">
        <f>CONCATENATE(CurveFetch!$Q$4)</f>
        <v>IF-KERN/RIVER</v>
      </c>
      <c r="AK14" s="227">
        <v>14</v>
      </c>
      <c r="AL14" s="227">
        <v>15</v>
      </c>
      <c r="AM14" s="227">
        <v>4</v>
      </c>
      <c r="AN14" t="s">
        <v>3</v>
      </c>
    </row>
    <row r="15" spans="2:40" ht="26.25" customHeight="1">
      <c r="B15" s="61" t="str">
        <f ca="1">IF(AND($B$57="",$B$58="",$B$59="",$B$60="",$B$61=""),"",IF(AND($B$58="",$B$61=""),"WARNING! PRESS UPDATE CURVES TO FIX WARNING FLAG BELOW.","WARNING! SEE ERROR MESSAGE BELOW."))</f>
        <v/>
      </c>
      <c r="E15" s="18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Y15" s="42"/>
      <c r="AD15" t="str">
        <f>CONCATENATE(CurveFetch!$J$4," ",,CurveFetch!$J$5," ",CurveFetch!$J$6)</f>
        <v>IF-ELPO/SJ VO P</v>
      </c>
      <c r="AI15">
        <v>5</v>
      </c>
      <c r="AJ15" t="str">
        <f>CONCATENATE(CurveFetch!$S$4)</f>
        <v>IF-QUESTAR</v>
      </c>
      <c r="AK15" s="227">
        <v>16</v>
      </c>
      <c r="AL15" s="227">
        <v>17</v>
      </c>
      <c r="AM15" s="227">
        <v>4</v>
      </c>
      <c r="AN15" t="s">
        <v>3</v>
      </c>
    </row>
    <row r="16" spans="2:40">
      <c r="B16" s="251" t="s">
        <v>74</v>
      </c>
      <c r="C16" s="251"/>
      <c r="E16" s="251" t="s">
        <v>75</v>
      </c>
      <c r="F16" s="251"/>
      <c r="R16" s="46"/>
      <c r="S16" s="46"/>
      <c r="T16" s="46"/>
      <c r="U16" s="46"/>
      <c r="V16" s="46"/>
      <c r="W16" s="46"/>
      <c r="Y16" s="42"/>
      <c r="AD16" t="str">
        <f>CONCATENATE(CurveFetch!$K$4," ",,CurveFetch!$K$5," ",CurveFetch!$K$6)</f>
        <v>IF-ELPO/PERMIAN PR D</v>
      </c>
      <c r="AI16">
        <v>6</v>
      </c>
      <c r="AJ16" t="str">
        <f>CONCATENATE(CurveFetch!$U$4)</f>
        <v>IF-CIG/RKYMTN</v>
      </c>
      <c r="AK16" s="227">
        <v>18</v>
      </c>
      <c r="AL16" s="227">
        <v>19</v>
      </c>
      <c r="AM16" s="227">
        <v>4</v>
      </c>
      <c r="AN16" t="s">
        <v>3</v>
      </c>
    </row>
    <row r="17" spans="2:40">
      <c r="B17" s="34" t="s">
        <v>32</v>
      </c>
      <c r="C17" s="180">
        <f>Euro!C8</f>
        <v>37226</v>
      </c>
      <c r="E17" s="34" t="s">
        <v>34</v>
      </c>
      <c r="F17" s="57">
        <f ca="1">[1]!_xludf.WORKDAY(TODAY(),-1,Holidays)</f>
        <v>37195</v>
      </c>
      <c r="I17" s="68"/>
      <c r="R17" s="46"/>
      <c r="S17" s="46"/>
      <c r="T17" s="46"/>
      <c r="U17" s="46"/>
      <c r="V17" s="46"/>
      <c r="W17" s="46"/>
      <c r="Y17" s="42"/>
      <c r="AD17" t="str">
        <f>CONCATENATE(CurveFetch!$L$4," ",,CurveFetch!$L$5," ",CurveFetch!$L$6)</f>
        <v>IF-ELPO/PERMIAN PR I</v>
      </c>
      <c r="AI17">
        <v>7</v>
      </c>
      <c r="AJ17" t="str">
        <f>CONCATENATE(CurveFetch!$W$4)</f>
        <v>CGPR-AECO/BASIS</v>
      </c>
      <c r="AK17" s="227">
        <v>20</v>
      </c>
      <c r="AL17" s="227">
        <v>21</v>
      </c>
      <c r="AM17" s="227">
        <v>4</v>
      </c>
      <c r="AN17" t="s">
        <v>3</v>
      </c>
    </row>
    <row r="18" spans="2:40" ht="13.5" thickBot="1">
      <c r="B18" s="34" t="s">
        <v>33</v>
      </c>
      <c r="C18" s="181">
        <f>Euro!C9</f>
        <v>37346</v>
      </c>
      <c r="E18" s="34" t="s">
        <v>38</v>
      </c>
      <c r="F18" s="56" t="str">
        <f>Euro!C11</f>
        <v>Physical</v>
      </c>
      <c r="I18" s="19"/>
      <c r="R18" s="46"/>
      <c r="S18" s="46"/>
      <c r="T18" s="46"/>
      <c r="U18" s="46"/>
      <c r="V18" s="46"/>
      <c r="W18" s="46"/>
      <c r="Y18" s="43"/>
      <c r="AD18" t="str">
        <f>CONCATENATE(CurveFetch!$M$4," ",,CurveFetch!$M$5," ",CurveFetch!$M$6)</f>
        <v>IF-ELPO/PERMIAN VO P</v>
      </c>
      <c r="AI18">
        <v>8</v>
      </c>
      <c r="AJ18" t="str">
        <f>CONCATENATE(CurveFetch!$Y$4)</f>
        <v>IF-NTHWST/CANBR</v>
      </c>
      <c r="AK18" s="227">
        <v>22</v>
      </c>
      <c r="AL18" s="227">
        <v>23</v>
      </c>
      <c r="AM18" s="227">
        <v>24</v>
      </c>
      <c r="AN18" t="str">
        <f>AJ18</f>
        <v>IF-NTHWST/CANBR</v>
      </c>
    </row>
    <row r="19" spans="2:40">
      <c r="B19" s="18" t="s">
        <v>82</v>
      </c>
      <c r="C19" s="65" t="str">
        <f>CONCATENATE(DATEDIF(Start_Date,[1]!_xludf.edate(End_Date,1),"y")," Y ",DATEDIF(Start_Date,[1]!_xludf.edate(End_Date,1),"YM"), " M ")</f>
        <v xml:space="preserve">0 Y 4 M </v>
      </c>
      <c r="E19" s="34" t="s">
        <v>60</v>
      </c>
      <c r="F19" s="58">
        <v>0</v>
      </c>
      <c r="I19" s="19"/>
      <c r="M19" s="28">
        <v>8.8481650310005447E-2</v>
      </c>
      <c r="R19" s="46"/>
      <c r="S19" s="46"/>
      <c r="T19" s="46"/>
      <c r="U19" s="46"/>
      <c r="V19" s="46"/>
      <c r="W19" s="46"/>
      <c r="AD19" t="str">
        <f>CONCATENATE(CurveFetch!$N$4," ",,CurveFetch!$N$5," ",CurveFetch!$N$6)</f>
        <v>IF-NWPL_ROCKY_M PR D</v>
      </c>
      <c r="AI19">
        <v>9</v>
      </c>
      <c r="AJ19" t="str">
        <f>CONCATENATE(CurveFetch!$AB$4)</f>
        <v>NGI-MALIN</v>
      </c>
      <c r="AK19" s="227">
        <v>25</v>
      </c>
      <c r="AL19" s="227">
        <v>26</v>
      </c>
      <c r="AM19" s="227">
        <v>4</v>
      </c>
      <c r="AN19" t="s">
        <v>3</v>
      </c>
    </row>
    <row r="20" spans="2:40">
      <c r="B20" s="34" t="s">
        <v>53</v>
      </c>
      <c r="C20" s="185" t="str">
        <f>Euro!F24</f>
        <v>Flat</v>
      </c>
      <c r="E20" s="34" t="s">
        <v>62</v>
      </c>
      <c r="F20" s="59">
        <v>2</v>
      </c>
      <c r="I20" s="19"/>
      <c r="M20" s="27">
        <f ca="1">C3*M19</f>
        <v>53104.964343000815</v>
      </c>
      <c r="R20" s="46"/>
      <c r="S20" s="46"/>
      <c r="T20" s="46"/>
      <c r="U20" s="46"/>
      <c r="V20" s="46"/>
      <c r="W20" s="46"/>
      <c r="AD20" t="str">
        <f>CONCATENATE(CurveFetch!$O$4," ",,CurveFetch!$O$5," ",CurveFetch!$O$6)</f>
        <v>IF-NWPL_ROCKY_M PR I</v>
      </c>
      <c r="AI20">
        <v>10</v>
      </c>
      <c r="AJ20" t="str">
        <f>CONCATENATE(CurveFetch!$AD$4)</f>
        <v>NGI-SOCAL</v>
      </c>
      <c r="AK20" s="227">
        <v>27</v>
      </c>
      <c r="AL20" s="227">
        <v>28</v>
      </c>
      <c r="AM20" s="227">
        <v>29</v>
      </c>
      <c r="AN20" t="str">
        <f>AJ20</f>
        <v>NGI-SOCAL</v>
      </c>
    </row>
    <row r="21" spans="2:40">
      <c r="B21" s="34" t="s">
        <v>42</v>
      </c>
      <c r="C21" s="186">
        <f>Euro!F25</f>
        <v>5000</v>
      </c>
      <c r="E21" s="34" t="s">
        <v>63</v>
      </c>
      <c r="F21" s="59">
        <v>365.25</v>
      </c>
      <c r="I21" s="19"/>
      <c r="R21" s="46"/>
      <c r="S21" s="46"/>
      <c r="T21" s="46"/>
      <c r="U21" s="46"/>
      <c r="V21" s="46"/>
      <c r="W21" s="46"/>
      <c r="AD21" t="str">
        <f>CONCATENATE(CurveFetch!$P$4," ",,CurveFetch!$P$5," ",CurveFetch!$P$6)</f>
        <v>IF-NWPL_ROCKY_M VO P</v>
      </c>
      <c r="AI21">
        <v>11</v>
      </c>
      <c r="AJ21" t="str">
        <f>CONCATENATE(CurveFetch!$AG$4)</f>
        <v>NGI-PGE/CG</v>
      </c>
      <c r="AK21" s="227">
        <v>30</v>
      </c>
      <c r="AL21" s="227">
        <v>31</v>
      </c>
      <c r="AM21" s="227">
        <v>4</v>
      </c>
      <c r="AN21" t="s">
        <v>3</v>
      </c>
    </row>
    <row r="22" spans="2:40">
      <c r="I22" s="19"/>
      <c r="R22" s="46"/>
      <c r="S22" s="46"/>
      <c r="T22" s="46"/>
      <c r="U22" s="46"/>
      <c r="V22" s="46"/>
      <c r="W22" s="46"/>
      <c r="AD22" t="str">
        <f>CONCATENATE(CurveFetch!$Q$4," ",,CurveFetch!$Q$5," ",CurveFetch!$Q$6)</f>
        <v>IF-KERN/RIVER PR D</v>
      </c>
      <c r="AI22">
        <v>12</v>
      </c>
      <c r="AJ22" t="str">
        <f>CONCATENATE(CurveFetch!$AI$4)</f>
        <v>NGI-SOBDR-PG&amp;E</v>
      </c>
      <c r="AK22" s="227">
        <v>32</v>
      </c>
      <c r="AL22" s="227">
        <v>33</v>
      </c>
      <c r="AM22" s="227">
        <v>4</v>
      </c>
      <c r="AN22" t="s">
        <v>3</v>
      </c>
    </row>
    <row r="23" spans="2:40">
      <c r="I23" s="19"/>
      <c r="AD23" t="str">
        <f>CONCATENATE(CurveFetch!$R$4," ",,CurveFetch!$R$5," ",CurveFetch!$R$6)</f>
        <v>IF-KERN/RIVER PR I</v>
      </c>
    </row>
    <row r="24" spans="2:40">
      <c r="B24" s="251" t="s">
        <v>76</v>
      </c>
      <c r="C24" s="251"/>
      <c r="D24" s="251"/>
      <c r="E24" s="251"/>
      <c r="F24" s="251"/>
      <c r="I24" s="19"/>
      <c r="AD24" t="str">
        <f>CONCATENATE(CurveFetch!$S$4," ",,CurveFetch!$S$5," ",CurveFetch!$S$6)</f>
        <v>IF-QUESTAR PR D</v>
      </c>
    </row>
    <row r="25" spans="2:40">
      <c r="B25" s="34" t="s">
        <v>70</v>
      </c>
      <c r="C25" s="55">
        <f>Euro!C12</f>
        <v>37196</v>
      </c>
      <c r="D25" s="35"/>
      <c r="E25" s="35"/>
      <c r="F25" s="35"/>
      <c r="I25" s="19"/>
      <c r="U25" s="178"/>
      <c r="X25" s="117"/>
      <c r="Y25" s="193" t="s">
        <v>57</v>
      </c>
      <c r="AD25" t="str">
        <f>CONCATENATE(CurveFetch!$T$4," ",,CurveFetch!$T$5," ",CurveFetch!$T$6)</f>
        <v>IF-QUESTAR PR I</v>
      </c>
    </row>
    <row r="26" spans="2:40">
      <c r="B26" s="34" t="s">
        <v>69</v>
      </c>
      <c r="C26" s="55">
        <v>37196</v>
      </c>
      <c r="D26" s="35"/>
      <c r="E26" s="35"/>
      <c r="F26" s="35"/>
      <c r="I26" s="19"/>
      <c r="T26">
        <v>1</v>
      </c>
      <c r="U26" t="s">
        <v>44</v>
      </c>
      <c r="X26" s="118"/>
      <c r="Y26" s="194">
        <v>1</v>
      </c>
      <c r="AD26" t="str">
        <f>CONCATENATE(CurveFetch!$U$4," ",,CurveFetch!$U$5," ",CurveFetch!$U$6)</f>
        <v>IF-CIG/RKYMTN PR D</v>
      </c>
    </row>
    <row r="27" spans="2:40">
      <c r="B27" s="34" t="s">
        <v>56</v>
      </c>
      <c r="C27" s="189" t="str">
        <f>VLOOKUP($Y$26,$X$27:$Y$28,2)</f>
        <v>Mid</v>
      </c>
      <c r="D27" s="35"/>
      <c r="E27" s="35"/>
      <c r="F27" s="35"/>
      <c r="T27">
        <v>2</v>
      </c>
      <c r="U27" t="s">
        <v>54</v>
      </c>
      <c r="X27" s="118">
        <v>1</v>
      </c>
      <c r="Y27" s="47" t="s">
        <v>55</v>
      </c>
      <c r="AD27" t="str">
        <f>CONCATENATE(CurveFetch!$V$4," ",,CurveFetch!$V$5," ",CurveFetch!$V$6)</f>
        <v>IF-CIG/RKYMTN PR I</v>
      </c>
    </row>
    <row r="28" spans="2:40">
      <c r="D28" s="35"/>
      <c r="E28" s="35"/>
      <c r="F28" s="35"/>
      <c r="X28" s="192">
        <v>2</v>
      </c>
      <c r="Y28" s="50" t="s">
        <v>44</v>
      </c>
      <c r="AD28" t="str">
        <f>CONCATENATE(CurveFetch!$W$4," ",,CurveFetch!$W$5," ",CurveFetch!$W$6)</f>
        <v>CGPR-AECO/BASIS PR D</v>
      </c>
    </row>
    <row r="29" spans="2:40">
      <c r="B29" s="35"/>
      <c r="C29" s="35"/>
      <c r="D29" s="35"/>
      <c r="E29" s="35"/>
      <c r="F29" s="35"/>
      <c r="U29" s="178"/>
      <c r="AD29" t="str">
        <f>CONCATENATE(CurveFetch!$X$4," ",,CurveFetch!$X$5," ",CurveFetch!$X$6)</f>
        <v>CGPR-AECO/BASIS PR I</v>
      </c>
    </row>
    <row r="30" spans="2:40">
      <c r="B30" s="252" t="s">
        <v>58</v>
      </c>
      <c r="C30" s="252"/>
      <c r="D30" s="35"/>
      <c r="E30" s="225"/>
      <c r="F30" s="225"/>
      <c r="T30">
        <v>1</v>
      </c>
      <c r="U30" t="s">
        <v>44</v>
      </c>
      <c r="X30" s="117"/>
      <c r="Y30" s="193" t="s">
        <v>45</v>
      </c>
      <c r="AD30" t="str">
        <f>CONCATENATE(CurveFetch!$Y$4," ",,CurveFetch!$Y$5," ",CurveFetch!$Y$6)</f>
        <v>IF-NTHWST/CANBR PR D</v>
      </c>
    </row>
    <row r="31" spans="2:40">
      <c r="B31" s="34" t="s">
        <v>79</v>
      </c>
      <c r="C31" s="189" t="str">
        <f>VLOOKUP(Control!$AJ$10,Control!$AI$11:$AJ$22,2)</f>
        <v>IF-ELPO/SJ</v>
      </c>
      <c r="D31" s="35"/>
      <c r="E31" s="34"/>
      <c r="F31" s="53"/>
      <c r="T31">
        <v>2</v>
      </c>
      <c r="U31" t="s">
        <v>55</v>
      </c>
      <c r="X31" s="118"/>
      <c r="Y31" s="194">
        <v>1</v>
      </c>
      <c r="AD31" t="str">
        <f>CONCATENATE(CurveFetch!$Z$4," ",,CurveFetch!$Z$5," ",CurveFetch!$Z$6)</f>
        <v>IF-NTHWST/CANBR PR I</v>
      </c>
    </row>
    <row r="32" spans="2:40">
      <c r="B32" s="34"/>
      <c r="C32" s="56"/>
      <c r="D32" s="35"/>
      <c r="E32" s="34"/>
      <c r="F32" s="56"/>
      <c r="X32" s="118">
        <v>1</v>
      </c>
      <c r="Y32" s="47" t="s">
        <v>55</v>
      </c>
      <c r="AD32" t="str">
        <f>CONCATENATE(CurveFetch!$AA$4," ",,CurveFetch!$AA$5," ",CurveFetch!$AA$6)</f>
        <v>IF-NTHWST/CANBR VO P</v>
      </c>
    </row>
    <row r="33" spans="2:30">
      <c r="B33" s="34" t="s">
        <v>86</v>
      </c>
      <c r="C33" s="189" t="str">
        <f>VLOOKUP($Y$31,$X$32:$Y$33,2)</f>
        <v>Mid</v>
      </c>
      <c r="D33" s="35"/>
      <c r="E33" s="34"/>
      <c r="F33" s="53"/>
      <c r="U33" t="s">
        <v>88</v>
      </c>
      <c r="X33" s="192">
        <v>2</v>
      </c>
      <c r="Y33" s="50" t="s">
        <v>44</v>
      </c>
      <c r="AD33" t="str">
        <f>CONCATENATE(CurveFetch!$AB$4," ",,CurveFetch!$AB$5," ",CurveFetch!$AB$6)</f>
        <v>NGI-MALIN PR D</v>
      </c>
    </row>
    <row r="34" spans="2:30">
      <c r="B34" s="34" t="s">
        <v>87</v>
      </c>
      <c r="C34" s="189" t="str">
        <f>VLOOKUP($Y$37,$X$38:$Y$39,2)</f>
        <v>Mid</v>
      </c>
      <c r="D34" s="35"/>
      <c r="E34" s="34"/>
      <c r="F34" s="53"/>
      <c r="U34" t="s">
        <v>3</v>
      </c>
      <c r="AD34" t="str">
        <f>CONCATENATE(CurveFetch!$AC$4," ",,CurveFetch!$AC$5," ",CurveFetch!$AC$6)</f>
        <v>NGI-MALIN PR I</v>
      </c>
    </row>
    <row r="35" spans="2:30">
      <c r="U35" t="s">
        <v>4</v>
      </c>
      <c r="AD35" t="str">
        <f>CONCATENATE(CurveFetch!$AD$4," ",,CurveFetch!$AD$5," ",CurveFetch!$AD$6)</f>
        <v>NGI-SOCAL PR D</v>
      </c>
    </row>
    <row r="36" spans="2:30">
      <c r="B36" s="34" t="s">
        <v>102</v>
      </c>
      <c r="C36" s="189" t="str">
        <f>VLOOKUP(Control!$AJ$10,Control!$AI$11:$AN$22,6)</f>
        <v>IF-ELPO/SJ</v>
      </c>
      <c r="E36" s="34"/>
      <c r="F36" s="53"/>
      <c r="U36" t="s">
        <v>5</v>
      </c>
      <c r="X36" s="117"/>
      <c r="Y36" s="193" t="s">
        <v>46</v>
      </c>
      <c r="AD36" t="str">
        <f>CONCATENATE(CurveFetch!$AE$4," ",,CurveFetch!$AE$5," ",CurveFetch!$AE$6)</f>
        <v>NGI-SOCAL PR I</v>
      </c>
    </row>
    <row r="37" spans="2:30">
      <c r="B37" s="34"/>
      <c r="E37" s="34"/>
      <c r="U37" t="s">
        <v>6</v>
      </c>
      <c r="X37" s="118"/>
      <c r="Y37" s="194">
        <v>1</v>
      </c>
      <c r="AD37" t="str">
        <f>CONCATENATE(CurveFetch!$AF$4," ",,CurveFetch!$AF$5," ",CurveFetch!$AF$6)</f>
        <v>NGI-SOCAL VO P</v>
      </c>
    </row>
    <row r="38" spans="2:30">
      <c r="B38" s="34" t="s">
        <v>89</v>
      </c>
      <c r="C38" s="56" t="str">
        <f>Euro!C10</f>
        <v>Call</v>
      </c>
      <c r="E38" s="34"/>
      <c r="F38" s="53"/>
      <c r="U38" t="s">
        <v>11</v>
      </c>
      <c r="X38" s="118">
        <v>1</v>
      </c>
      <c r="Y38" s="47" t="s">
        <v>55</v>
      </c>
      <c r="AD38" t="str">
        <f>CONCATENATE(CurveFetch!$AG$4," ",,CurveFetch!$AG$5," ",CurveFetch!$AG$6)</f>
        <v>NGI-PGE/CG PR D</v>
      </c>
    </row>
    <row r="39" spans="2:30">
      <c r="B39" s="18" t="str">
        <f>IF(C38="Call","Out (In) the Money","In (Out) the Money")</f>
        <v>Out (In) the Money</v>
      </c>
      <c r="C39" s="229">
        <f>Euro!$Z$29</f>
        <v>0</v>
      </c>
      <c r="E39" s="18"/>
      <c r="F39" s="77"/>
      <c r="U39" t="s">
        <v>8</v>
      </c>
      <c r="X39" s="192">
        <v>2</v>
      </c>
      <c r="Y39" s="50" t="s">
        <v>44</v>
      </c>
      <c r="AD39" t="str">
        <f>CONCATENATE(CurveFetch!$AH$4," ",,CurveFetch!$AH$5," ",CurveFetch!$AH$6)</f>
        <v>NGI-PGE/CG PR I</v>
      </c>
    </row>
    <row r="40" spans="2:30">
      <c r="AD40" t="str">
        <f>CONCATENATE(CurveFetch!$AI$4," ",,CurveFetch!$AI$5," ",CurveFetch!$AI$6)</f>
        <v>NGI-SOBDR-PG&amp;E PR D</v>
      </c>
    </row>
    <row r="41" spans="2:30">
      <c r="U41" t="s">
        <v>90</v>
      </c>
      <c r="AD41" t="str">
        <f>CONCATENATE(CurveFetch!$AJ$4," ",,CurveFetch!$AJ$5," ",CurveFetch!$AJ$6)</f>
        <v>NGI-SOBDR-PG&amp;E PR I</v>
      </c>
    </row>
    <row r="42" spans="2:30">
      <c r="C42" s="78"/>
      <c r="U42" t="s">
        <v>91</v>
      </c>
    </row>
    <row r="43" spans="2:30">
      <c r="U43" t="s">
        <v>92</v>
      </c>
    </row>
    <row r="45" spans="2:30">
      <c r="B45" s="46"/>
      <c r="C45" s="46"/>
      <c r="D45" s="46"/>
      <c r="E45" s="46"/>
      <c r="F45" s="46"/>
      <c r="X45" s="18" t="s">
        <v>140</v>
      </c>
      <c r="Y45" s="18"/>
      <c r="Z45" s="18" t="s">
        <v>141</v>
      </c>
    </row>
    <row r="46" spans="2:30">
      <c r="B46" s="46"/>
      <c r="C46" s="46"/>
      <c r="D46" s="46"/>
      <c r="E46" s="46"/>
      <c r="F46" s="46"/>
      <c r="W46">
        <v>1</v>
      </c>
      <c r="X46" s="46" t="s">
        <v>4</v>
      </c>
      <c r="Z46" s="46" t="s">
        <v>4</v>
      </c>
    </row>
    <row r="47" spans="2:30">
      <c r="B47" s="46"/>
      <c r="C47" s="46"/>
      <c r="D47" s="46"/>
      <c r="E47" s="46"/>
      <c r="F47" s="46"/>
      <c r="W47">
        <v>2</v>
      </c>
      <c r="X47" s="46" t="s">
        <v>5</v>
      </c>
      <c r="Z47" s="46" t="s">
        <v>5</v>
      </c>
    </row>
    <row r="48" spans="2:30">
      <c r="B48" s="46"/>
      <c r="C48" s="46"/>
      <c r="D48" s="46"/>
      <c r="E48" s="46"/>
      <c r="F48" s="46"/>
      <c r="W48">
        <v>3</v>
      </c>
      <c r="X48" s="46" t="s">
        <v>6</v>
      </c>
      <c r="Z48" s="46" t="s">
        <v>6</v>
      </c>
    </row>
    <row r="49" spans="2:26">
      <c r="W49">
        <v>4</v>
      </c>
      <c r="X49" s="46" t="s">
        <v>50</v>
      </c>
      <c r="Z49" s="46" t="s">
        <v>50</v>
      </c>
    </row>
    <row r="50" spans="2:26">
      <c r="W50">
        <v>5</v>
      </c>
      <c r="X50" s="46" t="s">
        <v>51</v>
      </c>
      <c r="Z50" s="85" t="s">
        <v>3</v>
      </c>
    </row>
    <row r="51" spans="2:26">
      <c r="W51">
        <v>6</v>
      </c>
      <c r="X51" s="46" t="s">
        <v>49</v>
      </c>
      <c r="Z51" s="85" t="s">
        <v>3</v>
      </c>
    </row>
    <row r="52" spans="2:26">
      <c r="W52">
        <v>7</v>
      </c>
      <c r="X52" s="46" t="s">
        <v>7</v>
      </c>
      <c r="Z52" s="85" t="s">
        <v>3</v>
      </c>
    </row>
    <row r="53" spans="2:26">
      <c r="W53">
        <v>8</v>
      </c>
      <c r="X53" s="46" t="s">
        <v>11</v>
      </c>
      <c r="Z53" s="85" t="s">
        <v>3</v>
      </c>
    </row>
    <row r="54" spans="2:26">
      <c r="W54">
        <v>9</v>
      </c>
      <c r="X54" s="46" t="s">
        <v>9</v>
      </c>
      <c r="Z54" s="85" t="s">
        <v>3</v>
      </c>
    </row>
    <row r="55" spans="2:26">
      <c r="W55">
        <v>10</v>
      </c>
      <c r="X55" s="46" t="s">
        <v>8</v>
      </c>
      <c r="Z55" s="85" t="s">
        <v>8</v>
      </c>
    </row>
    <row r="56" spans="2:26">
      <c r="B56" s="51" t="str">
        <f ca="1">IF(AND($B$57="",$B$58="",$B$59="",$B$60="",$B$61=""),"NO WARNING FLAGS","WARNING FLAGS:")</f>
        <v>NO WARNING FLAGS</v>
      </c>
      <c r="C56" s="44"/>
      <c r="D56" s="44"/>
      <c r="E56" s="44"/>
      <c r="F56" s="45"/>
      <c r="W56">
        <v>11</v>
      </c>
      <c r="X56" s="46" t="s">
        <v>10</v>
      </c>
      <c r="Z56" s="85" t="s">
        <v>3</v>
      </c>
    </row>
    <row r="57" spans="2:26">
      <c r="B57" s="48" t="str">
        <f>IF(date=$C$25,"","Current Curve Date Does Not Equal Desired Curve Date.  Update Curves")</f>
        <v/>
      </c>
      <c r="C57" s="46"/>
      <c r="D57" s="46"/>
      <c r="E57" s="46"/>
      <c r="F57" s="47"/>
      <c r="W57">
        <v>12</v>
      </c>
      <c r="X57" s="46" t="s">
        <v>48</v>
      </c>
      <c r="Z57" s="85" t="s">
        <v>3</v>
      </c>
    </row>
    <row r="58" spans="2:26">
      <c r="B58" s="48" t="str">
        <f>IF(OR((TEXT($C$25,"dddd")="Saturday"),(TEXT($C$25,"dddd")="Sunday")),"You may have chosen a curve date that falls on a weekend or holiday.  Choose another date.","")</f>
        <v/>
      </c>
      <c r="C58" s="46"/>
      <c r="D58" s="46"/>
      <c r="E58" s="46"/>
      <c r="F58" s="47"/>
    </row>
    <row r="59" spans="2:26">
      <c r="B59" s="48"/>
      <c r="C59" s="46"/>
      <c r="D59" s="46"/>
      <c r="E59" s="46"/>
      <c r="F59" s="47"/>
    </row>
    <row r="60" spans="2:26">
      <c r="B60" s="48"/>
      <c r="C60" s="46"/>
      <c r="D60" s="46"/>
      <c r="E60" s="46"/>
      <c r="F60" s="47"/>
    </row>
    <row r="61" spans="2:26">
      <c r="B61" s="60" t="str">
        <f ca="1">IF(OR(Val_Date=$C$25,Val_Date&lt;$C$25),"","Current curve date may not correspond to latest available curves.")</f>
        <v/>
      </c>
      <c r="C61" s="49"/>
      <c r="D61" s="49"/>
      <c r="E61" s="49"/>
      <c r="F61" s="50"/>
    </row>
    <row r="64" spans="2:26">
      <c r="B64" s="236">
        <v>37197</v>
      </c>
      <c r="C64">
        <f>WEEKDAY(B64,2)</f>
        <v>5</v>
      </c>
      <c r="D64" t="str">
        <f>TEXT(B64,"dddd")</f>
        <v>Friday</v>
      </c>
    </row>
    <row r="65" spans="2:4">
      <c r="B65" s="236">
        <v>37198</v>
      </c>
      <c r="C65">
        <f>WEEKDAY(B65,2)</f>
        <v>6</v>
      </c>
      <c r="D65" t="str">
        <f>TEXT(B65,"dddd")</f>
        <v>Saturday</v>
      </c>
    </row>
    <row r="66" spans="2:4">
      <c r="B66" s="236">
        <v>37199</v>
      </c>
      <c r="C66">
        <f>WEEKDAY(B66,2)</f>
        <v>7</v>
      </c>
      <c r="D66" t="str">
        <f>TEXT(B66,"dddd")</f>
        <v>Sunday</v>
      </c>
    </row>
    <row r="67" spans="2:4">
      <c r="B67" s="236">
        <v>37200</v>
      </c>
      <c r="C67">
        <f>WEEKDAY(B67,2)</f>
        <v>1</v>
      </c>
      <c r="D67" t="str">
        <f>TEXT(B67,"dddd")</f>
        <v>Monday</v>
      </c>
    </row>
  </sheetData>
  <mergeCells count="9">
    <mergeCell ref="I2:J2"/>
    <mergeCell ref="I8:J8"/>
    <mergeCell ref="B24:F24"/>
    <mergeCell ref="B30:C30"/>
    <mergeCell ref="B2:F2"/>
    <mergeCell ref="B6:C6"/>
    <mergeCell ref="E6:F6"/>
    <mergeCell ref="B16:C16"/>
    <mergeCell ref="E16:F16"/>
  </mergeCells>
  <phoneticPr fontId="0" type="noConversion"/>
  <conditionalFormatting sqref="B21:C21">
    <cfRule type="expression" dxfId="1" priority="1" stopIfTrue="1">
      <formula>$C$20="Custom"</formula>
    </cfRule>
  </conditionalFormatting>
  <printOptions horizontalCentered="1"/>
  <pageMargins left="0.25" right="0.25" top="0.5" bottom="0.5" header="0.25" footer="0.25"/>
  <pageSetup orientation="portrait" r:id="rId1"/>
  <headerFooter alignWithMargins="0">
    <oddHeader>&amp;L&amp;8&amp;D
&amp;T</oddHeader>
    <oddFooter>&amp;L&amp;8&amp;F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autoFill="0" autoPict="0" macro="[0]!CurveFetch">
                <anchor moveWithCells="1" sizeWithCells="1">
                  <from>
                    <xdr:col>4</xdr:col>
                    <xdr:colOff>57150</xdr:colOff>
                    <xdr:row>24</xdr:row>
                    <xdr:rowOff>85725</xdr:rowOff>
                  </from>
                  <to>
                    <xdr:col>5</xdr:col>
                    <xdr:colOff>1028700</xdr:colOff>
                    <xdr:row>26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5" name="Button 80">
              <controlPr defaultSize="0" autoFill="0" autoPict="0" macro="[0]!Print_Chart_Only">
                <anchor moveWithCells="1" sizeWithCells="1">
                  <from>
                    <xdr:col>7</xdr:col>
                    <xdr:colOff>190500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6:F37"/>
  <sheetViews>
    <sheetView topLeftCell="A2" workbookViewId="0">
      <selection activeCell="B7" sqref="B7"/>
    </sheetView>
  </sheetViews>
  <sheetFormatPr defaultRowHeight="12.75"/>
  <cols>
    <col min="7" max="7" width="19" bestFit="1" customWidth="1"/>
  </cols>
  <sheetData>
    <row r="6" spans="2:6">
      <c r="B6" t="str">
        <f>CONCATENATE(CurveFetch!$E$4," ",,CurveFetch!$E$5," ",CurveFetch!$E$6)</f>
        <v>INTNS AA R</v>
      </c>
      <c r="F6" t="str">
        <f>CONCATENATE(CurveFetch!$E$4," ",,CurveFetch!$E$5," ",CurveFetch!$E$6)</f>
        <v>INTNS AA R</v>
      </c>
    </row>
    <row r="7" spans="2:6">
      <c r="B7" t="str">
        <f>CONCATENATE(CurveFetch!$F$4," ",,CurveFetch!$F$5," ",CurveFetch!$F$6)</f>
        <v>NG PR P</v>
      </c>
      <c r="F7" t="str">
        <f>CONCATENATE(CurveFetch!$F$4," ",,CurveFetch!$F$5," ",CurveFetch!$F$6)</f>
        <v>NG PR P</v>
      </c>
    </row>
    <row r="8" spans="2:6">
      <c r="B8" t="str">
        <f>CONCATENATE(CurveFetch!$G$4," ",,CurveFetch!$G$5," ",CurveFetch!$G$6)</f>
        <v>NG VO P</v>
      </c>
      <c r="F8" t="str">
        <f>CONCATENATE(CurveFetch!$G$4," ",,CurveFetch!$G$5," ",CurveFetch!$G$6)</f>
        <v>NG VO P</v>
      </c>
    </row>
    <row r="9" spans="2:6">
      <c r="B9" t="str">
        <f>CONCATENATE(CurveFetch!$H$4," ",,CurveFetch!$H$5," ",CurveFetch!$H$6)</f>
        <v>IF-ELPO/SJ PR D</v>
      </c>
    </row>
    <row r="10" spans="2:6">
      <c r="B10" t="str">
        <f>CONCATENATE(CurveFetch!$I$4," ",,CurveFetch!$I$5," ",CurveFetch!$I$6)</f>
        <v>IF-ELPO/SJ PR I</v>
      </c>
    </row>
    <row r="11" spans="2:6">
      <c r="B11" t="str">
        <f>CONCATENATE(CurveFetch!$J$4," ",,CurveFetch!$J$5," ",CurveFetch!$J$6)</f>
        <v>IF-ELPO/SJ VO P</v>
      </c>
    </row>
    <row r="12" spans="2:6">
      <c r="B12" t="str">
        <f>CONCATENATE(CurveFetch!$K$4," ",,CurveFetch!$K$5," ",CurveFetch!$K$6)</f>
        <v>IF-ELPO/PERMIAN PR D</v>
      </c>
    </row>
    <row r="13" spans="2:6">
      <c r="B13" t="str">
        <f>CONCATENATE(CurveFetch!$L$4," ",,CurveFetch!$L$5," ",CurveFetch!$L$6)</f>
        <v>IF-ELPO/PERMIAN PR I</v>
      </c>
    </row>
    <row r="14" spans="2:6">
      <c r="B14" t="str">
        <f>CONCATENATE(CurveFetch!$M$4," ",,CurveFetch!$M$5," ",CurveFetch!$M$6)</f>
        <v>IF-ELPO/PERMIAN VO P</v>
      </c>
    </row>
    <row r="15" spans="2:6">
      <c r="B15" t="str">
        <f>CONCATENATE(CurveFetch!$N$4," ",,CurveFetch!$N$5," ",CurveFetch!$N$6)</f>
        <v>IF-NWPL_ROCKY_M PR D</v>
      </c>
    </row>
    <row r="16" spans="2:6">
      <c r="B16" t="str">
        <f>CONCATENATE(CurveFetch!$O$4," ",,CurveFetch!$O$5," ",CurveFetch!$O$6)</f>
        <v>IF-NWPL_ROCKY_M PR I</v>
      </c>
    </row>
    <row r="17" spans="2:2">
      <c r="B17" t="str">
        <f>CONCATENATE(CurveFetch!$P$4," ",,CurveFetch!$P$5," ",CurveFetch!$P$6)</f>
        <v>IF-NWPL_ROCKY_M VO P</v>
      </c>
    </row>
    <row r="18" spans="2:2">
      <c r="B18" t="str">
        <f>CONCATENATE(CurveFetch!$Q$4," ",,CurveFetch!$Q$5," ",CurveFetch!$Q$6)</f>
        <v>IF-KERN/RIVER PR D</v>
      </c>
    </row>
    <row r="19" spans="2:2">
      <c r="B19" t="str">
        <f>CONCATENATE(CurveFetch!$R$4," ",,CurveFetch!$R$5," ",CurveFetch!$R$6)</f>
        <v>IF-KERN/RIVER PR I</v>
      </c>
    </row>
    <row r="20" spans="2:2">
      <c r="B20" t="str">
        <f>CONCATENATE(CurveFetch!$S$4," ",,CurveFetch!$S$5," ",CurveFetch!$S$6)</f>
        <v>IF-QUESTAR PR D</v>
      </c>
    </row>
    <row r="21" spans="2:2">
      <c r="B21" t="str">
        <f>CONCATENATE(CurveFetch!$T$4," ",,CurveFetch!$T$5," ",CurveFetch!$T$6)</f>
        <v>IF-QUESTAR PR I</v>
      </c>
    </row>
    <row r="22" spans="2:2">
      <c r="B22" t="str">
        <f>CONCATENATE(CurveFetch!$U$4," ",,CurveFetch!$U$5," ",CurveFetch!$U$6)</f>
        <v>IF-CIG/RKYMTN PR D</v>
      </c>
    </row>
    <row r="23" spans="2:2">
      <c r="B23" t="str">
        <f>CONCATENATE(CurveFetch!$V$4," ",,CurveFetch!$V$5," ",CurveFetch!$V$6)</f>
        <v>IF-CIG/RKYMTN PR I</v>
      </c>
    </row>
    <row r="24" spans="2:2">
      <c r="B24" t="str">
        <f>CONCATENATE(CurveFetch!$W$4," ",,CurveFetch!$W$5," ",CurveFetch!$W$6)</f>
        <v>CGPR-AECO/BASIS PR D</v>
      </c>
    </row>
    <row r="25" spans="2:2">
      <c r="B25" t="str">
        <f>CONCATENATE(CurveFetch!$X$4," ",,CurveFetch!$X$5," ",CurveFetch!$X$6)</f>
        <v>CGPR-AECO/BASIS PR I</v>
      </c>
    </row>
    <row r="26" spans="2:2">
      <c r="B26" t="str">
        <f>CONCATENATE(CurveFetch!$Y$4," ",,CurveFetch!$Y$5," ",CurveFetch!$Y$6)</f>
        <v>IF-NTHWST/CANBR PR D</v>
      </c>
    </row>
    <row r="27" spans="2:2">
      <c r="B27" t="str">
        <f>CONCATENATE(CurveFetch!$Z$4," ",,CurveFetch!$Z$5," ",CurveFetch!$Z$6)</f>
        <v>IF-NTHWST/CANBR PR I</v>
      </c>
    </row>
    <row r="28" spans="2:2">
      <c r="B28" t="str">
        <f>CONCATENATE(CurveFetch!$AA$4," ",,CurveFetch!$AA$5," ",CurveFetch!$AA$6)</f>
        <v>IF-NTHWST/CANBR VO P</v>
      </c>
    </row>
    <row r="29" spans="2:2">
      <c r="B29" t="str">
        <f>CONCATENATE(CurveFetch!$AB$4," ",,CurveFetch!$AB$5," ",CurveFetch!$AB$6)</f>
        <v>NGI-MALIN PR D</v>
      </c>
    </row>
    <row r="30" spans="2:2">
      <c r="B30" t="str">
        <f>CONCATENATE(CurveFetch!$AC$4," ",,CurveFetch!$AC$5," ",CurveFetch!$AC$6)</f>
        <v>NGI-MALIN PR I</v>
      </c>
    </row>
    <row r="31" spans="2:2">
      <c r="B31" t="str">
        <f>CONCATENATE(CurveFetch!$AD$4," ",,CurveFetch!$AD$5," ",CurveFetch!$AD$6)</f>
        <v>NGI-SOCAL PR D</v>
      </c>
    </row>
    <row r="32" spans="2:2">
      <c r="B32" t="str">
        <f>CONCATENATE(CurveFetch!$AE$4," ",,CurveFetch!$AE$5," ",CurveFetch!$AE$6)</f>
        <v>NGI-SOCAL PR I</v>
      </c>
    </row>
    <row r="33" spans="2:2">
      <c r="B33" t="str">
        <f>CONCATENATE(CurveFetch!$AF$4," ",,CurveFetch!$AF$5," ",CurveFetch!$AF$6)</f>
        <v>NGI-SOCAL VO P</v>
      </c>
    </row>
    <row r="34" spans="2:2">
      <c r="B34" t="str">
        <f>CONCATENATE(CurveFetch!$AG$4," ",,CurveFetch!$AG$5," ",CurveFetch!$AG$6)</f>
        <v>NGI-PGE/CG PR D</v>
      </c>
    </row>
    <row r="35" spans="2:2">
      <c r="B35" t="str">
        <f>CONCATENATE(CurveFetch!$AH$4," ",,CurveFetch!$AH$5," ",CurveFetch!$AH$6)</f>
        <v>NGI-PGE/CG PR I</v>
      </c>
    </row>
    <row r="36" spans="2:2">
      <c r="B36" t="str">
        <f>CONCATENATE(CurveFetch!$AI$4," ",,CurveFetch!$AI$5," ",CurveFetch!$AI$6)</f>
        <v>NGI-SOBDR-PG&amp;E PR D</v>
      </c>
    </row>
    <row r="37" spans="2:2">
      <c r="B37" t="str">
        <f>CONCATENATE(CurveFetch!$AJ$4," ",,CurveFetch!$AJ$5," ",CurveFetch!$AJ$6)</f>
        <v>NGI-SOBDR-PG&amp;E PR I</v>
      </c>
    </row>
  </sheetData>
  <phoneticPr fontId="2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E332"/>
  <sheetViews>
    <sheetView zoomScale="75" workbookViewId="0">
      <pane xSplit="3" ySplit="5" topLeftCell="D255" activePane="bottomRight" state="frozen"/>
      <selection pane="topRight" activeCell="D1" sqref="D1"/>
      <selection pane="bottomLeft" activeCell="A6" sqref="A6"/>
      <selection pane="bottomRight" activeCell="P272" sqref="P272"/>
    </sheetView>
  </sheetViews>
  <sheetFormatPr defaultRowHeight="12.75"/>
  <cols>
    <col min="1" max="1" width="14.85546875" bestFit="1" customWidth="1"/>
    <col min="2" max="2" width="17.42578125" bestFit="1" customWidth="1"/>
    <col min="3" max="3" width="15.42578125" bestFit="1" customWidth="1"/>
    <col min="4" max="4" width="7.28515625" customWidth="1"/>
    <col min="5" max="5" width="17.85546875" bestFit="1" customWidth="1"/>
    <col min="6" max="6" width="17.85546875" customWidth="1"/>
    <col min="7" max="7" width="5.85546875" customWidth="1"/>
    <col min="9" max="9" width="6.42578125" customWidth="1"/>
    <col min="10" max="10" width="16.7109375" customWidth="1"/>
    <col min="11" max="11" width="16.7109375" style="196" customWidth="1"/>
    <col min="12" max="12" width="12.5703125" customWidth="1"/>
    <col min="14" max="14" width="13.5703125" customWidth="1"/>
    <col min="15" max="17" width="13.140625" customWidth="1"/>
    <col min="18" max="18" width="19.7109375" bestFit="1" customWidth="1"/>
    <col min="20" max="20" width="16.140625" customWidth="1"/>
    <col min="21" max="21" width="13.140625" customWidth="1"/>
    <col min="22" max="22" width="16.140625" customWidth="1"/>
    <col min="23" max="25" width="18" style="196" customWidth="1"/>
    <col min="27" max="27" width="13.5703125" style="196" customWidth="1"/>
    <col min="28" max="30" width="13.140625" style="196" customWidth="1"/>
    <col min="31" max="31" width="19.7109375" style="196" bestFit="1" customWidth="1"/>
    <col min="32" max="32" width="9.140625" style="196"/>
    <col min="33" max="33" width="16.140625" style="196" customWidth="1"/>
    <col min="34" max="34" width="13.140625" style="196" customWidth="1"/>
    <col min="35" max="35" width="13.140625" customWidth="1"/>
    <col min="39" max="39" width="15.85546875" bestFit="1" customWidth="1"/>
    <col min="41" max="41" width="13.28515625" bestFit="1" customWidth="1"/>
    <col min="42" max="42" width="4.5703125" customWidth="1"/>
    <col min="43" max="43" width="12.7109375" bestFit="1" customWidth="1"/>
    <col min="44" max="44" width="4.5703125" customWidth="1"/>
    <col min="45" max="45" width="14.85546875" bestFit="1" customWidth="1"/>
    <col min="46" max="46" width="10.85546875" bestFit="1" customWidth="1"/>
    <col min="47" max="47" width="13.140625" customWidth="1"/>
    <col min="48" max="48" width="2.7109375" customWidth="1"/>
    <col min="49" max="49" width="13.140625" customWidth="1"/>
    <col min="51" max="51" width="14.42578125" style="196" customWidth="1"/>
    <col min="52" max="53" width="11.28515625" style="196" bestFit="1" customWidth="1"/>
    <col min="54" max="54" width="9.140625" style="196"/>
    <col min="55" max="55" width="13.140625" style="196" bestFit="1" customWidth="1"/>
    <col min="56" max="56" width="18.85546875" bestFit="1" customWidth="1"/>
  </cols>
  <sheetData>
    <row r="1" spans="1:57">
      <c r="A1">
        <v>1</v>
      </c>
      <c r="B1">
        <f>A1+1</f>
        <v>2</v>
      </c>
      <c r="C1">
        <f t="shared" ref="C1:AO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 s="196">
        <f t="shared" si="0"/>
        <v>27</v>
      </c>
      <c r="AB1" s="196">
        <f t="shared" si="0"/>
        <v>28</v>
      </c>
      <c r="AC1" s="196">
        <f t="shared" si="0"/>
        <v>29</v>
      </c>
      <c r="AD1" s="196">
        <f t="shared" si="0"/>
        <v>30</v>
      </c>
      <c r="AE1" s="196">
        <f t="shared" si="0"/>
        <v>31</v>
      </c>
      <c r="AF1" s="196">
        <f t="shared" si="0"/>
        <v>32</v>
      </c>
      <c r="AG1" s="196">
        <f t="shared" si="0"/>
        <v>33</v>
      </c>
      <c r="AH1" s="196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</row>
    <row r="3" spans="1:57">
      <c r="J3" s="18" t="str">
        <f>CONCATENATE("Receipt Curve: ",Control!$C$33," ",Control!$C$31)</f>
        <v>Receipt Curve: Mid IF-ELPO/SJ</v>
      </c>
      <c r="N3" s="18" t="s">
        <v>93</v>
      </c>
      <c r="S3" s="18"/>
      <c r="W3" s="195"/>
      <c r="AA3" s="195"/>
      <c r="AF3" s="195"/>
      <c r="AL3" s="18" t="str">
        <f>CONCATENATE("Compounding: ",Comp_Per)</f>
        <v>Compounding: 2</v>
      </c>
      <c r="AO3" s="18" t="s">
        <v>65</v>
      </c>
    </row>
    <row r="4" spans="1:57">
      <c r="H4" s="18" t="str">
        <f>Control!$C$27</f>
        <v>Mid</v>
      </c>
      <c r="J4" s="18" t="str">
        <f>Control!$C$33</f>
        <v>Mid</v>
      </c>
      <c r="K4" s="18" t="str">
        <f>Control!$C$34</f>
        <v>Mid</v>
      </c>
      <c r="L4" s="18"/>
      <c r="N4" s="18" t="str">
        <f>CONCATENATE("Receipt Vol: ",Control!C36)</f>
        <v>Receipt Vol: IF-ELPO/SJ</v>
      </c>
      <c r="S4" s="18"/>
      <c r="U4" s="78"/>
      <c r="W4" s="195"/>
      <c r="X4" s="195"/>
      <c r="Y4" s="195"/>
      <c r="AA4" s="195"/>
      <c r="AF4" s="195"/>
      <c r="AH4" s="207"/>
      <c r="AI4" s="78"/>
      <c r="AL4" s="18" t="str">
        <f>CONCATENATE("Bps Charge: ",Cost_of_Funds)</f>
        <v>Bps Charge: 0</v>
      </c>
      <c r="AS4" s="18" t="str">
        <f>CONCATENATE("Receipt: ",Control!$C$31)</f>
        <v>Receipt: IF-ELPO/SJ</v>
      </c>
      <c r="AY4" s="195"/>
      <c r="BC4" s="195"/>
      <c r="BE4" s="18"/>
    </row>
    <row r="5" spans="1:57">
      <c r="A5" s="18" t="s">
        <v>35</v>
      </c>
      <c r="B5" s="18" t="s">
        <v>37</v>
      </c>
      <c r="C5" s="18" t="s">
        <v>36</v>
      </c>
      <c r="E5" s="18" t="s">
        <v>43</v>
      </c>
      <c r="F5" s="18" t="s">
        <v>101</v>
      </c>
      <c r="H5" s="18" t="s">
        <v>57</v>
      </c>
      <c r="J5" s="18" t="s">
        <v>45</v>
      </c>
      <c r="K5" s="18" t="s">
        <v>46</v>
      </c>
      <c r="L5" s="18" t="s">
        <v>66</v>
      </c>
      <c r="N5" s="18" t="s">
        <v>94</v>
      </c>
      <c r="O5" s="18" t="s">
        <v>95</v>
      </c>
      <c r="P5" s="18" t="s">
        <v>97</v>
      </c>
      <c r="Q5" s="18" t="s">
        <v>98</v>
      </c>
      <c r="R5" s="18" t="s">
        <v>96</v>
      </c>
      <c r="S5" s="18" t="s">
        <v>99</v>
      </c>
      <c r="T5" s="18" t="s">
        <v>100</v>
      </c>
      <c r="U5" s="18" t="str">
        <f>Control!C38</f>
        <v>Call</v>
      </c>
      <c r="V5" s="18"/>
      <c r="W5" s="195"/>
      <c r="X5" s="195"/>
      <c r="Y5" s="195"/>
      <c r="AA5" s="195"/>
      <c r="AB5" s="195"/>
      <c r="AC5" s="195"/>
      <c r="AD5" s="195"/>
      <c r="AE5" s="195"/>
      <c r="AF5" s="195"/>
      <c r="AG5" s="195"/>
      <c r="AH5" s="195"/>
      <c r="AI5" s="18"/>
      <c r="AJ5" s="18" t="s">
        <v>67</v>
      </c>
      <c r="AL5" s="18" t="s">
        <v>59</v>
      </c>
      <c r="AM5" s="18" t="s">
        <v>61</v>
      </c>
      <c r="AO5" s="18" t="s">
        <v>64</v>
      </c>
      <c r="AP5" s="18"/>
      <c r="AQ5" s="18" t="s">
        <v>57</v>
      </c>
      <c r="AR5" s="18"/>
      <c r="AS5" s="18" t="s">
        <v>45</v>
      </c>
      <c r="AT5" s="18" t="s">
        <v>46</v>
      </c>
      <c r="AU5" s="18" t="s">
        <v>66</v>
      </c>
      <c r="AV5" s="18"/>
      <c r="AW5" s="18"/>
      <c r="AY5" s="195"/>
      <c r="AZ5" s="195"/>
      <c r="BA5" s="195"/>
      <c r="BC5" s="195"/>
      <c r="BE5" s="18"/>
    </row>
    <row r="6" spans="1:57">
      <c r="A6" s="18" t="s">
        <v>68</v>
      </c>
      <c r="B6" s="18"/>
      <c r="C6" s="18"/>
      <c r="E6" s="18"/>
      <c r="F6" s="18"/>
      <c r="H6" s="18"/>
      <c r="J6" s="18"/>
      <c r="K6" s="18"/>
      <c r="L6" s="18"/>
      <c r="U6" s="31">
        <f ca="1">U7/F7</f>
        <v>0.4049175744970564</v>
      </c>
      <c r="W6" s="195"/>
      <c r="X6" s="195"/>
      <c r="Y6" s="195"/>
      <c r="AH6" s="208"/>
      <c r="AI6" s="31"/>
      <c r="AJ6" s="18"/>
      <c r="AL6" s="18"/>
      <c r="AM6" s="18"/>
      <c r="AO6" s="30">
        <f ca="1">AO7/$AO$7</f>
        <v>1</v>
      </c>
      <c r="AP6" s="18"/>
      <c r="AQ6" s="30">
        <f ca="1">AQ7/$AO$7</f>
        <v>3.3755356319199388</v>
      </c>
      <c r="AR6" s="18"/>
      <c r="AS6" s="30">
        <f ca="1">AS7/$AO$7</f>
        <v>-0.31050453897017383</v>
      </c>
      <c r="AT6" s="30">
        <f ca="1">AT7/$AO$7</f>
        <v>-0.01</v>
      </c>
      <c r="AU6" s="30">
        <f ca="1">AU7/$AO$7</f>
        <v>-0.32050453897017384</v>
      </c>
      <c r="AV6" s="30"/>
      <c r="AW6" s="30"/>
      <c r="AY6" s="232"/>
      <c r="AZ6" s="232"/>
      <c r="BA6" s="232"/>
      <c r="BC6" s="208"/>
      <c r="BD6" s="30"/>
    </row>
    <row r="7" spans="1:57">
      <c r="A7" s="18" t="s">
        <v>66</v>
      </c>
      <c r="B7" s="18"/>
      <c r="C7" s="18"/>
      <c r="E7" s="18"/>
      <c r="F7" s="79">
        <f>SUM(F8:F288)</f>
        <v>605000</v>
      </c>
      <c r="H7" s="18"/>
      <c r="J7" s="18"/>
      <c r="K7" s="18"/>
      <c r="L7" s="18"/>
      <c r="U7" s="29">
        <f ca="1">SUM(U8:U288)</f>
        <v>244975.13257071911</v>
      </c>
      <c r="W7" s="195"/>
      <c r="X7" s="195"/>
      <c r="Y7" s="195"/>
      <c r="AH7" s="209"/>
      <c r="AI7" s="29"/>
      <c r="AJ7" s="18"/>
      <c r="AL7" s="18"/>
      <c r="AM7" s="18"/>
      <c r="AO7" s="29">
        <f ca="1">SUM(AO8:AO288)</f>
        <v>600180.53638174222</v>
      </c>
      <c r="AP7" s="18"/>
      <c r="AQ7" s="29">
        <f ca="1">SUM(AQ8:AQ288)</f>
        <v>2025930.7861413921</v>
      </c>
      <c r="AR7" s="18"/>
      <c r="AS7" s="29">
        <f ca="1">SUM(AS8:AS288)</f>
        <v>-186358.78074808451</v>
      </c>
      <c r="AT7" s="29">
        <f ca="1">SUM(AT8:AT288)</f>
        <v>-6001.8053638174224</v>
      </c>
      <c r="AU7" s="29">
        <f ca="1">SUM(AU8:AU288)</f>
        <v>-192360.58611190194</v>
      </c>
      <c r="AV7" s="29"/>
      <c r="AW7" s="29"/>
      <c r="AY7" s="209"/>
      <c r="AZ7" s="209"/>
      <c r="BA7" s="209"/>
      <c r="BC7" s="209"/>
    </row>
    <row r="8" spans="1:57">
      <c r="A8" s="19">
        <f>Start_Date</f>
        <v>37226</v>
      </c>
      <c r="B8" s="21">
        <f>A9-A8</f>
        <v>31</v>
      </c>
      <c r="C8" s="20">
        <f>IF(Control!$F$18="Physical",Model!A9+24,Model!A9)</f>
        <v>37281</v>
      </c>
      <c r="E8" s="22">
        <f>IF($A8&lt;End_Date,IF(Control!$C$20="Flat",Control!$C$21,VLOOKUP(Model!$A8,Euro!$B$29:$D$182,3)),0)</f>
        <v>5000</v>
      </c>
      <c r="F8" s="22">
        <f>E8*B8</f>
        <v>155000</v>
      </c>
      <c r="H8" s="23">
        <f>IF(Control!$C$27="Mid",VLOOKUP($A8,CurveFetch!$D$8:$F$367,3),VLOOKUP($A8,Euro!$B$29:$I$182,8))</f>
        <v>3.29</v>
      </c>
      <c r="I8" s="23"/>
      <c r="J8" s="23">
        <f>IF($J$4="Mid",VLOOKUP($A8,Curve_Fetch,VLOOKUP(Control!$AJ$10,Control!$AI$11:$AK$22,3)),VLOOKUP($A8,Euro!$B$29:$M$182,12))</f>
        <v>-0.34</v>
      </c>
      <c r="K8" s="228">
        <f>IF(Control!$F$18="Physical",IF($K$4="Mid",VLOOKUP($A8,Curve_Fetch,VLOOKUP(Control!$AJ$10,Control!$AI$11:$AL$22,4)),VLOOKUP($A8,Euro!$B$29:$Q$182,16)),0)</f>
        <v>-0.01</v>
      </c>
      <c r="L8" s="23">
        <f>SUM(J8:K8)</f>
        <v>-0.35000000000000003</v>
      </c>
      <c r="M8" s="23"/>
      <c r="N8" s="69">
        <f t="shared" ref="N8:N71" si="1">L8+H8</f>
        <v>2.94</v>
      </c>
      <c r="O8" s="69">
        <f>N8+Control!$C$39</f>
        <v>2.94</v>
      </c>
      <c r="P8" s="73">
        <f>VLOOKUP($A8,CurveFetch!$D$8:$E$367,2)</f>
        <v>2.3869920480389599E-2</v>
      </c>
      <c r="Q8" s="24">
        <f>P8</f>
        <v>2.3869920480389599E-2</v>
      </c>
      <c r="R8" s="72">
        <f ca="1">A8-1-TODAY()</f>
        <v>29</v>
      </c>
      <c r="S8" s="25">
        <f>VLOOKUP($A8,Curve_Fetch,VLOOKUP(Control!$AJ$10,Control!$AI$11:$AM$22,5))</f>
        <v>0.875</v>
      </c>
      <c r="T8" s="74">
        <f ca="1">_xll.EURO(N8,O8,P8,Q8,S8,R8,IF(Control!$C$38="Call",1,0),0)</f>
        <v>0.28790402250999736</v>
      </c>
      <c r="U8" s="27">
        <f t="shared" ref="U8:U71" ca="1" si="2">T8*B8*E8</f>
        <v>44625.123489049591</v>
      </c>
      <c r="V8" s="76"/>
      <c r="W8" s="197"/>
      <c r="X8" s="197"/>
      <c r="Y8" s="197"/>
      <c r="AA8" s="210"/>
      <c r="AB8" s="210"/>
      <c r="AC8" s="211"/>
      <c r="AD8" s="212"/>
      <c r="AE8" s="213"/>
      <c r="AF8" s="214"/>
      <c r="AG8" s="215"/>
      <c r="AH8" s="216"/>
      <c r="AI8" s="27"/>
      <c r="AJ8" s="28">
        <f t="shared" ref="AJ8:AJ71" si="3">Y8-L8</f>
        <v>0.35000000000000003</v>
      </c>
      <c r="AL8" s="24">
        <f>VLOOKUP($C8,Curve_Fetch,2)+Cost_of_Funds</f>
        <v>2.3271378449290801E-2</v>
      </c>
      <c r="AM8" s="67">
        <f ca="1">1/(1+AL8/Comp_Per)^(Comp_Per*(C8-Val_Date)/Days_in_Year)</f>
        <v>0.99456707863209259</v>
      </c>
      <c r="AO8" s="26">
        <f t="shared" ref="AO8:AO71" ca="1" si="4">$B8*$E8*$AM8</f>
        <v>154157.89718797436</v>
      </c>
      <c r="AP8" s="26"/>
      <c r="AQ8" s="26">
        <f t="shared" ref="AQ8:AQ71" ca="1" si="5">H8*AO8</f>
        <v>507179.48174843565</v>
      </c>
      <c r="AR8" s="26"/>
      <c r="AS8" s="27">
        <f t="shared" ref="AS8:AS71" ca="1" si="6">J8*$AO8</f>
        <v>-52413.68504391129</v>
      </c>
      <c r="AT8" s="27">
        <f t="shared" ref="AT8:AT71" ca="1" si="7">K8*$AO8</f>
        <v>-1541.5789718797437</v>
      </c>
      <c r="AU8" s="27">
        <f t="shared" ref="AU8:AU71" ca="1" si="8">L8*$AO8</f>
        <v>-53955.264015791035</v>
      </c>
      <c r="AV8" s="27"/>
      <c r="AW8" s="27"/>
      <c r="AY8" s="216"/>
      <c r="AZ8" s="216"/>
      <c r="BA8" s="233"/>
      <c r="BC8" s="216"/>
      <c r="BE8" s="69"/>
    </row>
    <row r="9" spans="1:57">
      <c r="A9" s="19">
        <f>[1]!_xludf.edate(A8,1)</f>
        <v>37257</v>
      </c>
      <c r="B9" s="21">
        <f>A10-A9</f>
        <v>31</v>
      </c>
      <c r="C9" s="20">
        <f>IF(Control!$F$18="Physical",Model!A10+24,Model!A10)</f>
        <v>37312</v>
      </c>
      <c r="E9" s="22">
        <f>IF($A9&lt;End_Date,IF(Control!$C$20="Flat",Control!$C$21,VLOOKUP(Model!$A9,Euro!$B$29:$D$182,3)),0)</f>
        <v>5000</v>
      </c>
      <c r="F9" s="22">
        <f t="shared" ref="F9:F72" si="9">E9*B9</f>
        <v>155000</v>
      </c>
      <c r="H9" s="23">
        <f>IF(Control!$C$27="Mid",VLOOKUP($A9,CurveFetch!$D$8:$F$367,3),VLOOKUP($A9,Euro!$B$29:$I$182,8))</f>
        <v>3.4340000000000002</v>
      </c>
      <c r="I9" s="23"/>
      <c r="J9" s="23">
        <f>IF($J$4="Mid",VLOOKUP($A9,Curve_Fetch,VLOOKUP(Control!$AJ$10,Control!$AI$11:$AK$22,3)),VLOOKUP($A9,Euro!$B$29:$M$182,12))</f>
        <v>-0.28499999999999998</v>
      </c>
      <c r="K9" s="228">
        <f>IF(Control!$F$18="Physical",IF($K$4="Mid",VLOOKUP($A9,Curve_Fetch,VLOOKUP(Control!$AJ$10,Control!$AI$11:$AL$22,4)),VLOOKUP($A9,Euro!$B$29:$Q$182,16)),0)</f>
        <v>-0.01</v>
      </c>
      <c r="L9" s="23">
        <f t="shared" ref="L9:L72" si="10">SUM(J9:K9)</f>
        <v>-0.29499999999999998</v>
      </c>
      <c r="M9" s="23"/>
      <c r="N9" s="69">
        <f t="shared" si="1"/>
        <v>3.1390000000000002</v>
      </c>
      <c r="O9" s="69">
        <f>N9+Control!$C$39</f>
        <v>3.1390000000000002</v>
      </c>
      <c r="P9" s="73">
        <f>VLOOKUP($A9,CurveFetch!$D$8:$E$367,2)</f>
        <v>2.3271378449290801E-2</v>
      </c>
      <c r="Q9" s="24">
        <f t="shared" ref="Q9:Q72" si="11">P9</f>
        <v>2.3271378449290801E-2</v>
      </c>
      <c r="R9" s="72">
        <f t="shared" ref="R9:R72" ca="1" si="12">A9-1-TODAY()</f>
        <v>60</v>
      </c>
      <c r="S9" s="25">
        <f>VLOOKUP($A9,Curve_Fetch,VLOOKUP(Control!$AJ$10,Control!$AI$11:$AM$22,5))</f>
        <v>0.83</v>
      </c>
      <c r="T9" s="74">
        <f ca="1">_xll.EURO(N9,O9,P9,Q9,S9,R9,IF(Control!$C$38="Call",1,0),0)</f>
        <v>0.41769168719860472</v>
      </c>
      <c r="U9" s="27">
        <f t="shared" ca="1" si="2"/>
        <v>64742.211515783732</v>
      </c>
      <c r="V9" s="76"/>
      <c r="W9" s="197"/>
      <c r="X9" s="197"/>
      <c r="Y9" s="197"/>
      <c r="AA9" s="210"/>
      <c r="AB9" s="210"/>
      <c r="AC9" s="211"/>
      <c r="AD9" s="212"/>
      <c r="AE9" s="213"/>
      <c r="AF9" s="214"/>
      <c r="AG9" s="215"/>
      <c r="AH9" s="216"/>
      <c r="AI9" s="27"/>
      <c r="AJ9" s="28">
        <f t="shared" si="3"/>
        <v>0.29499999999999998</v>
      </c>
      <c r="AL9" s="24">
        <f t="shared" ref="AL9:AL72" si="13">VLOOKUP($C9,Curve_Fetch,2)+Cost_of_Funds</f>
        <v>2.2731278875428401E-2</v>
      </c>
      <c r="AM9" s="67">
        <f t="shared" ref="AM9:AM72" ca="1" si="14">1/(1+AL9/2)^(2*(C9-Val_Date)/365.25)</f>
        <v>0.99278573962914762</v>
      </c>
      <c r="AO9" s="26">
        <f t="shared" ca="1" si="4"/>
        <v>153881.78964251789</v>
      </c>
      <c r="AP9" s="26"/>
      <c r="AQ9" s="26">
        <f t="shared" ca="1" si="5"/>
        <v>528430.06563240651</v>
      </c>
      <c r="AR9" s="26"/>
      <c r="AS9" s="27">
        <f t="shared" ca="1" si="6"/>
        <v>-43856.310048117593</v>
      </c>
      <c r="AT9" s="27">
        <f t="shared" ca="1" si="7"/>
        <v>-1538.817896425179</v>
      </c>
      <c r="AU9" s="27">
        <f t="shared" ca="1" si="8"/>
        <v>-45395.127944542779</v>
      </c>
      <c r="AV9" s="27"/>
      <c r="AW9" s="27"/>
      <c r="AY9" s="216"/>
      <c r="AZ9" s="216"/>
      <c r="BA9" s="233"/>
      <c r="BC9" s="216"/>
      <c r="BE9" s="69"/>
    </row>
    <row r="10" spans="1:57">
      <c r="A10" s="19">
        <f>[1]!_xludf.edate(A9,1)</f>
        <v>37288</v>
      </c>
      <c r="B10" s="21">
        <f t="shared" ref="B10:B73" si="15">A11-A10</f>
        <v>28</v>
      </c>
      <c r="C10" s="20">
        <f>IF(Control!$F$18="Physical",Model!A11+24,Model!A11)</f>
        <v>37340</v>
      </c>
      <c r="E10" s="22">
        <f>IF($A10&lt;End_Date,IF(Control!$C$20="Flat",Control!$C$21,VLOOKUP(Model!$A10,Euro!$B$29:$D$182,3)),0)</f>
        <v>5000</v>
      </c>
      <c r="F10" s="22">
        <f t="shared" si="9"/>
        <v>140000</v>
      </c>
      <c r="H10" s="23">
        <f>IF(Control!$C$27="Mid",VLOOKUP($A10,CurveFetch!$D$8:$F$367,3),VLOOKUP($A10,Euro!$B$29:$I$182,8))</f>
        <v>3.4239999999999999</v>
      </c>
      <c r="I10" s="23"/>
      <c r="J10" s="23">
        <f>IF($J$4="Mid",VLOOKUP($A10,Curve_Fetch,VLOOKUP(Control!$AJ$10,Control!$AI$11:$AK$22,3)),VLOOKUP($A10,Euro!$B$29:$M$182,12))</f>
        <v>-0.28999999999999998</v>
      </c>
      <c r="K10" s="228">
        <f>IF(Control!$F$18="Physical",IF($K$4="Mid",VLOOKUP($A10,Curve_Fetch,VLOOKUP(Control!$AJ$10,Control!$AI$11:$AL$22,4)),VLOOKUP($A10,Euro!$B$29:$Q$182,16)),0)</f>
        <v>-0.01</v>
      </c>
      <c r="L10" s="23">
        <f t="shared" si="10"/>
        <v>-0.3</v>
      </c>
      <c r="M10" s="23"/>
      <c r="N10" s="69">
        <f t="shared" si="1"/>
        <v>3.1240000000000001</v>
      </c>
      <c r="O10" s="69">
        <f>N10+Control!$C$39</f>
        <v>3.1240000000000001</v>
      </c>
      <c r="P10" s="73">
        <f>VLOOKUP($A10,CurveFetch!$D$8:$E$367,2)</f>
        <v>2.2731278875428401E-2</v>
      </c>
      <c r="Q10" s="24">
        <f t="shared" si="11"/>
        <v>2.2731278875428401E-2</v>
      </c>
      <c r="R10" s="72">
        <f t="shared" ca="1" si="12"/>
        <v>91</v>
      </c>
      <c r="S10" s="25">
        <f>VLOOKUP($A10,Curve_Fetch,VLOOKUP(Control!$AJ$10,Control!$AI$11:$AM$22,5))</f>
        <v>0.75800000000000001</v>
      </c>
      <c r="T10" s="74">
        <f ca="1">_xll.EURO(N10,O10,P10,Q10,S10,R10,IF(Control!$C$38="Call",1,0),0)</f>
        <v>0.46609240982121092</v>
      </c>
      <c r="U10" s="27">
        <f t="shared" ca="1" si="2"/>
        <v>65252.93737496953</v>
      </c>
      <c r="V10" s="76"/>
      <c r="W10" s="197"/>
      <c r="X10" s="197"/>
      <c r="Y10" s="197"/>
      <c r="AA10" s="210"/>
      <c r="AB10" s="210"/>
      <c r="AC10" s="211"/>
      <c r="AD10" s="212"/>
      <c r="AE10" s="213"/>
      <c r="AF10" s="214"/>
      <c r="AG10" s="215"/>
      <c r="AH10" s="216"/>
      <c r="AI10" s="27"/>
      <c r="AJ10" s="28">
        <f t="shared" si="3"/>
        <v>0.3</v>
      </c>
      <c r="AL10" s="24">
        <f t="shared" si="13"/>
        <v>2.23314782867425E-2</v>
      </c>
      <c r="AM10" s="67">
        <f t="shared" ca="1" si="14"/>
        <v>0.99122254042869939</v>
      </c>
      <c r="AO10" s="26">
        <f t="shared" ca="1" si="4"/>
        <v>138771.15566001792</v>
      </c>
      <c r="AP10" s="26"/>
      <c r="AQ10" s="26">
        <f t="shared" ca="1" si="5"/>
        <v>475152.43697990134</v>
      </c>
      <c r="AR10" s="26"/>
      <c r="AS10" s="27">
        <f t="shared" ca="1" si="6"/>
        <v>-40243.63514140519</v>
      </c>
      <c r="AT10" s="27">
        <f t="shared" ca="1" si="7"/>
        <v>-1387.7115566001792</v>
      </c>
      <c r="AU10" s="27">
        <f t="shared" ca="1" si="8"/>
        <v>-41631.346698005371</v>
      </c>
      <c r="AV10" s="27"/>
      <c r="AW10" s="27"/>
      <c r="AY10" s="216"/>
      <c r="AZ10" s="216"/>
      <c r="BA10" s="233"/>
      <c r="BC10" s="216"/>
      <c r="BE10" s="69"/>
    </row>
    <row r="11" spans="1:57">
      <c r="A11" s="19">
        <f>[1]!_xludf.edate(A10,1)</f>
        <v>37316</v>
      </c>
      <c r="B11" s="21">
        <f t="shared" si="15"/>
        <v>31</v>
      </c>
      <c r="C11" s="20">
        <f>IF(Control!$F$18="Physical",Model!A12+24,Model!A12)</f>
        <v>37371</v>
      </c>
      <c r="E11" s="22">
        <f>IF($A11&lt;End_Date,IF(Control!$C$20="Flat",Control!$C$21,VLOOKUP(Model!$A11,Euro!$B$29:$D$182,3)),0)</f>
        <v>5000</v>
      </c>
      <c r="F11" s="22">
        <f t="shared" si="9"/>
        <v>155000</v>
      </c>
      <c r="H11" s="23">
        <f>IF(Control!$C$27="Mid",VLOOKUP($A11,CurveFetch!$D$8:$F$367,3),VLOOKUP($A11,Euro!$B$29:$I$182,8))</f>
        <v>3.359</v>
      </c>
      <c r="I11" s="23"/>
      <c r="J11" s="23">
        <f>IF($J$4="Mid",VLOOKUP($A11,Curve_Fetch,VLOOKUP(Control!$AJ$10,Control!$AI$11:$AK$22,3)),VLOOKUP($A11,Euro!$B$29:$M$182,12))</f>
        <v>-0.32500000000000001</v>
      </c>
      <c r="K11" s="228">
        <f>IF(Control!$F$18="Physical",IF($K$4="Mid",VLOOKUP($A11,Curve_Fetch,VLOOKUP(Control!$AJ$10,Control!$AI$11:$AL$22,4)),VLOOKUP($A11,Euro!$B$29:$Q$182,16)),0)</f>
        <v>-0.01</v>
      </c>
      <c r="L11" s="23">
        <f t="shared" si="10"/>
        <v>-0.33500000000000002</v>
      </c>
      <c r="M11" s="23"/>
      <c r="N11" s="69">
        <f t="shared" si="1"/>
        <v>3.024</v>
      </c>
      <c r="O11" s="69">
        <f>N11+Control!$C$39</f>
        <v>3.024</v>
      </c>
      <c r="P11" s="73">
        <f>VLOOKUP($A11,CurveFetch!$D$8:$E$367,2)</f>
        <v>2.23314782867425E-2</v>
      </c>
      <c r="Q11" s="24">
        <f t="shared" si="11"/>
        <v>2.23314782867425E-2</v>
      </c>
      <c r="R11" s="72">
        <f t="shared" ca="1" si="12"/>
        <v>119</v>
      </c>
      <c r="S11" s="25">
        <f>VLOOKUP($A11,Curve_Fetch,VLOOKUP(Control!$AJ$10,Control!$AI$11:$AM$22,5))</f>
        <v>0.66800000000000004</v>
      </c>
      <c r="T11" s="74">
        <f ca="1">_xll.EURO(N11,O11,P11,Q11,S11,R11,IF(Control!$C$38="Call",1,0),0)</f>
        <v>0.45390232381236295</v>
      </c>
      <c r="U11" s="27">
        <f t="shared" ca="1" si="2"/>
        <v>70354.860190916253</v>
      </c>
      <c r="V11" s="76"/>
      <c r="W11" s="197"/>
      <c r="X11" s="197"/>
      <c r="Y11" s="197"/>
      <c r="AA11" s="210"/>
      <c r="AB11" s="210"/>
      <c r="AC11" s="211"/>
      <c r="AD11" s="212"/>
      <c r="AE11" s="213"/>
      <c r="AF11" s="214"/>
      <c r="AG11" s="215"/>
      <c r="AH11" s="216"/>
      <c r="AI11" s="27"/>
      <c r="AJ11" s="28">
        <f t="shared" si="3"/>
        <v>0.33500000000000002</v>
      </c>
      <c r="AL11" s="24">
        <f t="shared" si="13"/>
        <v>2.2064482499972699E-2</v>
      </c>
      <c r="AM11" s="67">
        <f t="shared" ca="1" si="14"/>
        <v>0.98948189607246506</v>
      </c>
      <c r="AO11" s="26">
        <f t="shared" ca="1" si="4"/>
        <v>153369.69389123208</v>
      </c>
      <c r="AP11" s="26"/>
      <c r="AQ11" s="26">
        <f t="shared" ca="1" si="5"/>
        <v>515168.80178064853</v>
      </c>
      <c r="AR11" s="26"/>
      <c r="AS11" s="27">
        <f t="shared" ca="1" si="6"/>
        <v>-49845.150514650428</v>
      </c>
      <c r="AT11" s="27">
        <f t="shared" ca="1" si="7"/>
        <v>-1533.6969389123208</v>
      </c>
      <c r="AU11" s="27">
        <f t="shared" ca="1" si="8"/>
        <v>-51378.847453562747</v>
      </c>
      <c r="AV11" s="27"/>
      <c r="AW11" s="27"/>
      <c r="AY11" s="216"/>
      <c r="AZ11" s="216"/>
      <c r="BA11" s="233"/>
      <c r="BC11" s="216"/>
      <c r="BE11" s="69"/>
    </row>
    <row r="12" spans="1:57">
      <c r="A12" s="19">
        <f>[1]!_xludf.edate(A11,1)</f>
        <v>37347</v>
      </c>
      <c r="B12" s="21">
        <f t="shared" si="15"/>
        <v>30</v>
      </c>
      <c r="C12" s="20">
        <f>IF(Control!$F$18="Physical",Model!A13+24,Model!A13)</f>
        <v>37401</v>
      </c>
      <c r="E12" s="22">
        <f>IF($A12&lt;End_Date,IF(Control!$C$20="Flat",Control!$C$21,VLOOKUP(Model!$A12,Euro!$B$29:$D$182,3)),0)</f>
        <v>0</v>
      </c>
      <c r="F12" s="22">
        <f t="shared" si="9"/>
        <v>0</v>
      </c>
      <c r="H12" s="23">
        <f>IF(Control!$C$27="Mid",VLOOKUP($A12,CurveFetch!$D$8:$F$367,3),VLOOKUP($A12,Euro!$B$29:$I$182,8))</f>
        <v>3.254</v>
      </c>
      <c r="I12" s="23"/>
      <c r="J12" s="23">
        <f>IF($J$4="Mid",VLOOKUP($A12,Curve_Fetch,VLOOKUP(Control!$AJ$10,Control!$AI$11:$AK$22,3)),VLOOKUP($A12,Euro!$B$29:$M$182,12))</f>
        <v>-0.36499999999999999</v>
      </c>
      <c r="K12" s="228">
        <f>IF(Control!$F$18="Physical",IF($K$4="Mid",VLOOKUP($A12,Curve_Fetch,VLOOKUP(Control!$AJ$10,Control!$AI$11:$AL$22,4)),VLOOKUP($A12,Euro!$B$29:$Q$182,16)),0)</f>
        <v>0</v>
      </c>
      <c r="L12" s="23">
        <f t="shared" si="10"/>
        <v>-0.36499999999999999</v>
      </c>
      <c r="M12" s="23"/>
      <c r="N12" s="69">
        <f t="shared" si="1"/>
        <v>2.8890000000000002</v>
      </c>
      <c r="O12" s="69">
        <f>N12+Control!$C$39</f>
        <v>2.8890000000000002</v>
      </c>
      <c r="P12" s="73">
        <f>VLOOKUP($A12,CurveFetch!$D$8:$E$367,2)</f>
        <v>2.2064482499972699E-2</v>
      </c>
      <c r="Q12" s="24">
        <f t="shared" si="11"/>
        <v>2.2064482499972699E-2</v>
      </c>
      <c r="R12" s="72">
        <f t="shared" ca="1" si="12"/>
        <v>150</v>
      </c>
      <c r="S12" s="25">
        <f>VLOOKUP($A12,Curve_Fetch,VLOOKUP(Control!$AJ$10,Control!$AI$11:$AM$22,5))</f>
        <v>0.53500000000000003</v>
      </c>
      <c r="T12" s="74">
        <f ca="1">_xll.EURO(N12,O12,P12,Q12,S12,R12,IF(Control!$C$38="Call",1,0),0)</f>
        <v>0.38967603504655823</v>
      </c>
      <c r="U12" s="27">
        <f t="shared" ca="1" si="2"/>
        <v>0</v>
      </c>
      <c r="V12" s="76"/>
      <c r="W12" s="197"/>
      <c r="X12" s="197"/>
      <c r="Y12" s="197"/>
      <c r="AA12" s="210"/>
      <c r="AB12" s="210"/>
      <c r="AC12" s="211"/>
      <c r="AD12" s="212"/>
      <c r="AE12" s="213"/>
      <c r="AF12" s="214"/>
      <c r="AG12" s="215"/>
      <c r="AH12" s="216"/>
      <c r="AI12" s="27"/>
      <c r="AJ12" s="28">
        <f t="shared" si="3"/>
        <v>0.36499999999999999</v>
      </c>
      <c r="AL12" s="24">
        <f t="shared" si="13"/>
        <v>2.20263632358026E-2</v>
      </c>
      <c r="AM12" s="67">
        <f t="shared" ca="1" si="14"/>
        <v>0.98772110904268862</v>
      </c>
      <c r="AO12" s="26">
        <f t="shared" ca="1" si="4"/>
        <v>0</v>
      </c>
      <c r="AP12" s="26"/>
      <c r="AQ12" s="26">
        <f t="shared" ca="1" si="5"/>
        <v>0</v>
      </c>
      <c r="AR12" s="26"/>
      <c r="AS12" s="27">
        <f t="shared" ca="1" si="6"/>
        <v>0</v>
      </c>
      <c r="AT12" s="27">
        <f t="shared" ca="1" si="7"/>
        <v>0</v>
      </c>
      <c r="AU12" s="27">
        <f t="shared" ca="1" si="8"/>
        <v>0</v>
      </c>
      <c r="AV12" s="27"/>
      <c r="AW12" s="27"/>
      <c r="AY12" s="216"/>
      <c r="AZ12" s="216"/>
      <c r="BA12" s="233"/>
      <c r="BC12" s="216"/>
      <c r="BE12" s="69"/>
    </row>
    <row r="13" spans="1:57">
      <c r="A13" s="19">
        <f>[1]!_xludf.edate(A12,1)</f>
        <v>37377</v>
      </c>
      <c r="B13" s="21">
        <f t="shared" si="15"/>
        <v>31</v>
      </c>
      <c r="C13" s="20">
        <f>IF(Control!$F$18="Physical",Model!A14+24,Model!A14)</f>
        <v>37432</v>
      </c>
      <c r="E13" s="22">
        <f>IF($A13&lt;End_Date,IF(Control!$C$20="Flat",Control!$C$21,VLOOKUP(Model!$A13,Euro!$B$29:$D$182,3)),0)</f>
        <v>0</v>
      </c>
      <c r="F13" s="22">
        <f t="shared" si="9"/>
        <v>0</v>
      </c>
      <c r="H13" s="23">
        <f>IF(Control!$C$27="Mid",VLOOKUP($A13,CurveFetch!$D$8:$F$367,3),VLOOKUP($A13,Euro!$B$29:$I$182,8))</f>
        <v>3.2829999999999999</v>
      </c>
      <c r="I13" s="23"/>
      <c r="J13" s="23">
        <f>IF($J$4="Mid",VLOOKUP($A13,Curve_Fetch,VLOOKUP(Control!$AJ$10,Control!$AI$11:$AK$22,3)),VLOOKUP($A13,Euro!$B$29:$M$182,12))</f>
        <v>-0.36499999999999999</v>
      </c>
      <c r="K13" s="228">
        <f>IF(Control!$F$18="Physical",IF($K$4="Mid",VLOOKUP($A13,Curve_Fetch,VLOOKUP(Control!$AJ$10,Control!$AI$11:$AL$22,4)),VLOOKUP($A13,Euro!$B$29:$Q$182,16)),0)</f>
        <v>0</v>
      </c>
      <c r="L13" s="23">
        <f t="shared" si="10"/>
        <v>-0.36499999999999999</v>
      </c>
      <c r="M13" s="23"/>
      <c r="N13" s="69">
        <f t="shared" si="1"/>
        <v>2.9180000000000001</v>
      </c>
      <c r="O13" s="69">
        <f>N13+Control!$C$39</f>
        <v>2.9180000000000001</v>
      </c>
      <c r="P13" s="73">
        <f>VLOOKUP($A13,CurveFetch!$D$8:$E$367,2)</f>
        <v>2.20263632358026E-2</v>
      </c>
      <c r="Q13" s="24">
        <f t="shared" si="11"/>
        <v>2.20263632358026E-2</v>
      </c>
      <c r="R13" s="72">
        <f t="shared" ca="1" si="12"/>
        <v>180</v>
      </c>
      <c r="S13" s="25">
        <f>VLOOKUP($A13,Curve_Fetch,VLOOKUP(Control!$AJ$10,Control!$AI$11:$AM$22,5))</f>
        <v>0.47499999999999998</v>
      </c>
      <c r="T13" s="74">
        <f ca="1">_xll.EURO(N13,O13,P13,Q13,S13,R13,IF(Control!$C$38="Call",1,0),0)</f>
        <v>0.38221487142947841</v>
      </c>
      <c r="U13" s="27">
        <f t="shared" ca="1" si="2"/>
        <v>0</v>
      </c>
      <c r="V13" s="76"/>
      <c r="W13" s="197"/>
      <c r="X13" s="197"/>
      <c r="Y13" s="197"/>
      <c r="AA13" s="210"/>
      <c r="AB13" s="210"/>
      <c r="AC13" s="211"/>
      <c r="AD13" s="212"/>
      <c r="AE13" s="213"/>
      <c r="AF13" s="214"/>
      <c r="AG13" s="215"/>
      <c r="AH13" s="216"/>
      <c r="AI13" s="27"/>
      <c r="AJ13" s="28">
        <f t="shared" si="3"/>
        <v>0.36499999999999999</v>
      </c>
      <c r="AL13" s="24">
        <f t="shared" si="13"/>
        <v>2.1986973330010401E-2</v>
      </c>
      <c r="AM13" s="67">
        <f t="shared" ca="1" si="14"/>
        <v>0.98591133630964456</v>
      </c>
      <c r="AO13" s="26">
        <f t="shared" ca="1" si="4"/>
        <v>0</v>
      </c>
      <c r="AP13" s="26"/>
      <c r="AQ13" s="26">
        <f t="shared" ca="1" si="5"/>
        <v>0</v>
      </c>
      <c r="AR13" s="26"/>
      <c r="AS13" s="27">
        <f t="shared" ca="1" si="6"/>
        <v>0</v>
      </c>
      <c r="AT13" s="27">
        <f t="shared" ca="1" si="7"/>
        <v>0</v>
      </c>
      <c r="AU13" s="27">
        <f t="shared" ca="1" si="8"/>
        <v>0</v>
      </c>
      <c r="AV13" s="27"/>
      <c r="AW13" s="27"/>
      <c r="AY13" s="216"/>
      <c r="AZ13" s="216"/>
      <c r="BA13" s="233"/>
      <c r="BC13" s="216"/>
      <c r="BE13" s="69"/>
    </row>
    <row r="14" spans="1:57">
      <c r="A14" s="19">
        <f>[1]!_xludf.edate(A13,1)</f>
        <v>37408</v>
      </c>
      <c r="B14" s="21">
        <f t="shared" si="15"/>
        <v>30</v>
      </c>
      <c r="C14" s="20">
        <f>IF(Control!$F$18="Physical",Model!A15+24,Model!A15)</f>
        <v>37462</v>
      </c>
      <c r="E14" s="22">
        <f>IF($A14&lt;End_Date,IF(Control!$C$20="Flat",Control!$C$21,VLOOKUP(Model!$A14,Euro!$B$29:$D$182,3)),0)</f>
        <v>0</v>
      </c>
      <c r="F14" s="22">
        <f t="shared" si="9"/>
        <v>0</v>
      </c>
      <c r="H14" s="23">
        <f>IF(Control!$C$27="Mid",VLOOKUP($A14,CurveFetch!$D$8:$F$367,3),VLOOKUP($A14,Euro!$B$29:$I$182,8))</f>
        <v>3.319</v>
      </c>
      <c r="I14" s="23"/>
      <c r="J14" s="23">
        <f>IF($J$4="Mid",VLOOKUP($A14,Curve_Fetch,VLOOKUP(Control!$AJ$10,Control!$AI$11:$AK$22,3)),VLOOKUP($A14,Euro!$B$29:$M$182,12))</f>
        <v>-0.36499999999999999</v>
      </c>
      <c r="K14" s="228">
        <f>IF(Control!$F$18="Physical",IF($K$4="Mid",VLOOKUP($A14,Curve_Fetch,VLOOKUP(Control!$AJ$10,Control!$AI$11:$AL$22,4)),VLOOKUP($A14,Euro!$B$29:$Q$182,16)),0)</f>
        <v>0</v>
      </c>
      <c r="L14" s="23">
        <f t="shared" si="10"/>
        <v>-0.36499999999999999</v>
      </c>
      <c r="M14" s="23"/>
      <c r="N14" s="69">
        <f t="shared" si="1"/>
        <v>2.9539999999999997</v>
      </c>
      <c r="O14" s="69">
        <f>N14+Control!$C$39</f>
        <v>2.9539999999999997</v>
      </c>
      <c r="P14" s="73">
        <f>VLOOKUP($A14,CurveFetch!$D$8:$E$367,2)</f>
        <v>2.1986973330010401E-2</v>
      </c>
      <c r="Q14" s="24">
        <f t="shared" si="11"/>
        <v>2.1986973330010401E-2</v>
      </c>
      <c r="R14" s="72">
        <f t="shared" ca="1" si="12"/>
        <v>211</v>
      </c>
      <c r="S14" s="25">
        <f>VLOOKUP($A14,Curve_Fetch,VLOOKUP(Control!$AJ$10,Control!$AI$11:$AM$22,5))</f>
        <v>0.46</v>
      </c>
      <c r="T14" s="74">
        <f ca="1">_xll.EURO(N14,O14,P14,Q14,S14,R14,IF(Control!$C$38="Call",1,0),0)</f>
        <v>0.40476298682258882</v>
      </c>
      <c r="U14" s="27">
        <f t="shared" ca="1" si="2"/>
        <v>0</v>
      </c>
      <c r="V14" s="76"/>
      <c r="W14" s="197"/>
      <c r="X14" s="197"/>
      <c r="Y14" s="197"/>
      <c r="AA14" s="210"/>
      <c r="AB14" s="210"/>
      <c r="AC14" s="211"/>
      <c r="AD14" s="212"/>
      <c r="AE14" s="213"/>
      <c r="AF14" s="214"/>
      <c r="AG14" s="215"/>
      <c r="AH14" s="216"/>
      <c r="AI14" s="27"/>
      <c r="AJ14" s="28">
        <f t="shared" si="3"/>
        <v>0.36499999999999999</v>
      </c>
      <c r="AL14" s="24">
        <f t="shared" si="13"/>
        <v>2.2048127935986501E-2</v>
      </c>
      <c r="AM14" s="67">
        <f t="shared" ca="1" si="14"/>
        <v>0.98409865704222443</v>
      </c>
      <c r="AO14" s="26">
        <f t="shared" ca="1" si="4"/>
        <v>0</v>
      </c>
      <c r="AP14" s="26"/>
      <c r="AQ14" s="26">
        <f t="shared" ca="1" si="5"/>
        <v>0</v>
      </c>
      <c r="AR14" s="26"/>
      <c r="AS14" s="27">
        <f t="shared" ca="1" si="6"/>
        <v>0</v>
      </c>
      <c r="AT14" s="27">
        <f t="shared" ca="1" si="7"/>
        <v>0</v>
      </c>
      <c r="AU14" s="27">
        <f t="shared" ca="1" si="8"/>
        <v>0</v>
      </c>
      <c r="AV14" s="27"/>
      <c r="AW14" s="27"/>
      <c r="AY14" s="216"/>
      <c r="AZ14" s="216"/>
      <c r="BA14" s="233"/>
      <c r="BC14" s="216"/>
      <c r="BE14" s="69"/>
    </row>
    <row r="15" spans="1:57">
      <c r="A15" s="19">
        <f>[1]!_xludf.edate(A14,1)</f>
        <v>37438</v>
      </c>
      <c r="B15" s="21">
        <f t="shared" si="15"/>
        <v>31</v>
      </c>
      <c r="C15" s="20">
        <f>IF(Control!$F$18="Physical",Model!A16+24,Model!A16)</f>
        <v>37493</v>
      </c>
      <c r="E15" s="22">
        <f>IF($A15&lt;End_Date,IF(Control!$C$20="Flat",Control!$C$21,VLOOKUP(Model!$A15,Euro!$B$29:$D$182,3)),0)</f>
        <v>0</v>
      </c>
      <c r="F15" s="22">
        <f t="shared" si="9"/>
        <v>0</v>
      </c>
      <c r="H15" s="23">
        <f>IF(Control!$C$27="Mid",VLOOKUP($A15,CurveFetch!$D$8:$F$367,3),VLOOKUP($A15,Euro!$B$29:$I$182,8))</f>
        <v>3.359</v>
      </c>
      <c r="I15" s="23"/>
      <c r="J15" s="23">
        <f>IF($J$4="Mid",VLOOKUP($A15,Curve_Fetch,VLOOKUP(Control!$AJ$10,Control!$AI$11:$AK$22,3)),VLOOKUP($A15,Euro!$B$29:$M$182,12))</f>
        <v>-0.32</v>
      </c>
      <c r="K15" s="228">
        <f>IF(Control!$F$18="Physical",IF($K$4="Mid",VLOOKUP($A15,Curve_Fetch,VLOOKUP(Control!$AJ$10,Control!$AI$11:$AL$22,4)),VLOOKUP($A15,Euro!$B$29:$Q$182,16)),0)</f>
        <v>0</v>
      </c>
      <c r="L15" s="23">
        <f t="shared" si="10"/>
        <v>-0.32</v>
      </c>
      <c r="M15" s="23"/>
      <c r="N15" s="69">
        <f t="shared" si="1"/>
        <v>3.0390000000000001</v>
      </c>
      <c r="O15" s="69">
        <f>N15+Control!$C$39</f>
        <v>3.0390000000000001</v>
      </c>
      <c r="P15" s="73">
        <f>VLOOKUP($A15,CurveFetch!$D$8:$E$367,2)</f>
        <v>2.2048127935986501E-2</v>
      </c>
      <c r="Q15" s="24">
        <f t="shared" si="11"/>
        <v>2.2048127935986501E-2</v>
      </c>
      <c r="R15" s="72">
        <f t="shared" ca="1" si="12"/>
        <v>241</v>
      </c>
      <c r="S15" s="25">
        <f>VLOOKUP($A15,Curve_Fetch,VLOOKUP(Control!$AJ$10,Control!$AI$11:$AM$22,5))</f>
        <v>0.46</v>
      </c>
      <c r="T15" s="74">
        <f ca="1">_xll.EURO(N15,O15,P15,Q15,S15,R15,IF(Control!$C$38="Call",1,0),0)</f>
        <v>0.4438878797392154</v>
      </c>
      <c r="U15" s="27">
        <f t="shared" ca="1" si="2"/>
        <v>0</v>
      </c>
      <c r="V15" s="76"/>
      <c r="W15" s="197"/>
      <c r="X15" s="197"/>
      <c r="Y15" s="197"/>
      <c r="AA15" s="210"/>
      <c r="AB15" s="210"/>
      <c r="AC15" s="211"/>
      <c r="AD15" s="212"/>
      <c r="AE15" s="213"/>
      <c r="AF15" s="214"/>
      <c r="AG15" s="215"/>
      <c r="AH15" s="216"/>
      <c r="AI15" s="27"/>
      <c r="AJ15" s="28">
        <f t="shared" si="3"/>
        <v>0.32</v>
      </c>
      <c r="AL15" s="24">
        <f t="shared" si="13"/>
        <v>2.2271737877362301E-2</v>
      </c>
      <c r="AM15" s="67">
        <f t="shared" ca="1" si="14"/>
        <v>0.98209166989356156</v>
      </c>
      <c r="AO15" s="26">
        <f t="shared" ca="1" si="4"/>
        <v>0</v>
      </c>
      <c r="AP15" s="26"/>
      <c r="AQ15" s="26">
        <f t="shared" ca="1" si="5"/>
        <v>0</v>
      </c>
      <c r="AR15" s="26"/>
      <c r="AS15" s="27">
        <f t="shared" ca="1" si="6"/>
        <v>0</v>
      </c>
      <c r="AT15" s="27">
        <f t="shared" ca="1" si="7"/>
        <v>0</v>
      </c>
      <c r="AU15" s="27">
        <f t="shared" ca="1" si="8"/>
        <v>0</v>
      </c>
      <c r="AV15" s="27"/>
      <c r="AW15" s="27"/>
      <c r="AY15" s="216"/>
      <c r="AZ15" s="216"/>
      <c r="BA15" s="233"/>
      <c r="BC15" s="216"/>
      <c r="BE15" s="69"/>
    </row>
    <row r="16" spans="1:57">
      <c r="A16" s="19">
        <f>[1]!_xludf.edate(A15,1)</f>
        <v>37469</v>
      </c>
      <c r="B16" s="21">
        <f t="shared" si="15"/>
        <v>31</v>
      </c>
      <c r="C16" s="20">
        <f>IF(Control!$F$18="Physical",Model!A17+24,Model!A17)</f>
        <v>37524</v>
      </c>
      <c r="E16" s="22">
        <f>IF($A16&lt;End_Date,IF(Control!$C$20="Flat",Control!$C$21,VLOOKUP(Model!$A16,Euro!$B$29:$D$182,3)),0)</f>
        <v>0</v>
      </c>
      <c r="F16" s="22">
        <f t="shared" si="9"/>
        <v>0</v>
      </c>
      <c r="H16" s="23">
        <f>IF(Control!$C$27="Mid",VLOOKUP($A16,CurveFetch!$D$8:$F$367,3),VLOOKUP($A16,Euro!$B$29:$I$182,8))</f>
        <v>3.399</v>
      </c>
      <c r="I16" s="23"/>
      <c r="J16" s="23">
        <f>IF($J$4="Mid",VLOOKUP($A16,Curve_Fetch,VLOOKUP(Control!$AJ$10,Control!$AI$11:$AK$22,3)),VLOOKUP($A16,Euro!$B$29:$M$182,12))</f>
        <v>-0.32</v>
      </c>
      <c r="K16" s="228">
        <f>IF(Control!$F$18="Physical",IF($K$4="Mid",VLOOKUP($A16,Curve_Fetch,VLOOKUP(Control!$AJ$10,Control!$AI$11:$AL$22,4)),VLOOKUP($A16,Euro!$B$29:$Q$182,16)),0)</f>
        <v>0</v>
      </c>
      <c r="L16" s="23">
        <f t="shared" si="10"/>
        <v>-0.32</v>
      </c>
      <c r="M16" s="23"/>
      <c r="N16" s="69">
        <f t="shared" si="1"/>
        <v>3.0790000000000002</v>
      </c>
      <c r="O16" s="69">
        <f>N16+Control!$C$39</f>
        <v>3.0790000000000002</v>
      </c>
      <c r="P16" s="73">
        <f>VLOOKUP($A16,CurveFetch!$D$8:$E$367,2)</f>
        <v>2.2271737877362301E-2</v>
      </c>
      <c r="Q16" s="24">
        <f t="shared" si="11"/>
        <v>2.2271737877362301E-2</v>
      </c>
      <c r="R16" s="72">
        <f t="shared" ca="1" si="12"/>
        <v>272</v>
      </c>
      <c r="S16" s="25">
        <f>VLOOKUP($A16,Curve_Fetch,VLOOKUP(Control!$AJ$10,Control!$AI$11:$AM$22,5))</f>
        <v>0.46</v>
      </c>
      <c r="T16" s="74">
        <f ca="1">_xll.EURO(N16,O16,P16,Q16,S16,R16,IF(Control!$C$38="Call",1,0),0)</f>
        <v>0.47645267605840624</v>
      </c>
      <c r="U16" s="27">
        <f t="shared" ca="1" si="2"/>
        <v>0</v>
      </c>
      <c r="V16" s="76"/>
      <c r="W16" s="197"/>
      <c r="X16" s="197"/>
      <c r="Y16" s="197"/>
      <c r="AA16" s="210"/>
      <c r="AB16" s="210"/>
      <c r="AC16" s="211"/>
      <c r="AD16" s="212"/>
      <c r="AE16" s="213"/>
      <c r="AF16" s="214"/>
      <c r="AG16" s="215"/>
      <c r="AH16" s="216"/>
      <c r="AI16" s="27"/>
      <c r="AJ16" s="28">
        <f t="shared" si="3"/>
        <v>0.32</v>
      </c>
      <c r="AL16" s="24">
        <f t="shared" si="13"/>
        <v>2.2495347835661799E-2</v>
      </c>
      <c r="AM16" s="67">
        <f t="shared" ca="1" si="14"/>
        <v>0.98005200447346585</v>
      </c>
      <c r="AO16" s="26">
        <f t="shared" ca="1" si="4"/>
        <v>0</v>
      </c>
      <c r="AP16" s="26"/>
      <c r="AQ16" s="26">
        <f t="shared" ca="1" si="5"/>
        <v>0</v>
      </c>
      <c r="AR16" s="26"/>
      <c r="AS16" s="27">
        <f t="shared" ca="1" si="6"/>
        <v>0</v>
      </c>
      <c r="AT16" s="27">
        <f t="shared" ca="1" si="7"/>
        <v>0</v>
      </c>
      <c r="AU16" s="27">
        <f t="shared" ca="1" si="8"/>
        <v>0</v>
      </c>
      <c r="AV16" s="27"/>
      <c r="AW16" s="27"/>
      <c r="AY16" s="216"/>
      <c r="AZ16" s="216"/>
      <c r="BA16" s="233"/>
      <c r="BC16" s="216"/>
      <c r="BE16" s="69"/>
    </row>
    <row r="17" spans="1:57">
      <c r="A17" s="19">
        <f>[1]!_xludf.edate(A16,1)</f>
        <v>37500</v>
      </c>
      <c r="B17" s="21">
        <f t="shared" si="15"/>
        <v>30</v>
      </c>
      <c r="C17" s="20">
        <f>IF(Control!$F$18="Physical",Model!A18+24,Model!A18)</f>
        <v>37554</v>
      </c>
      <c r="E17" s="22">
        <f>IF($A17&lt;End_Date,IF(Control!$C$20="Flat",Control!$C$21,VLOOKUP(Model!$A17,Euro!$B$29:$D$182,3)),0)</f>
        <v>0</v>
      </c>
      <c r="F17" s="22">
        <f t="shared" si="9"/>
        <v>0</v>
      </c>
      <c r="H17" s="23">
        <f>IF(Control!$C$27="Mid",VLOOKUP($A17,CurveFetch!$D$8:$F$367,3),VLOOKUP($A17,Euro!$B$29:$I$182,8))</f>
        <v>3.399</v>
      </c>
      <c r="I17" s="23"/>
      <c r="J17" s="23">
        <f>IF($J$4="Mid",VLOOKUP($A17,Curve_Fetch,VLOOKUP(Control!$AJ$10,Control!$AI$11:$AK$22,3)),VLOOKUP($A17,Euro!$B$29:$M$182,12))</f>
        <v>-0.32</v>
      </c>
      <c r="K17" s="228">
        <f>IF(Control!$F$18="Physical",IF($K$4="Mid",VLOOKUP($A17,Curve_Fetch,VLOOKUP(Control!$AJ$10,Control!$AI$11:$AL$22,4)),VLOOKUP($A17,Euro!$B$29:$Q$182,16)),0)</f>
        <v>0</v>
      </c>
      <c r="L17" s="23">
        <f t="shared" si="10"/>
        <v>-0.32</v>
      </c>
      <c r="M17" s="23"/>
      <c r="N17" s="69">
        <f t="shared" si="1"/>
        <v>3.0790000000000002</v>
      </c>
      <c r="O17" s="69">
        <f>N17+Control!$C$39</f>
        <v>3.0790000000000002</v>
      </c>
      <c r="P17" s="73">
        <f>VLOOKUP($A17,CurveFetch!$D$8:$E$367,2)</f>
        <v>2.2495347835661799E-2</v>
      </c>
      <c r="Q17" s="24">
        <f t="shared" si="11"/>
        <v>2.2495347835661799E-2</v>
      </c>
      <c r="R17" s="72">
        <f t="shared" ca="1" si="12"/>
        <v>303</v>
      </c>
      <c r="S17" s="25">
        <f>VLOOKUP($A17,Curve_Fetch,VLOOKUP(Control!$AJ$10,Control!$AI$11:$AM$22,5))</f>
        <v>0.46</v>
      </c>
      <c r="T17" s="74">
        <f ca="1">_xll.EURO(N17,O17,P17,Q17,S17,R17,IF(Control!$C$38="Call",1,0),0)</f>
        <v>0.50145494288915726</v>
      </c>
      <c r="U17" s="27">
        <f t="shared" ca="1" si="2"/>
        <v>0</v>
      </c>
      <c r="V17" s="76"/>
      <c r="W17" s="197"/>
      <c r="X17" s="197"/>
      <c r="Y17" s="197"/>
      <c r="AA17" s="210"/>
      <c r="AB17" s="210"/>
      <c r="AC17" s="211"/>
      <c r="AD17" s="212"/>
      <c r="AE17" s="213"/>
      <c r="AF17" s="214"/>
      <c r="AG17" s="215"/>
      <c r="AH17" s="216"/>
      <c r="AI17" s="27"/>
      <c r="AJ17" s="28">
        <f t="shared" si="3"/>
        <v>0.32</v>
      </c>
      <c r="AL17" s="24">
        <f t="shared" si="13"/>
        <v>2.2779490489795301E-2</v>
      </c>
      <c r="AM17" s="67">
        <f t="shared" ca="1" si="14"/>
        <v>0.97798284381980172</v>
      </c>
      <c r="AO17" s="26">
        <f t="shared" ca="1" si="4"/>
        <v>0</v>
      </c>
      <c r="AP17" s="26"/>
      <c r="AQ17" s="26">
        <f t="shared" ca="1" si="5"/>
        <v>0</v>
      </c>
      <c r="AR17" s="26"/>
      <c r="AS17" s="27">
        <f t="shared" ca="1" si="6"/>
        <v>0</v>
      </c>
      <c r="AT17" s="27">
        <f t="shared" ca="1" si="7"/>
        <v>0</v>
      </c>
      <c r="AU17" s="27">
        <f t="shared" ca="1" si="8"/>
        <v>0</v>
      </c>
      <c r="AV17" s="27"/>
      <c r="AW17" s="27"/>
      <c r="AY17" s="216"/>
      <c r="AZ17" s="216"/>
      <c r="BA17" s="233"/>
      <c r="BC17" s="216"/>
      <c r="BE17" s="69"/>
    </row>
    <row r="18" spans="1:57">
      <c r="A18" s="19">
        <f>[1]!_xludf.edate(A17,1)</f>
        <v>37530</v>
      </c>
      <c r="B18" s="21">
        <f t="shared" si="15"/>
        <v>31</v>
      </c>
      <c r="C18" s="20">
        <f>IF(Control!$F$18="Physical",Model!A19+24,Model!A19)</f>
        <v>37585</v>
      </c>
      <c r="E18" s="22">
        <f>IF($A18&lt;End_Date,IF(Control!$C$20="Flat",Control!$C$21,VLOOKUP(Model!$A18,Euro!$B$29:$D$182,3)),0)</f>
        <v>0</v>
      </c>
      <c r="F18" s="22">
        <f t="shared" si="9"/>
        <v>0</v>
      </c>
      <c r="H18" s="23">
        <f>IF(Control!$C$27="Mid",VLOOKUP($A18,CurveFetch!$D$8:$F$367,3),VLOOKUP($A18,Euro!$B$29:$I$182,8))</f>
        <v>3.4289999999999998</v>
      </c>
      <c r="I18" s="23"/>
      <c r="J18" s="23">
        <f>IF($J$4="Mid",VLOOKUP($A18,Curve_Fetch,VLOOKUP(Control!$AJ$10,Control!$AI$11:$AK$22,3)),VLOOKUP($A18,Euro!$B$29:$M$182,12))</f>
        <v>-0.33</v>
      </c>
      <c r="K18" s="228">
        <f>IF(Control!$F$18="Physical",IF($K$4="Mid",VLOOKUP($A18,Curve_Fetch,VLOOKUP(Control!$AJ$10,Control!$AI$11:$AL$22,4)),VLOOKUP($A18,Euro!$B$29:$Q$182,16)),0)</f>
        <v>0</v>
      </c>
      <c r="L18" s="23">
        <f t="shared" si="10"/>
        <v>-0.33</v>
      </c>
      <c r="M18" s="23"/>
      <c r="N18" s="69">
        <f t="shared" si="1"/>
        <v>3.0989999999999998</v>
      </c>
      <c r="O18" s="69">
        <f>N18+Control!$C$39</f>
        <v>3.0989999999999998</v>
      </c>
      <c r="P18" s="73">
        <f>VLOOKUP($A18,CurveFetch!$D$8:$E$367,2)</f>
        <v>2.2779490489795301E-2</v>
      </c>
      <c r="Q18" s="24">
        <f t="shared" si="11"/>
        <v>2.2779490489795301E-2</v>
      </c>
      <c r="R18" s="72">
        <f t="shared" ca="1" si="12"/>
        <v>333</v>
      </c>
      <c r="S18" s="25">
        <f>VLOOKUP($A18,Curve_Fetch,VLOOKUP(Control!$AJ$10,Control!$AI$11:$AM$22,5))</f>
        <v>0.46</v>
      </c>
      <c r="T18" s="74">
        <f ca="1">_xll.EURO(N18,O18,P18,Q18,S18,R18,IF(Control!$C$38="Call",1,0),0)</f>
        <v>0.52761492227852513</v>
      </c>
      <c r="U18" s="27">
        <f t="shared" ca="1" si="2"/>
        <v>0</v>
      </c>
      <c r="V18" s="76"/>
      <c r="W18" s="197"/>
      <c r="X18" s="197"/>
      <c r="Y18" s="197"/>
      <c r="AA18" s="210"/>
      <c r="AB18" s="210"/>
      <c r="AC18" s="211"/>
      <c r="AD18" s="212"/>
      <c r="AE18" s="213"/>
      <c r="AF18" s="214"/>
      <c r="AG18" s="215"/>
      <c r="AH18" s="216"/>
      <c r="AI18" s="27"/>
      <c r="AJ18" s="28">
        <f t="shared" si="3"/>
        <v>0.33</v>
      </c>
      <c r="AL18" s="24">
        <f t="shared" si="13"/>
        <v>2.3169244203794299E-2</v>
      </c>
      <c r="AM18" s="67">
        <f t="shared" ca="1" si="14"/>
        <v>0.97570300806806876</v>
      </c>
      <c r="AO18" s="26">
        <f t="shared" ca="1" si="4"/>
        <v>0</v>
      </c>
      <c r="AP18" s="26"/>
      <c r="AQ18" s="26">
        <f t="shared" ca="1" si="5"/>
        <v>0</v>
      </c>
      <c r="AR18" s="26"/>
      <c r="AS18" s="27">
        <f t="shared" ca="1" si="6"/>
        <v>0</v>
      </c>
      <c r="AT18" s="27">
        <f t="shared" ca="1" si="7"/>
        <v>0</v>
      </c>
      <c r="AU18" s="27">
        <f t="shared" ca="1" si="8"/>
        <v>0</v>
      </c>
      <c r="AV18" s="27"/>
      <c r="AW18" s="27"/>
      <c r="AY18" s="216"/>
      <c r="AZ18" s="216"/>
      <c r="BA18" s="233"/>
      <c r="BC18" s="216"/>
      <c r="BE18" s="69"/>
    </row>
    <row r="19" spans="1:57">
      <c r="A19" s="19">
        <f>[1]!_xludf.edate(A18,1)</f>
        <v>37561</v>
      </c>
      <c r="B19" s="21">
        <f t="shared" si="15"/>
        <v>30</v>
      </c>
      <c r="C19" s="20">
        <f>IF(Control!$F$18="Physical",Model!A20+24,Model!A20)</f>
        <v>37615</v>
      </c>
      <c r="E19" s="22">
        <f>IF($A19&lt;End_Date,IF(Control!$C$20="Flat",Control!$C$21,VLOOKUP(Model!$A19,Euro!$B$29:$D$182,3)),0)</f>
        <v>0</v>
      </c>
      <c r="F19" s="22">
        <f t="shared" si="9"/>
        <v>0</v>
      </c>
      <c r="H19" s="23">
        <f>IF(Control!$C$27="Mid",VLOOKUP($A19,CurveFetch!$D$8:$F$367,3),VLOOKUP($A19,Euro!$B$29:$I$182,8))</f>
        <v>3.6040000000000001</v>
      </c>
      <c r="I19" s="23"/>
      <c r="J19" s="23">
        <f>IF($J$4="Mid",VLOOKUP($A19,Curve_Fetch,VLOOKUP(Control!$AJ$10,Control!$AI$11:$AK$22,3)),VLOOKUP($A19,Euro!$B$29:$M$182,12))</f>
        <v>-0.2</v>
      </c>
      <c r="K19" s="228">
        <f>IF(Control!$F$18="Physical",IF($K$4="Mid",VLOOKUP($A19,Curve_Fetch,VLOOKUP(Control!$AJ$10,Control!$AI$11:$AL$22,4)),VLOOKUP($A19,Euro!$B$29:$Q$182,16)),0)</f>
        <v>0</v>
      </c>
      <c r="L19" s="23">
        <f t="shared" si="10"/>
        <v>-0.2</v>
      </c>
      <c r="M19" s="23"/>
      <c r="N19" s="69">
        <f t="shared" si="1"/>
        <v>3.4039999999999999</v>
      </c>
      <c r="O19" s="69">
        <f>N19+Control!$C$39</f>
        <v>3.4039999999999999</v>
      </c>
      <c r="P19" s="73">
        <f>VLOOKUP($A19,CurveFetch!$D$8:$E$367,2)</f>
        <v>2.3169244203794299E-2</v>
      </c>
      <c r="Q19" s="24">
        <f t="shared" si="11"/>
        <v>2.3169244203794299E-2</v>
      </c>
      <c r="R19" s="72">
        <f t="shared" ca="1" si="12"/>
        <v>364</v>
      </c>
      <c r="S19" s="25">
        <f>VLOOKUP($A19,Curve_Fetch,VLOOKUP(Control!$AJ$10,Control!$AI$11:$AM$22,5))</f>
        <v>0.45800000000000002</v>
      </c>
      <c r="T19" s="74">
        <f ca="1">_xll.EURO(N19,O19,P19,Q19,S19,R19,IF(Control!$C$38="Call",1,0),0)</f>
        <v>0.60148248265765747</v>
      </c>
      <c r="U19" s="27">
        <f t="shared" ca="1" si="2"/>
        <v>0</v>
      </c>
      <c r="V19" s="76"/>
      <c r="W19" s="197"/>
      <c r="X19" s="197"/>
      <c r="Y19" s="197"/>
      <c r="AA19" s="210"/>
      <c r="AB19" s="210"/>
      <c r="AC19" s="211"/>
      <c r="AD19" s="212"/>
      <c r="AE19" s="213"/>
      <c r="AF19" s="214"/>
      <c r="AG19" s="215"/>
      <c r="AH19" s="216"/>
      <c r="AI19" s="27"/>
      <c r="AJ19" s="28">
        <f t="shared" si="3"/>
        <v>0.2</v>
      </c>
      <c r="AL19" s="24">
        <f t="shared" si="13"/>
        <v>2.35464252662747E-2</v>
      </c>
      <c r="AM19" s="25">
        <f t="shared" ca="1" si="14"/>
        <v>0.97344122978049263</v>
      </c>
      <c r="AO19" s="26">
        <f t="shared" ca="1" si="4"/>
        <v>0</v>
      </c>
      <c r="AP19" s="26"/>
      <c r="AQ19" s="26">
        <f t="shared" ca="1" si="5"/>
        <v>0</v>
      </c>
      <c r="AR19" s="26"/>
      <c r="AS19" s="27">
        <f t="shared" ca="1" si="6"/>
        <v>0</v>
      </c>
      <c r="AT19" s="27">
        <f t="shared" ca="1" si="7"/>
        <v>0</v>
      </c>
      <c r="AU19" s="27">
        <f t="shared" ca="1" si="8"/>
        <v>0</v>
      </c>
      <c r="AV19" s="27"/>
      <c r="AW19" s="27"/>
      <c r="AY19" s="216"/>
      <c r="AZ19" s="216"/>
      <c r="BA19" s="233"/>
      <c r="BC19" s="216"/>
      <c r="BE19" s="69"/>
    </row>
    <row r="20" spans="1:57">
      <c r="A20" s="19">
        <f>[1]!_xludf.edate(A19,1)</f>
        <v>37591</v>
      </c>
      <c r="B20" s="21">
        <f t="shared" si="15"/>
        <v>31</v>
      </c>
      <c r="C20" s="20">
        <f>IF(Control!$F$18="Physical",Model!A21+24,Model!A21)</f>
        <v>37646</v>
      </c>
      <c r="E20" s="22">
        <f>IF($A20&lt;End_Date,IF(Control!$C$20="Flat",Control!$C$21,VLOOKUP(Model!$A20,Euro!$B$29:$D$182,3)),0)</f>
        <v>0</v>
      </c>
      <c r="F20" s="22">
        <f t="shared" si="9"/>
        <v>0</v>
      </c>
      <c r="H20" s="23">
        <f>IF(Control!$C$27="Mid",VLOOKUP($A20,CurveFetch!$D$8:$F$367,3),VLOOKUP($A20,Euro!$B$29:$I$182,8))</f>
        <v>3.794</v>
      </c>
      <c r="I20" s="23"/>
      <c r="J20" s="23">
        <f>IF($J$4="Mid",VLOOKUP($A20,Curve_Fetch,VLOOKUP(Control!$AJ$10,Control!$AI$11:$AK$22,3)),VLOOKUP($A20,Euro!$B$29:$M$182,12))</f>
        <v>-0.2</v>
      </c>
      <c r="K20" s="228">
        <f>IF(Control!$F$18="Physical",IF($K$4="Mid",VLOOKUP($A20,Curve_Fetch,VLOOKUP(Control!$AJ$10,Control!$AI$11:$AL$22,4)),VLOOKUP($A20,Euro!$B$29:$Q$182,16)),0)</f>
        <v>0</v>
      </c>
      <c r="L20" s="23">
        <f t="shared" si="10"/>
        <v>-0.2</v>
      </c>
      <c r="M20" s="23"/>
      <c r="N20" s="69">
        <f t="shared" si="1"/>
        <v>3.5939999999999999</v>
      </c>
      <c r="O20" s="69">
        <f>N20+Control!$C$39</f>
        <v>3.5939999999999999</v>
      </c>
      <c r="P20" s="73">
        <f>VLOOKUP($A20,CurveFetch!$D$8:$E$367,2)</f>
        <v>2.35464252662747E-2</v>
      </c>
      <c r="Q20" s="24">
        <f t="shared" si="11"/>
        <v>2.35464252662747E-2</v>
      </c>
      <c r="R20" s="72">
        <f t="shared" ca="1" si="12"/>
        <v>394</v>
      </c>
      <c r="S20" s="25">
        <f>VLOOKUP($A20,Curve_Fetch,VLOOKUP(Control!$AJ$10,Control!$AI$11:$AM$22,5))</f>
        <v>0.45500000000000002</v>
      </c>
      <c r="T20" s="74">
        <f ca="1">_xll.EURO(N20,O20,P20,Q20,S20,R20,IF(Control!$C$38="Call",1,0),0)</f>
        <v>0.65447823564164809</v>
      </c>
      <c r="U20" s="27">
        <f t="shared" ca="1" si="2"/>
        <v>0</v>
      </c>
      <c r="V20" s="76"/>
      <c r="W20" s="197"/>
      <c r="X20" s="197"/>
      <c r="Y20" s="197"/>
      <c r="AA20" s="210"/>
      <c r="AB20" s="210"/>
      <c r="AC20" s="211"/>
      <c r="AD20" s="212"/>
      <c r="AE20" s="213"/>
      <c r="AF20" s="214"/>
      <c r="AG20" s="215"/>
      <c r="AH20" s="216"/>
      <c r="AI20" s="27"/>
      <c r="AJ20" s="28">
        <f t="shared" si="3"/>
        <v>0.2</v>
      </c>
      <c r="AL20" s="24">
        <f t="shared" si="13"/>
        <v>2.39911924734941E-2</v>
      </c>
      <c r="AM20" s="25">
        <f t="shared" ca="1" si="14"/>
        <v>0.97098199522487871</v>
      </c>
      <c r="AO20" s="26">
        <f t="shared" ca="1" si="4"/>
        <v>0</v>
      </c>
      <c r="AP20" s="26"/>
      <c r="AQ20" s="26">
        <f t="shared" ca="1" si="5"/>
        <v>0</v>
      </c>
      <c r="AR20" s="26"/>
      <c r="AS20" s="27">
        <f t="shared" ca="1" si="6"/>
        <v>0</v>
      </c>
      <c r="AT20" s="27">
        <f t="shared" ca="1" si="7"/>
        <v>0</v>
      </c>
      <c r="AU20" s="27">
        <f t="shared" ca="1" si="8"/>
        <v>0</v>
      </c>
      <c r="AV20" s="27"/>
      <c r="AW20" s="27"/>
      <c r="AY20" s="216"/>
      <c r="AZ20" s="216"/>
      <c r="BA20" s="233"/>
      <c r="BC20" s="216"/>
      <c r="BE20" s="69"/>
    </row>
    <row r="21" spans="1:57">
      <c r="A21" s="19">
        <f>[1]!_xludf.edate(A20,1)</f>
        <v>37622</v>
      </c>
      <c r="B21" s="21">
        <f t="shared" si="15"/>
        <v>31</v>
      </c>
      <c r="C21" s="20">
        <f>IF(Control!$F$18="Physical",Model!A22+24,Model!A22)</f>
        <v>37677</v>
      </c>
      <c r="E21" s="22">
        <f>IF($A21&lt;End_Date,IF(Control!$C$20="Flat",Control!$C$21,VLOOKUP(Model!$A21,Euro!$B$29:$D$182,3)),0)</f>
        <v>0</v>
      </c>
      <c r="F21" s="22">
        <f t="shared" si="9"/>
        <v>0</v>
      </c>
      <c r="H21" s="23">
        <f>IF(Control!$C$27="Mid",VLOOKUP($A21,CurveFetch!$D$8:$F$367,3),VLOOKUP($A21,Euro!$B$29:$I$182,8))</f>
        <v>3.9140000000000001</v>
      </c>
      <c r="I21" s="23"/>
      <c r="J21" s="23">
        <f>IF($J$4="Mid",VLOOKUP($A21,Curve_Fetch,VLOOKUP(Control!$AJ$10,Control!$AI$11:$AK$22,3)),VLOOKUP($A21,Euro!$B$29:$M$182,12))</f>
        <v>-0.2</v>
      </c>
      <c r="K21" s="228">
        <f>IF(Control!$F$18="Physical",IF($K$4="Mid",VLOOKUP($A21,Curve_Fetch,VLOOKUP(Control!$AJ$10,Control!$AI$11:$AL$22,4)),VLOOKUP($A21,Euro!$B$29:$Q$182,16)),0)</f>
        <v>0</v>
      </c>
      <c r="L21" s="23">
        <f t="shared" si="10"/>
        <v>-0.2</v>
      </c>
      <c r="M21" s="23"/>
      <c r="N21" s="69">
        <f t="shared" si="1"/>
        <v>3.714</v>
      </c>
      <c r="O21" s="69">
        <f>N21+Control!$C$39</f>
        <v>3.714</v>
      </c>
      <c r="P21" s="73">
        <f>VLOOKUP($A21,CurveFetch!$D$8:$E$367,2)</f>
        <v>2.39911924734941E-2</v>
      </c>
      <c r="Q21" s="24">
        <f t="shared" si="11"/>
        <v>2.39911924734941E-2</v>
      </c>
      <c r="R21" s="72">
        <f t="shared" ca="1" si="12"/>
        <v>425</v>
      </c>
      <c r="S21" s="25">
        <f>VLOOKUP($A21,Curve_Fetch,VLOOKUP(Control!$AJ$10,Control!$AI$11:$AM$22,5))</f>
        <v>0.45500000000000002</v>
      </c>
      <c r="T21" s="74">
        <f ca="1">_xll.EURO(N21,O21,P21,Q21,S21,R21,IF(Control!$C$38="Call",1,0),0)</f>
        <v>0.70015983481870547</v>
      </c>
      <c r="U21" s="27">
        <f t="shared" ca="1" si="2"/>
        <v>0</v>
      </c>
      <c r="V21" s="76"/>
      <c r="W21" s="197"/>
      <c r="X21" s="197"/>
      <c r="Y21" s="197"/>
      <c r="AA21" s="210"/>
      <c r="AB21" s="210"/>
      <c r="AC21" s="211"/>
      <c r="AD21" s="212"/>
      <c r="AE21" s="213"/>
      <c r="AF21" s="214"/>
      <c r="AG21" s="215"/>
      <c r="AH21" s="216"/>
      <c r="AI21" s="27"/>
      <c r="AJ21" s="28">
        <f t="shared" si="3"/>
        <v>0.2</v>
      </c>
      <c r="AL21" s="24">
        <f t="shared" si="13"/>
        <v>2.4502761735158501E-2</v>
      </c>
      <c r="AM21" s="25">
        <f t="shared" ca="1" si="14"/>
        <v>0.96837249796538294</v>
      </c>
      <c r="AO21" s="26">
        <f t="shared" ca="1" si="4"/>
        <v>0</v>
      </c>
      <c r="AP21" s="26"/>
      <c r="AQ21" s="26">
        <f t="shared" ca="1" si="5"/>
        <v>0</v>
      </c>
      <c r="AR21" s="26"/>
      <c r="AS21" s="27">
        <f t="shared" ca="1" si="6"/>
        <v>0</v>
      </c>
      <c r="AT21" s="27">
        <f t="shared" ca="1" si="7"/>
        <v>0</v>
      </c>
      <c r="AU21" s="27">
        <f t="shared" ca="1" si="8"/>
        <v>0</v>
      </c>
      <c r="AV21" s="27"/>
      <c r="AW21" s="27"/>
      <c r="AY21" s="216"/>
      <c r="AZ21" s="216"/>
      <c r="BA21" s="233"/>
      <c r="BC21" s="216"/>
      <c r="BE21" s="69"/>
    </row>
    <row r="22" spans="1:57">
      <c r="A22" s="19">
        <f>[1]!_xludf.edate(A21,1)</f>
        <v>37653</v>
      </c>
      <c r="B22" s="21">
        <f t="shared" si="15"/>
        <v>28</v>
      </c>
      <c r="C22" s="20">
        <f>IF(Control!$F$18="Physical",Model!A23+24,Model!A23)</f>
        <v>37705</v>
      </c>
      <c r="E22" s="22">
        <f>IF($A22&lt;End_Date,IF(Control!$C$20="Flat",Control!$C$21,VLOOKUP(Model!$A22,Euro!$B$29:$D$182,3)),0)</f>
        <v>0</v>
      </c>
      <c r="F22" s="22">
        <f t="shared" si="9"/>
        <v>0</v>
      </c>
      <c r="H22" s="23">
        <f>IF(Control!$C$27="Mid",VLOOKUP($A22,CurveFetch!$D$8:$F$367,3),VLOOKUP($A22,Euro!$B$29:$I$182,8))</f>
        <v>3.8290000000000002</v>
      </c>
      <c r="I22" s="23"/>
      <c r="J22" s="23">
        <f>IF($J$4="Mid",VLOOKUP($A22,Curve_Fetch,VLOOKUP(Control!$AJ$10,Control!$AI$11:$AK$22,3)),VLOOKUP($A22,Euro!$B$29:$M$182,12))</f>
        <v>-0.2</v>
      </c>
      <c r="K22" s="228">
        <f>IF(Control!$F$18="Physical",IF($K$4="Mid",VLOOKUP($A22,Curve_Fetch,VLOOKUP(Control!$AJ$10,Control!$AI$11:$AL$22,4)),VLOOKUP($A22,Euro!$B$29:$Q$182,16)),0)</f>
        <v>0</v>
      </c>
      <c r="L22" s="23">
        <f t="shared" si="10"/>
        <v>-0.2</v>
      </c>
      <c r="M22" s="23"/>
      <c r="N22" s="69">
        <f t="shared" si="1"/>
        <v>3.629</v>
      </c>
      <c r="O22" s="69">
        <f>N22+Control!$C$39</f>
        <v>3.629</v>
      </c>
      <c r="P22" s="73">
        <f>VLOOKUP($A22,CurveFetch!$D$8:$E$367,2)</f>
        <v>2.4502761735158501E-2</v>
      </c>
      <c r="Q22" s="24">
        <f t="shared" si="11"/>
        <v>2.4502761735158501E-2</v>
      </c>
      <c r="R22" s="72">
        <f t="shared" ca="1" si="12"/>
        <v>456</v>
      </c>
      <c r="S22" s="25">
        <f>VLOOKUP($A22,Curve_Fetch,VLOOKUP(Control!$AJ$10,Control!$AI$11:$AM$22,5))</f>
        <v>0.44800000000000001</v>
      </c>
      <c r="T22" s="74">
        <f ca="1">_xll.EURO(N22,O22,P22,Q22,S22,R22,IF(Control!$C$38="Call",1,0),0)</f>
        <v>0.69560295435265251</v>
      </c>
      <c r="U22" s="27">
        <f t="shared" ca="1" si="2"/>
        <v>0</v>
      </c>
      <c r="V22" s="76"/>
      <c r="W22" s="197"/>
      <c r="X22" s="197"/>
      <c r="Y22" s="197"/>
      <c r="AA22" s="210"/>
      <c r="AB22" s="210"/>
      <c r="AC22" s="211"/>
      <c r="AD22" s="212"/>
      <c r="AE22" s="213"/>
      <c r="AF22" s="214"/>
      <c r="AG22" s="215"/>
      <c r="AH22" s="216"/>
      <c r="AI22" s="27"/>
      <c r="AJ22" s="28">
        <f t="shared" si="3"/>
        <v>0.2</v>
      </c>
      <c r="AL22" s="24">
        <f t="shared" si="13"/>
        <v>2.4964824370130999E-2</v>
      </c>
      <c r="AM22" s="25">
        <f t="shared" ca="1" si="14"/>
        <v>0.96595047291573932</v>
      </c>
      <c r="AO22" s="26">
        <f t="shared" ca="1" si="4"/>
        <v>0</v>
      </c>
      <c r="AP22" s="26"/>
      <c r="AQ22" s="26">
        <f t="shared" ca="1" si="5"/>
        <v>0</v>
      </c>
      <c r="AR22" s="26"/>
      <c r="AS22" s="27">
        <f t="shared" ca="1" si="6"/>
        <v>0</v>
      </c>
      <c r="AT22" s="27">
        <f t="shared" ca="1" si="7"/>
        <v>0</v>
      </c>
      <c r="AU22" s="27">
        <f t="shared" ca="1" si="8"/>
        <v>0</v>
      </c>
      <c r="AV22" s="27"/>
      <c r="AW22" s="27"/>
      <c r="AY22" s="216"/>
      <c r="AZ22" s="216"/>
      <c r="BA22" s="233"/>
      <c r="BC22" s="216"/>
      <c r="BE22" s="69"/>
    </row>
    <row r="23" spans="1:57">
      <c r="A23" s="19">
        <f>[1]!_xludf.edate(A22,1)</f>
        <v>37681</v>
      </c>
      <c r="B23" s="21">
        <f t="shared" si="15"/>
        <v>31</v>
      </c>
      <c r="C23" s="20">
        <f>IF(Control!$F$18="Physical",Model!A24+24,Model!A24)</f>
        <v>37736</v>
      </c>
      <c r="E23" s="22">
        <f>IF($A23&lt;End_Date,IF(Control!$C$20="Flat",Control!$C$21,VLOOKUP(Model!$A23,Euro!$B$29:$D$182,3)),0)</f>
        <v>0</v>
      </c>
      <c r="F23" s="22">
        <f t="shared" si="9"/>
        <v>0</v>
      </c>
      <c r="H23" s="23">
        <f>IF(Control!$C$27="Mid",VLOOKUP($A23,CurveFetch!$D$8:$F$367,3),VLOOKUP($A23,Euro!$B$29:$I$182,8))</f>
        <v>3.7240000000000002</v>
      </c>
      <c r="I23" s="23"/>
      <c r="J23" s="23">
        <f>IF($J$4="Mid",VLOOKUP($A23,Curve_Fetch,VLOOKUP(Control!$AJ$10,Control!$AI$11:$AK$22,3)),VLOOKUP($A23,Euro!$B$29:$M$182,12))</f>
        <v>-0.2</v>
      </c>
      <c r="K23" s="228">
        <f>IF(Control!$F$18="Physical",IF($K$4="Mid",VLOOKUP($A23,Curve_Fetch,VLOOKUP(Control!$AJ$10,Control!$AI$11:$AL$22,4)),VLOOKUP($A23,Euro!$B$29:$Q$182,16)),0)</f>
        <v>0</v>
      </c>
      <c r="L23" s="23">
        <f t="shared" si="10"/>
        <v>-0.2</v>
      </c>
      <c r="M23" s="23"/>
      <c r="N23" s="69">
        <f t="shared" si="1"/>
        <v>3.524</v>
      </c>
      <c r="O23" s="69">
        <f>N23+Control!$C$39</f>
        <v>3.524</v>
      </c>
      <c r="P23" s="73">
        <f>VLOOKUP($A23,CurveFetch!$D$8:$E$367,2)</f>
        <v>2.4964824370130999E-2</v>
      </c>
      <c r="Q23" s="24">
        <f t="shared" si="11"/>
        <v>2.4964824370130999E-2</v>
      </c>
      <c r="R23" s="72">
        <f t="shared" ca="1" si="12"/>
        <v>484</v>
      </c>
      <c r="S23" s="25">
        <f>VLOOKUP($A23,Curve_Fetch,VLOOKUP(Control!$AJ$10,Control!$AI$11:$AM$22,5))</f>
        <v>0.42499999999999999</v>
      </c>
      <c r="T23" s="74">
        <f ca="1">_xll.EURO(N23,O23,P23,Q23,S23,R23,IF(Control!$C$38="Call",1,0),0)</f>
        <v>0.65884195794470357</v>
      </c>
      <c r="U23" s="27">
        <f t="shared" ca="1" si="2"/>
        <v>0</v>
      </c>
      <c r="V23" s="76"/>
      <c r="W23" s="197"/>
      <c r="X23" s="197"/>
      <c r="Y23" s="197"/>
      <c r="AA23" s="210"/>
      <c r="AB23" s="210"/>
      <c r="AC23" s="211"/>
      <c r="AD23" s="212"/>
      <c r="AE23" s="213"/>
      <c r="AF23" s="214"/>
      <c r="AG23" s="215"/>
      <c r="AH23" s="216"/>
      <c r="AI23" s="27"/>
      <c r="AJ23" s="28">
        <f t="shared" si="3"/>
        <v>0.2</v>
      </c>
      <c r="AL23" s="24">
        <f t="shared" si="13"/>
        <v>2.54890960619387E-2</v>
      </c>
      <c r="AM23" s="25">
        <f t="shared" ca="1" si="14"/>
        <v>0.96317966500618502</v>
      </c>
      <c r="AO23" s="26">
        <f t="shared" ca="1" si="4"/>
        <v>0</v>
      </c>
      <c r="AP23" s="26"/>
      <c r="AQ23" s="26">
        <f t="shared" ca="1" si="5"/>
        <v>0</v>
      </c>
      <c r="AR23" s="26"/>
      <c r="AS23" s="27">
        <f t="shared" ca="1" si="6"/>
        <v>0</v>
      </c>
      <c r="AT23" s="27">
        <f t="shared" ca="1" si="7"/>
        <v>0</v>
      </c>
      <c r="AU23" s="27">
        <f t="shared" ca="1" si="8"/>
        <v>0</v>
      </c>
      <c r="AV23" s="27"/>
      <c r="AW23" s="27"/>
      <c r="AY23" s="216"/>
      <c r="AZ23" s="216"/>
      <c r="BA23" s="233"/>
      <c r="BC23" s="216"/>
      <c r="BE23" s="69"/>
    </row>
    <row r="24" spans="1:57">
      <c r="A24" s="19">
        <f>[1]!_xludf.edate(A23,1)</f>
        <v>37712</v>
      </c>
      <c r="B24" s="21">
        <f t="shared" si="15"/>
        <v>30</v>
      </c>
      <c r="C24" s="20">
        <f>IF(Control!$F$18="Physical",Model!A25+24,Model!A25)</f>
        <v>37766</v>
      </c>
      <c r="E24" s="22">
        <f>IF($A24&lt;End_Date,IF(Control!$C$20="Flat",Control!$C$21,VLOOKUP(Model!$A24,Euro!$B$29:$D$182,3)),0)</f>
        <v>0</v>
      </c>
      <c r="F24" s="22">
        <f t="shared" si="9"/>
        <v>0</v>
      </c>
      <c r="H24" s="23">
        <f>IF(Control!$C$27="Mid",VLOOKUP($A24,CurveFetch!$D$8:$F$367,3),VLOOKUP($A24,Euro!$B$29:$I$182,8))</f>
        <v>3.5990000000000002</v>
      </c>
      <c r="I24" s="23"/>
      <c r="J24" s="23">
        <f>IF($J$4="Mid",VLOOKUP($A24,Curve_Fetch,VLOOKUP(Control!$AJ$10,Control!$AI$11:$AK$22,3)),VLOOKUP($A24,Euro!$B$29:$M$182,12))</f>
        <v>-0.27500000000000002</v>
      </c>
      <c r="K24" s="228">
        <f>IF(Control!$F$18="Physical",IF($K$4="Mid",VLOOKUP($A24,Curve_Fetch,VLOOKUP(Control!$AJ$10,Control!$AI$11:$AL$22,4)),VLOOKUP($A24,Euro!$B$29:$Q$182,16)),0)</f>
        <v>2.5000000000000001E-3</v>
      </c>
      <c r="L24" s="23">
        <f t="shared" si="10"/>
        <v>-0.27250000000000002</v>
      </c>
      <c r="M24" s="23"/>
      <c r="N24" s="69">
        <f t="shared" si="1"/>
        <v>3.3265000000000002</v>
      </c>
      <c r="O24" s="69">
        <f>N24+Control!$C$39</f>
        <v>3.3265000000000002</v>
      </c>
      <c r="P24" s="73">
        <f>VLOOKUP($A24,CurveFetch!$D$8:$E$367,2)</f>
        <v>2.54890960619387E-2</v>
      </c>
      <c r="Q24" s="24">
        <f t="shared" si="11"/>
        <v>2.54890960619387E-2</v>
      </c>
      <c r="R24" s="72">
        <f t="shared" ca="1" si="12"/>
        <v>515</v>
      </c>
      <c r="S24" s="25">
        <f>VLOOKUP($A24,Curve_Fetch,VLOOKUP(Control!$AJ$10,Control!$AI$11:$AM$22,5))</f>
        <v>0.38</v>
      </c>
      <c r="T24" s="74">
        <f ca="1">_xll.EURO(N24,O24,P24,Q24,S24,R24,IF(Control!$C$38="Call",1,0),0)</f>
        <v>0.57280837786729033</v>
      </c>
      <c r="U24" s="27">
        <f t="shared" ca="1" si="2"/>
        <v>0</v>
      </c>
      <c r="V24" s="76"/>
      <c r="W24" s="197"/>
      <c r="X24" s="197"/>
      <c r="Y24" s="197"/>
      <c r="AA24" s="210"/>
      <c r="AB24" s="210"/>
      <c r="AC24" s="211"/>
      <c r="AD24" s="212"/>
      <c r="AE24" s="213"/>
      <c r="AF24" s="214"/>
      <c r="AG24" s="215"/>
      <c r="AH24" s="216"/>
      <c r="AI24" s="27"/>
      <c r="AJ24" s="28">
        <f t="shared" si="3"/>
        <v>0.27250000000000002</v>
      </c>
      <c r="AL24" s="24">
        <f t="shared" si="13"/>
        <v>2.6003998451144601E-2</v>
      </c>
      <c r="AM24" s="25">
        <f t="shared" ca="1" si="14"/>
        <v>0.96041444785690022</v>
      </c>
      <c r="AO24" s="26">
        <f t="shared" ca="1" si="4"/>
        <v>0</v>
      </c>
      <c r="AP24" s="26"/>
      <c r="AQ24" s="26">
        <f t="shared" ca="1" si="5"/>
        <v>0</v>
      </c>
      <c r="AR24" s="26"/>
      <c r="AS24" s="27">
        <f t="shared" ca="1" si="6"/>
        <v>0</v>
      </c>
      <c r="AT24" s="27">
        <f t="shared" ca="1" si="7"/>
        <v>0</v>
      </c>
      <c r="AU24" s="27">
        <f t="shared" ca="1" si="8"/>
        <v>0</v>
      </c>
      <c r="AV24" s="27"/>
      <c r="AW24" s="27"/>
      <c r="AY24" s="216"/>
      <c r="AZ24" s="216"/>
      <c r="BA24" s="233"/>
      <c r="BC24" s="216"/>
      <c r="BE24" s="69"/>
    </row>
    <row r="25" spans="1:57">
      <c r="A25" s="19">
        <f>[1]!_xludf.edate(A24,1)</f>
        <v>37742</v>
      </c>
      <c r="B25" s="21">
        <f t="shared" si="15"/>
        <v>31</v>
      </c>
      <c r="C25" s="20">
        <f>IF(Control!$F$18="Physical",Model!A26+24,Model!A26)</f>
        <v>37797</v>
      </c>
      <c r="E25" s="22">
        <f>IF($A25&lt;End_Date,IF(Control!$C$20="Flat",Control!$C$21,VLOOKUP(Model!$A25,Euro!$B$29:$D$182,3)),0)</f>
        <v>0</v>
      </c>
      <c r="F25" s="22">
        <f t="shared" si="9"/>
        <v>0</v>
      </c>
      <c r="H25" s="23">
        <f>IF(Control!$C$27="Mid",VLOOKUP($A25,CurveFetch!$D$8:$F$367,3),VLOOKUP($A25,Euro!$B$29:$I$182,8))</f>
        <v>3.5990000000000002</v>
      </c>
      <c r="I25" s="23"/>
      <c r="J25" s="23">
        <f>IF($J$4="Mid",VLOOKUP($A25,Curve_Fetch,VLOOKUP(Control!$AJ$10,Control!$AI$11:$AK$22,3)),VLOOKUP($A25,Euro!$B$29:$M$182,12))</f>
        <v>-0.27500000000000002</v>
      </c>
      <c r="K25" s="228">
        <f>IF(Control!$F$18="Physical",IF($K$4="Mid",VLOOKUP($A25,Curve_Fetch,VLOOKUP(Control!$AJ$10,Control!$AI$11:$AL$22,4)),VLOOKUP($A25,Euro!$B$29:$Q$182,16)),0)</f>
        <v>2.5000000000000001E-3</v>
      </c>
      <c r="L25" s="23">
        <f t="shared" si="10"/>
        <v>-0.27250000000000002</v>
      </c>
      <c r="M25" s="23"/>
      <c r="N25" s="69">
        <f t="shared" si="1"/>
        <v>3.3265000000000002</v>
      </c>
      <c r="O25" s="69">
        <f>N25+Control!$C$39</f>
        <v>3.3265000000000002</v>
      </c>
      <c r="P25" s="73">
        <f>VLOOKUP($A25,CurveFetch!$D$8:$E$367,2)</f>
        <v>2.6003998451144601E-2</v>
      </c>
      <c r="Q25" s="24">
        <f t="shared" si="11"/>
        <v>2.6003998451144601E-2</v>
      </c>
      <c r="R25" s="72">
        <f t="shared" ca="1" si="12"/>
        <v>545</v>
      </c>
      <c r="S25" s="25">
        <f>VLOOKUP($A25,Curve_Fetch,VLOOKUP(Control!$AJ$10,Control!$AI$11:$AM$22,5))</f>
        <v>0.36299999999999999</v>
      </c>
      <c r="T25" s="74">
        <f ca="1">_xll.EURO(N25,O25,P25,Q25,S25,R25,IF(Control!$C$38="Call",1,0),0)</f>
        <v>0.56144824908747126</v>
      </c>
      <c r="U25" s="27">
        <f t="shared" ca="1" si="2"/>
        <v>0</v>
      </c>
      <c r="V25" s="76"/>
      <c r="W25" s="197"/>
      <c r="X25" s="197"/>
      <c r="Y25" s="197"/>
      <c r="AA25" s="210"/>
      <c r="AB25" s="210"/>
      <c r="AC25" s="211"/>
      <c r="AD25" s="212"/>
      <c r="AE25" s="213"/>
      <c r="AF25" s="214"/>
      <c r="AG25" s="215"/>
      <c r="AH25" s="216"/>
      <c r="AI25" s="27"/>
      <c r="AJ25" s="28">
        <f t="shared" si="3"/>
        <v>0.27250000000000002</v>
      </c>
      <c r="AL25" s="24">
        <f t="shared" si="13"/>
        <v>2.6536064347421302E-2</v>
      </c>
      <c r="AM25" s="25">
        <f t="shared" ca="1" si="14"/>
        <v>0.95748160677690319</v>
      </c>
      <c r="AO25" s="26">
        <f t="shared" ca="1" si="4"/>
        <v>0</v>
      </c>
      <c r="AP25" s="26"/>
      <c r="AQ25" s="26">
        <f t="shared" ca="1" si="5"/>
        <v>0</v>
      </c>
      <c r="AR25" s="26"/>
      <c r="AS25" s="27">
        <f t="shared" ca="1" si="6"/>
        <v>0</v>
      </c>
      <c r="AT25" s="27">
        <f t="shared" ca="1" si="7"/>
        <v>0</v>
      </c>
      <c r="AU25" s="27">
        <f t="shared" ca="1" si="8"/>
        <v>0</v>
      </c>
      <c r="AV25" s="27"/>
      <c r="AW25" s="27"/>
      <c r="AY25" s="216"/>
      <c r="AZ25" s="216"/>
      <c r="BA25" s="233"/>
      <c r="BC25" s="216"/>
      <c r="BE25" s="69"/>
    </row>
    <row r="26" spans="1:57">
      <c r="A26" s="19">
        <f>[1]!_xludf.edate(A25,1)</f>
        <v>37773</v>
      </c>
      <c r="B26" s="21">
        <f t="shared" si="15"/>
        <v>30</v>
      </c>
      <c r="C26" s="20">
        <f>IF(Control!$F$18="Physical",Model!A27+24,Model!A27)</f>
        <v>37827</v>
      </c>
      <c r="E26" s="22">
        <f>IF($A26&lt;End_Date,IF(Control!$C$20="Flat",Control!$C$21,VLOOKUP(Model!$A26,Euro!$B$29:$D$182,3)),0)</f>
        <v>0</v>
      </c>
      <c r="F26" s="22">
        <f t="shared" si="9"/>
        <v>0</v>
      </c>
      <c r="H26" s="23">
        <f>IF(Control!$C$27="Mid",VLOOKUP($A26,CurveFetch!$D$8:$F$367,3),VLOOKUP($A26,Euro!$B$29:$I$182,8))</f>
        <v>3.6240000000000001</v>
      </c>
      <c r="I26" s="23"/>
      <c r="J26" s="23">
        <f>IF($J$4="Mid",VLOOKUP($A26,Curve_Fetch,VLOOKUP(Control!$AJ$10,Control!$AI$11:$AK$22,3)),VLOOKUP($A26,Euro!$B$29:$M$182,12))</f>
        <v>-0.27500000000000002</v>
      </c>
      <c r="K26" s="228">
        <f>IF(Control!$F$18="Physical",IF($K$4="Mid",VLOOKUP($A26,Curve_Fetch,VLOOKUP(Control!$AJ$10,Control!$AI$11:$AL$22,4)),VLOOKUP($A26,Euro!$B$29:$Q$182,16)),0)</f>
        <v>2.5000000000000001E-3</v>
      </c>
      <c r="L26" s="23">
        <f t="shared" si="10"/>
        <v>-0.27250000000000002</v>
      </c>
      <c r="M26" s="23"/>
      <c r="N26" s="69">
        <f t="shared" si="1"/>
        <v>3.3515000000000001</v>
      </c>
      <c r="O26" s="69">
        <f>N26+Control!$C$39</f>
        <v>3.3515000000000001</v>
      </c>
      <c r="P26" s="73">
        <f>VLOOKUP($A26,CurveFetch!$D$8:$E$367,2)</f>
        <v>2.6536064347421302E-2</v>
      </c>
      <c r="Q26" s="24">
        <f t="shared" si="11"/>
        <v>2.6536064347421302E-2</v>
      </c>
      <c r="R26" s="72">
        <f t="shared" ca="1" si="12"/>
        <v>576</v>
      </c>
      <c r="S26" s="25">
        <f>VLOOKUP($A26,Curve_Fetch,VLOOKUP(Control!$AJ$10,Control!$AI$11:$AM$22,5))</f>
        <v>0.35799999999999998</v>
      </c>
      <c r="T26" s="74">
        <f ca="1">_xll.EURO(N26,O26,P26,Q26,S26,R26,IF(Control!$C$38="Call",1,0),0)</f>
        <v>0.57164849071715151</v>
      </c>
      <c r="U26" s="27">
        <f t="shared" ca="1" si="2"/>
        <v>0</v>
      </c>
      <c r="V26" s="76"/>
      <c r="W26" s="197"/>
      <c r="X26" s="197"/>
      <c r="Y26" s="197"/>
      <c r="AA26" s="210"/>
      <c r="AB26" s="210"/>
      <c r="AC26" s="211"/>
      <c r="AD26" s="212"/>
      <c r="AE26" s="213"/>
      <c r="AF26" s="214"/>
      <c r="AG26" s="215"/>
      <c r="AH26" s="216"/>
      <c r="AI26" s="27"/>
      <c r="AJ26" s="28">
        <f t="shared" si="3"/>
        <v>0.27250000000000002</v>
      </c>
      <c r="AL26" s="24">
        <f t="shared" si="13"/>
        <v>2.70613807895188E-2</v>
      </c>
      <c r="AM26" s="25">
        <f t="shared" ca="1" si="14"/>
        <v>0.95455412089619929</v>
      </c>
      <c r="AO26" s="26">
        <f t="shared" ca="1" si="4"/>
        <v>0</v>
      </c>
      <c r="AP26" s="26"/>
      <c r="AQ26" s="26">
        <f t="shared" ca="1" si="5"/>
        <v>0</v>
      </c>
      <c r="AR26" s="26"/>
      <c r="AS26" s="27">
        <f t="shared" ca="1" si="6"/>
        <v>0</v>
      </c>
      <c r="AT26" s="27">
        <f t="shared" ca="1" si="7"/>
        <v>0</v>
      </c>
      <c r="AU26" s="27">
        <f t="shared" ca="1" si="8"/>
        <v>0</v>
      </c>
      <c r="AV26" s="27"/>
      <c r="AW26" s="27"/>
      <c r="AY26" s="216"/>
      <c r="AZ26" s="216"/>
      <c r="BA26" s="233"/>
      <c r="BC26" s="216"/>
      <c r="BE26" s="69"/>
    </row>
    <row r="27" spans="1:57">
      <c r="A27" s="19">
        <f>[1]!_xludf.edate(A26,1)</f>
        <v>37803</v>
      </c>
      <c r="B27" s="21">
        <f t="shared" si="15"/>
        <v>31</v>
      </c>
      <c r="C27" s="20">
        <f>IF(Control!$F$18="Physical",Model!A28+24,Model!A28)</f>
        <v>37858</v>
      </c>
      <c r="E27" s="22">
        <f>IF($A27&lt;End_Date,IF(Control!$C$20="Flat",Control!$C$21,VLOOKUP(Model!$A27,Euro!$B$29:$D$182,3)),0)</f>
        <v>0</v>
      </c>
      <c r="F27" s="22">
        <f t="shared" si="9"/>
        <v>0</v>
      </c>
      <c r="H27" s="23">
        <f>IF(Control!$C$27="Mid",VLOOKUP($A27,CurveFetch!$D$8:$F$367,3),VLOOKUP($A27,Euro!$B$29:$I$182,8))</f>
        <v>3.6589999999999998</v>
      </c>
      <c r="I27" s="23"/>
      <c r="J27" s="23">
        <f>IF($J$4="Mid",VLOOKUP($A27,Curve_Fetch,VLOOKUP(Control!$AJ$10,Control!$AI$11:$AK$22,3)),VLOOKUP($A27,Euro!$B$29:$M$182,12))</f>
        <v>-0.27500000000000002</v>
      </c>
      <c r="K27" s="228">
        <f>IF(Control!$F$18="Physical",IF($K$4="Mid",VLOOKUP($A27,Curve_Fetch,VLOOKUP(Control!$AJ$10,Control!$AI$11:$AL$22,4)),VLOOKUP($A27,Euro!$B$29:$Q$182,16)),0)</f>
        <v>2.5000000000000001E-3</v>
      </c>
      <c r="L27" s="23">
        <f t="shared" si="10"/>
        <v>-0.27250000000000002</v>
      </c>
      <c r="M27" s="23"/>
      <c r="N27" s="69">
        <f t="shared" si="1"/>
        <v>3.3864999999999998</v>
      </c>
      <c r="O27" s="69">
        <f>N27+Control!$C$39</f>
        <v>3.3864999999999998</v>
      </c>
      <c r="P27" s="73">
        <f>VLOOKUP($A27,CurveFetch!$D$8:$E$367,2)</f>
        <v>2.70613807895188E-2</v>
      </c>
      <c r="Q27" s="24">
        <f t="shared" si="11"/>
        <v>2.70613807895188E-2</v>
      </c>
      <c r="R27" s="72">
        <f t="shared" ca="1" si="12"/>
        <v>606</v>
      </c>
      <c r="S27" s="25">
        <f>VLOOKUP($A27,Curve_Fetch,VLOOKUP(Control!$AJ$10,Control!$AI$11:$AM$22,5))</f>
        <v>0.35799999999999998</v>
      </c>
      <c r="T27" s="74">
        <f ca="1">_xll.EURO(N27,O27,P27,Q27,S27,R27,IF(Control!$C$38="Call",1,0),0)</f>
        <v>0.59040729334446063</v>
      </c>
      <c r="U27" s="27">
        <f t="shared" ca="1" si="2"/>
        <v>0</v>
      </c>
      <c r="V27" s="76"/>
      <c r="W27" s="197"/>
      <c r="X27" s="197"/>
      <c r="Y27" s="197"/>
      <c r="AA27" s="210"/>
      <c r="AB27" s="210"/>
      <c r="AC27" s="211"/>
      <c r="AD27" s="212"/>
      <c r="AE27" s="213"/>
      <c r="AF27" s="214"/>
      <c r="AG27" s="215"/>
      <c r="AH27" s="216"/>
      <c r="AI27" s="27"/>
      <c r="AJ27" s="28">
        <f t="shared" si="3"/>
        <v>0.27250000000000002</v>
      </c>
      <c r="AL27" s="24">
        <f t="shared" si="13"/>
        <v>2.7619119750419901E-2</v>
      </c>
      <c r="AM27" s="25">
        <f t="shared" ca="1" si="14"/>
        <v>0.951428176610569</v>
      </c>
      <c r="AO27" s="26">
        <f t="shared" ca="1" si="4"/>
        <v>0</v>
      </c>
      <c r="AP27" s="26"/>
      <c r="AQ27" s="26">
        <f t="shared" ca="1" si="5"/>
        <v>0</v>
      </c>
      <c r="AR27" s="26"/>
      <c r="AS27" s="27">
        <f t="shared" ca="1" si="6"/>
        <v>0</v>
      </c>
      <c r="AT27" s="27">
        <f t="shared" ca="1" si="7"/>
        <v>0</v>
      </c>
      <c r="AU27" s="27">
        <f t="shared" ca="1" si="8"/>
        <v>0</v>
      </c>
      <c r="AV27" s="27"/>
      <c r="AW27" s="27"/>
      <c r="AY27" s="216"/>
      <c r="AZ27" s="216"/>
      <c r="BA27" s="233"/>
      <c r="BC27" s="216"/>
      <c r="BE27" s="69"/>
    </row>
    <row r="28" spans="1:57">
      <c r="A28" s="19">
        <f>[1]!_xludf.edate(A27,1)</f>
        <v>37834</v>
      </c>
      <c r="B28" s="21">
        <f t="shared" si="15"/>
        <v>31</v>
      </c>
      <c r="C28" s="20">
        <f>IF(Control!$F$18="Physical",Model!A29+24,Model!A29)</f>
        <v>37889</v>
      </c>
      <c r="E28" s="22">
        <f>IF($A28&lt;End_Date,IF(Control!$C$20="Flat",Control!$C$21,VLOOKUP(Model!$A28,Euro!$B$29:$D$182,3)),0)</f>
        <v>0</v>
      </c>
      <c r="F28" s="22">
        <f t="shared" si="9"/>
        <v>0</v>
      </c>
      <c r="H28" s="23">
        <f>IF(Control!$C$27="Mid",VLOOKUP($A28,CurveFetch!$D$8:$F$367,3),VLOOKUP($A28,Euro!$B$29:$I$182,8))</f>
        <v>3.694</v>
      </c>
      <c r="I28" s="23"/>
      <c r="J28" s="23">
        <f>IF($J$4="Mid",VLOOKUP($A28,Curve_Fetch,VLOOKUP(Control!$AJ$10,Control!$AI$11:$AK$22,3)),VLOOKUP($A28,Euro!$B$29:$M$182,12))</f>
        <v>-0.27500000000000002</v>
      </c>
      <c r="K28" s="228">
        <f>IF(Control!$F$18="Physical",IF($K$4="Mid",VLOOKUP($A28,Curve_Fetch,VLOOKUP(Control!$AJ$10,Control!$AI$11:$AL$22,4)),VLOOKUP($A28,Euro!$B$29:$Q$182,16)),0)</f>
        <v>2.5000000000000001E-3</v>
      </c>
      <c r="L28" s="23">
        <f t="shared" si="10"/>
        <v>-0.27250000000000002</v>
      </c>
      <c r="M28" s="23"/>
      <c r="N28" s="69">
        <f t="shared" si="1"/>
        <v>3.4215</v>
      </c>
      <c r="O28" s="69">
        <f>N28+Control!$C$39</f>
        <v>3.4215</v>
      </c>
      <c r="P28" s="73">
        <f>VLOOKUP($A28,CurveFetch!$D$8:$E$367,2)</f>
        <v>2.7619119750419901E-2</v>
      </c>
      <c r="Q28" s="24">
        <f t="shared" si="11"/>
        <v>2.7619119750419901E-2</v>
      </c>
      <c r="R28" s="72">
        <f t="shared" ca="1" si="12"/>
        <v>637</v>
      </c>
      <c r="S28" s="25">
        <f>VLOOKUP($A28,Curve_Fetch,VLOOKUP(Control!$AJ$10,Control!$AI$11:$AM$22,5))</f>
        <v>0.35799999999999998</v>
      </c>
      <c r="T28" s="74">
        <f ca="1">_xll.EURO(N28,O28,P28,Q28,S28,R28,IF(Control!$C$38="Call",1,0),0)</f>
        <v>0.60930569548066038</v>
      </c>
      <c r="U28" s="27">
        <f t="shared" ca="1" si="2"/>
        <v>0</v>
      </c>
      <c r="V28" s="76"/>
      <c r="W28" s="197"/>
      <c r="X28" s="197"/>
      <c r="Y28" s="197"/>
      <c r="AA28" s="210"/>
      <c r="AB28" s="210"/>
      <c r="AC28" s="211"/>
      <c r="AD28" s="212"/>
      <c r="AE28" s="213"/>
      <c r="AF28" s="214"/>
      <c r="AG28" s="215"/>
      <c r="AH28" s="216"/>
      <c r="AI28" s="27"/>
      <c r="AJ28" s="28">
        <f t="shared" si="3"/>
        <v>0.27250000000000002</v>
      </c>
      <c r="AL28" s="24">
        <f t="shared" si="13"/>
        <v>2.8176858816330301E-2</v>
      </c>
      <c r="AM28" s="25">
        <f t="shared" ca="1" si="14"/>
        <v>0.94822417553968397</v>
      </c>
      <c r="AO28" s="26">
        <f t="shared" ca="1" si="4"/>
        <v>0</v>
      </c>
      <c r="AP28" s="26"/>
      <c r="AQ28" s="26">
        <f t="shared" ca="1" si="5"/>
        <v>0</v>
      </c>
      <c r="AR28" s="26"/>
      <c r="AS28" s="27">
        <f t="shared" ca="1" si="6"/>
        <v>0</v>
      </c>
      <c r="AT28" s="27">
        <f t="shared" ca="1" si="7"/>
        <v>0</v>
      </c>
      <c r="AU28" s="27">
        <f t="shared" ca="1" si="8"/>
        <v>0</v>
      </c>
      <c r="AV28" s="27"/>
      <c r="AW28" s="27"/>
      <c r="AY28" s="216"/>
      <c r="AZ28" s="216"/>
      <c r="BA28" s="233"/>
      <c r="BC28" s="216"/>
      <c r="BE28" s="69"/>
    </row>
    <row r="29" spans="1:57">
      <c r="A29" s="19">
        <f>[1]!_xludf.edate(A28,1)</f>
        <v>37865</v>
      </c>
      <c r="B29" s="21">
        <f t="shared" si="15"/>
        <v>30</v>
      </c>
      <c r="C29" s="20">
        <f>IF(Control!$F$18="Physical",Model!A30+24,Model!A30)</f>
        <v>37919</v>
      </c>
      <c r="E29" s="22">
        <f>IF($A29&lt;End_Date,IF(Control!$C$20="Flat",Control!$C$21,VLOOKUP(Model!$A29,Euro!$B$29:$D$182,3)),0)</f>
        <v>0</v>
      </c>
      <c r="F29" s="22">
        <f t="shared" si="9"/>
        <v>0</v>
      </c>
      <c r="H29" s="23">
        <f>IF(Control!$C$27="Mid",VLOOKUP($A29,CurveFetch!$D$8:$F$367,3),VLOOKUP($A29,Euro!$B$29:$I$182,8))</f>
        <v>3.7010000000000001</v>
      </c>
      <c r="I29" s="23"/>
      <c r="J29" s="23">
        <f>IF($J$4="Mid",VLOOKUP($A29,Curve_Fetch,VLOOKUP(Control!$AJ$10,Control!$AI$11:$AK$22,3)),VLOOKUP($A29,Euro!$B$29:$M$182,12))</f>
        <v>-0.27500000000000002</v>
      </c>
      <c r="K29" s="228">
        <f>IF(Control!$F$18="Physical",IF($K$4="Mid",VLOOKUP($A29,Curve_Fetch,VLOOKUP(Control!$AJ$10,Control!$AI$11:$AL$22,4)),VLOOKUP($A29,Euro!$B$29:$Q$182,16)),0)</f>
        <v>2.5000000000000001E-3</v>
      </c>
      <c r="L29" s="23">
        <f t="shared" si="10"/>
        <v>-0.27250000000000002</v>
      </c>
      <c r="M29" s="23"/>
      <c r="N29" s="69">
        <f t="shared" si="1"/>
        <v>3.4285000000000001</v>
      </c>
      <c r="O29" s="69">
        <f>N29+Control!$C$39</f>
        <v>3.4285000000000001</v>
      </c>
      <c r="P29" s="73">
        <f>VLOOKUP($A29,CurveFetch!$D$8:$E$367,2)</f>
        <v>2.8176858816330301E-2</v>
      </c>
      <c r="Q29" s="24">
        <f t="shared" si="11"/>
        <v>2.8176858816330301E-2</v>
      </c>
      <c r="R29" s="72">
        <f t="shared" ca="1" si="12"/>
        <v>668</v>
      </c>
      <c r="S29" s="25">
        <f>VLOOKUP($A29,Curve_Fetch,VLOOKUP(Control!$AJ$10,Control!$AI$11:$AM$22,5))</f>
        <v>0.35799999999999998</v>
      </c>
      <c r="T29" s="74">
        <f ca="1">_xll.EURO(N29,O29,P29,Q29,S29,R29,IF(Control!$C$38="Call",1,0),0)</f>
        <v>0.62285215841425212</v>
      </c>
      <c r="U29" s="27">
        <f t="shared" ca="1" si="2"/>
        <v>0</v>
      </c>
      <c r="V29" s="76"/>
      <c r="W29" s="197"/>
      <c r="X29" s="197"/>
      <c r="Y29" s="197"/>
      <c r="AA29" s="210"/>
      <c r="AB29" s="210"/>
      <c r="AC29" s="211"/>
      <c r="AD29" s="212"/>
      <c r="AE29" s="213"/>
      <c r="AF29" s="214"/>
      <c r="AG29" s="215"/>
      <c r="AH29" s="216"/>
      <c r="AI29" s="27"/>
      <c r="AJ29" s="28">
        <f t="shared" si="3"/>
        <v>0.27250000000000002</v>
      </c>
      <c r="AL29" s="24">
        <f t="shared" si="13"/>
        <v>2.8715037007064102E-2</v>
      </c>
      <c r="AM29" s="25">
        <f t="shared" ca="1" si="14"/>
        <v>0.94505294977553922</v>
      </c>
      <c r="AO29" s="26">
        <f t="shared" ca="1" si="4"/>
        <v>0</v>
      </c>
      <c r="AP29" s="26"/>
      <c r="AQ29" s="26">
        <f t="shared" ca="1" si="5"/>
        <v>0</v>
      </c>
      <c r="AR29" s="26"/>
      <c r="AS29" s="27">
        <f t="shared" ca="1" si="6"/>
        <v>0</v>
      </c>
      <c r="AT29" s="27">
        <f t="shared" ca="1" si="7"/>
        <v>0</v>
      </c>
      <c r="AU29" s="27">
        <f t="shared" ca="1" si="8"/>
        <v>0</v>
      </c>
      <c r="AV29" s="27"/>
      <c r="AW29" s="27"/>
      <c r="AY29" s="216"/>
      <c r="AZ29" s="216"/>
      <c r="BA29" s="233"/>
      <c r="BC29" s="216"/>
      <c r="BE29" s="69"/>
    </row>
    <row r="30" spans="1:57">
      <c r="A30" s="19">
        <f>[1]!_xludf.edate(A29,1)</f>
        <v>37895</v>
      </c>
      <c r="B30" s="21">
        <f t="shared" si="15"/>
        <v>31</v>
      </c>
      <c r="C30" s="20">
        <f>IF(Control!$F$18="Physical",Model!A31+24,Model!A31)</f>
        <v>37950</v>
      </c>
      <c r="E30" s="22">
        <f>IF($A30&lt;End_Date,IF(Control!$C$20="Flat",Control!$C$21,VLOOKUP(Model!$A30,Euro!$B$29:$D$182,3)),0)</f>
        <v>0</v>
      </c>
      <c r="F30" s="22">
        <f t="shared" si="9"/>
        <v>0</v>
      </c>
      <c r="H30" s="23">
        <f>IF(Control!$C$27="Mid",VLOOKUP($A30,CurveFetch!$D$8:$F$367,3),VLOOKUP($A30,Euro!$B$29:$I$182,8))</f>
        <v>3.7290000000000001</v>
      </c>
      <c r="I30" s="23"/>
      <c r="J30" s="23">
        <f>IF($J$4="Mid",VLOOKUP($A30,Curve_Fetch,VLOOKUP(Control!$AJ$10,Control!$AI$11:$AK$22,3)),VLOOKUP($A30,Euro!$B$29:$M$182,12))</f>
        <v>-0.27500000000000002</v>
      </c>
      <c r="K30" s="228">
        <f>IF(Control!$F$18="Physical",IF($K$4="Mid",VLOOKUP($A30,Curve_Fetch,VLOOKUP(Control!$AJ$10,Control!$AI$11:$AL$22,4)),VLOOKUP($A30,Euro!$B$29:$Q$182,16)),0)</f>
        <v>2.5000000000000001E-3</v>
      </c>
      <c r="L30" s="23">
        <f t="shared" si="10"/>
        <v>-0.27250000000000002</v>
      </c>
      <c r="M30" s="23"/>
      <c r="N30" s="69">
        <f t="shared" si="1"/>
        <v>3.4565000000000001</v>
      </c>
      <c r="O30" s="69">
        <f>N30+Control!$C$39</f>
        <v>3.4565000000000001</v>
      </c>
      <c r="P30" s="73">
        <f>VLOOKUP($A30,CurveFetch!$D$8:$E$367,2)</f>
        <v>2.8715037007064102E-2</v>
      </c>
      <c r="Q30" s="24">
        <f t="shared" si="11"/>
        <v>2.8715037007064102E-2</v>
      </c>
      <c r="R30" s="72">
        <f t="shared" ca="1" si="12"/>
        <v>698</v>
      </c>
      <c r="S30" s="25">
        <f>VLOOKUP($A30,Curve_Fetch,VLOOKUP(Control!$AJ$10,Control!$AI$11:$AM$22,5))</f>
        <v>0.35799999999999998</v>
      </c>
      <c r="T30" s="74">
        <f ca="1">_xll.EURO(N30,O30,P30,Q30,S30,R30,IF(Control!$C$38="Call",1,0),0)</f>
        <v>0.63946404077035091</v>
      </c>
      <c r="U30" s="27">
        <f t="shared" ca="1" si="2"/>
        <v>0</v>
      </c>
      <c r="V30" s="76"/>
      <c r="W30" s="197"/>
      <c r="X30" s="197"/>
      <c r="Y30" s="197"/>
      <c r="AA30" s="210"/>
      <c r="AB30" s="210"/>
      <c r="AC30" s="211"/>
      <c r="AD30" s="212"/>
      <c r="AE30" s="213"/>
      <c r="AF30" s="214"/>
      <c r="AG30" s="215"/>
      <c r="AH30" s="216"/>
      <c r="AI30" s="27"/>
      <c r="AJ30" s="28">
        <f t="shared" si="3"/>
        <v>0.27250000000000002</v>
      </c>
      <c r="AL30" s="24">
        <f t="shared" si="13"/>
        <v>2.9269192084716799E-2</v>
      </c>
      <c r="AM30" s="25">
        <f t="shared" ca="1" si="14"/>
        <v>0.94170497133191045</v>
      </c>
      <c r="AO30" s="26">
        <f t="shared" ca="1" si="4"/>
        <v>0</v>
      </c>
      <c r="AP30" s="26"/>
      <c r="AQ30" s="26">
        <f t="shared" ca="1" si="5"/>
        <v>0</v>
      </c>
      <c r="AR30" s="26"/>
      <c r="AS30" s="27">
        <f t="shared" ca="1" si="6"/>
        <v>0</v>
      </c>
      <c r="AT30" s="27">
        <f t="shared" ca="1" si="7"/>
        <v>0</v>
      </c>
      <c r="AU30" s="27">
        <f t="shared" ca="1" si="8"/>
        <v>0</v>
      </c>
      <c r="AV30" s="27"/>
      <c r="AW30" s="27"/>
      <c r="AY30" s="216"/>
      <c r="AZ30" s="216"/>
      <c r="BA30" s="233"/>
      <c r="BC30" s="216"/>
      <c r="BE30" s="69"/>
    </row>
    <row r="31" spans="1:57">
      <c r="A31" s="19">
        <f>[1]!_xludf.edate(A30,1)</f>
        <v>37926</v>
      </c>
      <c r="B31" s="21">
        <f t="shared" si="15"/>
        <v>30</v>
      </c>
      <c r="C31" s="20">
        <f>IF(Control!$F$18="Physical",Model!A32+24,Model!A32)</f>
        <v>37980</v>
      </c>
      <c r="E31" s="22">
        <f>IF($A31&lt;End_Date,IF(Control!$C$20="Flat",Control!$C$21,VLOOKUP(Model!$A31,Euro!$B$29:$D$182,3)),0)</f>
        <v>0</v>
      </c>
      <c r="F31" s="22">
        <f t="shared" si="9"/>
        <v>0</v>
      </c>
      <c r="H31" s="23">
        <f>IF(Control!$C$27="Mid",VLOOKUP($A31,CurveFetch!$D$8:$F$367,3),VLOOKUP($A31,Euro!$B$29:$I$182,8))</f>
        <v>3.9020000000000001</v>
      </c>
      <c r="I31" s="23"/>
      <c r="J31" s="23">
        <f>IF($J$4="Mid",VLOOKUP($A31,Curve_Fetch,VLOOKUP(Control!$AJ$10,Control!$AI$11:$AK$22,3)),VLOOKUP($A31,Euro!$B$29:$M$182,12))</f>
        <v>-0.155</v>
      </c>
      <c r="K31" s="228">
        <f>IF(Control!$F$18="Physical",IF($K$4="Mid",VLOOKUP($A31,Curve_Fetch,VLOOKUP(Control!$AJ$10,Control!$AI$11:$AL$22,4)),VLOOKUP($A31,Euro!$B$29:$Q$182,16)),0)</f>
        <v>5.0000000000000001E-3</v>
      </c>
      <c r="L31" s="23">
        <f t="shared" si="10"/>
        <v>-0.15</v>
      </c>
      <c r="M31" s="23"/>
      <c r="N31" s="69">
        <f t="shared" si="1"/>
        <v>3.7520000000000002</v>
      </c>
      <c r="O31" s="69">
        <f>N31+Control!$C$39</f>
        <v>3.7520000000000002</v>
      </c>
      <c r="P31" s="73">
        <f>VLOOKUP($A31,CurveFetch!$D$8:$E$367,2)</f>
        <v>2.9269192084716799E-2</v>
      </c>
      <c r="Q31" s="24">
        <f t="shared" si="11"/>
        <v>2.9269192084716799E-2</v>
      </c>
      <c r="R31" s="72">
        <f t="shared" ca="1" si="12"/>
        <v>729</v>
      </c>
      <c r="S31" s="25">
        <f>VLOOKUP($A31,Curve_Fetch,VLOOKUP(Control!$AJ$10,Control!$AI$11:$AM$22,5))</f>
        <v>0.35799999999999998</v>
      </c>
      <c r="T31" s="74">
        <f ca="1">_xll.EURO(N31,O31,P31,Q31,S31,R31,IF(Control!$C$38="Call",1,0),0)</f>
        <v>0.70655253771150406</v>
      </c>
      <c r="U31" s="27">
        <f t="shared" ca="1" si="2"/>
        <v>0</v>
      </c>
      <c r="V31" s="76"/>
      <c r="W31" s="197"/>
      <c r="X31" s="197"/>
      <c r="Y31" s="197"/>
      <c r="AA31" s="210"/>
      <c r="AB31" s="210"/>
      <c r="AC31" s="211"/>
      <c r="AD31" s="212"/>
      <c r="AE31" s="213"/>
      <c r="AF31" s="214"/>
      <c r="AG31" s="215"/>
      <c r="AH31" s="216"/>
      <c r="AI31" s="27"/>
      <c r="AJ31" s="28">
        <f t="shared" si="3"/>
        <v>0.15</v>
      </c>
      <c r="AL31" s="24">
        <f t="shared" si="13"/>
        <v>2.9805471290744699E-2</v>
      </c>
      <c r="AM31" s="25">
        <f t="shared" ca="1" si="14"/>
        <v>0.93839372334129223</v>
      </c>
      <c r="AO31" s="26">
        <f t="shared" ca="1" si="4"/>
        <v>0</v>
      </c>
      <c r="AP31" s="26"/>
      <c r="AQ31" s="26">
        <f t="shared" ca="1" si="5"/>
        <v>0</v>
      </c>
      <c r="AR31" s="26"/>
      <c r="AS31" s="27">
        <f t="shared" ca="1" si="6"/>
        <v>0</v>
      </c>
      <c r="AT31" s="27">
        <f t="shared" ca="1" si="7"/>
        <v>0</v>
      </c>
      <c r="AU31" s="27">
        <f t="shared" ca="1" si="8"/>
        <v>0</v>
      </c>
      <c r="AV31" s="27"/>
      <c r="AW31" s="27"/>
      <c r="AY31" s="216"/>
      <c r="AZ31" s="216"/>
      <c r="BA31" s="233"/>
      <c r="BC31" s="216"/>
      <c r="BE31" s="69"/>
    </row>
    <row r="32" spans="1:57">
      <c r="A32" s="19">
        <f>[1]!_xludf.edate(A31,1)</f>
        <v>37956</v>
      </c>
      <c r="B32" s="21">
        <f t="shared" si="15"/>
        <v>31</v>
      </c>
      <c r="C32" s="20">
        <f>IF(Control!$F$18="Physical",Model!A33+24,Model!A33)</f>
        <v>38011</v>
      </c>
      <c r="E32" s="22">
        <f>IF($A32&lt;End_Date,IF(Control!$C$20="Flat",Control!$C$21,VLOOKUP(Model!$A32,Euro!$B$29:$D$182,3)),0)</f>
        <v>0</v>
      </c>
      <c r="F32" s="22">
        <f t="shared" si="9"/>
        <v>0</v>
      </c>
      <c r="H32" s="23">
        <f>IF(Control!$C$27="Mid",VLOOKUP($A32,CurveFetch!$D$8:$F$367,3),VLOOKUP($A32,Euro!$B$29:$I$182,8))</f>
        <v>4.0540000000000003</v>
      </c>
      <c r="I32" s="23"/>
      <c r="J32" s="23">
        <f>IF($J$4="Mid",VLOOKUP($A32,Curve_Fetch,VLOOKUP(Control!$AJ$10,Control!$AI$11:$AK$22,3)),VLOOKUP($A32,Euro!$B$29:$M$182,12))</f>
        <v>-0.155</v>
      </c>
      <c r="K32" s="228">
        <f>IF(Control!$F$18="Physical",IF($K$4="Mid",VLOOKUP($A32,Curve_Fetch,VLOOKUP(Control!$AJ$10,Control!$AI$11:$AL$22,4)),VLOOKUP($A32,Euro!$B$29:$Q$182,16)),0)</f>
        <v>5.0000000000000001E-3</v>
      </c>
      <c r="L32" s="23">
        <f t="shared" si="10"/>
        <v>-0.15</v>
      </c>
      <c r="M32" s="23"/>
      <c r="N32" s="69">
        <f t="shared" si="1"/>
        <v>3.9040000000000004</v>
      </c>
      <c r="O32" s="69">
        <f>N32+Control!$C$39</f>
        <v>3.9040000000000004</v>
      </c>
      <c r="P32" s="73">
        <f>VLOOKUP($A32,CurveFetch!$D$8:$E$367,2)</f>
        <v>2.9805471290744699E-2</v>
      </c>
      <c r="Q32" s="24">
        <f t="shared" si="11"/>
        <v>2.9805471290744699E-2</v>
      </c>
      <c r="R32" s="72">
        <f t="shared" ca="1" si="12"/>
        <v>759</v>
      </c>
      <c r="S32" s="25">
        <f>VLOOKUP($A32,Curve_Fetch,VLOOKUP(Control!$AJ$10,Control!$AI$11:$AM$22,5))</f>
        <v>0.35799999999999998</v>
      </c>
      <c r="T32" s="74">
        <f ca="1">_xll.EURO(N32,O32,P32,Q32,S32,R32,IF(Control!$C$38="Call",1,0),0)</f>
        <v>0.74719108587953253</v>
      </c>
      <c r="U32" s="27">
        <f t="shared" ca="1" si="2"/>
        <v>0</v>
      </c>
      <c r="V32" s="76"/>
      <c r="W32" s="197"/>
      <c r="X32" s="197"/>
      <c r="Y32" s="197"/>
      <c r="AA32" s="210"/>
      <c r="AB32" s="210"/>
      <c r="AC32" s="211"/>
      <c r="AD32" s="212"/>
      <c r="AE32" s="213"/>
      <c r="AF32" s="214"/>
      <c r="AG32" s="215"/>
      <c r="AH32" s="216"/>
      <c r="AI32" s="27"/>
      <c r="AJ32" s="28">
        <f t="shared" si="3"/>
        <v>0.15</v>
      </c>
      <c r="AL32" s="24">
        <f t="shared" si="13"/>
        <v>3.0361701596499601E-2</v>
      </c>
      <c r="AM32" s="25">
        <f t="shared" ca="1" si="14"/>
        <v>0.93489510012994881</v>
      </c>
      <c r="AO32" s="26">
        <f t="shared" ca="1" si="4"/>
        <v>0</v>
      </c>
      <c r="AP32" s="26"/>
      <c r="AQ32" s="26">
        <f t="shared" ca="1" si="5"/>
        <v>0</v>
      </c>
      <c r="AR32" s="26"/>
      <c r="AS32" s="27">
        <f t="shared" ca="1" si="6"/>
        <v>0</v>
      </c>
      <c r="AT32" s="27">
        <f t="shared" ca="1" si="7"/>
        <v>0</v>
      </c>
      <c r="AU32" s="27">
        <f t="shared" ca="1" si="8"/>
        <v>0</v>
      </c>
      <c r="AV32" s="27"/>
      <c r="AW32" s="27"/>
      <c r="AY32" s="216"/>
      <c r="AZ32" s="216"/>
      <c r="BA32" s="233"/>
      <c r="BC32" s="216"/>
      <c r="BE32" s="69"/>
    </row>
    <row r="33" spans="1:57">
      <c r="A33" s="19">
        <f>[1]!_xludf.edate(A32,1)</f>
        <v>37987</v>
      </c>
      <c r="B33" s="21">
        <f t="shared" si="15"/>
        <v>31</v>
      </c>
      <c r="C33" s="20">
        <f>IF(Control!$F$18="Physical",Model!A34+24,Model!A34)</f>
        <v>38042</v>
      </c>
      <c r="E33" s="22">
        <f>IF($A33&lt;End_Date,IF(Control!$C$20="Flat",Control!$C$21,VLOOKUP(Model!$A33,Euro!$B$29:$D$182,3)),0)</f>
        <v>0</v>
      </c>
      <c r="F33" s="22">
        <f t="shared" si="9"/>
        <v>0</v>
      </c>
      <c r="H33" s="23">
        <f>IF(Control!$C$27="Mid",VLOOKUP($A33,CurveFetch!$D$8:$F$367,3),VLOOKUP($A33,Euro!$B$29:$I$182,8))</f>
        <v>4.1040000000000001</v>
      </c>
      <c r="I33" s="23"/>
      <c r="J33" s="23">
        <f>IF($J$4="Mid",VLOOKUP($A33,Curve_Fetch,VLOOKUP(Control!$AJ$10,Control!$AI$11:$AK$22,3)),VLOOKUP($A33,Euro!$B$29:$M$182,12))</f>
        <v>-0.155</v>
      </c>
      <c r="K33" s="228">
        <f>IF(Control!$F$18="Physical",IF($K$4="Mid",VLOOKUP($A33,Curve_Fetch,VLOOKUP(Control!$AJ$10,Control!$AI$11:$AL$22,4)),VLOOKUP($A33,Euro!$B$29:$Q$182,16)),0)</f>
        <v>5.0000000000000001E-3</v>
      </c>
      <c r="L33" s="23">
        <f t="shared" si="10"/>
        <v>-0.15</v>
      </c>
      <c r="M33" s="23"/>
      <c r="N33" s="69">
        <f t="shared" si="1"/>
        <v>3.9540000000000002</v>
      </c>
      <c r="O33" s="69">
        <f>N33+Control!$C$39</f>
        <v>3.9540000000000002</v>
      </c>
      <c r="P33" s="73">
        <f>VLOOKUP($A33,CurveFetch!$D$8:$E$367,2)</f>
        <v>3.0361701596499601E-2</v>
      </c>
      <c r="Q33" s="24">
        <f t="shared" si="11"/>
        <v>3.0361701596499601E-2</v>
      </c>
      <c r="R33" s="72">
        <f t="shared" ca="1" si="12"/>
        <v>790</v>
      </c>
      <c r="S33" s="25">
        <f>VLOOKUP($A33,Curve_Fetch,VLOOKUP(Control!$AJ$10,Control!$AI$11:$AM$22,5))</f>
        <v>0.35299999999999998</v>
      </c>
      <c r="T33" s="74">
        <f ca="1">_xll.EURO(N33,O33,P33,Q33,S33,R33,IF(Control!$C$38="Call",1,0),0)</f>
        <v>0.75834105654839989</v>
      </c>
      <c r="U33" s="27">
        <f t="shared" ca="1" si="2"/>
        <v>0</v>
      </c>
      <c r="V33" s="76"/>
      <c r="W33" s="197"/>
      <c r="X33" s="197"/>
      <c r="Y33" s="197"/>
      <c r="AA33" s="210"/>
      <c r="AB33" s="210"/>
      <c r="AC33" s="211"/>
      <c r="AD33" s="212"/>
      <c r="AE33" s="213"/>
      <c r="AF33" s="214"/>
      <c r="AG33" s="215"/>
      <c r="AH33" s="216"/>
      <c r="AI33" s="27"/>
      <c r="AJ33" s="28">
        <f t="shared" si="3"/>
        <v>0.15</v>
      </c>
      <c r="AL33" s="24">
        <f t="shared" si="13"/>
        <v>3.0920145366236398E-2</v>
      </c>
      <c r="AM33" s="25">
        <f t="shared" ca="1" si="14"/>
        <v>0.93131850256442572</v>
      </c>
      <c r="AO33" s="26">
        <f t="shared" ca="1" si="4"/>
        <v>0</v>
      </c>
      <c r="AP33" s="26"/>
      <c r="AQ33" s="26">
        <f t="shared" ca="1" si="5"/>
        <v>0</v>
      </c>
      <c r="AR33" s="26"/>
      <c r="AS33" s="27">
        <f t="shared" ca="1" si="6"/>
        <v>0</v>
      </c>
      <c r="AT33" s="27">
        <f t="shared" ca="1" si="7"/>
        <v>0</v>
      </c>
      <c r="AU33" s="27">
        <f t="shared" ca="1" si="8"/>
        <v>0</v>
      </c>
      <c r="AV33" s="27"/>
      <c r="AW33" s="27"/>
      <c r="AY33" s="216"/>
      <c r="AZ33" s="216"/>
      <c r="BA33" s="233"/>
      <c r="BC33" s="216"/>
      <c r="BE33" s="69"/>
    </row>
    <row r="34" spans="1:57">
      <c r="A34" s="19">
        <f>[1]!_xludf.edate(A33,1)</f>
        <v>38018</v>
      </c>
      <c r="B34" s="21">
        <f t="shared" si="15"/>
        <v>29</v>
      </c>
      <c r="C34" s="20">
        <f>IF(Control!$F$18="Physical",Model!A35+24,Model!A35)</f>
        <v>38071</v>
      </c>
      <c r="E34" s="22">
        <f>IF($A34&lt;End_Date,IF(Control!$C$20="Flat",Control!$C$21,VLOOKUP(Model!$A34,Euro!$B$29:$D$182,3)),0)</f>
        <v>0</v>
      </c>
      <c r="F34" s="22">
        <f t="shared" si="9"/>
        <v>0</v>
      </c>
      <c r="H34" s="23">
        <f>IF(Control!$C$27="Mid",VLOOKUP($A34,CurveFetch!$D$8:$F$367,3),VLOOKUP($A34,Euro!$B$29:$I$182,8))</f>
        <v>4.016</v>
      </c>
      <c r="I34" s="23"/>
      <c r="J34" s="23">
        <f>IF($J$4="Mid",VLOOKUP($A34,Curve_Fetch,VLOOKUP(Control!$AJ$10,Control!$AI$11:$AK$22,3)),VLOOKUP($A34,Euro!$B$29:$M$182,12))</f>
        <v>-0.155</v>
      </c>
      <c r="K34" s="228">
        <f>IF(Control!$F$18="Physical",IF($K$4="Mid",VLOOKUP($A34,Curve_Fetch,VLOOKUP(Control!$AJ$10,Control!$AI$11:$AL$22,4)),VLOOKUP($A34,Euro!$B$29:$Q$182,16)),0)</f>
        <v>5.0000000000000001E-3</v>
      </c>
      <c r="L34" s="23">
        <f t="shared" si="10"/>
        <v>-0.15</v>
      </c>
      <c r="M34" s="23"/>
      <c r="N34" s="69">
        <f t="shared" si="1"/>
        <v>3.8660000000000001</v>
      </c>
      <c r="O34" s="69">
        <f>N34+Control!$C$39</f>
        <v>3.8660000000000001</v>
      </c>
      <c r="P34" s="73">
        <f>VLOOKUP($A34,CurveFetch!$D$8:$E$367,2)</f>
        <v>3.0920145366236398E-2</v>
      </c>
      <c r="Q34" s="24">
        <f t="shared" si="11"/>
        <v>3.0920145366236398E-2</v>
      </c>
      <c r="R34" s="72">
        <f t="shared" ca="1" si="12"/>
        <v>821</v>
      </c>
      <c r="S34" s="25">
        <f>VLOOKUP($A34,Curve_Fetch,VLOOKUP(Control!$AJ$10,Control!$AI$11:$AM$22,5))</f>
        <v>0.34799999999999998</v>
      </c>
      <c r="T34" s="74">
        <f ca="1">_xll.EURO(N34,O34,P34,Q34,S34,R34,IF(Control!$C$38="Call",1,0),0)</f>
        <v>0.74223198615663355</v>
      </c>
      <c r="U34" s="27">
        <f t="shared" ca="1" si="2"/>
        <v>0</v>
      </c>
      <c r="V34" s="76"/>
      <c r="W34" s="197"/>
      <c r="X34" s="197"/>
      <c r="Y34" s="197"/>
      <c r="AA34" s="210"/>
      <c r="AB34" s="210"/>
      <c r="AC34" s="211"/>
      <c r="AD34" s="212"/>
      <c r="AE34" s="213"/>
      <c r="AF34" s="214"/>
      <c r="AG34" s="215"/>
      <c r="AH34" s="216"/>
      <c r="AI34" s="27"/>
      <c r="AJ34" s="28">
        <f t="shared" si="3"/>
        <v>0.15</v>
      </c>
      <c r="AL34" s="24">
        <f t="shared" si="13"/>
        <v>3.1442560600819298E-2</v>
      </c>
      <c r="AM34" s="25">
        <f t="shared" ca="1" si="14"/>
        <v>0.92790691336756137</v>
      </c>
      <c r="AO34" s="26">
        <f t="shared" ca="1" si="4"/>
        <v>0</v>
      </c>
      <c r="AP34" s="26"/>
      <c r="AQ34" s="26">
        <f t="shared" ca="1" si="5"/>
        <v>0</v>
      </c>
      <c r="AR34" s="26"/>
      <c r="AS34" s="27">
        <f t="shared" ca="1" si="6"/>
        <v>0</v>
      </c>
      <c r="AT34" s="27">
        <f t="shared" ca="1" si="7"/>
        <v>0</v>
      </c>
      <c r="AU34" s="27">
        <f t="shared" ca="1" si="8"/>
        <v>0</v>
      </c>
      <c r="AV34" s="27"/>
      <c r="AW34" s="27"/>
      <c r="AY34" s="216"/>
      <c r="AZ34" s="216"/>
      <c r="BA34" s="233"/>
      <c r="BC34" s="216"/>
      <c r="BE34" s="69"/>
    </row>
    <row r="35" spans="1:57">
      <c r="A35" s="19">
        <f>[1]!_xludf.edate(A34,1)</f>
        <v>38047</v>
      </c>
      <c r="B35" s="21">
        <f t="shared" si="15"/>
        <v>31</v>
      </c>
      <c r="C35" s="20">
        <f>IF(Control!$F$18="Physical",Model!A36+24,Model!A36)</f>
        <v>38102</v>
      </c>
      <c r="E35" s="22">
        <f>IF($A35&lt;End_Date,IF(Control!$C$20="Flat",Control!$C$21,VLOOKUP(Model!$A35,Euro!$B$29:$D$182,3)),0)</f>
        <v>0</v>
      </c>
      <c r="F35" s="22">
        <f t="shared" si="9"/>
        <v>0</v>
      </c>
      <c r="H35" s="23">
        <f>IF(Control!$C$27="Mid",VLOOKUP($A35,CurveFetch!$D$8:$F$367,3),VLOOKUP($A35,Euro!$B$29:$I$182,8))</f>
        <v>3.8769999999999998</v>
      </c>
      <c r="I35" s="23"/>
      <c r="J35" s="23">
        <f>IF($J$4="Mid",VLOOKUP($A35,Curve_Fetch,VLOOKUP(Control!$AJ$10,Control!$AI$11:$AK$22,3)),VLOOKUP($A35,Euro!$B$29:$M$182,12))</f>
        <v>-0.155</v>
      </c>
      <c r="K35" s="228">
        <f>IF(Control!$F$18="Physical",IF($K$4="Mid",VLOOKUP($A35,Curve_Fetch,VLOOKUP(Control!$AJ$10,Control!$AI$11:$AL$22,4)),VLOOKUP($A35,Euro!$B$29:$Q$182,16)),0)</f>
        <v>5.0000000000000001E-3</v>
      </c>
      <c r="L35" s="23">
        <f t="shared" si="10"/>
        <v>-0.15</v>
      </c>
      <c r="M35" s="23"/>
      <c r="N35" s="69">
        <f t="shared" si="1"/>
        <v>3.7269999999999999</v>
      </c>
      <c r="O35" s="69">
        <f>N35+Control!$C$39</f>
        <v>3.7269999999999999</v>
      </c>
      <c r="P35" s="73">
        <f>VLOOKUP($A35,CurveFetch!$D$8:$E$367,2)</f>
        <v>3.1442560600819298E-2</v>
      </c>
      <c r="Q35" s="24">
        <f t="shared" si="11"/>
        <v>3.1442560600819298E-2</v>
      </c>
      <c r="R35" s="72">
        <f t="shared" ca="1" si="12"/>
        <v>850</v>
      </c>
      <c r="S35" s="25">
        <f>VLOOKUP($A35,Curve_Fetch,VLOOKUP(Control!$AJ$10,Control!$AI$11:$AM$22,5))</f>
        <v>0.33500000000000002</v>
      </c>
      <c r="T35" s="74">
        <f ca="1">_xll.EURO(N35,O35,P35,Q35,S35,R35,IF(Control!$C$38="Call",1,0),0)</f>
        <v>0.69862580076466219</v>
      </c>
      <c r="U35" s="27">
        <f t="shared" ca="1" si="2"/>
        <v>0</v>
      </c>
      <c r="V35" s="76"/>
      <c r="W35" s="197"/>
      <c r="X35" s="197"/>
      <c r="Y35" s="197"/>
      <c r="AA35" s="210"/>
      <c r="AB35" s="210"/>
      <c r="AC35" s="211"/>
      <c r="AD35" s="212"/>
      <c r="AE35" s="213"/>
      <c r="AF35" s="214"/>
      <c r="AG35" s="215"/>
      <c r="AH35" s="216"/>
      <c r="AI35" s="27"/>
      <c r="AJ35" s="28">
        <f t="shared" si="3"/>
        <v>0.15</v>
      </c>
      <c r="AL35" s="24">
        <f t="shared" si="13"/>
        <v>3.1971658072825503E-2</v>
      </c>
      <c r="AM35" s="25">
        <f t="shared" ca="1" si="14"/>
        <v>0.92425700410725253</v>
      </c>
      <c r="AO35" s="26">
        <f t="shared" ca="1" si="4"/>
        <v>0</v>
      </c>
      <c r="AP35" s="26"/>
      <c r="AQ35" s="26">
        <f t="shared" ca="1" si="5"/>
        <v>0</v>
      </c>
      <c r="AR35" s="26"/>
      <c r="AS35" s="27">
        <f t="shared" ca="1" si="6"/>
        <v>0</v>
      </c>
      <c r="AT35" s="27">
        <f t="shared" ca="1" si="7"/>
        <v>0</v>
      </c>
      <c r="AU35" s="27">
        <f t="shared" ca="1" si="8"/>
        <v>0</v>
      </c>
      <c r="AV35" s="27"/>
      <c r="AW35" s="27"/>
      <c r="AY35" s="216"/>
      <c r="AZ35" s="216"/>
      <c r="BA35" s="233"/>
      <c r="BC35" s="216"/>
      <c r="BE35" s="69"/>
    </row>
    <row r="36" spans="1:57">
      <c r="A36" s="19">
        <f>[1]!_xludf.edate(A35,1)</f>
        <v>38078</v>
      </c>
      <c r="B36" s="21">
        <f t="shared" si="15"/>
        <v>30</v>
      </c>
      <c r="C36" s="20">
        <f>IF(Control!$F$18="Physical",Model!A37+24,Model!A37)</f>
        <v>38132</v>
      </c>
      <c r="E36" s="22">
        <f>IF($A36&lt;End_Date,IF(Control!$C$20="Flat",Control!$C$21,VLOOKUP(Model!$A36,Euro!$B$29:$D$182,3)),0)</f>
        <v>0</v>
      </c>
      <c r="F36" s="22">
        <f t="shared" si="9"/>
        <v>0</v>
      </c>
      <c r="H36" s="23">
        <f>IF(Control!$C$27="Mid",VLOOKUP($A36,CurveFetch!$D$8:$F$367,3),VLOOKUP($A36,Euro!$B$29:$I$182,8))</f>
        <v>3.7229999999999999</v>
      </c>
      <c r="I36" s="23"/>
      <c r="J36" s="23">
        <f>IF($J$4="Mid",VLOOKUP($A36,Curve_Fetch,VLOOKUP(Control!$AJ$10,Control!$AI$11:$AK$22,3)),VLOOKUP($A36,Euro!$B$29:$M$182,12))</f>
        <v>-0.22</v>
      </c>
      <c r="K36" s="228">
        <f>IF(Control!$F$18="Physical",IF($K$4="Mid",VLOOKUP($A36,Curve_Fetch,VLOOKUP(Control!$AJ$10,Control!$AI$11:$AL$22,4)),VLOOKUP($A36,Euro!$B$29:$Q$182,16)),0)</f>
        <v>2.5000000000000001E-3</v>
      </c>
      <c r="L36" s="23">
        <f t="shared" si="10"/>
        <v>-0.2175</v>
      </c>
      <c r="M36" s="23"/>
      <c r="N36" s="69">
        <f t="shared" si="1"/>
        <v>3.5055000000000001</v>
      </c>
      <c r="O36" s="69">
        <f>N36+Control!$C$39</f>
        <v>3.5055000000000001</v>
      </c>
      <c r="P36" s="73">
        <f>VLOOKUP($A36,CurveFetch!$D$8:$E$367,2)</f>
        <v>3.1971658072825503E-2</v>
      </c>
      <c r="Q36" s="24">
        <f t="shared" si="11"/>
        <v>3.1971658072825503E-2</v>
      </c>
      <c r="R36" s="72">
        <f t="shared" ca="1" si="12"/>
        <v>881</v>
      </c>
      <c r="S36" s="25">
        <f>VLOOKUP($A36,Curve_Fetch,VLOOKUP(Control!$AJ$10,Control!$AI$11:$AM$22,5))</f>
        <v>0.308</v>
      </c>
      <c r="T36" s="74">
        <f ca="1">_xll.EURO(N36,O36,P36,Q36,S36,R36,IF(Control!$C$38="Call",1,0),0)</f>
        <v>0.61346110381568075</v>
      </c>
      <c r="U36" s="27">
        <f t="shared" ca="1" si="2"/>
        <v>0</v>
      </c>
      <c r="V36" s="76"/>
      <c r="W36" s="197"/>
      <c r="X36" s="197"/>
      <c r="Y36" s="197"/>
      <c r="AA36" s="210"/>
      <c r="AB36" s="210"/>
      <c r="AC36" s="211"/>
      <c r="AD36" s="212"/>
      <c r="AE36" s="213"/>
      <c r="AF36" s="214"/>
      <c r="AG36" s="215"/>
      <c r="AH36" s="216"/>
      <c r="AI36" s="27"/>
      <c r="AJ36" s="28">
        <f t="shared" si="3"/>
        <v>0.2175</v>
      </c>
      <c r="AL36" s="24">
        <f t="shared" si="13"/>
        <v>3.2453394806852803E-2</v>
      </c>
      <c r="AM36" s="25">
        <f t="shared" ca="1" si="14"/>
        <v>0.92073171237519769</v>
      </c>
      <c r="AO36" s="26">
        <f t="shared" ca="1" si="4"/>
        <v>0</v>
      </c>
      <c r="AP36" s="26"/>
      <c r="AQ36" s="26">
        <f t="shared" ca="1" si="5"/>
        <v>0</v>
      </c>
      <c r="AR36" s="26"/>
      <c r="AS36" s="27">
        <f t="shared" ca="1" si="6"/>
        <v>0</v>
      </c>
      <c r="AT36" s="27">
        <f t="shared" ca="1" si="7"/>
        <v>0</v>
      </c>
      <c r="AU36" s="27">
        <f t="shared" ca="1" si="8"/>
        <v>0</v>
      </c>
      <c r="AV36" s="27"/>
      <c r="AW36" s="27"/>
      <c r="AY36" s="216"/>
      <c r="AZ36" s="216"/>
      <c r="BA36" s="233"/>
      <c r="BC36" s="216"/>
      <c r="BE36" s="69"/>
    </row>
    <row r="37" spans="1:57">
      <c r="A37" s="19">
        <f>[1]!_xludf.edate(A36,1)</f>
        <v>38108</v>
      </c>
      <c r="B37" s="21">
        <f t="shared" si="15"/>
        <v>31</v>
      </c>
      <c r="C37" s="20">
        <f>IF(Control!$F$18="Physical",Model!A38+24,Model!A38)</f>
        <v>38163</v>
      </c>
      <c r="E37" s="22">
        <f>IF($A37&lt;End_Date,IF(Control!$C$20="Flat",Control!$C$21,VLOOKUP(Model!$A37,Euro!$B$29:$D$182,3)),0)</f>
        <v>0</v>
      </c>
      <c r="F37" s="22">
        <f t="shared" si="9"/>
        <v>0</v>
      </c>
      <c r="H37" s="23">
        <f>IF(Control!$C$27="Mid",VLOOKUP($A37,CurveFetch!$D$8:$F$367,3),VLOOKUP($A37,Euro!$B$29:$I$182,8))</f>
        <v>3.7280000000000002</v>
      </c>
      <c r="I37" s="23"/>
      <c r="J37" s="23">
        <f>IF($J$4="Mid",VLOOKUP($A37,Curve_Fetch,VLOOKUP(Control!$AJ$10,Control!$AI$11:$AK$22,3)),VLOOKUP($A37,Euro!$B$29:$M$182,12))</f>
        <v>-0.22</v>
      </c>
      <c r="K37" s="228">
        <f>IF(Control!$F$18="Physical",IF($K$4="Mid",VLOOKUP($A37,Curve_Fetch,VLOOKUP(Control!$AJ$10,Control!$AI$11:$AL$22,4)),VLOOKUP($A37,Euro!$B$29:$Q$182,16)),0)</f>
        <v>2.5000000000000001E-3</v>
      </c>
      <c r="L37" s="23">
        <f t="shared" si="10"/>
        <v>-0.2175</v>
      </c>
      <c r="M37" s="23"/>
      <c r="N37" s="69">
        <f t="shared" si="1"/>
        <v>3.5105000000000004</v>
      </c>
      <c r="O37" s="69">
        <f>N37+Control!$C$39</f>
        <v>3.5105000000000004</v>
      </c>
      <c r="P37" s="73">
        <f>VLOOKUP($A37,CurveFetch!$D$8:$E$367,2)</f>
        <v>3.2453394806852803E-2</v>
      </c>
      <c r="Q37" s="24">
        <f t="shared" si="11"/>
        <v>3.2453394806852803E-2</v>
      </c>
      <c r="R37" s="72">
        <f t="shared" ca="1" si="12"/>
        <v>911</v>
      </c>
      <c r="S37" s="25">
        <f>VLOOKUP($A37,Curve_Fetch,VLOOKUP(Control!$AJ$10,Control!$AI$11:$AM$22,5))</f>
        <v>0.30299999999999999</v>
      </c>
      <c r="T37" s="74">
        <f ca="1">_xll.EURO(N37,O37,P37,Q37,S37,R37,IF(Control!$C$38="Call",1,0),0)</f>
        <v>0.61221478336802826</v>
      </c>
      <c r="U37" s="27">
        <f t="shared" ca="1" si="2"/>
        <v>0</v>
      </c>
      <c r="V37" s="76"/>
      <c r="W37" s="197"/>
      <c r="X37" s="197"/>
      <c r="Y37" s="197"/>
      <c r="AA37" s="210"/>
      <c r="AB37" s="210"/>
      <c r="AC37" s="211"/>
      <c r="AD37" s="212"/>
      <c r="AE37" s="213"/>
      <c r="AF37" s="214"/>
      <c r="AG37" s="215"/>
      <c r="AH37" s="216"/>
      <c r="AI37" s="27"/>
      <c r="AJ37" s="28">
        <f t="shared" si="3"/>
        <v>0.2175</v>
      </c>
      <c r="AL37" s="24">
        <f t="shared" si="13"/>
        <v>3.2951189514118802E-2</v>
      </c>
      <c r="AM37" s="25">
        <f t="shared" ca="1" si="14"/>
        <v>0.91702829012466547</v>
      </c>
      <c r="AO37" s="26">
        <f t="shared" ca="1" si="4"/>
        <v>0</v>
      </c>
      <c r="AP37" s="26"/>
      <c r="AQ37" s="26">
        <f t="shared" ca="1" si="5"/>
        <v>0</v>
      </c>
      <c r="AR37" s="26"/>
      <c r="AS37" s="27">
        <f t="shared" ca="1" si="6"/>
        <v>0</v>
      </c>
      <c r="AT37" s="27">
        <f t="shared" ca="1" si="7"/>
        <v>0</v>
      </c>
      <c r="AU37" s="27">
        <f t="shared" ca="1" si="8"/>
        <v>0</v>
      </c>
      <c r="AV37" s="27"/>
      <c r="AW37" s="27"/>
      <c r="AY37" s="216"/>
      <c r="AZ37" s="216"/>
      <c r="BA37" s="233"/>
      <c r="BC37" s="216"/>
      <c r="BE37" s="69"/>
    </row>
    <row r="38" spans="1:57">
      <c r="A38" s="19">
        <f>[1]!_xludf.edate(A37,1)</f>
        <v>38139</v>
      </c>
      <c r="B38" s="21">
        <f t="shared" si="15"/>
        <v>30</v>
      </c>
      <c r="C38" s="20">
        <f>IF(Control!$F$18="Physical",Model!A39+24,Model!A39)</f>
        <v>38193</v>
      </c>
      <c r="E38" s="22">
        <f>IF($A38&lt;End_Date,IF(Control!$C$20="Flat",Control!$C$21,VLOOKUP(Model!$A38,Euro!$B$29:$D$182,3)),0)</f>
        <v>0</v>
      </c>
      <c r="F38" s="22">
        <f t="shared" si="9"/>
        <v>0</v>
      </c>
      <c r="H38" s="23">
        <f>IF(Control!$C$27="Mid",VLOOKUP($A38,CurveFetch!$D$8:$F$367,3),VLOOKUP($A38,Euro!$B$29:$I$182,8))</f>
        <v>3.766</v>
      </c>
      <c r="I38" s="23"/>
      <c r="J38" s="23">
        <f>IF($J$4="Mid",VLOOKUP($A38,Curve_Fetch,VLOOKUP(Control!$AJ$10,Control!$AI$11:$AK$22,3)),VLOOKUP($A38,Euro!$B$29:$M$182,12))</f>
        <v>-0.22</v>
      </c>
      <c r="K38" s="228">
        <f>IF(Control!$F$18="Physical",IF($K$4="Mid",VLOOKUP($A38,Curve_Fetch,VLOOKUP(Control!$AJ$10,Control!$AI$11:$AL$22,4)),VLOOKUP($A38,Euro!$B$29:$Q$182,16)),0)</f>
        <v>2.5000000000000001E-3</v>
      </c>
      <c r="L38" s="23">
        <f t="shared" si="10"/>
        <v>-0.2175</v>
      </c>
      <c r="M38" s="23"/>
      <c r="N38" s="69">
        <f t="shared" si="1"/>
        <v>3.5485000000000002</v>
      </c>
      <c r="O38" s="69">
        <f>N38+Control!$C$39</f>
        <v>3.5485000000000002</v>
      </c>
      <c r="P38" s="73">
        <f>VLOOKUP($A38,CurveFetch!$D$8:$E$367,2)</f>
        <v>3.2951189514118802E-2</v>
      </c>
      <c r="Q38" s="24">
        <f t="shared" si="11"/>
        <v>3.2951189514118802E-2</v>
      </c>
      <c r="R38" s="72">
        <f t="shared" ca="1" si="12"/>
        <v>942</v>
      </c>
      <c r="S38" s="25">
        <f>VLOOKUP($A38,Curve_Fetch,VLOOKUP(Control!$AJ$10,Control!$AI$11:$AM$22,5))</f>
        <v>0.30299999999999999</v>
      </c>
      <c r="T38" s="74">
        <f ca="1">_xll.EURO(N38,O38,P38,Q38,S38,R38,IF(Control!$C$38="Call",1,0),0)</f>
        <v>0.6265448896746002</v>
      </c>
      <c r="U38" s="27">
        <f t="shared" ca="1" si="2"/>
        <v>0</v>
      </c>
      <c r="V38" s="76"/>
      <c r="W38" s="197"/>
      <c r="X38" s="197"/>
      <c r="Y38" s="197"/>
      <c r="AA38" s="210"/>
      <c r="AB38" s="210"/>
      <c r="AC38" s="211"/>
      <c r="AD38" s="212"/>
      <c r="AE38" s="213"/>
      <c r="AF38" s="214"/>
      <c r="AG38" s="215"/>
      <c r="AH38" s="216"/>
      <c r="AI38" s="27"/>
      <c r="AJ38" s="28">
        <f t="shared" si="3"/>
        <v>0.2175</v>
      </c>
      <c r="AL38" s="24">
        <f t="shared" si="13"/>
        <v>3.3417640945320397E-2</v>
      </c>
      <c r="AM38" s="25">
        <f t="shared" ca="1" si="14"/>
        <v>0.91342401692417241</v>
      </c>
      <c r="AO38" s="26">
        <f t="shared" ca="1" si="4"/>
        <v>0</v>
      </c>
      <c r="AP38" s="26"/>
      <c r="AQ38" s="26">
        <f t="shared" ca="1" si="5"/>
        <v>0</v>
      </c>
      <c r="AR38" s="26"/>
      <c r="AS38" s="27">
        <f t="shared" ca="1" si="6"/>
        <v>0</v>
      </c>
      <c r="AT38" s="27">
        <f t="shared" ca="1" si="7"/>
        <v>0</v>
      </c>
      <c r="AU38" s="27">
        <f t="shared" ca="1" si="8"/>
        <v>0</v>
      </c>
      <c r="AV38" s="27"/>
      <c r="AW38" s="27"/>
      <c r="AY38" s="216"/>
      <c r="AZ38" s="216"/>
      <c r="BA38" s="233"/>
      <c r="BC38" s="216"/>
      <c r="BE38" s="69"/>
    </row>
    <row r="39" spans="1:57">
      <c r="A39" s="19">
        <f>[1]!_xludf.edate(A38,1)</f>
        <v>38169</v>
      </c>
      <c r="B39" s="21">
        <f t="shared" si="15"/>
        <v>31</v>
      </c>
      <c r="C39" s="20">
        <f>IF(Control!$F$18="Physical",Model!A40+24,Model!A40)</f>
        <v>38224</v>
      </c>
      <c r="E39" s="22">
        <f>IF($A39&lt;End_Date,IF(Control!$C$20="Flat",Control!$C$21,VLOOKUP(Model!$A39,Euro!$B$29:$D$182,3)),0)</f>
        <v>0</v>
      </c>
      <c r="F39" s="22">
        <f t="shared" si="9"/>
        <v>0</v>
      </c>
      <c r="H39" s="23">
        <f>IF(Control!$C$27="Mid",VLOOKUP($A39,CurveFetch!$D$8:$F$367,3),VLOOKUP($A39,Euro!$B$29:$I$182,8))</f>
        <v>3.8109999999999999</v>
      </c>
      <c r="I39" s="23"/>
      <c r="J39" s="23">
        <f>IF($J$4="Mid",VLOOKUP($A39,Curve_Fetch,VLOOKUP(Control!$AJ$10,Control!$AI$11:$AK$22,3)),VLOOKUP($A39,Euro!$B$29:$M$182,12))</f>
        <v>-0.22</v>
      </c>
      <c r="K39" s="228">
        <f>IF(Control!$F$18="Physical",IF($K$4="Mid",VLOOKUP($A39,Curve_Fetch,VLOOKUP(Control!$AJ$10,Control!$AI$11:$AL$22,4)),VLOOKUP($A39,Euro!$B$29:$Q$182,16)),0)</f>
        <v>2.5000000000000001E-3</v>
      </c>
      <c r="L39" s="23">
        <f t="shared" si="10"/>
        <v>-0.2175</v>
      </c>
      <c r="M39" s="23"/>
      <c r="N39" s="69">
        <f t="shared" si="1"/>
        <v>3.5935000000000001</v>
      </c>
      <c r="O39" s="69">
        <f>N39+Control!$C$39</f>
        <v>3.5935000000000001</v>
      </c>
      <c r="P39" s="73">
        <f>VLOOKUP($A39,CurveFetch!$D$8:$E$367,2)</f>
        <v>3.3417640945320397E-2</v>
      </c>
      <c r="Q39" s="24">
        <f t="shared" si="11"/>
        <v>3.3417640945320397E-2</v>
      </c>
      <c r="R39" s="72">
        <f t="shared" ca="1" si="12"/>
        <v>972</v>
      </c>
      <c r="S39" s="25">
        <f>VLOOKUP($A39,Curve_Fetch,VLOOKUP(Control!$AJ$10,Control!$AI$11:$AM$22,5))</f>
        <v>0.30299999999999999</v>
      </c>
      <c r="T39" s="74">
        <f ca="1">_xll.EURO(N39,O39,P39,Q39,S39,R39,IF(Control!$C$38="Call",1,0),0)</f>
        <v>0.64177507380004739</v>
      </c>
      <c r="U39" s="27">
        <f t="shared" ca="1" si="2"/>
        <v>0</v>
      </c>
      <c r="V39" s="76"/>
      <c r="W39" s="197"/>
      <c r="X39" s="197"/>
      <c r="Y39" s="197"/>
      <c r="AA39" s="210"/>
      <c r="AB39" s="210"/>
      <c r="AC39" s="211"/>
      <c r="AD39" s="212"/>
      <c r="AE39" s="213"/>
      <c r="AF39" s="214"/>
      <c r="AG39" s="215"/>
      <c r="AH39" s="216"/>
      <c r="AI39" s="27"/>
      <c r="AJ39" s="28">
        <f t="shared" si="3"/>
        <v>0.2175</v>
      </c>
      <c r="AL39" s="24">
        <f t="shared" si="13"/>
        <v>3.3882871493837299E-2</v>
      </c>
      <c r="AM39" s="25">
        <f t="shared" ca="1" si="14"/>
        <v>0.90968499327520469</v>
      </c>
      <c r="AO39" s="26">
        <f t="shared" ca="1" si="4"/>
        <v>0</v>
      </c>
      <c r="AP39" s="26"/>
      <c r="AQ39" s="26">
        <f t="shared" ca="1" si="5"/>
        <v>0</v>
      </c>
      <c r="AR39" s="26"/>
      <c r="AS39" s="27">
        <f t="shared" ca="1" si="6"/>
        <v>0</v>
      </c>
      <c r="AT39" s="27">
        <f t="shared" ca="1" si="7"/>
        <v>0</v>
      </c>
      <c r="AU39" s="27">
        <f t="shared" ca="1" si="8"/>
        <v>0</v>
      </c>
      <c r="AV39" s="27"/>
      <c r="AW39" s="27"/>
      <c r="AY39" s="216"/>
      <c r="AZ39" s="216"/>
      <c r="BA39" s="233"/>
      <c r="BC39" s="216"/>
      <c r="BE39" s="69"/>
    </row>
    <row r="40" spans="1:57">
      <c r="A40" s="19">
        <f>[1]!_xludf.edate(A39,1)</f>
        <v>38200</v>
      </c>
      <c r="B40" s="21">
        <f t="shared" si="15"/>
        <v>31</v>
      </c>
      <c r="C40" s="20">
        <f>IF(Control!$F$18="Physical",Model!A41+24,Model!A41)</f>
        <v>38255</v>
      </c>
      <c r="E40" s="22">
        <f>IF($A40&lt;End_Date,IF(Control!$C$20="Flat",Control!$C$21,VLOOKUP(Model!$A40,Euro!$B$29:$D$182,3)),0)</f>
        <v>0</v>
      </c>
      <c r="F40" s="22">
        <f t="shared" si="9"/>
        <v>0</v>
      </c>
      <c r="H40" s="23">
        <f>IF(Control!$C$27="Mid",VLOOKUP($A40,CurveFetch!$D$8:$F$367,3),VLOOKUP($A40,Euro!$B$29:$I$182,8))</f>
        <v>3.8490000000000002</v>
      </c>
      <c r="I40" s="23"/>
      <c r="J40" s="23">
        <f>IF($J$4="Mid",VLOOKUP($A40,Curve_Fetch,VLOOKUP(Control!$AJ$10,Control!$AI$11:$AK$22,3)),VLOOKUP($A40,Euro!$B$29:$M$182,12))</f>
        <v>-0.22</v>
      </c>
      <c r="K40" s="228">
        <f>IF(Control!$F$18="Physical",IF($K$4="Mid",VLOOKUP($A40,Curve_Fetch,VLOOKUP(Control!$AJ$10,Control!$AI$11:$AL$22,4)),VLOOKUP($A40,Euro!$B$29:$Q$182,16)),0)</f>
        <v>2.5000000000000001E-3</v>
      </c>
      <c r="L40" s="23">
        <f t="shared" si="10"/>
        <v>-0.2175</v>
      </c>
      <c r="M40" s="23"/>
      <c r="N40" s="69">
        <f t="shared" si="1"/>
        <v>3.6315000000000004</v>
      </c>
      <c r="O40" s="69">
        <f>N40+Control!$C$39</f>
        <v>3.6315000000000004</v>
      </c>
      <c r="P40" s="73">
        <f>VLOOKUP($A40,CurveFetch!$D$8:$E$367,2)</f>
        <v>3.3882871493837299E-2</v>
      </c>
      <c r="Q40" s="24">
        <f t="shared" si="11"/>
        <v>3.3882871493837299E-2</v>
      </c>
      <c r="R40" s="72">
        <f t="shared" ca="1" si="12"/>
        <v>1003</v>
      </c>
      <c r="S40" s="25">
        <f>VLOOKUP($A40,Curve_Fetch,VLOOKUP(Control!$AJ$10,Control!$AI$11:$AM$22,5))</f>
        <v>0.30299999999999999</v>
      </c>
      <c r="T40" s="74">
        <f ca="1">_xll.EURO(N40,O40,P40,Q40,S40,R40,IF(Control!$C$38="Call",1,0),0)</f>
        <v>0.65590678664587987</v>
      </c>
      <c r="U40" s="27">
        <f t="shared" ca="1" si="2"/>
        <v>0</v>
      </c>
      <c r="V40" s="76"/>
      <c r="W40" s="197"/>
      <c r="X40" s="197"/>
      <c r="Y40" s="197"/>
      <c r="AA40" s="210"/>
      <c r="AB40" s="210"/>
      <c r="AC40" s="211"/>
      <c r="AD40" s="212"/>
      <c r="AE40" s="213"/>
      <c r="AF40" s="214"/>
      <c r="AG40" s="215"/>
      <c r="AH40" s="216"/>
      <c r="AI40" s="27"/>
      <c r="AJ40" s="28">
        <f t="shared" si="3"/>
        <v>0.2175</v>
      </c>
      <c r="AL40" s="24">
        <f t="shared" si="13"/>
        <v>3.4348102115191903E-2</v>
      </c>
      <c r="AM40" s="25">
        <f t="shared" ca="1" si="14"/>
        <v>0.90589119148545516</v>
      </c>
      <c r="AO40" s="26">
        <f t="shared" ca="1" si="4"/>
        <v>0</v>
      </c>
      <c r="AP40" s="26"/>
      <c r="AQ40" s="26">
        <f t="shared" ca="1" si="5"/>
        <v>0</v>
      </c>
      <c r="AR40" s="26"/>
      <c r="AS40" s="27">
        <f t="shared" ca="1" si="6"/>
        <v>0</v>
      </c>
      <c r="AT40" s="27">
        <f t="shared" ca="1" si="7"/>
        <v>0</v>
      </c>
      <c r="AU40" s="27">
        <f t="shared" ca="1" si="8"/>
        <v>0</v>
      </c>
      <c r="AV40" s="27"/>
      <c r="AW40" s="27"/>
      <c r="AY40" s="216"/>
      <c r="AZ40" s="216"/>
      <c r="BA40" s="233"/>
      <c r="BC40" s="216"/>
      <c r="BE40" s="69"/>
    </row>
    <row r="41" spans="1:57">
      <c r="A41" s="19">
        <f>[1]!_xludf.edate(A40,1)</f>
        <v>38231</v>
      </c>
      <c r="B41" s="21">
        <f t="shared" si="15"/>
        <v>30</v>
      </c>
      <c r="C41" s="20">
        <f>IF(Control!$F$18="Physical",Model!A42+24,Model!A42)</f>
        <v>38285</v>
      </c>
      <c r="E41" s="22">
        <f>IF($A41&lt;End_Date,IF(Control!$C$20="Flat",Control!$C$21,VLOOKUP(Model!$A41,Euro!$B$29:$D$182,3)),0)</f>
        <v>0</v>
      </c>
      <c r="F41" s="22">
        <f t="shared" si="9"/>
        <v>0</v>
      </c>
      <c r="H41" s="23">
        <f>IF(Control!$C$27="Mid",VLOOKUP($A41,CurveFetch!$D$8:$F$367,3),VLOOKUP($A41,Euro!$B$29:$I$182,8))</f>
        <v>3.843</v>
      </c>
      <c r="I41" s="23"/>
      <c r="J41" s="23">
        <f>IF($J$4="Mid",VLOOKUP($A41,Curve_Fetch,VLOOKUP(Control!$AJ$10,Control!$AI$11:$AK$22,3)),VLOOKUP($A41,Euro!$B$29:$M$182,12))</f>
        <v>-0.22</v>
      </c>
      <c r="K41" s="228">
        <f>IF(Control!$F$18="Physical",IF($K$4="Mid",VLOOKUP($A41,Curve_Fetch,VLOOKUP(Control!$AJ$10,Control!$AI$11:$AL$22,4)),VLOOKUP($A41,Euro!$B$29:$Q$182,16)),0)</f>
        <v>2.5000000000000001E-3</v>
      </c>
      <c r="L41" s="23">
        <f t="shared" si="10"/>
        <v>-0.2175</v>
      </c>
      <c r="M41" s="23"/>
      <c r="N41" s="69">
        <f t="shared" si="1"/>
        <v>3.6255000000000002</v>
      </c>
      <c r="O41" s="69">
        <f>N41+Control!$C$39</f>
        <v>3.6255000000000002</v>
      </c>
      <c r="P41" s="73">
        <f>VLOOKUP($A41,CurveFetch!$D$8:$E$367,2)</f>
        <v>3.4348102115191903E-2</v>
      </c>
      <c r="Q41" s="24">
        <f t="shared" si="11"/>
        <v>3.4348102115191903E-2</v>
      </c>
      <c r="R41" s="72">
        <f t="shared" ca="1" si="12"/>
        <v>1034</v>
      </c>
      <c r="S41" s="25">
        <f>VLOOKUP($A41,Curve_Fetch,VLOOKUP(Control!$AJ$10,Control!$AI$11:$AM$22,5))</f>
        <v>0.30299999999999999</v>
      </c>
      <c r="T41" s="74">
        <f ca="1">_xll.EURO(N41,O41,P41,Q41,S41,R41,IF(Control!$C$38="Call",1,0),0)</f>
        <v>0.66187057566598662</v>
      </c>
      <c r="U41" s="27">
        <f t="shared" ca="1" si="2"/>
        <v>0</v>
      </c>
      <c r="V41" s="76"/>
      <c r="W41" s="197"/>
      <c r="X41" s="197"/>
      <c r="Y41" s="197"/>
      <c r="AA41" s="210"/>
      <c r="AB41" s="210"/>
      <c r="AC41" s="211"/>
      <c r="AD41" s="212"/>
      <c r="AE41" s="213"/>
      <c r="AF41" s="214"/>
      <c r="AG41" s="215"/>
      <c r="AH41" s="216"/>
      <c r="AI41" s="27"/>
      <c r="AJ41" s="28">
        <f t="shared" si="3"/>
        <v>0.2175</v>
      </c>
      <c r="AL41" s="24">
        <f t="shared" si="13"/>
        <v>3.4781795136841001E-2</v>
      </c>
      <c r="AM41" s="25">
        <f t="shared" ca="1" si="14"/>
        <v>0.90221214815180895</v>
      </c>
      <c r="AO41" s="26">
        <f t="shared" ca="1" si="4"/>
        <v>0</v>
      </c>
      <c r="AP41" s="26"/>
      <c r="AQ41" s="26">
        <f t="shared" ca="1" si="5"/>
        <v>0</v>
      </c>
      <c r="AR41" s="26"/>
      <c r="AS41" s="27">
        <f t="shared" ca="1" si="6"/>
        <v>0</v>
      </c>
      <c r="AT41" s="27">
        <f t="shared" ca="1" si="7"/>
        <v>0</v>
      </c>
      <c r="AU41" s="27">
        <f t="shared" ca="1" si="8"/>
        <v>0</v>
      </c>
      <c r="AV41" s="27"/>
      <c r="AW41" s="27"/>
      <c r="AY41" s="216"/>
      <c r="AZ41" s="216"/>
      <c r="BA41" s="233"/>
      <c r="BC41" s="216"/>
      <c r="BE41" s="69"/>
    </row>
    <row r="42" spans="1:57">
      <c r="A42" s="19">
        <f>[1]!_xludf.edate(A41,1)</f>
        <v>38261</v>
      </c>
      <c r="B42" s="21">
        <f t="shared" si="15"/>
        <v>31</v>
      </c>
      <c r="C42" s="20">
        <f>IF(Control!$F$18="Physical",Model!A43+24,Model!A43)</f>
        <v>38316</v>
      </c>
      <c r="E42" s="22">
        <f>IF($A42&lt;End_Date,IF(Control!$C$20="Flat",Control!$C$21,VLOOKUP(Model!$A42,Euro!$B$29:$D$182,3)),0)</f>
        <v>0</v>
      </c>
      <c r="F42" s="22">
        <f t="shared" si="9"/>
        <v>0</v>
      </c>
      <c r="H42" s="23">
        <f>IF(Control!$C$27="Mid",VLOOKUP($A42,CurveFetch!$D$8:$F$367,3),VLOOKUP($A42,Euro!$B$29:$I$182,8))</f>
        <v>3.843</v>
      </c>
      <c r="I42" s="23"/>
      <c r="J42" s="23">
        <f>IF($J$4="Mid",VLOOKUP($A42,Curve_Fetch,VLOOKUP(Control!$AJ$10,Control!$AI$11:$AK$22,3)),VLOOKUP($A42,Euro!$B$29:$M$182,12))</f>
        <v>-0.22</v>
      </c>
      <c r="K42" s="228">
        <f>IF(Control!$F$18="Physical",IF($K$4="Mid",VLOOKUP($A42,Curve_Fetch,VLOOKUP(Control!$AJ$10,Control!$AI$11:$AL$22,4)),VLOOKUP($A42,Euro!$B$29:$Q$182,16)),0)</f>
        <v>2.5000000000000001E-3</v>
      </c>
      <c r="L42" s="23">
        <f t="shared" si="10"/>
        <v>-0.2175</v>
      </c>
      <c r="M42" s="23"/>
      <c r="N42" s="69">
        <f t="shared" si="1"/>
        <v>3.6255000000000002</v>
      </c>
      <c r="O42" s="69">
        <f>N42+Control!$C$39</f>
        <v>3.6255000000000002</v>
      </c>
      <c r="P42" s="73">
        <f>VLOOKUP($A42,CurveFetch!$D$8:$E$367,2)</f>
        <v>3.4781795136841001E-2</v>
      </c>
      <c r="Q42" s="24">
        <f t="shared" si="11"/>
        <v>3.4781795136841001E-2</v>
      </c>
      <c r="R42" s="72">
        <f t="shared" ca="1" si="12"/>
        <v>1064</v>
      </c>
      <c r="S42" s="25">
        <f>VLOOKUP($A42,Curve_Fetch,VLOOKUP(Control!$AJ$10,Control!$AI$11:$AM$22,5))</f>
        <v>0.30299999999999999</v>
      </c>
      <c r="T42" s="74">
        <f ca="1">_xll.EURO(N42,O42,P42,Q42,S42,R42,IF(Control!$C$38="Call",1,0),0)</f>
        <v>0.66845849478643959</v>
      </c>
      <c r="U42" s="27">
        <f t="shared" ca="1" si="2"/>
        <v>0</v>
      </c>
      <c r="V42" s="76"/>
      <c r="W42" s="197"/>
      <c r="X42" s="197"/>
      <c r="Y42" s="197"/>
      <c r="AA42" s="210"/>
      <c r="AB42" s="210"/>
      <c r="AC42" s="211"/>
      <c r="AD42" s="212"/>
      <c r="AE42" s="213"/>
      <c r="AF42" s="214"/>
      <c r="AG42" s="215"/>
      <c r="AH42" s="216"/>
      <c r="AI42" s="27"/>
      <c r="AJ42" s="28">
        <f t="shared" si="3"/>
        <v>0.2175</v>
      </c>
      <c r="AL42" s="24">
        <f t="shared" si="13"/>
        <v>3.521405726271E-2</v>
      </c>
      <c r="AM42" s="25">
        <f t="shared" ca="1" si="14"/>
        <v>0.89840337877081633</v>
      </c>
      <c r="AO42" s="26">
        <f t="shared" ca="1" si="4"/>
        <v>0</v>
      </c>
      <c r="AP42" s="26"/>
      <c r="AQ42" s="26">
        <f t="shared" ca="1" si="5"/>
        <v>0</v>
      </c>
      <c r="AR42" s="26"/>
      <c r="AS42" s="27">
        <f t="shared" ca="1" si="6"/>
        <v>0</v>
      </c>
      <c r="AT42" s="27">
        <f t="shared" ca="1" si="7"/>
        <v>0</v>
      </c>
      <c r="AU42" s="27">
        <f t="shared" ca="1" si="8"/>
        <v>0</v>
      </c>
      <c r="AV42" s="27"/>
      <c r="AW42" s="27"/>
      <c r="AY42" s="216"/>
      <c r="AZ42" s="216"/>
      <c r="BA42" s="233"/>
      <c r="BC42" s="216"/>
      <c r="BE42" s="69"/>
    </row>
    <row r="43" spans="1:57">
      <c r="A43" s="19">
        <f>[1]!_xludf.edate(A42,1)</f>
        <v>38292</v>
      </c>
      <c r="B43" s="21">
        <f t="shared" si="15"/>
        <v>30</v>
      </c>
      <c r="C43" s="20">
        <f>IF(Control!$F$18="Physical",Model!A44+24,Model!A44)</f>
        <v>38346</v>
      </c>
      <c r="E43" s="22">
        <f>IF($A43&lt;End_Date,IF(Control!$C$20="Flat",Control!$C$21,VLOOKUP(Model!$A43,Euro!$B$29:$D$182,3)),0)</f>
        <v>0</v>
      </c>
      <c r="F43" s="22">
        <f t="shared" si="9"/>
        <v>0</v>
      </c>
      <c r="H43" s="23">
        <f>IF(Control!$C$27="Mid",VLOOKUP($A43,CurveFetch!$D$8:$F$367,3),VLOOKUP($A43,Euro!$B$29:$I$182,8))</f>
        <v>4.0129999999999999</v>
      </c>
      <c r="I43" s="23"/>
      <c r="J43" s="23">
        <f>IF($J$4="Mid",VLOOKUP($A43,Curve_Fetch,VLOOKUP(Control!$AJ$10,Control!$AI$11:$AK$22,3)),VLOOKUP($A43,Euro!$B$29:$M$182,12))</f>
        <v>-0.14499999999999999</v>
      </c>
      <c r="K43" s="228">
        <f>IF(Control!$F$18="Physical",IF($K$4="Mid",VLOOKUP($A43,Curve_Fetch,VLOOKUP(Control!$AJ$10,Control!$AI$11:$AL$22,4)),VLOOKUP($A43,Euro!$B$29:$Q$182,16)),0)</f>
        <v>5.0000000000000001E-3</v>
      </c>
      <c r="L43" s="23">
        <f t="shared" si="10"/>
        <v>-0.13999999999999999</v>
      </c>
      <c r="M43" s="23"/>
      <c r="N43" s="69">
        <f t="shared" si="1"/>
        <v>3.8729999999999998</v>
      </c>
      <c r="O43" s="69">
        <f>N43+Control!$C$39</f>
        <v>3.8729999999999998</v>
      </c>
      <c r="P43" s="73">
        <f>VLOOKUP($A43,CurveFetch!$D$8:$E$367,2)</f>
        <v>3.521405726271E-2</v>
      </c>
      <c r="Q43" s="24">
        <f t="shared" si="11"/>
        <v>3.521405726271E-2</v>
      </c>
      <c r="R43" s="72">
        <f t="shared" ca="1" si="12"/>
        <v>1095</v>
      </c>
      <c r="S43" s="25">
        <f>VLOOKUP($A43,Curve_Fetch,VLOOKUP(Control!$AJ$10,Control!$AI$11:$AM$22,5))</f>
        <v>0.3</v>
      </c>
      <c r="T43" s="74">
        <f ca="1">_xll.EURO(N43,O43,P43,Q43,S43,R43,IF(Control!$C$38="Call",1,0),0)</f>
        <v>0.7141370447819464</v>
      </c>
      <c r="U43" s="27">
        <f t="shared" ca="1" si="2"/>
        <v>0</v>
      </c>
      <c r="V43" s="76"/>
      <c r="W43" s="197"/>
      <c r="X43" s="197"/>
      <c r="Y43" s="197"/>
      <c r="AA43" s="210"/>
      <c r="AB43" s="210"/>
      <c r="AC43" s="211"/>
      <c r="AD43" s="212"/>
      <c r="AE43" s="213"/>
      <c r="AF43" s="214"/>
      <c r="AG43" s="215"/>
      <c r="AH43" s="216"/>
      <c r="AI43" s="27"/>
      <c r="AJ43" s="28">
        <f t="shared" si="3"/>
        <v>0.13999999999999999</v>
      </c>
      <c r="AL43" s="24">
        <f t="shared" si="13"/>
        <v>3.5632375508866797E-2</v>
      </c>
      <c r="AM43" s="25">
        <f t="shared" ca="1" si="14"/>
        <v>0.89467159358588211</v>
      </c>
      <c r="AO43" s="26">
        <f t="shared" ca="1" si="4"/>
        <v>0</v>
      </c>
      <c r="AP43" s="26"/>
      <c r="AQ43" s="26">
        <f t="shared" ca="1" si="5"/>
        <v>0</v>
      </c>
      <c r="AR43" s="26"/>
      <c r="AS43" s="27">
        <f t="shared" ca="1" si="6"/>
        <v>0</v>
      </c>
      <c r="AT43" s="27">
        <f t="shared" ca="1" si="7"/>
        <v>0</v>
      </c>
      <c r="AU43" s="27">
        <f t="shared" ca="1" si="8"/>
        <v>0</v>
      </c>
      <c r="AV43" s="27"/>
      <c r="AW43" s="27"/>
      <c r="AY43" s="216"/>
      <c r="AZ43" s="216"/>
      <c r="BA43" s="233"/>
      <c r="BC43" s="216"/>
      <c r="BE43" s="69"/>
    </row>
    <row r="44" spans="1:57">
      <c r="A44" s="19">
        <f>[1]!_xludf.edate(A43,1)</f>
        <v>38322</v>
      </c>
      <c r="B44" s="21">
        <f t="shared" si="15"/>
        <v>31</v>
      </c>
      <c r="C44" s="20">
        <f>IF(Control!$F$18="Physical",Model!A45+24,Model!A45)</f>
        <v>38377</v>
      </c>
      <c r="E44" s="22">
        <f>IF($A44&lt;End_Date,IF(Control!$C$20="Flat",Control!$C$21,VLOOKUP(Model!$A44,Euro!$B$29:$D$182,3)),0)</f>
        <v>0</v>
      </c>
      <c r="F44" s="22">
        <f t="shared" si="9"/>
        <v>0</v>
      </c>
      <c r="H44" s="23">
        <f>IF(Control!$C$27="Mid",VLOOKUP($A44,CurveFetch!$D$8:$F$367,3),VLOOKUP($A44,Euro!$B$29:$I$182,8))</f>
        <v>4.1440000000000001</v>
      </c>
      <c r="I44" s="23"/>
      <c r="J44" s="23">
        <f>IF($J$4="Mid",VLOOKUP($A44,Curve_Fetch,VLOOKUP(Control!$AJ$10,Control!$AI$11:$AK$22,3)),VLOOKUP($A44,Euro!$B$29:$M$182,12))</f>
        <v>-0.14499999999999999</v>
      </c>
      <c r="K44" s="228">
        <f>IF(Control!$F$18="Physical",IF($K$4="Mid",VLOOKUP($A44,Curve_Fetch,VLOOKUP(Control!$AJ$10,Control!$AI$11:$AL$22,4)),VLOOKUP($A44,Euro!$B$29:$Q$182,16)),0)</f>
        <v>5.0000000000000001E-3</v>
      </c>
      <c r="L44" s="23">
        <f t="shared" si="10"/>
        <v>-0.13999999999999999</v>
      </c>
      <c r="M44" s="23"/>
      <c r="N44" s="69">
        <f t="shared" si="1"/>
        <v>4.0040000000000004</v>
      </c>
      <c r="O44" s="69">
        <f>N44+Control!$C$39</f>
        <v>4.0040000000000004</v>
      </c>
      <c r="P44" s="73">
        <f>VLOOKUP($A44,CurveFetch!$D$8:$E$367,2)</f>
        <v>3.5632375508866797E-2</v>
      </c>
      <c r="Q44" s="24">
        <f t="shared" si="11"/>
        <v>3.5632375508866797E-2</v>
      </c>
      <c r="R44" s="72">
        <f t="shared" ca="1" si="12"/>
        <v>1125</v>
      </c>
      <c r="S44" s="25">
        <f>VLOOKUP($A44,Curve_Fetch,VLOOKUP(Control!$AJ$10,Control!$AI$11:$AM$22,5))</f>
        <v>0.29799999999999999</v>
      </c>
      <c r="T44" s="74">
        <f ca="1">_xll.EURO(N44,O44,P44,Q44,S44,R44,IF(Control!$C$38="Call",1,0),0)</f>
        <v>0.74013365699220013</v>
      </c>
      <c r="U44" s="27">
        <f t="shared" ca="1" si="2"/>
        <v>0</v>
      </c>
      <c r="V44" s="76"/>
      <c r="W44" s="197"/>
      <c r="X44" s="197"/>
      <c r="Y44" s="197"/>
      <c r="AA44" s="210"/>
      <c r="AB44" s="210"/>
      <c r="AC44" s="211"/>
      <c r="AD44" s="212"/>
      <c r="AE44" s="213"/>
      <c r="AF44" s="214"/>
      <c r="AG44" s="215"/>
      <c r="AH44" s="216"/>
      <c r="AI44" s="27"/>
      <c r="AJ44" s="28">
        <f t="shared" si="3"/>
        <v>0.13999999999999999</v>
      </c>
      <c r="AL44" s="24">
        <f t="shared" si="13"/>
        <v>3.6054961191346498E-2</v>
      </c>
      <c r="AM44" s="25">
        <f t="shared" ca="1" si="14"/>
        <v>0.89079616659375915</v>
      </c>
      <c r="AO44" s="26">
        <f t="shared" ca="1" si="4"/>
        <v>0</v>
      </c>
      <c r="AP44" s="26"/>
      <c r="AQ44" s="26">
        <f t="shared" ca="1" si="5"/>
        <v>0</v>
      </c>
      <c r="AR44" s="26"/>
      <c r="AS44" s="27">
        <f t="shared" ca="1" si="6"/>
        <v>0</v>
      </c>
      <c r="AT44" s="27">
        <f t="shared" ca="1" si="7"/>
        <v>0</v>
      </c>
      <c r="AU44" s="27">
        <f t="shared" ca="1" si="8"/>
        <v>0</v>
      </c>
      <c r="AV44" s="27"/>
      <c r="AW44" s="27"/>
      <c r="AY44" s="216"/>
      <c r="AZ44" s="216"/>
      <c r="BA44" s="233"/>
      <c r="BC44" s="216"/>
      <c r="BE44" s="69"/>
    </row>
    <row r="45" spans="1:57">
      <c r="A45" s="19">
        <f>[1]!_xludf.edate(A44,1)</f>
        <v>38353</v>
      </c>
      <c r="B45" s="21">
        <f t="shared" si="15"/>
        <v>31</v>
      </c>
      <c r="C45" s="20">
        <f>IF(Control!$F$18="Physical",Model!A46+24,Model!A46)</f>
        <v>38408</v>
      </c>
      <c r="E45" s="22">
        <f>IF($A45&lt;End_Date,IF(Control!$C$20="Flat",Control!$C$21,VLOOKUP(Model!$A45,Euro!$B$29:$D$182,3)),0)</f>
        <v>0</v>
      </c>
      <c r="F45" s="22">
        <f t="shared" si="9"/>
        <v>0</v>
      </c>
      <c r="H45" s="23">
        <f>IF(Control!$C$27="Mid",VLOOKUP($A45,CurveFetch!$D$8:$F$367,3),VLOOKUP($A45,Euro!$B$29:$I$182,8))</f>
        <v>4.1989999999999998</v>
      </c>
      <c r="I45" s="23"/>
      <c r="J45" s="23">
        <f>IF($J$4="Mid",VLOOKUP($A45,Curve_Fetch,VLOOKUP(Control!$AJ$10,Control!$AI$11:$AK$22,3)),VLOOKUP($A45,Euro!$B$29:$M$182,12))</f>
        <v>-0.14499999999999999</v>
      </c>
      <c r="K45" s="228">
        <f>IF(Control!$F$18="Physical",IF($K$4="Mid",VLOOKUP($A45,Curve_Fetch,VLOOKUP(Control!$AJ$10,Control!$AI$11:$AL$22,4)),VLOOKUP($A45,Euro!$B$29:$Q$182,16)),0)</f>
        <v>5.0000000000000001E-3</v>
      </c>
      <c r="L45" s="23">
        <f t="shared" si="10"/>
        <v>-0.13999999999999999</v>
      </c>
      <c r="M45" s="23"/>
      <c r="N45" s="69">
        <f t="shared" si="1"/>
        <v>4.0590000000000002</v>
      </c>
      <c r="O45" s="69">
        <f>N45+Control!$C$39</f>
        <v>4.0590000000000002</v>
      </c>
      <c r="P45" s="73">
        <f>VLOOKUP($A45,CurveFetch!$D$8:$E$367,2)</f>
        <v>3.6054961191346498E-2</v>
      </c>
      <c r="Q45" s="24">
        <f t="shared" si="11"/>
        <v>3.6054961191346498E-2</v>
      </c>
      <c r="R45" s="72">
        <f t="shared" ca="1" si="12"/>
        <v>1156</v>
      </c>
      <c r="S45" s="25">
        <f>VLOOKUP($A45,Curve_Fetch,VLOOKUP(Control!$AJ$10,Control!$AI$11:$AM$22,5))</f>
        <v>0.29799999999999999</v>
      </c>
      <c r="T45" s="74">
        <f ca="1">_xll.EURO(N45,O45,P45,Q45,S45,R45,IF(Control!$C$38="Call",1,0),0)</f>
        <v>0.7570218139667515</v>
      </c>
      <c r="U45" s="27">
        <f t="shared" ca="1" si="2"/>
        <v>0</v>
      </c>
      <c r="V45" s="76"/>
      <c r="W45" s="197"/>
      <c r="X45" s="197"/>
      <c r="Y45" s="197"/>
      <c r="AA45" s="210"/>
      <c r="AB45" s="210"/>
      <c r="AC45" s="211"/>
      <c r="AD45" s="212"/>
      <c r="AE45" s="213"/>
      <c r="AF45" s="214"/>
      <c r="AG45" s="215"/>
      <c r="AH45" s="216"/>
      <c r="AI45" s="27"/>
      <c r="AJ45" s="28">
        <f t="shared" si="3"/>
        <v>0.13999999999999999</v>
      </c>
      <c r="AL45" s="24">
        <f t="shared" si="13"/>
        <v>3.64695779951969E-2</v>
      </c>
      <c r="AM45" s="25">
        <f t="shared" ca="1" si="14"/>
        <v>0.88689833137993146</v>
      </c>
      <c r="AO45" s="26">
        <f t="shared" ca="1" si="4"/>
        <v>0</v>
      </c>
      <c r="AP45" s="26"/>
      <c r="AQ45" s="26">
        <f t="shared" ca="1" si="5"/>
        <v>0</v>
      </c>
      <c r="AR45" s="26"/>
      <c r="AS45" s="27">
        <f t="shared" ca="1" si="6"/>
        <v>0</v>
      </c>
      <c r="AT45" s="27">
        <f t="shared" ca="1" si="7"/>
        <v>0</v>
      </c>
      <c r="AU45" s="27">
        <f t="shared" ca="1" si="8"/>
        <v>0</v>
      </c>
      <c r="AV45" s="27"/>
      <c r="AW45" s="27"/>
      <c r="AY45" s="216"/>
      <c r="AZ45" s="216"/>
      <c r="BA45" s="233"/>
      <c r="BC45" s="216"/>
      <c r="BE45" s="69"/>
    </row>
    <row r="46" spans="1:57">
      <c r="A46" s="19">
        <f>[1]!_xludf.edate(A45,1)</f>
        <v>38384</v>
      </c>
      <c r="B46" s="21">
        <f t="shared" si="15"/>
        <v>28</v>
      </c>
      <c r="C46" s="20">
        <f>IF(Control!$F$18="Physical",Model!A47+24,Model!A47)</f>
        <v>38436</v>
      </c>
      <c r="E46" s="22">
        <f>IF($A46&lt;End_Date,IF(Control!$C$20="Flat",Control!$C$21,VLOOKUP(Model!$A46,Euro!$B$29:$D$182,3)),0)</f>
        <v>0</v>
      </c>
      <c r="F46" s="22">
        <f t="shared" si="9"/>
        <v>0</v>
      </c>
      <c r="H46" s="23">
        <f>IF(Control!$C$27="Mid",VLOOKUP($A46,CurveFetch!$D$8:$F$367,3),VLOOKUP($A46,Euro!$B$29:$I$182,8))</f>
        <v>4.1109999999999998</v>
      </c>
      <c r="I46" s="23"/>
      <c r="J46" s="23">
        <f>IF($J$4="Mid",VLOOKUP($A46,Curve_Fetch,VLOOKUP(Control!$AJ$10,Control!$AI$11:$AK$22,3)),VLOOKUP($A46,Euro!$B$29:$M$182,12))</f>
        <v>-0.14499999999999999</v>
      </c>
      <c r="K46" s="228">
        <f>IF(Control!$F$18="Physical",IF($K$4="Mid",VLOOKUP($A46,Curve_Fetch,VLOOKUP(Control!$AJ$10,Control!$AI$11:$AL$22,4)),VLOOKUP($A46,Euro!$B$29:$Q$182,16)),0)</f>
        <v>5.0000000000000001E-3</v>
      </c>
      <c r="L46" s="23">
        <f t="shared" si="10"/>
        <v>-0.13999999999999999</v>
      </c>
      <c r="M46" s="23"/>
      <c r="N46" s="69">
        <f t="shared" si="1"/>
        <v>3.9709999999999996</v>
      </c>
      <c r="O46" s="69">
        <f>N46+Control!$C$39</f>
        <v>3.9709999999999996</v>
      </c>
      <c r="P46" s="73">
        <f>VLOOKUP($A46,CurveFetch!$D$8:$E$367,2)</f>
        <v>3.64695779951969E-2</v>
      </c>
      <c r="Q46" s="24">
        <f t="shared" si="11"/>
        <v>3.64695779951969E-2</v>
      </c>
      <c r="R46" s="72">
        <f t="shared" ca="1" si="12"/>
        <v>1187</v>
      </c>
      <c r="S46" s="25">
        <f>VLOOKUP($A46,Curve_Fetch,VLOOKUP(Control!$AJ$10,Control!$AI$11:$AM$22,5))</f>
        <v>0.29499999999999998</v>
      </c>
      <c r="T46" s="74">
        <f ca="1">_xll.EURO(N46,O46,P46,Q46,S46,R46,IF(Control!$C$38="Call",1,0),0)</f>
        <v>0.73959809108221419</v>
      </c>
      <c r="U46" s="27">
        <f t="shared" ca="1" si="2"/>
        <v>0</v>
      </c>
      <c r="V46" s="76"/>
      <c r="W46" s="197"/>
      <c r="X46" s="197"/>
      <c r="Y46" s="197"/>
      <c r="AA46" s="210"/>
      <c r="AB46" s="210"/>
      <c r="AC46" s="211"/>
      <c r="AD46" s="212"/>
      <c r="AE46" s="213"/>
      <c r="AF46" s="214"/>
      <c r="AG46" s="215"/>
      <c r="AH46" s="216"/>
      <c r="AI46" s="27"/>
      <c r="AJ46" s="28">
        <f t="shared" si="3"/>
        <v>0.13999999999999999</v>
      </c>
      <c r="AL46" s="24">
        <f t="shared" si="13"/>
        <v>3.68440706418856E-2</v>
      </c>
      <c r="AM46" s="25">
        <f t="shared" ca="1" si="14"/>
        <v>0.88334009569480298</v>
      </c>
      <c r="AO46" s="26">
        <f t="shared" ca="1" si="4"/>
        <v>0</v>
      </c>
      <c r="AP46" s="26"/>
      <c r="AQ46" s="26">
        <f t="shared" ca="1" si="5"/>
        <v>0</v>
      </c>
      <c r="AR46" s="26"/>
      <c r="AS46" s="27">
        <f t="shared" ca="1" si="6"/>
        <v>0</v>
      </c>
      <c r="AT46" s="27">
        <f t="shared" ca="1" si="7"/>
        <v>0</v>
      </c>
      <c r="AU46" s="27">
        <f t="shared" ca="1" si="8"/>
        <v>0</v>
      </c>
      <c r="AV46" s="27"/>
      <c r="AW46" s="27"/>
      <c r="AY46" s="216"/>
      <c r="AZ46" s="216"/>
      <c r="BA46" s="233"/>
      <c r="BC46" s="216"/>
      <c r="BE46" s="69"/>
    </row>
    <row r="47" spans="1:57">
      <c r="A47" s="19">
        <f>[1]!_xludf.edate(A46,1)</f>
        <v>38412</v>
      </c>
      <c r="B47" s="21">
        <f t="shared" si="15"/>
        <v>31</v>
      </c>
      <c r="C47" s="20">
        <f>IF(Control!$F$18="Physical",Model!A48+24,Model!A48)</f>
        <v>38467</v>
      </c>
      <c r="E47" s="22">
        <f>IF($A47&lt;End_Date,IF(Control!$C$20="Flat",Control!$C$21,VLOOKUP(Model!$A47,Euro!$B$29:$D$182,3)),0)</f>
        <v>0</v>
      </c>
      <c r="F47" s="22">
        <f t="shared" si="9"/>
        <v>0</v>
      </c>
      <c r="H47" s="23">
        <f>IF(Control!$C$27="Mid",VLOOKUP($A47,CurveFetch!$D$8:$F$367,3),VLOOKUP($A47,Euro!$B$29:$I$182,8))</f>
        <v>3.972</v>
      </c>
      <c r="I47" s="23"/>
      <c r="J47" s="23">
        <f>IF($J$4="Mid",VLOOKUP($A47,Curve_Fetch,VLOOKUP(Control!$AJ$10,Control!$AI$11:$AK$22,3)),VLOOKUP($A47,Euro!$B$29:$M$182,12))</f>
        <v>-0.14499999999999999</v>
      </c>
      <c r="K47" s="228">
        <f>IF(Control!$F$18="Physical",IF($K$4="Mid",VLOOKUP($A47,Curve_Fetch,VLOOKUP(Control!$AJ$10,Control!$AI$11:$AL$22,4)),VLOOKUP($A47,Euro!$B$29:$Q$182,16)),0)</f>
        <v>5.0000000000000001E-3</v>
      </c>
      <c r="L47" s="23">
        <f t="shared" si="10"/>
        <v>-0.13999999999999999</v>
      </c>
      <c r="M47" s="23"/>
      <c r="N47" s="69">
        <f t="shared" si="1"/>
        <v>3.8319999999999999</v>
      </c>
      <c r="O47" s="69">
        <f>N47+Control!$C$39</f>
        <v>3.8319999999999999</v>
      </c>
      <c r="P47" s="73">
        <f>VLOOKUP($A47,CurveFetch!$D$8:$E$367,2)</f>
        <v>3.68440706418856E-2</v>
      </c>
      <c r="Q47" s="24">
        <f t="shared" si="11"/>
        <v>3.68440706418856E-2</v>
      </c>
      <c r="R47" s="72">
        <f t="shared" ca="1" si="12"/>
        <v>1215</v>
      </c>
      <c r="S47" s="25">
        <f>VLOOKUP($A47,Curve_Fetch,VLOOKUP(Control!$AJ$10,Control!$AI$11:$AM$22,5))</f>
        <v>0.28000000000000003</v>
      </c>
      <c r="T47" s="74">
        <f ca="1">_xll.EURO(N47,O47,P47,Q47,S47,R47,IF(Control!$C$38="Call",1,0),0)</f>
        <v>0.68321887666085845</v>
      </c>
      <c r="U47" s="27">
        <f t="shared" ca="1" si="2"/>
        <v>0</v>
      </c>
      <c r="V47" s="76"/>
      <c r="W47" s="197"/>
      <c r="X47" s="197"/>
      <c r="Y47" s="197"/>
      <c r="AA47" s="210"/>
      <c r="AB47" s="210"/>
      <c r="AC47" s="211"/>
      <c r="AD47" s="212"/>
      <c r="AE47" s="213"/>
      <c r="AF47" s="214"/>
      <c r="AG47" s="215"/>
      <c r="AH47" s="216"/>
      <c r="AI47" s="27"/>
      <c r="AJ47" s="28">
        <f t="shared" si="3"/>
        <v>0.13999999999999999</v>
      </c>
      <c r="AL47" s="24">
        <f t="shared" si="13"/>
        <v>3.7231074649266997E-2</v>
      </c>
      <c r="AM47" s="25">
        <f t="shared" ca="1" si="14"/>
        <v>0.87944269487314741</v>
      </c>
      <c r="AO47" s="26">
        <f t="shared" ca="1" si="4"/>
        <v>0</v>
      </c>
      <c r="AP47" s="26"/>
      <c r="AQ47" s="26">
        <f t="shared" ca="1" si="5"/>
        <v>0</v>
      </c>
      <c r="AR47" s="26"/>
      <c r="AS47" s="27">
        <f t="shared" ca="1" si="6"/>
        <v>0</v>
      </c>
      <c r="AT47" s="27">
        <f t="shared" ca="1" si="7"/>
        <v>0</v>
      </c>
      <c r="AU47" s="27">
        <f t="shared" ca="1" si="8"/>
        <v>0</v>
      </c>
      <c r="AV47" s="27"/>
      <c r="AW47" s="27"/>
      <c r="AY47" s="216"/>
      <c r="AZ47" s="216"/>
      <c r="BA47" s="233"/>
      <c r="BC47" s="216"/>
      <c r="BE47" s="69"/>
    </row>
    <row r="48" spans="1:57">
      <c r="A48" s="19">
        <f>[1]!_xludf.edate(A47,1)</f>
        <v>38443</v>
      </c>
      <c r="B48" s="21">
        <f t="shared" si="15"/>
        <v>30</v>
      </c>
      <c r="C48" s="20">
        <f>IF(Control!$F$18="Physical",Model!A49+24,Model!A49)</f>
        <v>38497</v>
      </c>
      <c r="E48" s="22">
        <f>IF($A48&lt;End_Date,IF(Control!$C$20="Flat",Control!$C$21,VLOOKUP(Model!$A48,Euro!$B$29:$D$182,3)),0)</f>
        <v>0</v>
      </c>
      <c r="F48" s="22">
        <f t="shared" si="9"/>
        <v>0</v>
      </c>
      <c r="H48" s="23">
        <f>IF(Control!$C$27="Mid",VLOOKUP($A48,CurveFetch!$D$8:$F$367,3),VLOOKUP($A48,Euro!$B$29:$I$182,8))</f>
        <v>3.8180000000000001</v>
      </c>
      <c r="I48" s="23"/>
      <c r="J48" s="23">
        <f>IF($J$4="Mid",VLOOKUP($A48,Curve_Fetch,VLOOKUP(Control!$AJ$10,Control!$AI$11:$AK$22,3)),VLOOKUP($A48,Euro!$B$29:$M$182,12))</f>
        <v>-0.21</v>
      </c>
      <c r="K48" s="228">
        <f>IF(Control!$F$18="Physical",IF($K$4="Mid",VLOOKUP($A48,Curve_Fetch,VLOOKUP(Control!$AJ$10,Control!$AI$11:$AL$22,4)),VLOOKUP($A48,Euro!$B$29:$Q$182,16)),0)</f>
        <v>2.5000000000000001E-3</v>
      </c>
      <c r="L48" s="23">
        <f t="shared" si="10"/>
        <v>-0.20749999999999999</v>
      </c>
      <c r="M48" s="23"/>
      <c r="N48" s="69">
        <f t="shared" si="1"/>
        <v>3.6105</v>
      </c>
      <c r="O48" s="69">
        <f>N48+Control!$C$39</f>
        <v>3.6105</v>
      </c>
      <c r="P48" s="73">
        <f>VLOOKUP($A48,CurveFetch!$D$8:$E$367,2)</f>
        <v>3.7231074649266997E-2</v>
      </c>
      <c r="Q48" s="24">
        <f t="shared" si="11"/>
        <v>3.7231074649266997E-2</v>
      </c>
      <c r="R48" s="72">
        <f t="shared" ca="1" si="12"/>
        <v>1246</v>
      </c>
      <c r="S48" s="25">
        <f>VLOOKUP($A48,Curve_Fetch,VLOOKUP(Control!$AJ$10,Control!$AI$11:$AM$22,5))</f>
        <v>0.27</v>
      </c>
      <c r="T48" s="74">
        <f ca="1">_xll.EURO(N48,O48,P48,Q48,S48,R48,IF(Control!$C$38="Call",1,0),0)</f>
        <v>0.62612947205148939</v>
      </c>
      <c r="U48" s="27">
        <f t="shared" ca="1" si="2"/>
        <v>0</v>
      </c>
      <c r="V48" s="76"/>
      <c r="W48" s="197"/>
      <c r="X48" s="197"/>
      <c r="Y48" s="197"/>
      <c r="AA48" s="210"/>
      <c r="AB48" s="210"/>
      <c r="AC48" s="211"/>
      <c r="AD48" s="212"/>
      <c r="AE48" s="213"/>
      <c r="AF48" s="214"/>
      <c r="AG48" s="215"/>
      <c r="AH48" s="216"/>
      <c r="AI48" s="27"/>
      <c r="AJ48" s="28">
        <f t="shared" si="3"/>
        <v>0.20749999999999999</v>
      </c>
      <c r="AL48" s="24">
        <f t="shared" si="13"/>
        <v>3.7581565617722697E-2</v>
      </c>
      <c r="AM48" s="25">
        <f t="shared" ca="1" si="14"/>
        <v>0.87570745197262734</v>
      </c>
      <c r="AO48" s="26">
        <f t="shared" ca="1" si="4"/>
        <v>0</v>
      </c>
      <c r="AP48" s="26"/>
      <c r="AQ48" s="26">
        <f t="shared" ca="1" si="5"/>
        <v>0</v>
      </c>
      <c r="AR48" s="26"/>
      <c r="AS48" s="27">
        <f t="shared" ca="1" si="6"/>
        <v>0</v>
      </c>
      <c r="AT48" s="27">
        <f t="shared" ca="1" si="7"/>
        <v>0</v>
      </c>
      <c r="AU48" s="27">
        <f t="shared" ca="1" si="8"/>
        <v>0</v>
      </c>
      <c r="AV48" s="27"/>
      <c r="AW48" s="27"/>
      <c r="AY48" s="216"/>
      <c r="AZ48" s="216"/>
      <c r="BA48" s="233"/>
      <c r="BC48" s="216"/>
      <c r="BE48" s="69"/>
    </row>
    <row r="49" spans="1:57">
      <c r="A49" s="19">
        <f>[1]!_xludf.edate(A48,1)</f>
        <v>38473</v>
      </c>
      <c r="B49" s="21">
        <f t="shared" si="15"/>
        <v>31</v>
      </c>
      <c r="C49" s="20">
        <f>IF(Control!$F$18="Physical",Model!A50+24,Model!A50)</f>
        <v>38528</v>
      </c>
      <c r="E49" s="22">
        <f>IF($A49&lt;End_Date,IF(Control!$C$20="Flat",Control!$C$21,VLOOKUP(Model!$A49,Euro!$B$29:$D$182,3)),0)</f>
        <v>0</v>
      </c>
      <c r="F49" s="22">
        <f t="shared" si="9"/>
        <v>0</v>
      </c>
      <c r="H49" s="23">
        <f>IF(Control!$C$27="Mid",VLOOKUP($A49,CurveFetch!$D$8:$F$367,3),VLOOKUP($A49,Euro!$B$29:$I$182,8))</f>
        <v>3.823</v>
      </c>
      <c r="I49" s="23"/>
      <c r="J49" s="23">
        <f>IF($J$4="Mid",VLOOKUP($A49,Curve_Fetch,VLOOKUP(Control!$AJ$10,Control!$AI$11:$AK$22,3)),VLOOKUP($A49,Euro!$B$29:$M$182,12))</f>
        <v>-0.21</v>
      </c>
      <c r="K49" s="228">
        <f>IF(Control!$F$18="Physical",IF($K$4="Mid",VLOOKUP($A49,Curve_Fetch,VLOOKUP(Control!$AJ$10,Control!$AI$11:$AL$22,4)),VLOOKUP($A49,Euro!$B$29:$Q$182,16)),0)</f>
        <v>2.5000000000000001E-3</v>
      </c>
      <c r="L49" s="23">
        <f t="shared" si="10"/>
        <v>-0.20749999999999999</v>
      </c>
      <c r="M49" s="23"/>
      <c r="N49" s="69">
        <f t="shared" si="1"/>
        <v>3.6154999999999999</v>
      </c>
      <c r="O49" s="69">
        <f>N49+Control!$C$39</f>
        <v>3.6154999999999999</v>
      </c>
      <c r="P49" s="73">
        <f>VLOOKUP($A49,CurveFetch!$D$8:$E$367,2)</f>
        <v>3.7581565617722697E-2</v>
      </c>
      <c r="Q49" s="24">
        <f t="shared" si="11"/>
        <v>3.7581565617722697E-2</v>
      </c>
      <c r="R49" s="72">
        <f t="shared" ca="1" si="12"/>
        <v>1276</v>
      </c>
      <c r="S49" s="25">
        <f>VLOOKUP($A49,Curve_Fetch,VLOOKUP(Control!$AJ$10,Control!$AI$11:$AM$22,5))</f>
        <v>0.26300000000000001</v>
      </c>
      <c r="T49" s="74">
        <f ca="1">_xll.EURO(N49,O49,P49,Q49,S49,R49,IF(Control!$C$38="Call",1,0),0)</f>
        <v>0.61558794019096097</v>
      </c>
      <c r="U49" s="27">
        <f t="shared" ca="1" si="2"/>
        <v>0</v>
      </c>
      <c r="V49" s="76"/>
      <c r="W49" s="197"/>
      <c r="X49" s="197"/>
      <c r="Y49" s="197"/>
      <c r="AA49" s="210"/>
      <c r="AB49" s="210"/>
      <c r="AC49" s="211"/>
      <c r="AD49" s="212"/>
      <c r="AE49" s="213"/>
      <c r="AF49" s="214"/>
      <c r="AG49" s="215"/>
      <c r="AH49" s="216"/>
      <c r="AI49" s="27"/>
      <c r="AJ49" s="28">
        <f t="shared" si="3"/>
        <v>0.20749999999999999</v>
      </c>
      <c r="AL49" s="24">
        <f t="shared" si="13"/>
        <v>3.7943739661812102E-2</v>
      </c>
      <c r="AM49" s="25">
        <f t="shared" ca="1" si="14"/>
        <v>0.87181279846114423</v>
      </c>
      <c r="AO49" s="26">
        <f t="shared" ca="1" si="4"/>
        <v>0</v>
      </c>
      <c r="AP49" s="26"/>
      <c r="AQ49" s="26">
        <f t="shared" ca="1" si="5"/>
        <v>0</v>
      </c>
      <c r="AR49" s="26"/>
      <c r="AS49" s="27">
        <f t="shared" ca="1" si="6"/>
        <v>0</v>
      </c>
      <c r="AT49" s="27">
        <f t="shared" ca="1" si="7"/>
        <v>0</v>
      </c>
      <c r="AU49" s="27">
        <f t="shared" ca="1" si="8"/>
        <v>0</v>
      </c>
      <c r="AV49" s="27"/>
      <c r="AW49" s="27"/>
      <c r="AY49" s="216"/>
      <c r="AZ49" s="216"/>
      <c r="BA49" s="233"/>
      <c r="BC49" s="216"/>
      <c r="BE49" s="69"/>
    </row>
    <row r="50" spans="1:57">
      <c r="A50" s="19">
        <f>[1]!_xludf.edate(A49,1)</f>
        <v>38504</v>
      </c>
      <c r="B50" s="21">
        <f t="shared" si="15"/>
        <v>30</v>
      </c>
      <c r="C50" s="20">
        <f>IF(Control!$F$18="Physical",Model!A51+24,Model!A51)</f>
        <v>38558</v>
      </c>
      <c r="E50" s="22">
        <f>IF($A50&lt;End_Date,IF(Control!$C$20="Flat",Control!$C$21,VLOOKUP(Model!$A50,Euro!$B$29:$D$182,3)),0)</f>
        <v>0</v>
      </c>
      <c r="F50" s="22">
        <f t="shared" si="9"/>
        <v>0</v>
      </c>
      <c r="H50" s="23">
        <f>IF(Control!$C$27="Mid",VLOOKUP($A50,CurveFetch!$D$8:$F$367,3),VLOOKUP($A50,Euro!$B$29:$I$182,8))</f>
        <v>3.8610000000000002</v>
      </c>
      <c r="I50" s="23"/>
      <c r="J50" s="23">
        <f>IF($J$4="Mid",VLOOKUP($A50,Curve_Fetch,VLOOKUP(Control!$AJ$10,Control!$AI$11:$AK$22,3)),VLOOKUP($A50,Euro!$B$29:$M$182,12))</f>
        <v>-0.21</v>
      </c>
      <c r="K50" s="228">
        <f>IF(Control!$F$18="Physical",IF($K$4="Mid",VLOOKUP($A50,Curve_Fetch,VLOOKUP(Control!$AJ$10,Control!$AI$11:$AL$22,4)),VLOOKUP($A50,Euro!$B$29:$Q$182,16)),0)</f>
        <v>2.5000000000000001E-3</v>
      </c>
      <c r="L50" s="23">
        <f t="shared" si="10"/>
        <v>-0.20749999999999999</v>
      </c>
      <c r="M50" s="23"/>
      <c r="N50" s="69">
        <f t="shared" si="1"/>
        <v>3.6535000000000002</v>
      </c>
      <c r="O50" s="69">
        <f>N50+Control!$C$39</f>
        <v>3.6535000000000002</v>
      </c>
      <c r="P50" s="73">
        <f>VLOOKUP($A50,CurveFetch!$D$8:$E$367,2)</f>
        <v>3.7943739661812102E-2</v>
      </c>
      <c r="Q50" s="24">
        <f t="shared" si="11"/>
        <v>3.7943739661812102E-2</v>
      </c>
      <c r="R50" s="72">
        <f t="shared" ca="1" si="12"/>
        <v>1307</v>
      </c>
      <c r="S50" s="25">
        <f>VLOOKUP($A50,Curve_Fetch,VLOOKUP(Control!$AJ$10,Control!$AI$11:$AM$22,5))</f>
        <v>0.25800000000000001</v>
      </c>
      <c r="T50" s="74">
        <f ca="1">_xll.EURO(N50,O50,P50,Q50,S50,R50,IF(Control!$C$38="Call",1,0),0)</f>
        <v>0.61492353533662225</v>
      </c>
      <c r="U50" s="27">
        <f t="shared" ca="1" si="2"/>
        <v>0</v>
      </c>
      <c r="V50" s="76"/>
      <c r="W50" s="197"/>
      <c r="X50" s="197"/>
      <c r="Y50" s="197"/>
      <c r="AA50" s="210"/>
      <c r="AB50" s="210"/>
      <c r="AC50" s="211"/>
      <c r="AD50" s="212"/>
      <c r="AE50" s="213"/>
      <c r="AF50" s="214"/>
      <c r="AG50" s="215"/>
      <c r="AH50" s="216"/>
      <c r="AI50" s="27"/>
      <c r="AJ50" s="28">
        <f t="shared" si="3"/>
        <v>0.20749999999999999</v>
      </c>
      <c r="AL50" s="24">
        <f t="shared" si="13"/>
        <v>3.8280448218051898E-2</v>
      </c>
      <c r="AM50" s="25">
        <f t="shared" ca="1" si="14"/>
        <v>0.86805440360378561</v>
      </c>
      <c r="AO50" s="26">
        <f t="shared" ca="1" si="4"/>
        <v>0</v>
      </c>
      <c r="AP50" s="26"/>
      <c r="AQ50" s="26">
        <f t="shared" ca="1" si="5"/>
        <v>0</v>
      </c>
      <c r="AR50" s="26"/>
      <c r="AS50" s="27">
        <f t="shared" ca="1" si="6"/>
        <v>0</v>
      </c>
      <c r="AT50" s="27">
        <f t="shared" ca="1" si="7"/>
        <v>0</v>
      </c>
      <c r="AU50" s="27">
        <f t="shared" ca="1" si="8"/>
        <v>0</v>
      </c>
      <c r="AV50" s="27"/>
      <c r="AW50" s="27"/>
      <c r="AY50" s="216"/>
      <c r="AZ50" s="216"/>
      <c r="BA50" s="233"/>
      <c r="BC50" s="216"/>
      <c r="BE50" s="69"/>
    </row>
    <row r="51" spans="1:57">
      <c r="A51" s="19">
        <f>[1]!_xludf.edate(A50,1)</f>
        <v>38534</v>
      </c>
      <c r="B51" s="21">
        <f t="shared" si="15"/>
        <v>31</v>
      </c>
      <c r="C51" s="20">
        <f>IF(Control!$F$18="Physical",Model!A52+24,Model!A52)</f>
        <v>38589</v>
      </c>
      <c r="E51" s="22">
        <f>IF($A51&lt;End_Date,IF(Control!$C$20="Flat",Control!$C$21,VLOOKUP(Model!$A51,Euro!$B$29:$D$182,3)),0)</f>
        <v>0</v>
      </c>
      <c r="F51" s="22">
        <f t="shared" si="9"/>
        <v>0</v>
      </c>
      <c r="H51" s="23">
        <f>IF(Control!$C$27="Mid",VLOOKUP($A51,CurveFetch!$D$8:$F$367,3),VLOOKUP($A51,Euro!$B$29:$I$182,8))</f>
        <v>3.9060000000000001</v>
      </c>
      <c r="I51" s="23"/>
      <c r="J51" s="23">
        <f>IF($J$4="Mid",VLOOKUP($A51,Curve_Fetch,VLOOKUP(Control!$AJ$10,Control!$AI$11:$AK$22,3)),VLOOKUP($A51,Euro!$B$29:$M$182,12))</f>
        <v>-0.21</v>
      </c>
      <c r="K51" s="228">
        <f>IF(Control!$F$18="Physical",IF($K$4="Mid",VLOOKUP($A51,Curve_Fetch,VLOOKUP(Control!$AJ$10,Control!$AI$11:$AL$22,4)),VLOOKUP($A51,Euro!$B$29:$Q$182,16)),0)</f>
        <v>2.5000000000000001E-3</v>
      </c>
      <c r="L51" s="23">
        <f t="shared" si="10"/>
        <v>-0.20749999999999999</v>
      </c>
      <c r="M51" s="23"/>
      <c r="N51" s="69">
        <f t="shared" si="1"/>
        <v>3.6985000000000001</v>
      </c>
      <c r="O51" s="69">
        <f>N51+Control!$C$39</f>
        <v>3.6985000000000001</v>
      </c>
      <c r="P51" s="73">
        <f>VLOOKUP($A51,CurveFetch!$D$8:$E$367,2)</f>
        <v>3.8280448218051898E-2</v>
      </c>
      <c r="Q51" s="24">
        <f t="shared" si="11"/>
        <v>3.8280448218051898E-2</v>
      </c>
      <c r="R51" s="72">
        <f t="shared" ca="1" si="12"/>
        <v>1337</v>
      </c>
      <c r="S51" s="25">
        <f>VLOOKUP($A51,Curve_Fetch,VLOOKUP(Control!$AJ$10,Control!$AI$11:$AM$22,5))</f>
        <v>0.25800000000000001</v>
      </c>
      <c r="T51" s="74">
        <f ca="1">_xll.EURO(N51,O51,P51,Q51,S51,R51,IF(Control!$C$38="Call",1,0),0)</f>
        <v>0.62672731373318924</v>
      </c>
      <c r="U51" s="27">
        <f t="shared" ca="1" si="2"/>
        <v>0</v>
      </c>
      <c r="V51" s="76"/>
      <c r="W51" s="197"/>
      <c r="X51" s="197"/>
      <c r="Y51" s="197"/>
      <c r="AA51" s="210"/>
      <c r="AB51" s="210"/>
      <c r="AC51" s="211"/>
      <c r="AD51" s="212"/>
      <c r="AE51" s="213"/>
      <c r="AF51" s="214"/>
      <c r="AG51" s="215"/>
      <c r="AH51" s="216"/>
      <c r="AI51" s="27"/>
      <c r="AJ51" s="28">
        <f t="shared" si="3"/>
        <v>0.20749999999999999</v>
      </c>
      <c r="AL51" s="24">
        <f t="shared" si="13"/>
        <v>3.8615118681207199E-2</v>
      </c>
      <c r="AM51" s="25">
        <f t="shared" ca="1" si="14"/>
        <v>0.86418157333021595</v>
      </c>
      <c r="AO51" s="26">
        <f t="shared" ca="1" si="4"/>
        <v>0</v>
      </c>
      <c r="AP51" s="26"/>
      <c r="AQ51" s="26">
        <f t="shared" ca="1" si="5"/>
        <v>0</v>
      </c>
      <c r="AR51" s="26"/>
      <c r="AS51" s="27">
        <f t="shared" ca="1" si="6"/>
        <v>0</v>
      </c>
      <c r="AT51" s="27">
        <f t="shared" ca="1" si="7"/>
        <v>0</v>
      </c>
      <c r="AU51" s="27">
        <f t="shared" ca="1" si="8"/>
        <v>0</v>
      </c>
      <c r="AV51" s="27"/>
      <c r="AW51" s="27"/>
      <c r="AY51" s="216"/>
      <c r="AZ51" s="216"/>
      <c r="BA51" s="233"/>
      <c r="BC51" s="216"/>
      <c r="BE51" s="69"/>
    </row>
    <row r="52" spans="1:57">
      <c r="A52" s="19">
        <f>[1]!_xludf.edate(A51,1)</f>
        <v>38565</v>
      </c>
      <c r="B52" s="21">
        <f t="shared" si="15"/>
        <v>31</v>
      </c>
      <c r="C52" s="20">
        <f>IF(Control!$F$18="Physical",Model!A53+24,Model!A53)</f>
        <v>38620</v>
      </c>
      <c r="E52" s="22">
        <f>IF($A52&lt;End_Date,IF(Control!$C$20="Flat",Control!$C$21,VLOOKUP(Model!$A52,Euro!$B$29:$D$182,3)),0)</f>
        <v>0</v>
      </c>
      <c r="F52" s="22">
        <f t="shared" si="9"/>
        <v>0</v>
      </c>
      <c r="H52" s="23">
        <f>IF(Control!$C$27="Mid",VLOOKUP($A52,CurveFetch!$D$8:$F$367,3),VLOOKUP($A52,Euro!$B$29:$I$182,8))</f>
        <v>3.944</v>
      </c>
      <c r="I52" s="23"/>
      <c r="J52" s="23">
        <f>IF($J$4="Mid",VLOOKUP($A52,Curve_Fetch,VLOOKUP(Control!$AJ$10,Control!$AI$11:$AK$22,3)),VLOOKUP($A52,Euro!$B$29:$M$182,12))</f>
        <v>-0.21</v>
      </c>
      <c r="K52" s="228">
        <f>IF(Control!$F$18="Physical",IF($K$4="Mid",VLOOKUP($A52,Curve_Fetch,VLOOKUP(Control!$AJ$10,Control!$AI$11:$AL$22,4)),VLOOKUP($A52,Euro!$B$29:$Q$182,16)),0)</f>
        <v>2.5000000000000001E-3</v>
      </c>
      <c r="L52" s="23">
        <f t="shared" si="10"/>
        <v>-0.20749999999999999</v>
      </c>
      <c r="M52" s="23"/>
      <c r="N52" s="69">
        <f t="shared" si="1"/>
        <v>3.7364999999999999</v>
      </c>
      <c r="O52" s="69">
        <f>N52+Control!$C$39</f>
        <v>3.7364999999999999</v>
      </c>
      <c r="P52" s="73">
        <f>VLOOKUP($A52,CurveFetch!$D$8:$E$367,2)</f>
        <v>3.8615118681207199E-2</v>
      </c>
      <c r="Q52" s="24">
        <f t="shared" si="11"/>
        <v>3.8615118681207199E-2</v>
      </c>
      <c r="R52" s="72">
        <f t="shared" ca="1" si="12"/>
        <v>1368</v>
      </c>
      <c r="S52" s="25">
        <f>VLOOKUP($A52,Curve_Fetch,VLOOKUP(Control!$AJ$10,Control!$AI$11:$AM$22,5))</f>
        <v>0.25800000000000001</v>
      </c>
      <c r="T52" s="74">
        <f ca="1">_xll.EURO(N52,O52,P52,Q52,S52,R52,IF(Control!$C$38="Call",1,0),0)</f>
        <v>0.63743886775744318</v>
      </c>
      <c r="U52" s="27">
        <f t="shared" ca="1" si="2"/>
        <v>0</v>
      </c>
      <c r="V52" s="76"/>
      <c r="W52" s="197"/>
      <c r="X52" s="197"/>
      <c r="Y52" s="197"/>
      <c r="AA52" s="210"/>
      <c r="AB52" s="210"/>
      <c r="AC52" s="211"/>
      <c r="AD52" s="212"/>
      <c r="AE52" s="213"/>
      <c r="AF52" s="214"/>
      <c r="AG52" s="215"/>
      <c r="AH52" s="216"/>
      <c r="AI52" s="27"/>
      <c r="AJ52" s="28">
        <f t="shared" si="3"/>
        <v>0.20749999999999999</v>
      </c>
      <c r="AL52" s="24">
        <f t="shared" si="13"/>
        <v>3.8949789181967898E-2</v>
      </c>
      <c r="AM52" s="25">
        <f t="shared" ca="1" si="14"/>
        <v>0.86027825121721246</v>
      </c>
      <c r="AO52" s="26">
        <f t="shared" ca="1" si="4"/>
        <v>0</v>
      </c>
      <c r="AP52" s="26"/>
      <c r="AQ52" s="26">
        <f t="shared" ca="1" si="5"/>
        <v>0</v>
      </c>
      <c r="AR52" s="26"/>
      <c r="AS52" s="27">
        <f t="shared" ca="1" si="6"/>
        <v>0</v>
      </c>
      <c r="AT52" s="27">
        <f t="shared" ca="1" si="7"/>
        <v>0</v>
      </c>
      <c r="AU52" s="27">
        <f t="shared" ca="1" si="8"/>
        <v>0</v>
      </c>
      <c r="AV52" s="27"/>
      <c r="AW52" s="27"/>
      <c r="AY52" s="216"/>
      <c r="AZ52" s="216"/>
      <c r="BA52" s="233"/>
      <c r="BC52" s="216"/>
      <c r="BE52" s="69"/>
    </row>
    <row r="53" spans="1:57">
      <c r="A53" s="19">
        <f>[1]!_xludf.edate(A52,1)</f>
        <v>38596</v>
      </c>
      <c r="B53" s="21">
        <f t="shared" si="15"/>
        <v>30</v>
      </c>
      <c r="C53" s="20">
        <f>IF(Control!$F$18="Physical",Model!A54+24,Model!A54)</f>
        <v>38650</v>
      </c>
      <c r="E53" s="22">
        <f>IF($A53&lt;End_Date,IF(Control!$C$20="Flat",Control!$C$21,VLOOKUP(Model!$A53,Euro!$B$29:$D$182,3)),0)</f>
        <v>0</v>
      </c>
      <c r="F53" s="22">
        <f t="shared" si="9"/>
        <v>0</v>
      </c>
      <c r="H53" s="23">
        <f>IF(Control!$C$27="Mid",VLOOKUP($A53,CurveFetch!$D$8:$F$367,3),VLOOKUP($A53,Euro!$B$29:$I$182,8))</f>
        <v>3.9380000000000002</v>
      </c>
      <c r="I53" s="23"/>
      <c r="J53" s="23">
        <f>IF($J$4="Mid",VLOOKUP($A53,Curve_Fetch,VLOOKUP(Control!$AJ$10,Control!$AI$11:$AK$22,3)),VLOOKUP($A53,Euro!$B$29:$M$182,12))</f>
        <v>-0.21</v>
      </c>
      <c r="K53" s="228">
        <f>IF(Control!$F$18="Physical",IF($K$4="Mid",VLOOKUP($A53,Curve_Fetch,VLOOKUP(Control!$AJ$10,Control!$AI$11:$AL$22,4)),VLOOKUP($A53,Euro!$B$29:$Q$182,16)),0)</f>
        <v>2.5000000000000001E-3</v>
      </c>
      <c r="L53" s="23">
        <f t="shared" si="10"/>
        <v>-0.20749999999999999</v>
      </c>
      <c r="M53" s="23"/>
      <c r="N53" s="69">
        <f t="shared" si="1"/>
        <v>3.7305000000000001</v>
      </c>
      <c r="O53" s="69">
        <f>N53+Control!$C$39</f>
        <v>3.7305000000000001</v>
      </c>
      <c r="P53" s="73">
        <f>VLOOKUP($A53,CurveFetch!$D$8:$E$367,2)</f>
        <v>3.8949789181967898E-2</v>
      </c>
      <c r="Q53" s="24">
        <f t="shared" si="11"/>
        <v>3.8949789181967898E-2</v>
      </c>
      <c r="R53" s="72">
        <f t="shared" ca="1" si="12"/>
        <v>1399</v>
      </c>
      <c r="S53" s="25">
        <f>VLOOKUP($A53,Curve_Fetch,VLOOKUP(Control!$AJ$10,Control!$AI$11:$AM$22,5))</f>
        <v>0.25800000000000001</v>
      </c>
      <c r="T53" s="74">
        <f ca="1">_xll.EURO(N53,O53,P53,Q53,S53,R53,IF(Control!$C$38="Call",1,0),0)</f>
        <v>0.64050859926676895</v>
      </c>
      <c r="U53" s="27">
        <f t="shared" ca="1" si="2"/>
        <v>0</v>
      </c>
      <c r="V53" s="76"/>
      <c r="W53" s="197"/>
      <c r="X53" s="197"/>
      <c r="Y53" s="197"/>
      <c r="AA53" s="210"/>
      <c r="AB53" s="210"/>
      <c r="AC53" s="211"/>
      <c r="AD53" s="212"/>
      <c r="AE53" s="213"/>
      <c r="AF53" s="214"/>
      <c r="AG53" s="215"/>
      <c r="AH53" s="216"/>
      <c r="AI53" s="27"/>
      <c r="AJ53" s="28">
        <f t="shared" si="3"/>
        <v>0.20749999999999999</v>
      </c>
      <c r="AL53" s="24">
        <f t="shared" si="13"/>
        <v>3.9265281938853001E-2</v>
      </c>
      <c r="AM53" s="25">
        <f t="shared" ca="1" si="14"/>
        <v>0.85650040599527322</v>
      </c>
      <c r="AO53" s="26">
        <f t="shared" ca="1" si="4"/>
        <v>0</v>
      </c>
      <c r="AP53" s="26"/>
      <c r="AQ53" s="26">
        <f t="shared" ca="1" si="5"/>
        <v>0</v>
      </c>
      <c r="AR53" s="26"/>
      <c r="AS53" s="27">
        <f t="shared" ca="1" si="6"/>
        <v>0</v>
      </c>
      <c r="AT53" s="27">
        <f t="shared" ca="1" si="7"/>
        <v>0</v>
      </c>
      <c r="AU53" s="27">
        <f t="shared" ca="1" si="8"/>
        <v>0</v>
      </c>
      <c r="AV53" s="27"/>
      <c r="AW53" s="27"/>
      <c r="AY53" s="216"/>
      <c r="AZ53" s="216"/>
      <c r="BA53" s="233"/>
      <c r="BC53" s="216"/>
      <c r="BE53" s="69"/>
    </row>
    <row r="54" spans="1:57">
      <c r="A54" s="19">
        <f>[1]!_xludf.edate(A53,1)</f>
        <v>38626</v>
      </c>
      <c r="B54" s="21">
        <f t="shared" si="15"/>
        <v>31</v>
      </c>
      <c r="C54" s="20">
        <f>IF(Control!$F$18="Physical",Model!A55+24,Model!A55)</f>
        <v>38681</v>
      </c>
      <c r="E54" s="22">
        <f>IF($A54&lt;End_Date,IF(Control!$C$20="Flat",Control!$C$21,VLOOKUP(Model!$A54,Euro!$B$29:$D$182,3)),0)</f>
        <v>0</v>
      </c>
      <c r="F54" s="22">
        <f t="shared" si="9"/>
        <v>0</v>
      </c>
      <c r="H54" s="23">
        <f>IF(Control!$C$27="Mid",VLOOKUP($A54,CurveFetch!$D$8:$F$367,3),VLOOKUP($A54,Euro!$B$29:$I$182,8))</f>
        <v>3.9380000000000002</v>
      </c>
      <c r="I54" s="23"/>
      <c r="J54" s="23">
        <f>IF($J$4="Mid",VLOOKUP($A54,Curve_Fetch,VLOOKUP(Control!$AJ$10,Control!$AI$11:$AK$22,3)),VLOOKUP($A54,Euro!$B$29:$M$182,12))</f>
        <v>-0.21</v>
      </c>
      <c r="K54" s="228">
        <f>IF(Control!$F$18="Physical",IF($K$4="Mid",VLOOKUP($A54,Curve_Fetch,VLOOKUP(Control!$AJ$10,Control!$AI$11:$AL$22,4)),VLOOKUP($A54,Euro!$B$29:$Q$182,16)),0)</f>
        <v>2.5000000000000001E-3</v>
      </c>
      <c r="L54" s="23">
        <f t="shared" si="10"/>
        <v>-0.20749999999999999</v>
      </c>
      <c r="M54" s="23"/>
      <c r="N54" s="69">
        <f t="shared" si="1"/>
        <v>3.7305000000000001</v>
      </c>
      <c r="O54" s="69">
        <f>N54+Control!$C$39</f>
        <v>3.7305000000000001</v>
      </c>
      <c r="P54" s="73">
        <f>VLOOKUP($A54,CurveFetch!$D$8:$E$367,2)</f>
        <v>3.9265281938853001E-2</v>
      </c>
      <c r="Q54" s="24">
        <f t="shared" si="11"/>
        <v>3.9265281938853001E-2</v>
      </c>
      <c r="R54" s="72">
        <f t="shared" ca="1" si="12"/>
        <v>1429</v>
      </c>
      <c r="S54" s="25">
        <f>VLOOKUP($A54,Curve_Fetch,VLOOKUP(Control!$AJ$10,Control!$AI$11:$AM$22,5))</f>
        <v>0.25800000000000001</v>
      </c>
      <c r="T54" s="74">
        <f ca="1">_xll.EURO(N54,O54,P54,Q54,S54,R54,IF(Control!$C$38="Call",1,0),0)</f>
        <v>0.64433050408325609</v>
      </c>
      <c r="U54" s="27">
        <f t="shared" ca="1" si="2"/>
        <v>0</v>
      </c>
      <c r="V54" s="76"/>
      <c r="W54" s="197"/>
      <c r="X54" s="197"/>
      <c r="Y54" s="197"/>
      <c r="AA54" s="210"/>
      <c r="AB54" s="210"/>
      <c r="AC54" s="211"/>
      <c r="AD54" s="212"/>
      <c r="AE54" s="213"/>
      <c r="AF54" s="214"/>
      <c r="AG54" s="215"/>
      <c r="AH54" s="216"/>
      <c r="AI54" s="27"/>
      <c r="AJ54" s="28">
        <f t="shared" si="3"/>
        <v>0.20749999999999999</v>
      </c>
      <c r="AL54" s="24">
        <f t="shared" si="13"/>
        <v>3.9573023063374201E-2</v>
      </c>
      <c r="AM54" s="25">
        <f t="shared" ca="1" si="14"/>
        <v>0.85263084242285092</v>
      </c>
      <c r="AO54" s="26">
        <f t="shared" ca="1" si="4"/>
        <v>0</v>
      </c>
      <c r="AP54" s="26"/>
      <c r="AQ54" s="26">
        <f t="shared" ca="1" si="5"/>
        <v>0</v>
      </c>
      <c r="AR54" s="26"/>
      <c r="AS54" s="27">
        <f t="shared" ca="1" si="6"/>
        <v>0</v>
      </c>
      <c r="AT54" s="27">
        <f t="shared" ca="1" si="7"/>
        <v>0</v>
      </c>
      <c r="AU54" s="27">
        <f t="shared" ca="1" si="8"/>
        <v>0</v>
      </c>
      <c r="AV54" s="27"/>
      <c r="AW54" s="27"/>
      <c r="AY54" s="216"/>
      <c r="AZ54" s="216"/>
      <c r="BA54" s="233"/>
      <c r="BC54" s="216"/>
      <c r="BE54" s="69"/>
    </row>
    <row r="55" spans="1:57">
      <c r="A55" s="19">
        <f>[1]!_xludf.edate(A54,1)</f>
        <v>38657</v>
      </c>
      <c r="B55" s="21">
        <f t="shared" si="15"/>
        <v>30</v>
      </c>
      <c r="C55" s="20">
        <f>IF(Control!$F$18="Physical",Model!A56+24,Model!A56)</f>
        <v>38711</v>
      </c>
      <c r="E55" s="22">
        <f>IF($A55&lt;End_Date,IF(Control!$C$20="Flat",Control!$C$21,VLOOKUP(Model!$A55,Euro!$B$29:$D$182,3)),0)</f>
        <v>0</v>
      </c>
      <c r="F55" s="22">
        <f t="shared" si="9"/>
        <v>0</v>
      </c>
      <c r="H55" s="23">
        <f>IF(Control!$C$27="Mid",VLOOKUP($A55,CurveFetch!$D$8:$F$367,3),VLOOKUP($A55,Euro!$B$29:$I$182,8))</f>
        <v>4.1079999999999997</v>
      </c>
      <c r="I55" s="23"/>
      <c r="J55" s="23">
        <f>IF($J$4="Mid",VLOOKUP($A55,Curve_Fetch,VLOOKUP(Control!$AJ$10,Control!$AI$11:$AK$22,3)),VLOOKUP($A55,Euro!$B$29:$M$182,12))</f>
        <v>-0.13</v>
      </c>
      <c r="K55" s="228">
        <f>IF(Control!$F$18="Physical",IF($K$4="Mid",VLOOKUP($A55,Curve_Fetch,VLOOKUP(Control!$AJ$10,Control!$AI$11:$AL$22,4)),VLOOKUP($A55,Euro!$B$29:$Q$182,16)),0)</f>
        <v>5.0000000000000001E-3</v>
      </c>
      <c r="L55" s="23">
        <f t="shared" si="10"/>
        <v>-0.125</v>
      </c>
      <c r="M55" s="23"/>
      <c r="N55" s="69">
        <f t="shared" si="1"/>
        <v>3.9829999999999997</v>
      </c>
      <c r="O55" s="69">
        <f>N55+Control!$C$39</f>
        <v>3.9829999999999997</v>
      </c>
      <c r="P55" s="73">
        <f>VLOOKUP($A55,CurveFetch!$D$8:$E$367,2)</f>
        <v>3.9573023063374201E-2</v>
      </c>
      <c r="Q55" s="24">
        <f t="shared" si="11"/>
        <v>3.9573023063374201E-2</v>
      </c>
      <c r="R55" s="72">
        <f t="shared" ca="1" si="12"/>
        <v>1460</v>
      </c>
      <c r="S55" s="25">
        <f>VLOOKUP($A55,Curve_Fetch,VLOOKUP(Control!$AJ$10,Control!$AI$11:$AM$22,5))</f>
        <v>0.25800000000000001</v>
      </c>
      <c r="T55" s="74">
        <f ca="1">_xll.EURO(N55,O55,P55,Q55,S55,R55,IF(Control!$C$38="Call",1,0),0)</f>
        <v>0.69203709397622259</v>
      </c>
      <c r="U55" s="27">
        <f t="shared" ca="1" si="2"/>
        <v>0</v>
      </c>
      <c r="V55" s="76"/>
      <c r="W55" s="197"/>
      <c r="X55" s="197"/>
      <c r="Y55" s="197"/>
      <c r="AA55" s="210"/>
      <c r="AB55" s="210"/>
      <c r="AC55" s="211"/>
      <c r="AD55" s="212"/>
      <c r="AE55" s="213"/>
      <c r="AF55" s="214"/>
      <c r="AG55" s="215"/>
      <c r="AH55" s="216"/>
      <c r="AI55" s="27"/>
      <c r="AJ55" s="28">
        <f t="shared" si="3"/>
        <v>0.125</v>
      </c>
      <c r="AL55" s="24">
        <f t="shared" si="13"/>
        <v>3.9870837085107101E-2</v>
      </c>
      <c r="AM55" s="25">
        <f t="shared" ca="1" si="14"/>
        <v>0.84886149706284431</v>
      </c>
      <c r="AO55" s="26">
        <f t="shared" ca="1" si="4"/>
        <v>0</v>
      </c>
      <c r="AP55" s="26"/>
      <c r="AQ55" s="26">
        <f t="shared" ca="1" si="5"/>
        <v>0</v>
      </c>
      <c r="AR55" s="26"/>
      <c r="AS55" s="27">
        <f t="shared" ca="1" si="6"/>
        <v>0</v>
      </c>
      <c r="AT55" s="27">
        <f t="shared" ca="1" si="7"/>
        <v>0</v>
      </c>
      <c r="AU55" s="27">
        <f t="shared" ca="1" si="8"/>
        <v>0</v>
      </c>
      <c r="AV55" s="27"/>
      <c r="AW55" s="27"/>
      <c r="AY55" s="216"/>
      <c r="AZ55" s="216"/>
      <c r="BA55" s="233"/>
      <c r="BC55" s="216"/>
      <c r="BE55" s="69"/>
    </row>
    <row r="56" spans="1:57">
      <c r="A56" s="19">
        <f>[1]!_xludf.edate(A55,1)</f>
        <v>38687</v>
      </c>
      <c r="B56" s="21">
        <f t="shared" si="15"/>
        <v>31</v>
      </c>
      <c r="C56" s="20">
        <f>IF(Control!$F$18="Physical",Model!A57+24,Model!A57)</f>
        <v>38742</v>
      </c>
      <c r="E56" s="22">
        <f>IF($A56&lt;End_Date,IF(Control!$C$20="Flat",Control!$C$21,VLOOKUP(Model!$A56,Euro!$B$29:$D$182,3)),0)</f>
        <v>0</v>
      </c>
      <c r="F56" s="22">
        <f t="shared" si="9"/>
        <v>0</v>
      </c>
      <c r="H56" s="23">
        <f>IF(Control!$C$27="Mid",VLOOKUP($A56,CurveFetch!$D$8:$F$367,3),VLOOKUP($A56,Euro!$B$29:$I$182,8))</f>
        <v>4.2389999999999999</v>
      </c>
      <c r="I56" s="23"/>
      <c r="J56" s="23">
        <f>IF($J$4="Mid",VLOOKUP($A56,Curve_Fetch,VLOOKUP(Control!$AJ$10,Control!$AI$11:$AK$22,3)),VLOOKUP($A56,Euro!$B$29:$M$182,12))</f>
        <v>-0.13</v>
      </c>
      <c r="K56" s="228">
        <f>IF(Control!$F$18="Physical",IF($K$4="Mid",VLOOKUP($A56,Curve_Fetch,VLOOKUP(Control!$AJ$10,Control!$AI$11:$AL$22,4)),VLOOKUP($A56,Euro!$B$29:$Q$182,16)),0)</f>
        <v>5.0000000000000001E-3</v>
      </c>
      <c r="L56" s="23">
        <f t="shared" si="10"/>
        <v>-0.125</v>
      </c>
      <c r="M56" s="23"/>
      <c r="N56" s="69">
        <f t="shared" si="1"/>
        <v>4.1139999999999999</v>
      </c>
      <c r="O56" s="69">
        <f>N56+Control!$C$39</f>
        <v>4.1139999999999999</v>
      </c>
      <c r="P56" s="73">
        <f>VLOOKUP($A56,CurveFetch!$D$8:$E$367,2)</f>
        <v>3.9870837085107101E-2</v>
      </c>
      <c r="Q56" s="24">
        <f t="shared" si="11"/>
        <v>3.9870837085107101E-2</v>
      </c>
      <c r="R56" s="72">
        <f t="shared" ca="1" si="12"/>
        <v>1490</v>
      </c>
      <c r="S56" s="25">
        <f>VLOOKUP($A56,Curve_Fetch,VLOOKUP(Control!$AJ$10,Control!$AI$11:$AM$22,5))</f>
        <v>0.25800000000000001</v>
      </c>
      <c r="T56" s="74">
        <f ca="1">_xll.EURO(N56,O56,P56,Q56,S56,R56,IF(Control!$C$38="Call",1,0),0)</f>
        <v>0.71872503828999434</v>
      </c>
      <c r="U56" s="27">
        <f t="shared" ca="1" si="2"/>
        <v>0</v>
      </c>
      <c r="V56" s="76"/>
      <c r="W56" s="197"/>
      <c r="X56" s="197"/>
      <c r="Y56" s="197"/>
      <c r="AA56" s="210"/>
      <c r="AB56" s="210"/>
      <c r="AC56" s="211"/>
      <c r="AD56" s="212"/>
      <c r="AE56" s="213"/>
      <c r="AF56" s="214"/>
      <c r="AG56" s="215"/>
      <c r="AH56" s="216"/>
      <c r="AI56" s="27"/>
      <c r="AJ56" s="28">
        <f t="shared" si="3"/>
        <v>0.125</v>
      </c>
      <c r="AL56" s="24">
        <f t="shared" si="13"/>
        <v>4.0161871005656401E-2</v>
      </c>
      <c r="AM56" s="25">
        <f t="shared" ca="1" si="14"/>
        <v>0.84500020597585779</v>
      </c>
      <c r="AO56" s="26">
        <f t="shared" ca="1" si="4"/>
        <v>0</v>
      </c>
      <c r="AP56" s="26"/>
      <c r="AQ56" s="26">
        <f t="shared" ca="1" si="5"/>
        <v>0</v>
      </c>
      <c r="AR56" s="26"/>
      <c r="AS56" s="27">
        <f t="shared" ca="1" si="6"/>
        <v>0</v>
      </c>
      <c r="AT56" s="27">
        <f t="shared" ca="1" si="7"/>
        <v>0</v>
      </c>
      <c r="AU56" s="27">
        <f t="shared" ca="1" si="8"/>
        <v>0</v>
      </c>
      <c r="AV56" s="27"/>
      <c r="AW56" s="27"/>
      <c r="AY56" s="216"/>
      <c r="AZ56" s="216"/>
      <c r="BA56" s="233"/>
      <c r="BC56" s="216"/>
      <c r="BE56" s="69"/>
    </row>
    <row r="57" spans="1:57">
      <c r="A57" s="19">
        <f>[1]!_xludf.edate(A56,1)</f>
        <v>38718</v>
      </c>
      <c r="B57" s="21">
        <f t="shared" si="15"/>
        <v>31</v>
      </c>
      <c r="C57" s="20">
        <f>IF(Control!$F$18="Physical",Model!A58+24,Model!A58)</f>
        <v>38773</v>
      </c>
      <c r="E57" s="22">
        <f>IF($A57&lt;End_Date,IF(Control!$C$20="Flat",Control!$C$21,VLOOKUP(Model!$A57,Euro!$B$29:$D$182,3)),0)</f>
        <v>0</v>
      </c>
      <c r="F57" s="22">
        <f t="shared" si="9"/>
        <v>0</v>
      </c>
      <c r="H57" s="23">
        <f>IF(Control!$C$27="Mid",VLOOKUP($A57,CurveFetch!$D$8:$F$367,3),VLOOKUP($A57,Euro!$B$29:$I$182,8))</f>
        <v>4.2965</v>
      </c>
      <c r="I57" s="23"/>
      <c r="J57" s="23">
        <f>IF($J$4="Mid",VLOOKUP($A57,Curve_Fetch,VLOOKUP(Control!$AJ$10,Control!$AI$11:$AK$22,3)),VLOOKUP($A57,Euro!$B$29:$M$182,12))</f>
        <v>-0.13</v>
      </c>
      <c r="K57" s="228">
        <f>IF(Control!$F$18="Physical",IF($K$4="Mid",VLOOKUP($A57,Curve_Fetch,VLOOKUP(Control!$AJ$10,Control!$AI$11:$AL$22,4)),VLOOKUP($A57,Euro!$B$29:$Q$182,16)),0)</f>
        <v>5.0000000000000001E-3</v>
      </c>
      <c r="L57" s="23">
        <f t="shared" si="10"/>
        <v>-0.125</v>
      </c>
      <c r="M57" s="23"/>
      <c r="N57" s="69">
        <f t="shared" si="1"/>
        <v>4.1715</v>
      </c>
      <c r="O57" s="69">
        <f>N57+Control!$C$39</f>
        <v>4.1715</v>
      </c>
      <c r="P57" s="73">
        <f>VLOOKUP($A57,CurveFetch!$D$8:$E$367,2)</f>
        <v>4.0161871005656401E-2</v>
      </c>
      <c r="Q57" s="24">
        <f t="shared" si="11"/>
        <v>4.0161871005656401E-2</v>
      </c>
      <c r="R57" s="72">
        <f t="shared" ca="1" si="12"/>
        <v>1521</v>
      </c>
      <c r="S57" s="25">
        <f>VLOOKUP($A57,Curve_Fetch,VLOOKUP(Control!$AJ$10,Control!$AI$11:$AM$22,5))</f>
        <v>0.25800000000000001</v>
      </c>
      <c r="T57" s="74">
        <f ca="1">_xll.EURO(N57,O57,P57,Q57,S57,R57,IF(Control!$C$38="Call",1,0),0)</f>
        <v>0.73276535169619339</v>
      </c>
      <c r="U57" s="27">
        <f t="shared" ca="1" si="2"/>
        <v>0</v>
      </c>
      <c r="V57" s="76"/>
      <c r="W57" s="197"/>
      <c r="X57" s="197"/>
      <c r="Y57" s="197"/>
      <c r="AA57" s="210"/>
      <c r="AB57" s="210"/>
      <c r="AC57" s="211"/>
      <c r="AD57" s="212"/>
      <c r="AE57" s="213"/>
      <c r="AF57" s="214"/>
      <c r="AG57" s="215"/>
      <c r="AH57" s="216"/>
      <c r="AI57" s="27"/>
      <c r="AJ57" s="28">
        <f t="shared" si="3"/>
        <v>0.125</v>
      </c>
      <c r="AL57" s="24">
        <f t="shared" si="13"/>
        <v>4.0422528103703802E-2</v>
      </c>
      <c r="AM57" s="25">
        <f t="shared" ca="1" si="14"/>
        <v>0.84122409378225693</v>
      </c>
      <c r="AO57" s="26">
        <f t="shared" ca="1" si="4"/>
        <v>0</v>
      </c>
      <c r="AP57" s="26"/>
      <c r="AQ57" s="26">
        <f t="shared" ca="1" si="5"/>
        <v>0</v>
      </c>
      <c r="AR57" s="26"/>
      <c r="AS57" s="27">
        <f t="shared" ca="1" si="6"/>
        <v>0</v>
      </c>
      <c r="AT57" s="27">
        <f t="shared" ca="1" si="7"/>
        <v>0</v>
      </c>
      <c r="AU57" s="27">
        <f t="shared" ca="1" si="8"/>
        <v>0</v>
      </c>
      <c r="AV57" s="27"/>
      <c r="AW57" s="27"/>
      <c r="AY57" s="216"/>
      <c r="AZ57" s="216"/>
      <c r="BA57" s="233"/>
      <c r="BC57" s="216"/>
      <c r="BE57" s="69"/>
    </row>
    <row r="58" spans="1:57">
      <c r="A58" s="19">
        <f>[1]!_xludf.edate(A57,1)</f>
        <v>38749</v>
      </c>
      <c r="B58" s="21">
        <f t="shared" si="15"/>
        <v>28</v>
      </c>
      <c r="C58" s="20">
        <f>IF(Control!$F$18="Physical",Model!A59+24,Model!A59)</f>
        <v>38801</v>
      </c>
      <c r="E58" s="22">
        <f>IF($A58&lt;End_Date,IF(Control!$C$20="Flat",Control!$C$21,VLOOKUP(Model!$A58,Euro!$B$29:$D$182,3)),0)</f>
        <v>0</v>
      </c>
      <c r="F58" s="22">
        <f t="shared" si="9"/>
        <v>0</v>
      </c>
      <c r="H58" s="23">
        <f>IF(Control!$C$27="Mid",VLOOKUP($A58,CurveFetch!$D$8:$F$367,3),VLOOKUP($A58,Euro!$B$29:$I$182,8))</f>
        <v>4.2084999999999999</v>
      </c>
      <c r="I58" s="23"/>
      <c r="J58" s="23">
        <f>IF($J$4="Mid",VLOOKUP($A58,Curve_Fetch,VLOOKUP(Control!$AJ$10,Control!$AI$11:$AK$22,3)),VLOOKUP($A58,Euro!$B$29:$M$182,12))</f>
        <v>-0.13</v>
      </c>
      <c r="K58" s="228">
        <f>IF(Control!$F$18="Physical",IF($K$4="Mid",VLOOKUP($A58,Curve_Fetch,VLOOKUP(Control!$AJ$10,Control!$AI$11:$AL$22,4)),VLOOKUP($A58,Euro!$B$29:$Q$182,16)),0)</f>
        <v>5.0000000000000001E-3</v>
      </c>
      <c r="L58" s="23">
        <f t="shared" si="10"/>
        <v>-0.125</v>
      </c>
      <c r="M58" s="23"/>
      <c r="N58" s="69">
        <f t="shared" si="1"/>
        <v>4.0834999999999999</v>
      </c>
      <c r="O58" s="69">
        <f>N58+Control!$C$39</f>
        <v>4.0834999999999999</v>
      </c>
      <c r="P58" s="73">
        <f>VLOOKUP($A58,CurveFetch!$D$8:$E$367,2)</f>
        <v>4.0422528103703802E-2</v>
      </c>
      <c r="Q58" s="24">
        <f t="shared" si="11"/>
        <v>4.0422528103703802E-2</v>
      </c>
      <c r="R58" s="72">
        <f t="shared" ca="1" si="12"/>
        <v>1552</v>
      </c>
      <c r="S58" s="25">
        <f>VLOOKUP($A58,Curve_Fetch,VLOOKUP(Control!$AJ$10,Control!$AI$11:$AM$22,5))</f>
        <v>0.25</v>
      </c>
      <c r="T58" s="74">
        <f ca="1">_xll.EURO(N58,O58,P58,Q58,S58,R58,IF(Control!$C$38="Call",1,0),0)</f>
        <v>0.6992842927529539</v>
      </c>
      <c r="U58" s="27">
        <f t="shared" ca="1" si="2"/>
        <v>0</v>
      </c>
      <c r="V58" s="76"/>
      <c r="W58" s="197"/>
      <c r="X58" s="197"/>
      <c r="Y58" s="197"/>
      <c r="AA58" s="210"/>
      <c r="AB58" s="210"/>
      <c r="AC58" s="211"/>
      <c r="AD58" s="212"/>
      <c r="AE58" s="213"/>
      <c r="AF58" s="214"/>
      <c r="AG58" s="215"/>
      <c r="AH58" s="216"/>
      <c r="AI58" s="27"/>
      <c r="AJ58" s="28">
        <f t="shared" si="3"/>
        <v>0.125</v>
      </c>
      <c r="AL58" s="24">
        <f t="shared" si="13"/>
        <v>4.0657960340885001E-2</v>
      </c>
      <c r="AM58" s="25">
        <f t="shared" ca="1" si="14"/>
        <v>0.83779678834773208</v>
      </c>
      <c r="AO58" s="26">
        <f t="shared" ca="1" si="4"/>
        <v>0</v>
      </c>
      <c r="AP58" s="26"/>
      <c r="AQ58" s="26">
        <f t="shared" ca="1" si="5"/>
        <v>0</v>
      </c>
      <c r="AR58" s="26"/>
      <c r="AS58" s="27">
        <f t="shared" ca="1" si="6"/>
        <v>0</v>
      </c>
      <c r="AT58" s="27">
        <f t="shared" ca="1" si="7"/>
        <v>0</v>
      </c>
      <c r="AU58" s="27">
        <f t="shared" ca="1" si="8"/>
        <v>0</v>
      </c>
      <c r="AV58" s="27"/>
      <c r="AW58" s="27"/>
      <c r="AY58" s="216"/>
      <c r="AZ58" s="216"/>
      <c r="BA58" s="233"/>
      <c r="BC58" s="216"/>
      <c r="BE58" s="69"/>
    </row>
    <row r="59" spans="1:57">
      <c r="A59" s="19">
        <f>[1]!_xludf.edate(A58,1)</f>
        <v>38777</v>
      </c>
      <c r="B59" s="21">
        <f t="shared" si="15"/>
        <v>31</v>
      </c>
      <c r="C59" s="20">
        <f>IF(Control!$F$18="Physical",Model!A60+24,Model!A60)</f>
        <v>38832</v>
      </c>
      <c r="E59" s="22">
        <f>IF($A59&lt;End_Date,IF(Control!$C$20="Flat",Control!$C$21,VLOOKUP(Model!$A59,Euro!$B$29:$D$182,3)),0)</f>
        <v>0</v>
      </c>
      <c r="F59" s="22">
        <f t="shared" si="9"/>
        <v>0</v>
      </c>
      <c r="H59" s="23">
        <f>IF(Control!$C$27="Mid",VLOOKUP($A59,CurveFetch!$D$8:$F$367,3),VLOOKUP($A59,Euro!$B$29:$I$182,8))</f>
        <v>4.0694999999999997</v>
      </c>
      <c r="I59" s="23"/>
      <c r="J59" s="23">
        <f>IF($J$4="Mid",VLOOKUP($A59,Curve_Fetch,VLOOKUP(Control!$AJ$10,Control!$AI$11:$AK$22,3)),VLOOKUP($A59,Euro!$B$29:$M$182,12))</f>
        <v>-0.13</v>
      </c>
      <c r="K59" s="228">
        <f>IF(Control!$F$18="Physical",IF($K$4="Mid",VLOOKUP($A59,Curve_Fetch,VLOOKUP(Control!$AJ$10,Control!$AI$11:$AL$22,4)),VLOOKUP($A59,Euro!$B$29:$Q$182,16)),0)</f>
        <v>5.0000000000000001E-3</v>
      </c>
      <c r="L59" s="23">
        <f t="shared" si="10"/>
        <v>-0.125</v>
      </c>
      <c r="M59" s="23"/>
      <c r="N59" s="69">
        <f t="shared" si="1"/>
        <v>3.9444999999999997</v>
      </c>
      <c r="O59" s="69">
        <f>N59+Control!$C$39</f>
        <v>3.9444999999999997</v>
      </c>
      <c r="P59" s="73">
        <f>VLOOKUP($A59,CurveFetch!$D$8:$E$367,2)</f>
        <v>4.0657960340885001E-2</v>
      </c>
      <c r="Q59" s="24">
        <f t="shared" si="11"/>
        <v>4.0657960340885001E-2</v>
      </c>
      <c r="R59" s="72">
        <f t="shared" ca="1" si="12"/>
        <v>1580</v>
      </c>
      <c r="S59" s="25">
        <f>VLOOKUP($A59,Curve_Fetch,VLOOKUP(Control!$AJ$10,Control!$AI$11:$AM$22,5))</f>
        <v>0.24299999999999999</v>
      </c>
      <c r="T59" s="74">
        <f ca="1">_xll.EURO(N59,O59,P59,Q59,S59,R59,IF(Control!$C$38="Call",1,0),0)</f>
        <v>0.66001817075149671</v>
      </c>
      <c r="U59" s="27">
        <f t="shared" ca="1" si="2"/>
        <v>0</v>
      </c>
      <c r="V59" s="76"/>
      <c r="W59" s="197"/>
      <c r="X59" s="197"/>
      <c r="Y59" s="197"/>
      <c r="AA59" s="210"/>
      <c r="AB59" s="210"/>
      <c r="AC59" s="211"/>
      <c r="AD59" s="212"/>
      <c r="AE59" s="213"/>
      <c r="AF59" s="214"/>
      <c r="AG59" s="215"/>
      <c r="AH59" s="216"/>
      <c r="AI59" s="27"/>
      <c r="AJ59" s="28">
        <f t="shared" si="3"/>
        <v>0.125</v>
      </c>
      <c r="AL59" s="24">
        <f t="shared" si="13"/>
        <v>4.0918617482307101E-2</v>
      </c>
      <c r="AM59" s="25">
        <f t="shared" ca="1" si="14"/>
        <v>0.83398425520914554</v>
      </c>
      <c r="AO59" s="26">
        <f t="shared" ca="1" si="4"/>
        <v>0</v>
      </c>
      <c r="AP59" s="26"/>
      <c r="AQ59" s="26">
        <f t="shared" ca="1" si="5"/>
        <v>0</v>
      </c>
      <c r="AR59" s="26"/>
      <c r="AS59" s="27">
        <f t="shared" ca="1" si="6"/>
        <v>0</v>
      </c>
      <c r="AT59" s="27">
        <f t="shared" ca="1" si="7"/>
        <v>0</v>
      </c>
      <c r="AU59" s="27">
        <f t="shared" ca="1" si="8"/>
        <v>0</v>
      </c>
      <c r="AV59" s="27"/>
      <c r="AW59" s="27"/>
      <c r="AY59" s="216"/>
      <c r="AZ59" s="216"/>
      <c r="BA59" s="233"/>
      <c r="BC59" s="216"/>
      <c r="BE59" s="69"/>
    </row>
    <row r="60" spans="1:57">
      <c r="A60" s="19">
        <f>[1]!_xludf.edate(A59,1)</f>
        <v>38808</v>
      </c>
      <c r="B60" s="21">
        <f t="shared" si="15"/>
        <v>30</v>
      </c>
      <c r="C60" s="20">
        <f>IF(Control!$F$18="Physical",Model!A61+24,Model!A61)</f>
        <v>38862</v>
      </c>
      <c r="E60" s="22">
        <f>IF($A60&lt;End_Date,IF(Control!$C$20="Flat",Control!$C$21,VLOOKUP(Model!$A60,Euro!$B$29:$D$182,3)),0)</f>
        <v>0</v>
      </c>
      <c r="F60" s="22">
        <f t="shared" si="9"/>
        <v>0</v>
      </c>
      <c r="H60" s="23">
        <f>IF(Control!$C$27="Mid",VLOOKUP($A60,CurveFetch!$D$8:$F$367,3),VLOOKUP($A60,Euro!$B$29:$I$182,8))</f>
        <v>3.9155000000000002</v>
      </c>
      <c r="I60" s="23"/>
      <c r="J60" s="23">
        <f>IF($J$4="Mid",VLOOKUP($A60,Curve_Fetch,VLOOKUP(Control!$AJ$10,Control!$AI$11:$AK$22,3)),VLOOKUP($A60,Euro!$B$29:$M$182,12))</f>
        <v>-0.2</v>
      </c>
      <c r="K60" s="228">
        <f>IF(Control!$F$18="Physical",IF($K$4="Mid",VLOOKUP($A60,Curve_Fetch,VLOOKUP(Control!$AJ$10,Control!$AI$11:$AL$22,4)),VLOOKUP($A60,Euro!$B$29:$Q$182,16)),0)</f>
        <v>2.5000000000000001E-3</v>
      </c>
      <c r="L60" s="23">
        <f t="shared" si="10"/>
        <v>-0.19750000000000001</v>
      </c>
      <c r="M60" s="23"/>
      <c r="N60" s="69">
        <f t="shared" si="1"/>
        <v>3.718</v>
      </c>
      <c r="O60" s="69">
        <f>N60+Control!$C$39</f>
        <v>3.718</v>
      </c>
      <c r="P60" s="73">
        <f>VLOOKUP($A60,CurveFetch!$D$8:$E$367,2)</f>
        <v>4.0918617482307101E-2</v>
      </c>
      <c r="Q60" s="24">
        <f t="shared" si="11"/>
        <v>4.0918617482307101E-2</v>
      </c>
      <c r="R60" s="72">
        <f t="shared" ca="1" si="12"/>
        <v>1611</v>
      </c>
      <c r="S60" s="25">
        <f>VLOOKUP($A60,Curve_Fetch,VLOOKUP(Control!$AJ$10,Control!$AI$11:$AM$22,5))</f>
        <v>0.24</v>
      </c>
      <c r="T60" s="74">
        <f ca="1">_xll.EURO(N60,O60,P60,Q60,S60,R60,IF(Control!$C$38="Call",1,0),0)</f>
        <v>0.6176242091690578</v>
      </c>
      <c r="U60" s="27">
        <f t="shared" ca="1" si="2"/>
        <v>0</v>
      </c>
      <c r="V60" s="76"/>
      <c r="W60" s="197"/>
      <c r="X60" s="197"/>
      <c r="Y60" s="197"/>
      <c r="AA60" s="210"/>
      <c r="AB60" s="210"/>
      <c r="AC60" s="211"/>
      <c r="AD60" s="212"/>
      <c r="AE60" s="213"/>
      <c r="AF60" s="214"/>
      <c r="AG60" s="215"/>
      <c r="AH60" s="216"/>
      <c r="AI60" s="27"/>
      <c r="AJ60" s="28">
        <f t="shared" si="3"/>
        <v>0.19750000000000001</v>
      </c>
      <c r="AL60" s="24">
        <f t="shared" si="13"/>
        <v>4.1170866350540403E-2</v>
      </c>
      <c r="AM60" s="25">
        <f t="shared" ca="1" si="14"/>
        <v>0.83027706517079591</v>
      </c>
      <c r="AO60" s="26">
        <f t="shared" ca="1" si="4"/>
        <v>0</v>
      </c>
      <c r="AP60" s="26"/>
      <c r="AQ60" s="26">
        <f t="shared" ca="1" si="5"/>
        <v>0</v>
      </c>
      <c r="AR60" s="26"/>
      <c r="AS60" s="27">
        <f t="shared" ca="1" si="6"/>
        <v>0</v>
      </c>
      <c r="AT60" s="27">
        <f t="shared" ca="1" si="7"/>
        <v>0</v>
      </c>
      <c r="AU60" s="27">
        <f t="shared" ca="1" si="8"/>
        <v>0</v>
      </c>
      <c r="AV60" s="27"/>
      <c r="AW60" s="27"/>
      <c r="AY60" s="216"/>
      <c r="AZ60" s="216"/>
      <c r="BA60" s="233"/>
      <c r="BC60" s="216"/>
      <c r="BE60" s="69"/>
    </row>
    <row r="61" spans="1:57">
      <c r="A61" s="19">
        <f>[1]!_xludf.edate(A60,1)</f>
        <v>38838</v>
      </c>
      <c r="B61" s="21">
        <f t="shared" si="15"/>
        <v>31</v>
      </c>
      <c r="C61" s="20">
        <f>IF(Control!$F$18="Physical",Model!A62+24,Model!A62)</f>
        <v>38893</v>
      </c>
      <c r="E61" s="22">
        <f>IF($A61&lt;End_Date,IF(Control!$C$20="Flat",Control!$C$21,VLOOKUP(Model!$A61,Euro!$B$29:$D$182,3)),0)</f>
        <v>0</v>
      </c>
      <c r="F61" s="22">
        <f t="shared" si="9"/>
        <v>0</v>
      </c>
      <c r="H61" s="23">
        <f>IF(Control!$C$27="Mid",VLOOKUP($A61,CurveFetch!$D$8:$F$367,3),VLOOKUP($A61,Euro!$B$29:$I$182,8))</f>
        <v>3.9205000000000001</v>
      </c>
      <c r="I61" s="23"/>
      <c r="J61" s="23">
        <f>IF($J$4="Mid",VLOOKUP($A61,Curve_Fetch,VLOOKUP(Control!$AJ$10,Control!$AI$11:$AK$22,3)),VLOOKUP($A61,Euro!$B$29:$M$182,12))</f>
        <v>-0.2</v>
      </c>
      <c r="K61" s="228">
        <f>IF(Control!$F$18="Physical",IF($K$4="Mid",VLOOKUP($A61,Curve_Fetch,VLOOKUP(Control!$AJ$10,Control!$AI$11:$AL$22,4)),VLOOKUP($A61,Euro!$B$29:$Q$182,16)),0)</f>
        <v>2.5000000000000001E-3</v>
      </c>
      <c r="L61" s="23">
        <f t="shared" si="10"/>
        <v>-0.19750000000000001</v>
      </c>
      <c r="M61" s="23"/>
      <c r="N61" s="69">
        <f t="shared" si="1"/>
        <v>3.7229999999999999</v>
      </c>
      <c r="O61" s="69">
        <f>N61+Control!$C$39</f>
        <v>3.7229999999999999</v>
      </c>
      <c r="P61" s="73">
        <f>VLOOKUP($A61,CurveFetch!$D$8:$E$367,2)</f>
        <v>4.1170866350540403E-2</v>
      </c>
      <c r="Q61" s="24">
        <f t="shared" si="11"/>
        <v>4.1170866350540403E-2</v>
      </c>
      <c r="R61" s="72">
        <f t="shared" ca="1" si="12"/>
        <v>1641</v>
      </c>
      <c r="S61" s="25">
        <f>VLOOKUP($A61,Curve_Fetch,VLOOKUP(Control!$AJ$10,Control!$AI$11:$AM$22,5))</f>
        <v>0.23799999999999999</v>
      </c>
      <c r="T61" s="74">
        <f ca="1">_xll.EURO(N61,O61,P61,Q61,S61,R61,IF(Control!$C$38="Call",1,0),0)</f>
        <v>0.61619841809767495</v>
      </c>
      <c r="U61" s="27">
        <f t="shared" ca="1" si="2"/>
        <v>0</v>
      </c>
      <c r="V61" s="76"/>
      <c r="W61" s="197"/>
      <c r="X61" s="197"/>
      <c r="Y61" s="197"/>
      <c r="AA61" s="210"/>
      <c r="AB61" s="210"/>
      <c r="AC61" s="211"/>
      <c r="AD61" s="212"/>
      <c r="AE61" s="213"/>
      <c r="AF61" s="214"/>
      <c r="AG61" s="215"/>
      <c r="AH61" s="216"/>
      <c r="AI61" s="27"/>
      <c r="AJ61" s="28">
        <f t="shared" si="3"/>
        <v>0.19750000000000001</v>
      </c>
      <c r="AL61" s="24">
        <f t="shared" si="13"/>
        <v>4.1431523536795897E-2</v>
      </c>
      <c r="AM61" s="25">
        <f t="shared" ca="1" si="14"/>
        <v>0.82642848320027662</v>
      </c>
      <c r="AO61" s="26">
        <f t="shared" ca="1" si="4"/>
        <v>0</v>
      </c>
      <c r="AP61" s="26"/>
      <c r="AQ61" s="26">
        <f t="shared" ca="1" si="5"/>
        <v>0</v>
      </c>
      <c r="AR61" s="26"/>
      <c r="AS61" s="27">
        <f t="shared" ca="1" si="6"/>
        <v>0</v>
      </c>
      <c r="AT61" s="27">
        <f t="shared" ca="1" si="7"/>
        <v>0</v>
      </c>
      <c r="AU61" s="27">
        <f t="shared" ca="1" si="8"/>
        <v>0</v>
      </c>
      <c r="AV61" s="27"/>
      <c r="AW61" s="27"/>
      <c r="AY61" s="216"/>
      <c r="AZ61" s="216"/>
      <c r="BA61" s="233"/>
      <c r="BC61" s="216"/>
      <c r="BE61" s="69"/>
    </row>
    <row r="62" spans="1:57">
      <c r="A62" s="19">
        <f>[1]!_xludf.edate(A61,1)</f>
        <v>38869</v>
      </c>
      <c r="B62" s="21">
        <f t="shared" si="15"/>
        <v>30</v>
      </c>
      <c r="C62" s="20">
        <f>IF(Control!$F$18="Physical",Model!A63+24,Model!A63)</f>
        <v>38923</v>
      </c>
      <c r="E62" s="22">
        <f>IF($A62&lt;End_Date,IF(Control!$C$20="Flat",Control!$C$21,VLOOKUP(Model!$A62,Euro!$B$29:$D$182,3)),0)</f>
        <v>0</v>
      </c>
      <c r="F62" s="22">
        <f t="shared" si="9"/>
        <v>0</v>
      </c>
      <c r="H62" s="23">
        <f>IF(Control!$C$27="Mid",VLOOKUP($A62,CurveFetch!$D$8:$F$367,3),VLOOKUP($A62,Euro!$B$29:$I$182,8))</f>
        <v>3.9584999999999999</v>
      </c>
      <c r="I62" s="23"/>
      <c r="J62" s="23">
        <f>IF($J$4="Mid",VLOOKUP($A62,Curve_Fetch,VLOOKUP(Control!$AJ$10,Control!$AI$11:$AK$22,3)),VLOOKUP($A62,Euro!$B$29:$M$182,12))</f>
        <v>-0.2</v>
      </c>
      <c r="K62" s="228">
        <f>IF(Control!$F$18="Physical",IF($K$4="Mid",VLOOKUP($A62,Curve_Fetch,VLOOKUP(Control!$AJ$10,Control!$AI$11:$AL$22,4)),VLOOKUP($A62,Euro!$B$29:$Q$182,16)),0)</f>
        <v>2.5000000000000001E-3</v>
      </c>
      <c r="L62" s="23">
        <f t="shared" si="10"/>
        <v>-0.19750000000000001</v>
      </c>
      <c r="M62" s="23"/>
      <c r="N62" s="69">
        <f t="shared" si="1"/>
        <v>3.7610000000000001</v>
      </c>
      <c r="O62" s="69">
        <f>N62+Control!$C$39</f>
        <v>3.7610000000000001</v>
      </c>
      <c r="P62" s="73">
        <f>VLOOKUP($A62,CurveFetch!$D$8:$E$367,2)</f>
        <v>4.1431523536795897E-2</v>
      </c>
      <c r="Q62" s="24">
        <f t="shared" si="11"/>
        <v>4.1431523536795897E-2</v>
      </c>
      <c r="R62" s="72">
        <f t="shared" ca="1" si="12"/>
        <v>1672</v>
      </c>
      <c r="S62" s="25">
        <f>VLOOKUP($A62,Curve_Fetch,VLOOKUP(Control!$AJ$10,Control!$AI$11:$AM$22,5))</f>
        <v>0.23799999999999999</v>
      </c>
      <c r="T62" s="74">
        <f ca="1">_xll.EURO(N62,O62,P62,Q62,S62,R62,IF(Control!$C$38="Call",1,0),0)</f>
        <v>0.62527736014766333</v>
      </c>
      <c r="U62" s="27">
        <f t="shared" ca="1" si="2"/>
        <v>0</v>
      </c>
      <c r="V62" s="76"/>
      <c r="W62" s="197"/>
      <c r="X62" s="197"/>
      <c r="Y62" s="197"/>
      <c r="AA62" s="210"/>
      <c r="AB62" s="210"/>
      <c r="AC62" s="211"/>
      <c r="AD62" s="212"/>
      <c r="AE62" s="213"/>
      <c r="AF62" s="214"/>
      <c r="AG62" s="215"/>
      <c r="AH62" s="216"/>
      <c r="AI62" s="27"/>
      <c r="AJ62" s="28">
        <f t="shared" si="3"/>
        <v>0.19750000000000001</v>
      </c>
      <c r="AL62" s="24">
        <f t="shared" si="13"/>
        <v>4.1683772448410497E-2</v>
      </c>
      <c r="AM62" s="25">
        <f t="shared" ca="1" si="14"/>
        <v>0.82268719857061312</v>
      </c>
      <c r="AO62" s="26">
        <f t="shared" ca="1" si="4"/>
        <v>0</v>
      </c>
      <c r="AP62" s="26"/>
      <c r="AQ62" s="26">
        <f t="shared" ca="1" si="5"/>
        <v>0</v>
      </c>
      <c r="AR62" s="26"/>
      <c r="AS62" s="27">
        <f t="shared" ca="1" si="6"/>
        <v>0</v>
      </c>
      <c r="AT62" s="27">
        <f t="shared" ca="1" si="7"/>
        <v>0</v>
      </c>
      <c r="AU62" s="27">
        <f t="shared" ca="1" si="8"/>
        <v>0</v>
      </c>
      <c r="AV62" s="27"/>
      <c r="AW62" s="27"/>
      <c r="AY62" s="216"/>
      <c r="AZ62" s="216"/>
      <c r="BA62" s="233"/>
      <c r="BC62" s="216"/>
      <c r="BE62" s="69"/>
    </row>
    <row r="63" spans="1:57">
      <c r="A63" s="19">
        <f>[1]!_xludf.edate(A62,1)</f>
        <v>38899</v>
      </c>
      <c r="B63" s="21">
        <f t="shared" si="15"/>
        <v>31</v>
      </c>
      <c r="C63" s="20">
        <f>IF(Control!$F$18="Physical",Model!A64+24,Model!A64)</f>
        <v>38954</v>
      </c>
      <c r="E63" s="22">
        <f>IF($A63&lt;End_Date,IF(Control!$C$20="Flat",Control!$C$21,VLOOKUP(Model!$A63,Euro!$B$29:$D$182,3)),0)</f>
        <v>0</v>
      </c>
      <c r="F63" s="22">
        <f t="shared" si="9"/>
        <v>0</v>
      </c>
      <c r="H63" s="23">
        <f>IF(Control!$C$27="Mid",VLOOKUP($A63,CurveFetch!$D$8:$F$367,3),VLOOKUP($A63,Euro!$B$29:$I$182,8))</f>
        <v>4.0034999999999998</v>
      </c>
      <c r="I63" s="23"/>
      <c r="J63" s="23">
        <f>IF($J$4="Mid",VLOOKUP($A63,Curve_Fetch,VLOOKUP(Control!$AJ$10,Control!$AI$11:$AK$22,3)),VLOOKUP($A63,Euro!$B$29:$M$182,12))</f>
        <v>-0.2</v>
      </c>
      <c r="K63" s="228">
        <f>IF(Control!$F$18="Physical",IF($K$4="Mid",VLOOKUP($A63,Curve_Fetch,VLOOKUP(Control!$AJ$10,Control!$AI$11:$AL$22,4)),VLOOKUP($A63,Euro!$B$29:$Q$182,16)),0)</f>
        <v>2.5000000000000001E-3</v>
      </c>
      <c r="L63" s="23">
        <f t="shared" si="10"/>
        <v>-0.19750000000000001</v>
      </c>
      <c r="M63" s="23"/>
      <c r="N63" s="69">
        <f t="shared" si="1"/>
        <v>3.806</v>
      </c>
      <c r="O63" s="69">
        <f>N63+Control!$C$39</f>
        <v>3.806</v>
      </c>
      <c r="P63" s="73">
        <f>VLOOKUP($A63,CurveFetch!$D$8:$E$367,2)</f>
        <v>4.1683772448410497E-2</v>
      </c>
      <c r="Q63" s="24">
        <f t="shared" si="11"/>
        <v>4.1683772448410497E-2</v>
      </c>
      <c r="R63" s="72">
        <f t="shared" ca="1" si="12"/>
        <v>1702</v>
      </c>
      <c r="S63" s="25">
        <f>VLOOKUP($A63,Curve_Fetch,VLOOKUP(Control!$AJ$10,Control!$AI$11:$AM$22,5))</f>
        <v>0.23799999999999999</v>
      </c>
      <c r="T63" s="74">
        <f ca="1">_xll.EURO(N63,O63,P63,Q63,S63,R63,IF(Control!$C$38="Call",1,0),0)</f>
        <v>0.63537181775974894</v>
      </c>
      <c r="U63" s="27">
        <f t="shared" ca="1" si="2"/>
        <v>0</v>
      </c>
      <c r="V63" s="76"/>
      <c r="W63" s="197"/>
      <c r="X63" s="197"/>
      <c r="Y63" s="197"/>
      <c r="AA63" s="210"/>
      <c r="AB63" s="210"/>
      <c r="AC63" s="211"/>
      <c r="AD63" s="212"/>
      <c r="AE63" s="213"/>
      <c r="AF63" s="214"/>
      <c r="AG63" s="215"/>
      <c r="AH63" s="216"/>
      <c r="AI63" s="27"/>
      <c r="AJ63" s="28">
        <f t="shared" si="3"/>
        <v>0.19750000000000001</v>
      </c>
      <c r="AL63" s="24">
        <f t="shared" si="13"/>
        <v>4.1944429679488901E-2</v>
      </c>
      <c r="AM63" s="25">
        <f t="shared" ca="1" si="14"/>
        <v>0.81880420377389962</v>
      </c>
      <c r="AO63" s="26">
        <f t="shared" ca="1" si="4"/>
        <v>0</v>
      </c>
      <c r="AP63" s="26"/>
      <c r="AQ63" s="26">
        <f t="shared" ca="1" si="5"/>
        <v>0</v>
      </c>
      <c r="AR63" s="26"/>
      <c r="AS63" s="27">
        <f t="shared" ca="1" si="6"/>
        <v>0</v>
      </c>
      <c r="AT63" s="27">
        <f t="shared" ca="1" si="7"/>
        <v>0</v>
      </c>
      <c r="AU63" s="27">
        <f t="shared" ca="1" si="8"/>
        <v>0</v>
      </c>
      <c r="AV63" s="27"/>
      <c r="AW63" s="27"/>
      <c r="AY63" s="216"/>
      <c r="AZ63" s="216"/>
      <c r="BA63" s="233"/>
      <c r="BC63" s="216"/>
      <c r="BE63" s="69"/>
    </row>
    <row r="64" spans="1:57">
      <c r="A64" s="19">
        <f>[1]!_xludf.edate(A63,1)</f>
        <v>38930</v>
      </c>
      <c r="B64" s="21">
        <f t="shared" si="15"/>
        <v>31</v>
      </c>
      <c r="C64" s="20">
        <f>IF(Control!$F$18="Physical",Model!A65+24,Model!A65)</f>
        <v>38985</v>
      </c>
      <c r="E64" s="22">
        <f>IF($A64&lt;End_Date,IF(Control!$C$20="Flat",Control!$C$21,VLOOKUP(Model!$A64,Euro!$B$29:$D$182,3)),0)</f>
        <v>0</v>
      </c>
      <c r="F64" s="22">
        <f t="shared" si="9"/>
        <v>0</v>
      </c>
      <c r="H64" s="23">
        <f>IF(Control!$C$27="Mid",VLOOKUP($A64,CurveFetch!$D$8:$F$367,3),VLOOKUP($A64,Euro!$B$29:$I$182,8))</f>
        <v>4.0415000000000001</v>
      </c>
      <c r="I64" s="23"/>
      <c r="J64" s="23">
        <f>IF($J$4="Mid",VLOOKUP($A64,Curve_Fetch,VLOOKUP(Control!$AJ$10,Control!$AI$11:$AK$22,3)),VLOOKUP($A64,Euro!$B$29:$M$182,12))</f>
        <v>-0.2</v>
      </c>
      <c r="K64" s="228">
        <f>IF(Control!$F$18="Physical",IF($K$4="Mid",VLOOKUP($A64,Curve_Fetch,VLOOKUP(Control!$AJ$10,Control!$AI$11:$AL$22,4)),VLOOKUP($A64,Euro!$B$29:$Q$182,16)),0)</f>
        <v>2.5000000000000001E-3</v>
      </c>
      <c r="L64" s="23">
        <f t="shared" si="10"/>
        <v>-0.19750000000000001</v>
      </c>
      <c r="M64" s="23"/>
      <c r="N64" s="69">
        <f t="shared" si="1"/>
        <v>3.8440000000000003</v>
      </c>
      <c r="O64" s="69">
        <f>N64+Control!$C$39</f>
        <v>3.8440000000000003</v>
      </c>
      <c r="P64" s="73">
        <f>VLOOKUP($A64,CurveFetch!$D$8:$E$367,2)</f>
        <v>4.1944429679488901E-2</v>
      </c>
      <c r="Q64" s="24">
        <f t="shared" si="11"/>
        <v>4.1944429679488901E-2</v>
      </c>
      <c r="R64" s="72">
        <f t="shared" ca="1" si="12"/>
        <v>1733</v>
      </c>
      <c r="S64" s="25">
        <f>VLOOKUP($A64,Curve_Fetch,VLOOKUP(Control!$AJ$10,Control!$AI$11:$AM$22,5))</f>
        <v>0.23799999999999999</v>
      </c>
      <c r="T64" s="74">
        <f ca="1">_xll.EURO(N64,O64,P64,Q64,S64,R64,IF(Control!$C$38="Call",1,0),0)</f>
        <v>0.6443209373664287</v>
      </c>
      <c r="U64" s="27">
        <f t="shared" ca="1" si="2"/>
        <v>0</v>
      </c>
      <c r="V64" s="76"/>
      <c r="W64" s="197"/>
      <c r="X64" s="197"/>
      <c r="Y64" s="197"/>
      <c r="AA64" s="210"/>
      <c r="AB64" s="210"/>
      <c r="AC64" s="211"/>
      <c r="AD64" s="212"/>
      <c r="AE64" s="213"/>
      <c r="AF64" s="214"/>
      <c r="AG64" s="215"/>
      <c r="AH64" s="216"/>
      <c r="AI64" s="27"/>
      <c r="AJ64" s="28">
        <f t="shared" si="3"/>
        <v>0.19750000000000001</v>
      </c>
      <c r="AL64" s="24">
        <f t="shared" si="13"/>
        <v>4.2205086933341497E-2</v>
      </c>
      <c r="AM64" s="25">
        <f t="shared" ca="1" si="14"/>
        <v>0.814904347956945</v>
      </c>
      <c r="AO64" s="26">
        <f t="shared" ca="1" si="4"/>
        <v>0</v>
      </c>
      <c r="AP64" s="26"/>
      <c r="AQ64" s="26">
        <f t="shared" ca="1" si="5"/>
        <v>0</v>
      </c>
      <c r="AR64" s="26"/>
      <c r="AS64" s="27">
        <f t="shared" ca="1" si="6"/>
        <v>0</v>
      </c>
      <c r="AT64" s="27">
        <f t="shared" ca="1" si="7"/>
        <v>0</v>
      </c>
      <c r="AU64" s="27">
        <f t="shared" ca="1" si="8"/>
        <v>0</v>
      </c>
      <c r="AV64" s="27"/>
      <c r="AW64" s="27"/>
      <c r="AY64" s="216"/>
      <c r="AZ64" s="216"/>
      <c r="BA64" s="233"/>
      <c r="BC64" s="216"/>
      <c r="BE64" s="69"/>
    </row>
    <row r="65" spans="1:57">
      <c r="A65" s="19">
        <f>[1]!_xludf.edate(A64,1)</f>
        <v>38961</v>
      </c>
      <c r="B65" s="21">
        <f t="shared" si="15"/>
        <v>30</v>
      </c>
      <c r="C65" s="20">
        <f>IF(Control!$F$18="Physical",Model!A66+24,Model!A66)</f>
        <v>39015</v>
      </c>
      <c r="E65" s="22">
        <f>IF($A65&lt;End_Date,IF(Control!$C$20="Flat",Control!$C$21,VLOOKUP(Model!$A65,Euro!$B$29:$D$182,3)),0)</f>
        <v>0</v>
      </c>
      <c r="F65" s="22">
        <f t="shared" si="9"/>
        <v>0</v>
      </c>
      <c r="H65" s="23">
        <f>IF(Control!$C$27="Mid",VLOOKUP($A65,CurveFetch!$D$8:$F$367,3),VLOOKUP($A65,Euro!$B$29:$I$182,8))</f>
        <v>4.0354999999999999</v>
      </c>
      <c r="I65" s="23"/>
      <c r="J65" s="23">
        <f>IF($J$4="Mid",VLOOKUP($A65,Curve_Fetch,VLOOKUP(Control!$AJ$10,Control!$AI$11:$AK$22,3)),VLOOKUP($A65,Euro!$B$29:$M$182,12))</f>
        <v>-0.2</v>
      </c>
      <c r="K65" s="228">
        <f>IF(Control!$F$18="Physical",IF($K$4="Mid",VLOOKUP($A65,Curve_Fetch,VLOOKUP(Control!$AJ$10,Control!$AI$11:$AL$22,4)),VLOOKUP($A65,Euro!$B$29:$Q$182,16)),0)</f>
        <v>2.5000000000000001E-3</v>
      </c>
      <c r="L65" s="23">
        <f t="shared" si="10"/>
        <v>-0.19750000000000001</v>
      </c>
      <c r="M65" s="23"/>
      <c r="N65" s="69">
        <f t="shared" si="1"/>
        <v>3.8380000000000001</v>
      </c>
      <c r="O65" s="69">
        <f>N65+Control!$C$39</f>
        <v>3.8380000000000001</v>
      </c>
      <c r="P65" s="73">
        <f>VLOOKUP($A65,CurveFetch!$D$8:$E$367,2)</f>
        <v>4.2205086933341497E-2</v>
      </c>
      <c r="Q65" s="24">
        <f t="shared" si="11"/>
        <v>4.2205086933341497E-2</v>
      </c>
      <c r="R65" s="72">
        <f t="shared" ca="1" si="12"/>
        <v>1764</v>
      </c>
      <c r="S65" s="25">
        <f>VLOOKUP($A65,Curve_Fetch,VLOOKUP(Control!$AJ$10,Control!$AI$11:$AM$22,5))</f>
        <v>0.23799999999999999</v>
      </c>
      <c r="T65" s="74">
        <f ca="1">_xll.EURO(N65,O65,P65,Q65,S65,R65,IF(Control!$C$38="Call",1,0),0)</f>
        <v>0.64579524183048531</v>
      </c>
      <c r="U65" s="27">
        <f t="shared" ca="1" si="2"/>
        <v>0</v>
      </c>
      <c r="V65" s="76"/>
      <c r="W65" s="197"/>
      <c r="X65" s="197"/>
      <c r="Y65" s="197"/>
      <c r="AA65" s="210"/>
      <c r="AB65" s="210"/>
      <c r="AC65" s="211"/>
      <c r="AD65" s="212"/>
      <c r="AE65" s="213"/>
      <c r="AF65" s="214"/>
      <c r="AG65" s="215"/>
      <c r="AH65" s="216"/>
      <c r="AI65" s="27"/>
      <c r="AJ65" s="28">
        <f t="shared" si="3"/>
        <v>0.19750000000000001</v>
      </c>
      <c r="AL65" s="24">
        <f t="shared" si="13"/>
        <v>4.24573359103642E-2</v>
      </c>
      <c r="AM65" s="25">
        <f t="shared" ca="1" si="14"/>
        <v>0.81111463840666653</v>
      </c>
      <c r="AO65" s="26">
        <f t="shared" ca="1" si="4"/>
        <v>0</v>
      </c>
      <c r="AP65" s="26"/>
      <c r="AQ65" s="26">
        <f t="shared" ca="1" si="5"/>
        <v>0</v>
      </c>
      <c r="AR65" s="26"/>
      <c r="AS65" s="27">
        <f t="shared" ca="1" si="6"/>
        <v>0</v>
      </c>
      <c r="AT65" s="27">
        <f t="shared" ca="1" si="7"/>
        <v>0</v>
      </c>
      <c r="AU65" s="27">
        <f t="shared" ca="1" si="8"/>
        <v>0</v>
      </c>
      <c r="AV65" s="27"/>
      <c r="AW65" s="27"/>
      <c r="AY65" s="216"/>
      <c r="AZ65" s="216"/>
      <c r="BA65" s="233"/>
      <c r="BC65" s="216"/>
      <c r="BE65" s="69"/>
    </row>
    <row r="66" spans="1:57">
      <c r="A66" s="19">
        <f>[1]!_xludf.edate(A65,1)</f>
        <v>38991</v>
      </c>
      <c r="B66" s="21">
        <f t="shared" si="15"/>
        <v>31</v>
      </c>
      <c r="C66" s="20">
        <f>IF(Control!$F$18="Physical",Model!A67+24,Model!A67)</f>
        <v>39046</v>
      </c>
      <c r="E66" s="22">
        <f>IF($A66&lt;End_Date,IF(Control!$C$20="Flat",Control!$C$21,VLOOKUP(Model!$A66,Euro!$B$29:$D$182,3)),0)</f>
        <v>0</v>
      </c>
      <c r="F66" s="22">
        <f t="shared" si="9"/>
        <v>0</v>
      </c>
      <c r="H66" s="23">
        <f>IF(Control!$C$27="Mid",VLOOKUP($A66,CurveFetch!$D$8:$F$367,3),VLOOKUP($A66,Euro!$B$29:$I$182,8))</f>
        <v>4.0354999999999999</v>
      </c>
      <c r="I66" s="23"/>
      <c r="J66" s="23">
        <f>IF($J$4="Mid",VLOOKUP($A66,Curve_Fetch,VLOOKUP(Control!$AJ$10,Control!$AI$11:$AK$22,3)),VLOOKUP($A66,Euro!$B$29:$M$182,12))</f>
        <v>-0.2</v>
      </c>
      <c r="K66" s="228">
        <f>IF(Control!$F$18="Physical",IF($K$4="Mid",VLOOKUP($A66,Curve_Fetch,VLOOKUP(Control!$AJ$10,Control!$AI$11:$AL$22,4)),VLOOKUP($A66,Euro!$B$29:$Q$182,16)),0)</f>
        <v>2.5000000000000001E-3</v>
      </c>
      <c r="L66" s="23">
        <f t="shared" si="10"/>
        <v>-0.19750000000000001</v>
      </c>
      <c r="M66" s="23"/>
      <c r="N66" s="69">
        <f t="shared" si="1"/>
        <v>3.8380000000000001</v>
      </c>
      <c r="O66" s="69">
        <f>N66+Control!$C$39</f>
        <v>3.8380000000000001</v>
      </c>
      <c r="P66" s="73">
        <f>VLOOKUP($A66,CurveFetch!$D$8:$E$367,2)</f>
        <v>4.24573359103642E-2</v>
      </c>
      <c r="Q66" s="24">
        <f t="shared" si="11"/>
        <v>4.24573359103642E-2</v>
      </c>
      <c r="R66" s="72">
        <f t="shared" ca="1" si="12"/>
        <v>1794</v>
      </c>
      <c r="S66" s="25">
        <f>VLOOKUP($A66,Curve_Fetch,VLOOKUP(Control!$AJ$10,Control!$AI$11:$AM$22,5))</f>
        <v>0.23799999999999999</v>
      </c>
      <c r="T66" s="74">
        <f ca="1">_xll.EURO(N66,O66,P66,Q66,S66,R66,IF(Control!$C$38="Call",1,0),0)</f>
        <v>0.64808172332296454</v>
      </c>
      <c r="U66" s="27">
        <f t="shared" ca="1" si="2"/>
        <v>0</v>
      </c>
      <c r="V66" s="76"/>
      <c r="W66" s="197"/>
      <c r="X66" s="197"/>
      <c r="Y66" s="197"/>
      <c r="AA66" s="210"/>
      <c r="AB66" s="210"/>
      <c r="AC66" s="211"/>
      <c r="AD66" s="212"/>
      <c r="AE66" s="213"/>
      <c r="AF66" s="214"/>
      <c r="AG66" s="215"/>
      <c r="AH66" s="216"/>
      <c r="AI66" s="27"/>
      <c r="AJ66" s="28">
        <f t="shared" si="3"/>
        <v>0.19750000000000001</v>
      </c>
      <c r="AL66" s="24">
        <f t="shared" si="13"/>
        <v>4.2717993209022698E-2</v>
      </c>
      <c r="AM66" s="25">
        <f t="shared" ca="1" si="14"/>
        <v>0.80718283950528358</v>
      </c>
      <c r="AO66" s="26">
        <f t="shared" ca="1" si="4"/>
        <v>0</v>
      </c>
      <c r="AP66" s="26"/>
      <c r="AQ66" s="26">
        <f t="shared" ca="1" si="5"/>
        <v>0</v>
      </c>
      <c r="AR66" s="26"/>
      <c r="AS66" s="27">
        <f t="shared" ca="1" si="6"/>
        <v>0</v>
      </c>
      <c r="AT66" s="27">
        <f t="shared" ca="1" si="7"/>
        <v>0</v>
      </c>
      <c r="AU66" s="27">
        <f t="shared" ca="1" si="8"/>
        <v>0</v>
      </c>
      <c r="AV66" s="27"/>
      <c r="AW66" s="27"/>
      <c r="AY66" s="216"/>
      <c r="AZ66" s="216"/>
      <c r="BA66" s="233"/>
      <c r="BC66" s="216"/>
      <c r="BE66" s="69"/>
    </row>
    <row r="67" spans="1:57">
      <c r="A67" s="19">
        <f>[1]!_xludf.edate(A66,1)</f>
        <v>39022</v>
      </c>
      <c r="B67" s="21">
        <f t="shared" si="15"/>
        <v>30</v>
      </c>
      <c r="C67" s="20">
        <f>IF(Control!$F$18="Physical",Model!A68+24,Model!A68)</f>
        <v>39076</v>
      </c>
      <c r="E67" s="22">
        <f>IF($A67&lt;End_Date,IF(Control!$C$20="Flat",Control!$C$21,VLOOKUP(Model!$A67,Euro!$B$29:$D$182,3)),0)</f>
        <v>0</v>
      </c>
      <c r="F67" s="22">
        <f t="shared" si="9"/>
        <v>0</v>
      </c>
      <c r="H67" s="23">
        <f>IF(Control!$C$27="Mid",VLOOKUP($A67,CurveFetch!$D$8:$F$367,3),VLOOKUP($A67,Euro!$B$29:$I$182,8))</f>
        <v>4.2054999999999998</v>
      </c>
      <c r="I67" s="23"/>
      <c r="J67" s="23">
        <f>IF($J$4="Mid",VLOOKUP($A67,Curve_Fetch,VLOOKUP(Control!$AJ$10,Control!$AI$11:$AK$22,3)),VLOOKUP($A67,Euro!$B$29:$M$182,12))</f>
        <v>-0.13</v>
      </c>
      <c r="K67" s="228">
        <f>IF(Control!$F$18="Physical",IF($K$4="Mid",VLOOKUP($A67,Curve_Fetch,VLOOKUP(Control!$AJ$10,Control!$AI$11:$AL$22,4)),VLOOKUP($A67,Euro!$B$29:$Q$182,16)),0)</f>
        <v>5.0000000000000001E-3</v>
      </c>
      <c r="L67" s="23">
        <f t="shared" si="10"/>
        <v>-0.125</v>
      </c>
      <c r="M67" s="23"/>
      <c r="N67" s="69">
        <f t="shared" si="1"/>
        <v>4.0804999999999998</v>
      </c>
      <c r="O67" s="69">
        <f>N67+Control!$C$39</f>
        <v>4.0804999999999998</v>
      </c>
      <c r="P67" s="73">
        <f>VLOOKUP($A67,CurveFetch!$D$8:$E$367,2)</f>
        <v>4.2717993209022698E-2</v>
      </c>
      <c r="Q67" s="24">
        <f t="shared" si="11"/>
        <v>4.2717993209022698E-2</v>
      </c>
      <c r="R67" s="72">
        <f t="shared" ca="1" si="12"/>
        <v>1825</v>
      </c>
      <c r="S67" s="25">
        <f>VLOOKUP($A67,Curve_Fetch,VLOOKUP(Control!$AJ$10,Control!$AI$11:$AM$22,5))</f>
        <v>0.23799999999999999</v>
      </c>
      <c r="T67" s="74">
        <f ca="1">_xll.EURO(N67,O67,P67,Q67,S67,R67,IF(Control!$C$38="Call",1,0),0)</f>
        <v>0.69141948323727531</v>
      </c>
      <c r="U67" s="27">
        <f t="shared" ca="1" si="2"/>
        <v>0</v>
      </c>
      <c r="V67" s="76"/>
      <c r="W67" s="197"/>
      <c r="X67" s="197"/>
      <c r="Y67" s="197"/>
      <c r="AA67" s="210"/>
      <c r="AB67" s="210"/>
      <c r="AC67" s="211"/>
      <c r="AD67" s="212"/>
      <c r="AE67" s="213"/>
      <c r="AF67" s="214"/>
      <c r="AG67" s="215"/>
      <c r="AH67" s="216"/>
      <c r="AI67" s="27"/>
      <c r="AJ67" s="28">
        <f t="shared" si="3"/>
        <v>0.125</v>
      </c>
      <c r="AL67" s="24">
        <f t="shared" si="13"/>
        <v>4.2893105921094403E-2</v>
      </c>
      <c r="AM67" s="25">
        <f t="shared" ca="1" si="14"/>
        <v>0.80367549519864112</v>
      </c>
      <c r="AO67" s="26">
        <f t="shared" ca="1" si="4"/>
        <v>0</v>
      </c>
      <c r="AP67" s="26"/>
      <c r="AQ67" s="26">
        <f t="shared" ca="1" si="5"/>
        <v>0</v>
      </c>
      <c r="AR67" s="26"/>
      <c r="AS67" s="27">
        <f t="shared" ca="1" si="6"/>
        <v>0</v>
      </c>
      <c r="AT67" s="27">
        <f t="shared" ca="1" si="7"/>
        <v>0</v>
      </c>
      <c r="AU67" s="27">
        <f t="shared" ca="1" si="8"/>
        <v>0</v>
      </c>
      <c r="AV67" s="27"/>
      <c r="AW67" s="27"/>
      <c r="AY67" s="216"/>
      <c r="AZ67" s="216"/>
      <c r="BA67" s="233"/>
      <c r="BC67" s="216"/>
      <c r="BE67" s="69"/>
    </row>
    <row r="68" spans="1:57">
      <c r="A68" s="19">
        <f>[1]!_xludf.edate(A67,1)</f>
        <v>39052</v>
      </c>
      <c r="B68" s="21">
        <f t="shared" si="15"/>
        <v>31</v>
      </c>
      <c r="C68" s="20">
        <f>IF(Control!$F$18="Physical",Model!A69+24,Model!A69)</f>
        <v>39107</v>
      </c>
      <c r="E68" s="22">
        <f>IF($A68&lt;End_Date,IF(Control!$C$20="Flat",Control!$C$21,VLOOKUP(Model!$A68,Euro!$B$29:$D$182,3)),0)</f>
        <v>0</v>
      </c>
      <c r="F68" s="22">
        <f t="shared" si="9"/>
        <v>0</v>
      </c>
      <c r="H68" s="23">
        <f>IF(Control!$C$27="Mid",VLOOKUP($A68,CurveFetch!$D$8:$F$367,3),VLOOKUP($A68,Euro!$B$29:$I$182,8))</f>
        <v>4.3365</v>
      </c>
      <c r="I68" s="23"/>
      <c r="J68" s="23">
        <f>IF($J$4="Mid",VLOOKUP($A68,Curve_Fetch,VLOOKUP(Control!$AJ$10,Control!$AI$11:$AK$22,3)),VLOOKUP($A68,Euro!$B$29:$M$182,12))</f>
        <v>-0.13</v>
      </c>
      <c r="K68" s="228">
        <f>IF(Control!$F$18="Physical",IF($K$4="Mid",VLOOKUP($A68,Curve_Fetch,VLOOKUP(Control!$AJ$10,Control!$AI$11:$AL$22,4)),VLOOKUP($A68,Euro!$B$29:$Q$182,16)),0)</f>
        <v>5.0000000000000001E-3</v>
      </c>
      <c r="L68" s="23">
        <f t="shared" si="10"/>
        <v>-0.125</v>
      </c>
      <c r="M68" s="23"/>
      <c r="N68" s="69">
        <f t="shared" si="1"/>
        <v>4.2115</v>
      </c>
      <c r="O68" s="69">
        <f>N68+Control!$C$39</f>
        <v>4.2115</v>
      </c>
      <c r="P68" s="73">
        <f>VLOOKUP($A68,CurveFetch!$D$8:$E$367,2)</f>
        <v>4.2893105921094403E-2</v>
      </c>
      <c r="Q68" s="24">
        <f t="shared" si="11"/>
        <v>4.2893105921094403E-2</v>
      </c>
      <c r="R68" s="72">
        <f t="shared" ca="1" si="12"/>
        <v>1855</v>
      </c>
      <c r="S68" s="25">
        <f>VLOOKUP($A68,Curve_Fetch,VLOOKUP(Control!$AJ$10,Control!$AI$11:$AM$22,5))</f>
        <v>0.24</v>
      </c>
      <c r="T68" s="74">
        <f ca="1">_xll.EURO(N68,O68,P68,Q68,S68,R68,IF(Control!$C$38="Call",1,0),0)</f>
        <v>0.72203692132419017</v>
      </c>
      <c r="U68" s="27">
        <f t="shared" ca="1" si="2"/>
        <v>0</v>
      </c>
      <c r="V68" s="76"/>
      <c r="W68" s="197"/>
      <c r="X68" s="197"/>
      <c r="Y68" s="197"/>
      <c r="AA68" s="210"/>
      <c r="AB68" s="210"/>
      <c r="AC68" s="211"/>
      <c r="AD68" s="212"/>
      <c r="AE68" s="213"/>
      <c r="AF68" s="214"/>
      <c r="AG68" s="215"/>
      <c r="AH68" s="216"/>
      <c r="AI68" s="27"/>
      <c r="AJ68" s="28">
        <f t="shared" si="3"/>
        <v>0.125</v>
      </c>
      <c r="AL68" s="24">
        <f t="shared" si="13"/>
        <v>4.3058114229928897E-2</v>
      </c>
      <c r="AM68" s="25">
        <f t="shared" ca="1" si="14"/>
        <v>0.8001090015748662</v>
      </c>
      <c r="AO68" s="26">
        <f t="shared" ca="1" si="4"/>
        <v>0</v>
      </c>
      <c r="AP68" s="26"/>
      <c r="AQ68" s="26">
        <f t="shared" ca="1" si="5"/>
        <v>0</v>
      </c>
      <c r="AR68" s="26"/>
      <c r="AS68" s="27">
        <f t="shared" ca="1" si="6"/>
        <v>0</v>
      </c>
      <c r="AT68" s="27">
        <f t="shared" ca="1" si="7"/>
        <v>0</v>
      </c>
      <c r="AU68" s="27">
        <f t="shared" ca="1" si="8"/>
        <v>0</v>
      </c>
      <c r="AV68" s="27"/>
      <c r="AW68" s="27"/>
      <c r="AY68" s="216"/>
      <c r="AZ68" s="216"/>
      <c r="BA68" s="233"/>
      <c r="BC68" s="216"/>
      <c r="BE68" s="69"/>
    </row>
    <row r="69" spans="1:57">
      <c r="A69" s="19">
        <f>[1]!_xludf.edate(A68,1)</f>
        <v>39083</v>
      </c>
      <c r="B69" s="21">
        <f t="shared" si="15"/>
        <v>31</v>
      </c>
      <c r="C69" s="20">
        <f>IF(Control!$F$18="Physical",Model!A70+24,Model!A70)</f>
        <v>39138</v>
      </c>
      <c r="E69" s="22">
        <f>IF($A69&lt;End_Date,IF(Control!$C$20="Flat",Control!$C$21,VLOOKUP(Model!$A69,Euro!$B$29:$D$182,3)),0)</f>
        <v>0</v>
      </c>
      <c r="F69" s="22">
        <f t="shared" si="9"/>
        <v>0</v>
      </c>
      <c r="H69" s="23">
        <f>IF(Control!$C$27="Mid",VLOOKUP($A69,CurveFetch!$D$8:$F$367,3),VLOOKUP($A69,Euro!$B$29:$I$182,8))</f>
        <v>4.3964999999999996</v>
      </c>
      <c r="I69" s="23"/>
      <c r="J69" s="23">
        <f>IF($J$4="Mid",VLOOKUP($A69,Curve_Fetch,VLOOKUP(Control!$AJ$10,Control!$AI$11:$AK$22,3)),VLOOKUP($A69,Euro!$B$29:$M$182,12))</f>
        <v>-0.13</v>
      </c>
      <c r="K69" s="228">
        <f>IF(Control!$F$18="Physical",IF($K$4="Mid",VLOOKUP($A69,Curve_Fetch,VLOOKUP(Control!$AJ$10,Control!$AI$11:$AL$22,4)),VLOOKUP($A69,Euro!$B$29:$Q$182,16)),0)</f>
        <v>5.0000000000000001E-3</v>
      </c>
      <c r="L69" s="23">
        <f t="shared" si="10"/>
        <v>-0.125</v>
      </c>
      <c r="M69" s="23"/>
      <c r="N69" s="69">
        <f t="shared" si="1"/>
        <v>4.2714999999999996</v>
      </c>
      <c r="O69" s="69">
        <f>N69+Control!$C$39</f>
        <v>4.2714999999999996</v>
      </c>
      <c r="P69" s="73">
        <f>VLOOKUP($A69,CurveFetch!$D$8:$E$367,2)</f>
        <v>4.3058114229928897E-2</v>
      </c>
      <c r="Q69" s="24">
        <f t="shared" si="11"/>
        <v>4.3058114229928897E-2</v>
      </c>
      <c r="R69" s="72">
        <f t="shared" ca="1" si="12"/>
        <v>1886</v>
      </c>
      <c r="S69" s="25">
        <f>VLOOKUP($A69,Curve_Fetch,VLOOKUP(Control!$AJ$10,Control!$AI$11:$AM$22,5))</f>
        <v>0.24299999999999999</v>
      </c>
      <c r="T69" s="74">
        <f ca="1">_xll.EURO(N69,O69,P69,Q69,S69,R69,IF(Control!$C$38="Call",1,0),0)</f>
        <v>0.74391654679524111</v>
      </c>
      <c r="U69" s="27">
        <f t="shared" ca="1" si="2"/>
        <v>0</v>
      </c>
      <c r="V69" s="76"/>
      <c r="W69" s="197"/>
      <c r="X69" s="197"/>
      <c r="Y69" s="197"/>
      <c r="AA69" s="210"/>
      <c r="AB69" s="210"/>
      <c r="AC69" s="211"/>
      <c r="AD69" s="212"/>
      <c r="AE69" s="213"/>
      <c r="AF69" s="214"/>
      <c r="AG69" s="215"/>
      <c r="AH69" s="216"/>
      <c r="AI69" s="27"/>
      <c r="AJ69" s="28">
        <f t="shared" si="3"/>
        <v>0.125</v>
      </c>
      <c r="AL69" s="24">
        <f t="shared" si="13"/>
        <v>4.3223122547884497E-2</v>
      </c>
      <c r="AM69" s="25">
        <f t="shared" ca="1" si="14"/>
        <v>0.79653654865947499</v>
      </c>
      <c r="AO69" s="26">
        <f t="shared" ca="1" si="4"/>
        <v>0</v>
      </c>
      <c r="AP69" s="26"/>
      <c r="AQ69" s="26">
        <f t="shared" ca="1" si="5"/>
        <v>0</v>
      </c>
      <c r="AR69" s="26"/>
      <c r="AS69" s="27">
        <f t="shared" ca="1" si="6"/>
        <v>0</v>
      </c>
      <c r="AT69" s="27">
        <f t="shared" ca="1" si="7"/>
        <v>0</v>
      </c>
      <c r="AU69" s="27">
        <f t="shared" ca="1" si="8"/>
        <v>0</v>
      </c>
      <c r="AV69" s="27"/>
      <c r="AW69" s="27"/>
      <c r="AY69" s="216"/>
      <c r="AZ69" s="216"/>
      <c r="BA69" s="233"/>
      <c r="BC69" s="216"/>
      <c r="BE69" s="69"/>
    </row>
    <row r="70" spans="1:57">
      <c r="A70" s="19">
        <f>[1]!_xludf.edate(A69,1)</f>
        <v>39114</v>
      </c>
      <c r="B70" s="21">
        <f t="shared" si="15"/>
        <v>28</v>
      </c>
      <c r="C70" s="20">
        <f>IF(Control!$F$18="Physical",Model!A71+24,Model!A71)</f>
        <v>39166</v>
      </c>
      <c r="E70" s="22">
        <f>IF($A70&lt;End_Date,IF(Control!$C$20="Flat",Control!$C$21,VLOOKUP(Model!$A70,Euro!$B$29:$D$182,3)),0)</f>
        <v>0</v>
      </c>
      <c r="F70" s="22">
        <f t="shared" si="9"/>
        <v>0</v>
      </c>
      <c r="H70" s="23">
        <f>IF(Control!$C$27="Mid",VLOOKUP($A70,CurveFetch!$D$8:$F$367,3),VLOOKUP($A70,Euro!$B$29:$I$182,8))</f>
        <v>4.3085000000000004</v>
      </c>
      <c r="I70" s="23"/>
      <c r="J70" s="23">
        <f>IF($J$4="Mid",VLOOKUP($A70,Curve_Fetch,VLOOKUP(Control!$AJ$10,Control!$AI$11:$AK$22,3)),VLOOKUP($A70,Euro!$B$29:$M$182,12))</f>
        <v>-0.13</v>
      </c>
      <c r="K70" s="228">
        <f>IF(Control!$F$18="Physical",IF($K$4="Mid",VLOOKUP($A70,Curve_Fetch,VLOOKUP(Control!$AJ$10,Control!$AI$11:$AL$22,4)),VLOOKUP($A70,Euro!$B$29:$Q$182,16)),0)</f>
        <v>5.0000000000000001E-3</v>
      </c>
      <c r="L70" s="23">
        <f t="shared" si="10"/>
        <v>-0.125</v>
      </c>
      <c r="M70" s="23"/>
      <c r="N70" s="69">
        <f t="shared" si="1"/>
        <v>4.1835000000000004</v>
      </c>
      <c r="O70" s="69">
        <f>N70+Control!$C$39</f>
        <v>4.1835000000000004</v>
      </c>
      <c r="P70" s="73">
        <f>VLOOKUP($A70,CurveFetch!$D$8:$E$367,2)</f>
        <v>4.3223122547884497E-2</v>
      </c>
      <c r="Q70" s="24">
        <f t="shared" si="11"/>
        <v>4.3223122547884497E-2</v>
      </c>
      <c r="R70" s="72">
        <f t="shared" ca="1" si="12"/>
        <v>1917</v>
      </c>
      <c r="S70" s="25">
        <f>VLOOKUP($A70,Curve_Fetch,VLOOKUP(Control!$AJ$10,Control!$AI$11:$AM$22,5))</f>
        <v>0.23799999999999999</v>
      </c>
      <c r="T70" s="74">
        <f ca="1">_xll.EURO(N70,O70,P70,Q70,S70,R70,IF(Control!$C$38="Call",1,0),0)</f>
        <v>0.71641980571268449</v>
      </c>
      <c r="U70" s="27">
        <f t="shared" ca="1" si="2"/>
        <v>0</v>
      </c>
      <c r="V70" s="76"/>
      <c r="W70" s="197"/>
      <c r="X70" s="197"/>
      <c r="Y70" s="197"/>
      <c r="AA70" s="210"/>
      <c r="AB70" s="210"/>
      <c r="AC70" s="211"/>
      <c r="AD70" s="212"/>
      <c r="AE70" s="213"/>
      <c r="AF70" s="214"/>
      <c r="AG70" s="215"/>
      <c r="AH70" s="216"/>
      <c r="AI70" s="27"/>
      <c r="AJ70" s="28">
        <f t="shared" si="3"/>
        <v>0.125</v>
      </c>
      <c r="AL70" s="24">
        <f t="shared" si="13"/>
        <v>4.3372162326781101E-2</v>
      </c>
      <c r="AM70" s="25">
        <f t="shared" ca="1" si="14"/>
        <v>0.79330488136634636</v>
      </c>
      <c r="AO70" s="26">
        <f t="shared" ca="1" si="4"/>
        <v>0</v>
      </c>
      <c r="AP70" s="26"/>
      <c r="AQ70" s="26">
        <f t="shared" ca="1" si="5"/>
        <v>0</v>
      </c>
      <c r="AR70" s="26"/>
      <c r="AS70" s="27">
        <f t="shared" ca="1" si="6"/>
        <v>0</v>
      </c>
      <c r="AT70" s="27">
        <f t="shared" ca="1" si="7"/>
        <v>0</v>
      </c>
      <c r="AU70" s="27">
        <f t="shared" ca="1" si="8"/>
        <v>0</v>
      </c>
      <c r="AV70" s="27"/>
      <c r="AW70" s="27"/>
      <c r="AY70" s="216"/>
      <c r="AZ70" s="216"/>
      <c r="BA70" s="233"/>
      <c r="BC70" s="216"/>
      <c r="BE70" s="69"/>
    </row>
    <row r="71" spans="1:57">
      <c r="A71" s="19">
        <f>[1]!_xludf.edate(A70,1)</f>
        <v>39142</v>
      </c>
      <c r="B71" s="21">
        <f t="shared" si="15"/>
        <v>31</v>
      </c>
      <c r="C71" s="20">
        <f>IF(Control!$F$18="Physical",Model!A72+24,Model!A72)</f>
        <v>39197</v>
      </c>
      <c r="E71" s="22">
        <f>IF($A71&lt;End_Date,IF(Control!$C$20="Flat",Control!$C$21,VLOOKUP(Model!$A71,Euro!$B$29:$D$182,3)),0)</f>
        <v>0</v>
      </c>
      <c r="F71" s="22">
        <f t="shared" si="9"/>
        <v>0</v>
      </c>
      <c r="H71" s="23">
        <f>IF(Control!$C$27="Mid",VLOOKUP($A71,CurveFetch!$D$8:$F$367,3),VLOOKUP($A71,Euro!$B$29:$I$182,8))</f>
        <v>4.1695000000000002</v>
      </c>
      <c r="I71" s="23"/>
      <c r="J71" s="23">
        <f>IF($J$4="Mid",VLOOKUP($A71,Curve_Fetch,VLOOKUP(Control!$AJ$10,Control!$AI$11:$AK$22,3)),VLOOKUP($A71,Euro!$B$29:$M$182,12))</f>
        <v>-0.13</v>
      </c>
      <c r="K71" s="228">
        <f>IF(Control!$F$18="Physical",IF($K$4="Mid",VLOOKUP($A71,Curve_Fetch,VLOOKUP(Control!$AJ$10,Control!$AI$11:$AL$22,4)),VLOOKUP($A71,Euro!$B$29:$Q$182,16)),0)</f>
        <v>5.0000000000000001E-3</v>
      </c>
      <c r="L71" s="23">
        <f t="shared" si="10"/>
        <v>-0.125</v>
      </c>
      <c r="M71" s="23"/>
      <c r="N71" s="69">
        <f t="shared" si="1"/>
        <v>4.0445000000000002</v>
      </c>
      <c r="O71" s="69">
        <f>N71+Control!$C$39</f>
        <v>4.0445000000000002</v>
      </c>
      <c r="P71" s="73">
        <f>VLOOKUP($A71,CurveFetch!$D$8:$E$367,2)</f>
        <v>4.3372162326781101E-2</v>
      </c>
      <c r="Q71" s="24">
        <f t="shared" si="11"/>
        <v>4.3372162326781101E-2</v>
      </c>
      <c r="R71" s="72">
        <f t="shared" ca="1" si="12"/>
        <v>1945</v>
      </c>
      <c r="S71" s="25">
        <f>VLOOKUP($A71,Curve_Fetch,VLOOKUP(Control!$AJ$10,Control!$AI$11:$AM$22,5))</f>
        <v>0.23300000000000001</v>
      </c>
      <c r="T71" s="74">
        <f ca="1">_xll.EURO(N71,O71,P71,Q71,S71,R71,IF(Control!$C$38="Call",1,0),0)</f>
        <v>0.68043017661522476</v>
      </c>
      <c r="U71" s="27">
        <f t="shared" ca="1" si="2"/>
        <v>0</v>
      </c>
      <c r="V71" s="76"/>
      <c r="W71" s="197"/>
      <c r="X71" s="197"/>
      <c r="Y71" s="197"/>
      <c r="AA71" s="210"/>
      <c r="AB71" s="210"/>
      <c r="AC71" s="211"/>
      <c r="AD71" s="212"/>
      <c r="AE71" s="213"/>
      <c r="AF71" s="214"/>
      <c r="AG71" s="215"/>
      <c r="AH71" s="216"/>
      <c r="AI71" s="27"/>
      <c r="AJ71" s="28">
        <f t="shared" si="3"/>
        <v>0.125</v>
      </c>
      <c r="AL71" s="24">
        <f t="shared" si="13"/>
        <v>4.3537170662095302E-2</v>
      </c>
      <c r="AM71" s="25">
        <f t="shared" ca="1" si="14"/>
        <v>0.78972170554314147</v>
      </c>
      <c r="AO71" s="26">
        <f t="shared" ca="1" si="4"/>
        <v>0</v>
      </c>
      <c r="AP71" s="26"/>
      <c r="AQ71" s="26">
        <f t="shared" ca="1" si="5"/>
        <v>0</v>
      </c>
      <c r="AR71" s="26"/>
      <c r="AS71" s="27">
        <f t="shared" ca="1" si="6"/>
        <v>0</v>
      </c>
      <c r="AT71" s="27">
        <f t="shared" ca="1" si="7"/>
        <v>0</v>
      </c>
      <c r="AU71" s="27">
        <f t="shared" ca="1" si="8"/>
        <v>0</v>
      </c>
      <c r="AV71" s="27"/>
      <c r="AW71" s="27"/>
      <c r="AY71" s="216"/>
      <c r="AZ71" s="216"/>
      <c r="BA71" s="233"/>
      <c r="BC71" s="216"/>
      <c r="BE71" s="69"/>
    </row>
    <row r="72" spans="1:57">
      <c r="A72" s="19">
        <f>[1]!_xludf.edate(A71,1)</f>
        <v>39173</v>
      </c>
      <c r="B72" s="21">
        <f t="shared" si="15"/>
        <v>30</v>
      </c>
      <c r="C72" s="20">
        <f>IF(Control!$F$18="Physical",Model!A73+24,Model!A73)</f>
        <v>39227</v>
      </c>
      <c r="E72" s="22">
        <f>IF($A72&lt;End_Date,IF(Control!$C$20="Flat",Control!$C$21,VLOOKUP(Model!$A72,Euro!$B$29:$D$182,3)),0)</f>
        <v>0</v>
      </c>
      <c r="F72" s="22">
        <f t="shared" si="9"/>
        <v>0</v>
      </c>
      <c r="H72" s="23">
        <f>IF(Control!$C$27="Mid",VLOOKUP($A72,CurveFetch!$D$8:$F$367,3),VLOOKUP($A72,Euro!$B$29:$I$182,8))</f>
        <v>4.0155000000000003</v>
      </c>
      <c r="I72" s="23"/>
      <c r="J72" s="23">
        <f>IF($J$4="Mid",VLOOKUP($A72,Curve_Fetch,VLOOKUP(Control!$AJ$10,Control!$AI$11:$AK$22,3)),VLOOKUP($A72,Euro!$B$29:$M$182,12))</f>
        <v>-0.2</v>
      </c>
      <c r="K72" s="228">
        <f>IF(Control!$F$18="Physical",IF($K$4="Mid",VLOOKUP($A72,Curve_Fetch,VLOOKUP(Control!$AJ$10,Control!$AI$11:$AL$22,4)),VLOOKUP($A72,Euro!$B$29:$Q$182,16)),0)</f>
        <v>2.5000000000000001E-3</v>
      </c>
      <c r="L72" s="23">
        <f t="shared" si="10"/>
        <v>-0.19750000000000001</v>
      </c>
      <c r="M72" s="23"/>
      <c r="N72" s="69">
        <f t="shared" ref="N72:N135" si="16">L72+H72</f>
        <v>3.8180000000000005</v>
      </c>
      <c r="O72" s="69">
        <f>N72+Control!$C$39</f>
        <v>3.8180000000000005</v>
      </c>
      <c r="P72" s="73">
        <f>VLOOKUP($A72,CurveFetch!$D$8:$E$367,2)</f>
        <v>4.3537170662095302E-2</v>
      </c>
      <c r="Q72" s="24">
        <f t="shared" si="11"/>
        <v>4.3537170662095302E-2</v>
      </c>
      <c r="R72" s="72">
        <f t="shared" ca="1" si="12"/>
        <v>1976</v>
      </c>
      <c r="S72" s="25">
        <f>VLOOKUP($A72,Curve_Fetch,VLOOKUP(Control!$AJ$10,Control!$AI$11:$AM$22,5))</f>
        <v>0.23300000000000001</v>
      </c>
      <c r="T72" s="74">
        <f ca="1">_xll.EURO(N72,O72,P72,Q72,S72,R72,IF(Control!$C$38="Call",1,0),0)</f>
        <v>0.6443463213618692</v>
      </c>
      <c r="U72" s="27">
        <f t="shared" ref="U72:U135" ca="1" si="17">T72*B72*E72</f>
        <v>0</v>
      </c>
      <c r="V72" s="76"/>
      <c r="W72" s="197"/>
      <c r="X72" s="197"/>
      <c r="Y72" s="197"/>
      <c r="AA72" s="210"/>
      <c r="AB72" s="210"/>
      <c r="AC72" s="211"/>
      <c r="AD72" s="212"/>
      <c r="AE72" s="213"/>
      <c r="AF72" s="214"/>
      <c r="AG72" s="215"/>
      <c r="AH72" s="216"/>
      <c r="AI72" s="27"/>
      <c r="AJ72" s="28">
        <f t="shared" ref="AJ72:AJ135" si="18">Y72-L72</f>
        <v>0.19750000000000001</v>
      </c>
      <c r="AL72" s="24">
        <f t="shared" si="13"/>
        <v>4.3696856156566703E-2</v>
      </c>
      <c r="AM72" s="25">
        <f t="shared" ca="1" si="14"/>
        <v>0.78624905798208911</v>
      </c>
      <c r="AO72" s="26">
        <f t="shared" ref="AO72:AO135" ca="1" si="19">$B72*$E72*$AM72</f>
        <v>0</v>
      </c>
      <c r="AP72" s="26"/>
      <c r="AQ72" s="26">
        <f t="shared" ref="AQ72:AQ135" ca="1" si="20">H72*AO72</f>
        <v>0</v>
      </c>
      <c r="AR72" s="26"/>
      <c r="AS72" s="27">
        <f t="shared" ref="AS72:AS135" ca="1" si="21">J72*$AO72</f>
        <v>0</v>
      </c>
      <c r="AT72" s="27">
        <f t="shared" ref="AT72:AT135" ca="1" si="22">K72*$AO72</f>
        <v>0</v>
      </c>
      <c r="AU72" s="27">
        <f t="shared" ref="AU72:AU135" ca="1" si="23">L72*$AO72</f>
        <v>0</v>
      </c>
      <c r="AV72" s="27"/>
      <c r="AW72" s="27"/>
      <c r="AY72" s="216"/>
      <c r="AZ72" s="216"/>
      <c r="BA72" s="233"/>
      <c r="BC72" s="216"/>
      <c r="BE72" s="69"/>
    </row>
    <row r="73" spans="1:57">
      <c r="A73" s="19">
        <f>[1]!_xludf.edate(A72,1)</f>
        <v>39203</v>
      </c>
      <c r="B73" s="21">
        <f t="shared" si="15"/>
        <v>31</v>
      </c>
      <c r="C73" s="20">
        <f>IF(Control!$F$18="Physical",Model!A74+24,Model!A74)</f>
        <v>39258</v>
      </c>
      <c r="E73" s="22">
        <f>IF($A73&lt;End_Date,IF(Control!$C$20="Flat",Control!$C$21,VLOOKUP(Model!$A73,Euro!$B$29:$D$182,3)),0)</f>
        <v>0</v>
      </c>
      <c r="F73" s="22">
        <f t="shared" ref="F73:F136" si="24">E73*B73</f>
        <v>0</v>
      </c>
      <c r="H73" s="23">
        <f>IF(Control!$C$27="Mid",VLOOKUP($A73,CurveFetch!$D$8:$F$367,3),VLOOKUP($A73,Euro!$B$29:$I$182,8))</f>
        <v>4.0205000000000002</v>
      </c>
      <c r="I73" s="23"/>
      <c r="J73" s="23">
        <f>IF($J$4="Mid",VLOOKUP($A73,Curve_Fetch,VLOOKUP(Control!$AJ$10,Control!$AI$11:$AK$22,3)),VLOOKUP($A73,Euro!$B$29:$M$182,12))</f>
        <v>-0.2</v>
      </c>
      <c r="K73" s="228">
        <f>IF(Control!$F$18="Physical",IF($K$4="Mid",VLOOKUP($A73,Curve_Fetch,VLOOKUP(Control!$AJ$10,Control!$AI$11:$AL$22,4)),VLOOKUP($A73,Euro!$B$29:$Q$182,16)),0)</f>
        <v>2.5000000000000001E-3</v>
      </c>
      <c r="L73" s="23">
        <f t="shared" ref="L73:L136" si="25">SUM(J73:K73)</f>
        <v>-0.19750000000000001</v>
      </c>
      <c r="M73" s="23"/>
      <c r="N73" s="69">
        <f t="shared" si="16"/>
        <v>3.8230000000000004</v>
      </c>
      <c r="O73" s="69">
        <f>N73+Control!$C$39</f>
        <v>3.8230000000000004</v>
      </c>
      <c r="P73" s="73">
        <f>VLOOKUP($A73,CurveFetch!$D$8:$E$367,2)</f>
        <v>4.3696856156566703E-2</v>
      </c>
      <c r="Q73" s="24">
        <f t="shared" ref="Q73:Q136" si="26">P73</f>
        <v>4.3696856156566703E-2</v>
      </c>
      <c r="R73" s="72">
        <f t="shared" ref="R73:R136" ca="1" si="27">A73-1-TODAY()</f>
        <v>2006</v>
      </c>
      <c r="S73" s="25">
        <f>VLOOKUP($A73,Curve_Fetch,VLOOKUP(Control!$AJ$10,Control!$AI$11:$AM$22,5))</f>
        <v>0.23300000000000001</v>
      </c>
      <c r="T73" s="74">
        <f ca="1">_xll.EURO(N73,O73,P73,Q73,S73,R73,IF(Control!$C$38="Call",1,0),0)</f>
        <v>0.64706204840406345</v>
      </c>
      <c r="U73" s="27">
        <f t="shared" ca="1" si="17"/>
        <v>0</v>
      </c>
      <c r="V73" s="76"/>
      <c r="W73" s="197"/>
      <c r="X73" s="197"/>
      <c r="Y73" s="197"/>
      <c r="AA73" s="210"/>
      <c r="AB73" s="210"/>
      <c r="AC73" s="211"/>
      <c r="AD73" s="212"/>
      <c r="AE73" s="213"/>
      <c r="AF73" s="214"/>
      <c r="AG73" s="215"/>
      <c r="AH73" s="216"/>
      <c r="AI73" s="27"/>
      <c r="AJ73" s="28">
        <f t="shared" si="18"/>
        <v>0.19750000000000001</v>
      </c>
      <c r="AL73" s="24">
        <f t="shared" ref="AL73:AL136" si="28">VLOOKUP($C73,Curve_Fetch,2)+Cost_of_Funds</f>
        <v>4.3861864509826098E-2</v>
      </c>
      <c r="AM73" s="25">
        <f t="shared" ref="AM73:AM136" ca="1" si="29">1/(1+AL73/2)^(2*(C73-Val_Date)/365.25)</f>
        <v>0.782655645409017</v>
      </c>
      <c r="AO73" s="26">
        <f t="shared" ca="1" si="19"/>
        <v>0</v>
      </c>
      <c r="AP73" s="26"/>
      <c r="AQ73" s="26">
        <f t="shared" ca="1" si="20"/>
        <v>0</v>
      </c>
      <c r="AR73" s="26"/>
      <c r="AS73" s="27">
        <f t="shared" ca="1" si="21"/>
        <v>0</v>
      </c>
      <c r="AT73" s="27">
        <f t="shared" ca="1" si="22"/>
        <v>0</v>
      </c>
      <c r="AU73" s="27">
        <f t="shared" ca="1" si="23"/>
        <v>0</v>
      </c>
      <c r="AV73" s="27"/>
      <c r="AW73" s="27"/>
      <c r="AY73" s="216"/>
      <c r="AZ73" s="216"/>
      <c r="BA73" s="233"/>
      <c r="BC73" s="216"/>
      <c r="BE73" s="69"/>
    </row>
    <row r="74" spans="1:57">
      <c r="A74" s="19">
        <f>[1]!_xludf.edate(A73,1)</f>
        <v>39234</v>
      </c>
      <c r="B74" s="21">
        <f t="shared" ref="B74:B137" si="30">A75-A74</f>
        <v>30</v>
      </c>
      <c r="C74" s="20">
        <f>IF(Control!$F$18="Physical",Model!A75+24,Model!A75)</f>
        <v>39288</v>
      </c>
      <c r="E74" s="22">
        <f>IF($A74&lt;End_Date,IF(Control!$C$20="Flat",Control!$C$21,VLOOKUP(Model!$A74,Euro!$B$29:$D$182,3)),0)</f>
        <v>0</v>
      </c>
      <c r="F74" s="22">
        <f t="shared" si="24"/>
        <v>0</v>
      </c>
      <c r="H74" s="23">
        <f>IF(Control!$C$27="Mid",VLOOKUP($A74,CurveFetch!$D$8:$F$367,3),VLOOKUP($A74,Euro!$B$29:$I$182,8))</f>
        <v>4.0585000000000004</v>
      </c>
      <c r="I74" s="23"/>
      <c r="J74" s="23">
        <f>IF($J$4="Mid",VLOOKUP($A74,Curve_Fetch,VLOOKUP(Control!$AJ$10,Control!$AI$11:$AK$22,3)),VLOOKUP($A74,Euro!$B$29:$M$182,12))</f>
        <v>-0.2</v>
      </c>
      <c r="K74" s="228">
        <f>IF(Control!$F$18="Physical",IF($K$4="Mid",VLOOKUP($A74,Curve_Fetch,VLOOKUP(Control!$AJ$10,Control!$AI$11:$AL$22,4)),VLOOKUP($A74,Euro!$B$29:$Q$182,16)),0)</f>
        <v>2.5000000000000001E-3</v>
      </c>
      <c r="L74" s="23">
        <f t="shared" si="25"/>
        <v>-0.19750000000000001</v>
      </c>
      <c r="M74" s="23"/>
      <c r="N74" s="69">
        <f t="shared" si="16"/>
        <v>3.8610000000000007</v>
      </c>
      <c r="O74" s="69">
        <f>N74+Control!$C$39</f>
        <v>3.8610000000000007</v>
      </c>
      <c r="P74" s="73">
        <f>VLOOKUP($A74,CurveFetch!$D$8:$E$367,2)</f>
        <v>4.3861864509826098E-2</v>
      </c>
      <c r="Q74" s="24">
        <f t="shared" si="26"/>
        <v>4.3861864509826098E-2</v>
      </c>
      <c r="R74" s="72">
        <f t="shared" ca="1" si="27"/>
        <v>2037</v>
      </c>
      <c r="S74" s="25">
        <f>VLOOKUP($A74,Curve_Fetch,VLOOKUP(Control!$AJ$10,Control!$AI$11:$AM$22,5))</f>
        <v>0.23300000000000001</v>
      </c>
      <c r="T74" s="74">
        <f ca="1">_xll.EURO(N74,O74,P74,Q74,S74,R74,IF(Control!$C$38="Call",1,0),0)</f>
        <v>0.6553580020380394</v>
      </c>
      <c r="U74" s="27">
        <f t="shared" ca="1" si="17"/>
        <v>0</v>
      </c>
      <c r="V74" s="76"/>
      <c r="W74" s="197"/>
      <c r="X74" s="197"/>
      <c r="Y74" s="197"/>
      <c r="AA74" s="210"/>
      <c r="AB74" s="210"/>
      <c r="AC74" s="211"/>
      <c r="AD74" s="212"/>
      <c r="AE74" s="213"/>
      <c r="AF74" s="214"/>
      <c r="AG74" s="215"/>
      <c r="AH74" s="216"/>
      <c r="AI74" s="27"/>
      <c r="AJ74" s="28">
        <f t="shared" si="18"/>
        <v>0.19750000000000001</v>
      </c>
      <c r="AL74" s="24">
        <f t="shared" si="28"/>
        <v>4.4021550021661401E-2</v>
      </c>
      <c r="AM74" s="25">
        <f t="shared" ca="1" si="29"/>
        <v>0.77917350761197679</v>
      </c>
      <c r="AO74" s="26">
        <f t="shared" ca="1" si="19"/>
        <v>0</v>
      </c>
      <c r="AP74" s="26"/>
      <c r="AQ74" s="26">
        <f t="shared" ca="1" si="20"/>
        <v>0</v>
      </c>
      <c r="AR74" s="26"/>
      <c r="AS74" s="27">
        <f t="shared" ca="1" si="21"/>
        <v>0</v>
      </c>
      <c r="AT74" s="27">
        <f t="shared" ca="1" si="22"/>
        <v>0</v>
      </c>
      <c r="AU74" s="27">
        <f t="shared" ca="1" si="23"/>
        <v>0</v>
      </c>
      <c r="AV74" s="27"/>
      <c r="AW74" s="27"/>
      <c r="AY74" s="216"/>
      <c r="AZ74" s="216"/>
      <c r="BA74" s="233"/>
      <c r="BC74" s="216"/>
      <c r="BE74" s="69"/>
    </row>
    <row r="75" spans="1:57">
      <c r="A75" s="19">
        <f>[1]!_xludf.edate(A74,1)</f>
        <v>39264</v>
      </c>
      <c r="B75" s="21">
        <f t="shared" si="30"/>
        <v>31</v>
      </c>
      <c r="C75" s="20">
        <f>IF(Control!$F$18="Physical",Model!A76+24,Model!A76)</f>
        <v>39319</v>
      </c>
      <c r="E75" s="22">
        <f>IF($A75&lt;End_Date,IF(Control!$C$20="Flat",Control!$C$21,VLOOKUP(Model!$A75,Euro!$B$29:$D$182,3)),0)</f>
        <v>0</v>
      </c>
      <c r="F75" s="22">
        <f t="shared" si="24"/>
        <v>0</v>
      </c>
      <c r="H75" s="23">
        <f>IF(Control!$C$27="Mid",VLOOKUP($A75,CurveFetch!$D$8:$F$367,3),VLOOKUP($A75,Euro!$B$29:$I$182,8))</f>
        <v>4.1035000000000004</v>
      </c>
      <c r="I75" s="23"/>
      <c r="J75" s="23">
        <f>IF($J$4="Mid",VLOOKUP($A75,Curve_Fetch,VLOOKUP(Control!$AJ$10,Control!$AI$11:$AK$22,3)),VLOOKUP($A75,Euro!$B$29:$M$182,12))</f>
        <v>-0.2</v>
      </c>
      <c r="K75" s="228">
        <f>IF(Control!$F$18="Physical",IF($K$4="Mid",VLOOKUP($A75,Curve_Fetch,VLOOKUP(Control!$AJ$10,Control!$AI$11:$AL$22,4)),VLOOKUP($A75,Euro!$B$29:$Q$182,16)),0)</f>
        <v>2.5000000000000001E-3</v>
      </c>
      <c r="L75" s="23">
        <f t="shared" si="25"/>
        <v>-0.19750000000000001</v>
      </c>
      <c r="M75" s="23"/>
      <c r="N75" s="69">
        <f t="shared" si="16"/>
        <v>3.9060000000000006</v>
      </c>
      <c r="O75" s="69">
        <f>N75+Control!$C$39</f>
        <v>3.9060000000000006</v>
      </c>
      <c r="P75" s="73">
        <f>VLOOKUP($A75,CurveFetch!$D$8:$E$367,2)</f>
        <v>4.4021550021661401E-2</v>
      </c>
      <c r="Q75" s="24">
        <f t="shared" si="26"/>
        <v>4.4021550021661401E-2</v>
      </c>
      <c r="R75" s="72">
        <f t="shared" ca="1" si="27"/>
        <v>2067</v>
      </c>
      <c r="S75" s="25">
        <f>VLOOKUP($A75,Curve_Fetch,VLOOKUP(Control!$AJ$10,Control!$AI$11:$AM$22,5))</f>
        <v>0.23300000000000001</v>
      </c>
      <c r="T75" s="74">
        <f ca="1">_xll.EURO(N75,O75,P75,Q75,S75,R75,IF(Control!$C$38="Call",1,0),0)</f>
        <v>0.66473544144891772</v>
      </c>
      <c r="U75" s="27">
        <f t="shared" ca="1" si="17"/>
        <v>0</v>
      </c>
      <c r="V75" s="76"/>
      <c r="W75" s="197"/>
      <c r="X75" s="197"/>
      <c r="Y75" s="197"/>
      <c r="AA75" s="210"/>
      <c r="AB75" s="210"/>
      <c r="AC75" s="211"/>
      <c r="AD75" s="212"/>
      <c r="AE75" s="213"/>
      <c r="AF75" s="214"/>
      <c r="AG75" s="215"/>
      <c r="AH75" s="216"/>
      <c r="AI75" s="27"/>
      <c r="AJ75" s="28">
        <f t="shared" si="18"/>
        <v>0.19750000000000001</v>
      </c>
      <c r="AL75" s="24">
        <f t="shared" si="28"/>
        <v>4.4186558392862403E-2</v>
      </c>
      <c r="AM75" s="25">
        <f t="shared" ca="1" si="29"/>
        <v>0.77557071740129868</v>
      </c>
      <c r="AO75" s="26">
        <f t="shared" ca="1" si="19"/>
        <v>0</v>
      </c>
      <c r="AP75" s="26"/>
      <c r="AQ75" s="26">
        <f t="shared" ca="1" si="20"/>
        <v>0</v>
      </c>
      <c r="AR75" s="26"/>
      <c r="AS75" s="27">
        <f t="shared" ca="1" si="21"/>
        <v>0</v>
      </c>
      <c r="AT75" s="27">
        <f t="shared" ca="1" si="22"/>
        <v>0</v>
      </c>
      <c r="AU75" s="27">
        <f t="shared" ca="1" si="23"/>
        <v>0</v>
      </c>
      <c r="AV75" s="27"/>
      <c r="AW75" s="27"/>
      <c r="AY75" s="216"/>
      <c r="AZ75" s="216"/>
      <c r="BA75" s="233"/>
      <c r="BC75" s="216"/>
      <c r="BE75" s="69"/>
    </row>
    <row r="76" spans="1:57">
      <c r="A76" s="19">
        <f>[1]!_xludf.edate(A75,1)</f>
        <v>39295</v>
      </c>
      <c r="B76" s="21">
        <f t="shared" si="30"/>
        <v>31</v>
      </c>
      <c r="C76" s="20">
        <f>IF(Control!$F$18="Physical",Model!A77+24,Model!A77)</f>
        <v>39350</v>
      </c>
      <c r="E76" s="22">
        <f>IF($A76&lt;End_Date,IF(Control!$C$20="Flat",Control!$C$21,VLOOKUP(Model!$A76,Euro!$B$29:$D$182,3)),0)</f>
        <v>0</v>
      </c>
      <c r="F76" s="22">
        <f t="shared" si="24"/>
        <v>0</v>
      </c>
      <c r="H76" s="23">
        <f>IF(Control!$C$27="Mid",VLOOKUP($A76,CurveFetch!$D$8:$F$367,3),VLOOKUP($A76,Euro!$B$29:$I$182,8))</f>
        <v>4.1414999999999997</v>
      </c>
      <c r="I76" s="23"/>
      <c r="J76" s="23">
        <f>IF($J$4="Mid",VLOOKUP($A76,Curve_Fetch,VLOOKUP(Control!$AJ$10,Control!$AI$11:$AK$22,3)),VLOOKUP($A76,Euro!$B$29:$M$182,12))</f>
        <v>-0.2</v>
      </c>
      <c r="K76" s="228">
        <f>IF(Control!$F$18="Physical",IF($K$4="Mid",VLOOKUP($A76,Curve_Fetch,VLOOKUP(Control!$AJ$10,Control!$AI$11:$AL$22,4)),VLOOKUP($A76,Euro!$B$29:$Q$182,16)),0)</f>
        <v>2.5000000000000001E-3</v>
      </c>
      <c r="L76" s="23">
        <f t="shared" si="25"/>
        <v>-0.19750000000000001</v>
      </c>
      <c r="M76" s="23"/>
      <c r="N76" s="69">
        <f t="shared" si="16"/>
        <v>3.944</v>
      </c>
      <c r="O76" s="69">
        <f>N76+Control!$C$39</f>
        <v>3.944</v>
      </c>
      <c r="P76" s="73">
        <f>VLOOKUP($A76,CurveFetch!$D$8:$E$367,2)</f>
        <v>4.4186558392862403E-2</v>
      </c>
      <c r="Q76" s="24">
        <f t="shared" si="26"/>
        <v>4.4186558392862403E-2</v>
      </c>
      <c r="R76" s="72">
        <f t="shared" ca="1" si="27"/>
        <v>2098</v>
      </c>
      <c r="S76" s="25">
        <f>VLOOKUP($A76,Curve_Fetch,VLOOKUP(Control!$AJ$10,Control!$AI$11:$AM$22,5))</f>
        <v>0.23300000000000001</v>
      </c>
      <c r="T76" s="74">
        <f ca="1">_xll.EURO(N76,O76,P76,Q76,S76,R76,IF(Control!$C$38="Call",1,0),0)</f>
        <v>0.67292895985168877</v>
      </c>
      <c r="U76" s="27">
        <f t="shared" ca="1" si="17"/>
        <v>0</v>
      </c>
      <c r="V76" s="76"/>
      <c r="W76" s="197"/>
      <c r="X76" s="197"/>
      <c r="Y76" s="197"/>
      <c r="AA76" s="210"/>
      <c r="AB76" s="210"/>
      <c r="AC76" s="211"/>
      <c r="AD76" s="212"/>
      <c r="AE76" s="213"/>
      <c r="AF76" s="214"/>
      <c r="AG76" s="215"/>
      <c r="AH76" s="216"/>
      <c r="AI76" s="27"/>
      <c r="AJ76" s="28">
        <f t="shared" si="18"/>
        <v>0.19750000000000001</v>
      </c>
      <c r="AL76" s="24">
        <f t="shared" si="28"/>
        <v>4.43515667731793E-2</v>
      </c>
      <c r="AM76" s="25">
        <f t="shared" ca="1" si="29"/>
        <v>0.77196348913345625</v>
      </c>
      <c r="AO76" s="26">
        <f t="shared" ca="1" si="19"/>
        <v>0</v>
      </c>
      <c r="AP76" s="26"/>
      <c r="AQ76" s="26">
        <f t="shared" ca="1" si="20"/>
        <v>0</v>
      </c>
      <c r="AR76" s="26"/>
      <c r="AS76" s="27">
        <f t="shared" ca="1" si="21"/>
        <v>0</v>
      </c>
      <c r="AT76" s="27">
        <f t="shared" ca="1" si="22"/>
        <v>0</v>
      </c>
      <c r="AU76" s="27">
        <f t="shared" ca="1" si="23"/>
        <v>0</v>
      </c>
      <c r="AV76" s="27"/>
      <c r="AW76" s="27"/>
      <c r="AY76" s="216"/>
      <c r="AZ76" s="216"/>
      <c r="BA76" s="233"/>
      <c r="BC76" s="216"/>
      <c r="BE76" s="69"/>
    </row>
    <row r="77" spans="1:57">
      <c r="A77" s="19">
        <f>[1]!_xludf.edate(A76,1)</f>
        <v>39326</v>
      </c>
      <c r="B77" s="21">
        <f t="shared" si="30"/>
        <v>30</v>
      </c>
      <c r="C77" s="20">
        <f>IF(Control!$F$18="Physical",Model!A78+24,Model!A78)</f>
        <v>39380</v>
      </c>
      <c r="E77" s="22">
        <f>IF($A77&lt;End_Date,IF(Control!$C$20="Flat",Control!$C$21,VLOOKUP(Model!$A77,Euro!$B$29:$D$182,3)),0)</f>
        <v>0</v>
      </c>
      <c r="F77" s="22">
        <f t="shared" si="24"/>
        <v>0</v>
      </c>
      <c r="H77" s="23">
        <f>IF(Control!$C$27="Mid",VLOOKUP($A77,CurveFetch!$D$8:$F$367,3),VLOOKUP($A77,Euro!$B$29:$I$182,8))</f>
        <v>4.1355000000000004</v>
      </c>
      <c r="I77" s="23"/>
      <c r="J77" s="23">
        <f>IF($J$4="Mid",VLOOKUP($A77,Curve_Fetch,VLOOKUP(Control!$AJ$10,Control!$AI$11:$AK$22,3)),VLOOKUP($A77,Euro!$B$29:$M$182,12))</f>
        <v>-0.2</v>
      </c>
      <c r="K77" s="228">
        <f>IF(Control!$F$18="Physical",IF($K$4="Mid",VLOOKUP($A77,Curve_Fetch,VLOOKUP(Control!$AJ$10,Control!$AI$11:$AL$22,4)),VLOOKUP($A77,Euro!$B$29:$Q$182,16)),0)</f>
        <v>2.5000000000000001E-3</v>
      </c>
      <c r="L77" s="23">
        <f t="shared" si="25"/>
        <v>-0.19750000000000001</v>
      </c>
      <c r="M77" s="23"/>
      <c r="N77" s="69">
        <f t="shared" si="16"/>
        <v>3.9380000000000006</v>
      </c>
      <c r="O77" s="69">
        <f>N77+Control!$C$39</f>
        <v>3.9380000000000006</v>
      </c>
      <c r="P77" s="73">
        <f>VLOOKUP($A77,CurveFetch!$D$8:$E$367,2)</f>
        <v>4.43515667731793E-2</v>
      </c>
      <c r="Q77" s="24">
        <f t="shared" si="26"/>
        <v>4.43515667731793E-2</v>
      </c>
      <c r="R77" s="72">
        <f t="shared" ca="1" si="27"/>
        <v>2129</v>
      </c>
      <c r="S77" s="25">
        <f>VLOOKUP($A77,Curve_Fetch,VLOOKUP(Control!$AJ$10,Control!$AI$11:$AM$22,5))</f>
        <v>0.23300000000000001</v>
      </c>
      <c r="T77" s="74">
        <f ca="1">_xll.EURO(N77,O77,P77,Q77,S77,R77,IF(Control!$C$38="Call",1,0),0)</f>
        <v>0.67354121321298033</v>
      </c>
      <c r="U77" s="27">
        <f t="shared" ca="1" si="17"/>
        <v>0</v>
      </c>
      <c r="V77" s="76"/>
      <c r="W77" s="197"/>
      <c r="X77" s="197"/>
      <c r="Y77" s="197"/>
      <c r="AA77" s="210"/>
      <c r="AB77" s="210"/>
      <c r="AC77" s="211"/>
      <c r="AD77" s="212"/>
      <c r="AE77" s="213"/>
      <c r="AF77" s="214"/>
      <c r="AG77" s="215"/>
      <c r="AH77" s="216"/>
      <c r="AI77" s="27"/>
      <c r="AJ77" s="28">
        <f t="shared" si="18"/>
        <v>0.19750000000000001</v>
      </c>
      <c r="AL77" s="24">
        <f t="shared" si="28"/>
        <v>4.4511252311198998E-2</v>
      </c>
      <c r="AM77" s="25">
        <f t="shared" ca="1" si="29"/>
        <v>0.76846860455420973</v>
      </c>
      <c r="AO77" s="26">
        <f t="shared" ca="1" si="19"/>
        <v>0</v>
      </c>
      <c r="AP77" s="26"/>
      <c r="AQ77" s="26">
        <f t="shared" ca="1" si="20"/>
        <v>0</v>
      </c>
      <c r="AR77" s="26"/>
      <c r="AS77" s="27">
        <f t="shared" ca="1" si="21"/>
        <v>0</v>
      </c>
      <c r="AT77" s="27">
        <f t="shared" ca="1" si="22"/>
        <v>0</v>
      </c>
      <c r="AU77" s="27">
        <f t="shared" ca="1" si="23"/>
        <v>0</v>
      </c>
      <c r="AV77" s="27"/>
      <c r="AW77" s="27"/>
      <c r="AY77" s="216"/>
      <c r="AZ77" s="216"/>
      <c r="BA77" s="233"/>
      <c r="BC77" s="216"/>
      <c r="BE77" s="69"/>
    </row>
    <row r="78" spans="1:57">
      <c r="A78" s="19">
        <f>[1]!_xludf.edate(A77,1)</f>
        <v>39356</v>
      </c>
      <c r="B78" s="21">
        <f t="shared" si="30"/>
        <v>31</v>
      </c>
      <c r="C78" s="20">
        <f>IF(Control!$F$18="Physical",Model!A79+24,Model!A79)</f>
        <v>39411</v>
      </c>
      <c r="E78" s="22">
        <f>IF($A78&lt;End_Date,IF(Control!$C$20="Flat",Control!$C$21,VLOOKUP(Model!$A78,Euro!$B$29:$D$182,3)),0)</f>
        <v>0</v>
      </c>
      <c r="F78" s="22">
        <f t="shared" si="24"/>
        <v>0</v>
      </c>
      <c r="H78" s="23">
        <f>IF(Control!$C$27="Mid",VLOOKUP($A78,CurveFetch!$D$8:$F$367,3),VLOOKUP($A78,Euro!$B$29:$I$182,8))</f>
        <v>4.1355000000000004</v>
      </c>
      <c r="I78" s="23"/>
      <c r="J78" s="23">
        <f>IF($J$4="Mid",VLOOKUP($A78,Curve_Fetch,VLOOKUP(Control!$AJ$10,Control!$AI$11:$AK$22,3)),VLOOKUP($A78,Euro!$B$29:$M$182,12))</f>
        <v>-0.2</v>
      </c>
      <c r="K78" s="228">
        <f>IF(Control!$F$18="Physical",IF($K$4="Mid",VLOOKUP($A78,Curve_Fetch,VLOOKUP(Control!$AJ$10,Control!$AI$11:$AL$22,4)),VLOOKUP($A78,Euro!$B$29:$Q$182,16)),0)</f>
        <v>2.5000000000000001E-3</v>
      </c>
      <c r="L78" s="23">
        <f t="shared" si="25"/>
        <v>-0.19750000000000001</v>
      </c>
      <c r="M78" s="23"/>
      <c r="N78" s="69">
        <f t="shared" si="16"/>
        <v>3.9380000000000006</v>
      </c>
      <c r="O78" s="69">
        <f>N78+Control!$C$39</f>
        <v>3.9380000000000006</v>
      </c>
      <c r="P78" s="73">
        <f>VLOOKUP($A78,CurveFetch!$D$8:$E$367,2)</f>
        <v>4.4511252311198998E-2</v>
      </c>
      <c r="Q78" s="24">
        <f t="shared" si="26"/>
        <v>4.4511252311198998E-2</v>
      </c>
      <c r="R78" s="72">
        <f t="shared" ca="1" si="27"/>
        <v>2159</v>
      </c>
      <c r="S78" s="25">
        <f>VLOOKUP($A78,Curve_Fetch,VLOOKUP(Control!$AJ$10,Control!$AI$11:$AM$22,5))</f>
        <v>0.23300000000000001</v>
      </c>
      <c r="T78" s="74">
        <f ca="1">_xll.EURO(N78,O78,P78,Q78,S78,R78,IF(Control!$C$38="Call",1,0),0)</f>
        <v>0.67504205864668321</v>
      </c>
      <c r="U78" s="27">
        <f t="shared" ca="1" si="17"/>
        <v>0</v>
      </c>
      <c r="V78" s="76"/>
      <c r="W78" s="197"/>
      <c r="X78" s="197"/>
      <c r="Y78" s="197"/>
      <c r="AA78" s="210"/>
      <c r="AB78" s="210"/>
      <c r="AC78" s="211"/>
      <c r="AD78" s="212"/>
      <c r="AE78" s="213"/>
      <c r="AF78" s="214"/>
      <c r="AG78" s="215"/>
      <c r="AH78" s="216"/>
      <c r="AI78" s="27"/>
      <c r="AJ78" s="28">
        <f t="shared" si="18"/>
        <v>0.19750000000000001</v>
      </c>
      <c r="AL78" s="24">
        <f t="shared" si="28"/>
        <v>4.4676260709453498E-2</v>
      </c>
      <c r="AM78" s="25">
        <f t="shared" ca="1" si="29"/>
        <v>0.76485328467797409</v>
      </c>
      <c r="AO78" s="26">
        <f t="shared" ca="1" si="19"/>
        <v>0</v>
      </c>
      <c r="AP78" s="26"/>
      <c r="AQ78" s="26">
        <f t="shared" ca="1" si="20"/>
        <v>0</v>
      </c>
      <c r="AR78" s="26"/>
      <c r="AS78" s="27">
        <f t="shared" ca="1" si="21"/>
        <v>0</v>
      </c>
      <c r="AT78" s="27">
        <f t="shared" ca="1" si="22"/>
        <v>0</v>
      </c>
      <c r="AU78" s="27">
        <f t="shared" ca="1" si="23"/>
        <v>0</v>
      </c>
      <c r="AV78" s="27"/>
      <c r="AW78" s="27"/>
      <c r="AY78" s="216"/>
      <c r="AZ78" s="216"/>
      <c r="BA78" s="233"/>
      <c r="BC78" s="216"/>
      <c r="BE78" s="69"/>
    </row>
    <row r="79" spans="1:57">
      <c r="A79" s="19">
        <f>[1]!_xludf.edate(A78,1)</f>
        <v>39387</v>
      </c>
      <c r="B79" s="21">
        <f t="shared" si="30"/>
        <v>30</v>
      </c>
      <c r="C79" s="20">
        <f>IF(Control!$F$18="Physical",Model!A80+24,Model!A80)</f>
        <v>39441</v>
      </c>
      <c r="E79" s="22">
        <f>IF($A79&lt;End_Date,IF(Control!$C$20="Flat",Control!$C$21,VLOOKUP(Model!$A79,Euro!$B$29:$D$182,3)),0)</f>
        <v>0</v>
      </c>
      <c r="F79" s="22">
        <f t="shared" si="24"/>
        <v>0</v>
      </c>
      <c r="H79" s="23">
        <f>IF(Control!$C$27="Mid",VLOOKUP($A79,CurveFetch!$D$8:$F$367,3),VLOOKUP($A79,Euro!$B$29:$I$182,8))</f>
        <v>4.3055000000000003</v>
      </c>
      <c r="I79" s="23"/>
      <c r="J79" s="23">
        <f>IF($J$4="Mid",VLOOKUP($A79,Curve_Fetch,VLOOKUP(Control!$AJ$10,Control!$AI$11:$AK$22,3)),VLOOKUP($A79,Euro!$B$29:$M$182,12))</f>
        <v>-0.13</v>
      </c>
      <c r="K79" s="228">
        <f>IF(Control!$F$18="Physical",IF($K$4="Mid",VLOOKUP($A79,Curve_Fetch,VLOOKUP(Control!$AJ$10,Control!$AI$11:$AL$22,4)),VLOOKUP($A79,Euro!$B$29:$Q$182,16)),0)</f>
        <v>5.0000000000000001E-3</v>
      </c>
      <c r="L79" s="23">
        <f t="shared" si="25"/>
        <v>-0.125</v>
      </c>
      <c r="M79" s="23"/>
      <c r="N79" s="69">
        <f t="shared" si="16"/>
        <v>4.1805000000000003</v>
      </c>
      <c r="O79" s="69">
        <f>N79+Control!$C$39</f>
        <v>4.1805000000000003</v>
      </c>
      <c r="P79" s="73">
        <f>VLOOKUP($A79,CurveFetch!$D$8:$E$367,2)</f>
        <v>4.4676260709453498E-2</v>
      </c>
      <c r="Q79" s="24">
        <f t="shared" si="26"/>
        <v>4.4676260709453498E-2</v>
      </c>
      <c r="R79" s="72">
        <f t="shared" ca="1" si="27"/>
        <v>2190</v>
      </c>
      <c r="S79" s="25">
        <f>VLOOKUP($A79,Curve_Fetch,VLOOKUP(Control!$AJ$10,Control!$AI$11:$AM$22,5))</f>
        <v>0.23300000000000001</v>
      </c>
      <c r="T79" s="74">
        <f ca="1">_xll.EURO(N79,O79,P79,Q79,S79,R79,IF(Control!$C$38="Call",1,0),0)</f>
        <v>0.71816830617591876</v>
      </c>
      <c r="U79" s="27">
        <f t="shared" ca="1" si="17"/>
        <v>0</v>
      </c>
      <c r="V79" s="76"/>
      <c r="W79" s="197"/>
      <c r="X79" s="197"/>
      <c r="Y79" s="197"/>
      <c r="AA79" s="210"/>
      <c r="AB79" s="210"/>
      <c r="AC79" s="211"/>
      <c r="AD79" s="212"/>
      <c r="AE79" s="213"/>
      <c r="AF79" s="214"/>
      <c r="AG79" s="215"/>
      <c r="AH79" s="216"/>
      <c r="AI79" s="27"/>
      <c r="AJ79" s="28">
        <f t="shared" si="18"/>
        <v>0.125</v>
      </c>
      <c r="AL79" s="24">
        <f t="shared" si="28"/>
        <v>4.4835946264829597E-2</v>
      </c>
      <c r="AM79" s="25">
        <f t="shared" ca="1" si="29"/>
        <v>0.76135097946734098</v>
      </c>
      <c r="AO79" s="26">
        <f t="shared" ca="1" si="19"/>
        <v>0</v>
      </c>
      <c r="AP79" s="26"/>
      <c r="AQ79" s="26">
        <f t="shared" ca="1" si="20"/>
        <v>0</v>
      </c>
      <c r="AR79" s="26"/>
      <c r="AS79" s="27">
        <f t="shared" ca="1" si="21"/>
        <v>0</v>
      </c>
      <c r="AT79" s="27">
        <f t="shared" ca="1" si="22"/>
        <v>0</v>
      </c>
      <c r="AU79" s="27">
        <f t="shared" ca="1" si="23"/>
        <v>0</v>
      </c>
      <c r="AV79" s="27"/>
      <c r="AW79" s="27"/>
      <c r="AY79" s="216"/>
      <c r="AZ79" s="216"/>
      <c r="BA79" s="233"/>
      <c r="BC79" s="216"/>
      <c r="BE79" s="69"/>
    </row>
    <row r="80" spans="1:57">
      <c r="A80" s="19">
        <f>[1]!_xludf.edate(A79,1)</f>
        <v>39417</v>
      </c>
      <c r="B80" s="21">
        <f t="shared" si="30"/>
        <v>31</v>
      </c>
      <c r="C80" s="20">
        <f>IF(Control!$F$18="Physical",Model!A81+24,Model!A81)</f>
        <v>39472</v>
      </c>
      <c r="E80" s="22">
        <f>IF($A80&lt;End_Date,IF(Control!$C$20="Flat",Control!$C$21,VLOOKUP(Model!$A80,Euro!$B$29:$D$182,3)),0)</f>
        <v>0</v>
      </c>
      <c r="F80" s="22">
        <f t="shared" si="24"/>
        <v>0</v>
      </c>
      <c r="H80" s="23">
        <f>IF(Control!$C$27="Mid",VLOOKUP($A80,CurveFetch!$D$8:$F$367,3),VLOOKUP($A80,Euro!$B$29:$I$182,8))</f>
        <v>4.4364999999999997</v>
      </c>
      <c r="I80" s="23"/>
      <c r="J80" s="23">
        <f>IF($J$4="Mid",VLOOKUP($A80,Curve_Fetch,VLOOKUP(Control!$AJ$10,Control!$AI$11:$AK$22,3)),VLOOKUP($A80,Euro!$B$29:$M$182,12))</f>
        <v>-0.13</v>
      </c>
      <c r="K80" s="228">
        <f>IF(Control!$F$18="Physical",IF($K$4="Mid",VLOOKUP($A80,Curve_Fetch,VLOOKUP(Control!$AJ$10,Control!$AI$11:$AL$22,4)),VLOOKUP($A80,Euro!$B$29:$Q$182,16)),0)</f>
        <v>5.0000000000000001E-3</v>
      </c>
      <c r="L80" s="23">
        <f t="shared" si="25"/>
        <v>-0.125</v>
      </c>
      <c r="M80" s="23"/>
      <c r="N80" s="69">
        <f t="shared" si="16"/>
        <v>4.3114999999999997</v>
      </c>
      <c r="O80" s="69">
        <f>N80+Control!$C$39</f>
        <v>4.3114999999999997</v>
      </c>
      <c r="P80" s="73">
        <f>VLOOKUP($A80,CurveFetch!$D$8:$E$367,2)</f>
        <v>4.4835946264829597E-2</v>
      </c>
      <c r="Q80" s="24">
        <f t="shared" si="26"/>
        <v>4.4835946264829597E-2</v>
      </c>
      <c r="R80" s="72">
        <f t="shared" ca="1" si="27"/>
        <v>2220</v>
      </c>
      <c r="S80" s="25">
        <f>VLOOKUP($A80,Curve_Fetch,VLOOKUP(Control!$AJ$10,Control!$AI$11:$AM$22,5))</f>
        <v>0.23300000000000001</v>
      </c>
      <c r="T80" s="74">
        <f ca="1">_xll.EURO(N80,O80,P80,Q80,S80,R80,IF(Control!$C$38="Call",1,0),0)</f>
        <v>0.74214002554695235</v>
      </c>
      <c r="U80" s="27">
        <f t="shared" ca="1" si="17"/>
        <v>0</v>
      </c>
      <c r="V80" s="76"/>
      <c r="W80" s="197"/>
      <c r="X80" s="197"/>
      <c r="Y80" s="197"/>
      <c r="AA80" s="210"/>
      <c r="AB80" s="210"/>
      <c r="AC80" s="211"/>
      <c r="AD80" s="212"/>
      <c r="AE80" s="213"/>
      <c r="AF80" s="214"/>
      <c r="AG80" s="215"/>
      <c r="AH80" s="216"/>
      <c r="AI80" s="27"/>
      <c r="AJ80" s="28">
        <f t="shared" si="18"/>
        <v>0.125</v>
      </c>
      <c r="AL80" s="24">
        <f t="shared" si="28"/>
        <v>4.5000954681019098E-2</v>
      </c>
      <c r="AM80" s="25">
        <f t="shared" ca="1" si="29"/>
        <v>0.7577284137971837</v>
      </c>
      <c r="AO80" s="26">
        <f t="shared" ca="1" si="19"/>
        <v>0</v>
      </c>
      <c r="AP80" s="26"/>
      <c r="AQ80" s="26">
        <f t="shared" ca="1" si="20"/>
        <v>0</v>
      </c>
      <c r="AR80" s="26"/>
      <c r="AS80" s="27">
        <f t="shared" ca="1" si="21"/>
        <v>0</v>
      </c>
      <c r="AT80" s="27">
        <f t="shared" ca="1" si="22"/>
        <v>0</v>
      </c>
      <c r="AU80" s="27">
        <f t="shared" ca="1" si="23"/>
        <v>0</v>
      </c>
      <c r="AV80" s="27"/>
      <c r="AW80" s="27"/>
      <c r="AY80" s="216"/>
      <c r="AZ80" s="216"/>
      <c r="BA80" s="233"/>
      <c r="BC80" s="216"/>
      <c r="BE80" s="69"/>
    </row>
    <row r="81" spans="1:57">
      <c r="A81" s="19">
        <f>[1]!_xludf.edate(A80,1)</f>
        <v>39448</v>
      </c>
      <c r="B81" s="21">
        <f t="shared" si="30"/>
        <v>31</v>
      </c>
      <c r="C81" s="20">
        <f>IF(Control!$F$18="Physical",Model!A82+24,Model!A82)</f>
        <v>39503</v>
      </c>
      <c r="E81" s="22">
        <f>IF($A81&lt;End_Date,IF(Control!$C$20="Flat",Control!$C$21,VLOOKUP(Model!$A81,Euro!$B$29:$D$182,3)),0)</f>
        <v>0</v>
      </c>
      <c r="F81" s="22">
        <f t="shared" si="24"/>
        <v>0</v>
      </c>
      <c r="H81" s="23">
        <f>IF(Control!$C$27="Mid",VLOOKUP($A81,CurveFetch!$D$8:$F$367,3),VLOOKUP($A81,Euro!$B$29:$I$182,8))</f>
        <v>4.4989999999999997</v>
      </c>
      <c r="I81" s="23"/>
      <c r="J81" s="23">
        <f>IF($J$4="Mid",VLOOKUP($A81,Curve_Fetch,VLOOKUP(Control!$AJ$10,Control!$AI$11:$AK$22,3)),VLOOKUP($A81,Euro!$B$29:$M$182,12))</f>
        <v>-0.13</v>
      </c>
      <c r="K81" s="228">
        <f>IF(Control!$F$18="Physical",IF($K$4="Mid",VLOOKUP($A81,Curve_Fetch,VLOOKUP(Control!$AJ$10,Control!$AI$11:$AL$22,4)),VLOOKUP($A81,Euro!$B$29:$Q$182,16)),0)</f>
        <v>5.0000000000000001E-3</v>
      </c>
      <c r="L81" s="23">
        <f t="shared" si="25"/>
        <v>-0.125</v>
      </c>
      <c r="M81" s="23"/>
      <c r="N81" s="69">
        <f t="shared" si="16"/>
        <v>4.3739999999999997</v>
      </c>
      <c r="O81" s="69">
        <f>N81+Control!$C$39</f>
        <v>4.3739999999999997</v>
      </c>
      <c r="P81" s="73">
        <f>VLOOKUP($A81,CurveFetch!$D$8:$E$367,2)</f>
        <v>4.5000954681019098E-2</v>
      </c>
      <c r="Q81" s="24">
        <f t="shared" si="26"/>
        <v>4.5000954681019098E-2</v>
      </c>
      <c r="R81" s="72">
        <f t="shared" ca="1" si="27"/>
        <v>2251</v>
      </c>
      <c r="S81" s="25">
        <f>VLOOKUP($A81,Curve_Fetch,VLOOKUP(Control!$AJ$10,Control!$AI$11:$AM$22,5))</f>
        <v>0.23300000000000001</v>
      </c>
      <c r="T81" s="74">
        <f ca="1">_xll.EURO(N81,O81,P81,Q81,S81,R81,IF(Control!$C$38="Call",1,0),0)</f>
        <v>0.75434626183164455</v>
      </c>
      <c r="U81" s="27">
        <f t="shared" ca="1" si="17"/>
        <v>0</v>
      </c>
      <c r="V81" s="76"/>
      <c r="W81" s="197"/>
      <c r="X81" s="197"/>
      <c r="Y81" s="197"/>
      <c r="AA81" s="210"/>
      <c r="AB81" s="210"/>
      <c r="AC81" s="211"/>
      <c r="AD81" s="212"/>
      <c r="AE81" s="213"/>
      <c r="AF81" s="214"/>
      <c r="AG81" s="215"/>
      <c r="AH81" s="216"/>
      <c r="AI81" s="27"/>
      <c r="AJ81" s="28">
        <f t="shared" si="18"/>
        <v>0.125</v>
      </c>
      <c r="AL81" s="24">
        <f t="shared" si="28"/>
        <v>4.5165963106321302E-2</v>
      </c>
      <c r="AM81" s="25">
        <f t="shared" ca="1" si="29"/>
        <v>0.7541024881195415</v>
      </c>
      <c r="AO81" s="26">
        <f t="shared" ca="1" si="19"/>
        <v>0</v>
      </c>
      <c r="AP81" s="26"/>
      <c r="AQ81" s="26">
        <f t="shared" ca="1" si="20"/>
        <v>0</v>
      </c>
      <c r="AR81" s="26"/>
      <c r="AS81" s="27">
        <f t="shared" ca="1" si="21"/>
        <v>0</v>
      </c>
      <c r="AT81" s="27">
        <f t="shared" ca="1" si="22"/>
        <v>0</v>
      </c>
      <c r="AU81" s="27">
        <f t="shared" ca="1" si="23"/>
        <v>0</v>
      </c>
      <c r="AV81" s="27"/>
      <c r="AW81" s="27"/>
      <c r="AY81" s="216"/>
      <c r="AZ81" s="216"/>
      <c r="BA81" s="233"/>
      <c r="BC81" s="216"/>
      <c r="BE81" s="69"/>
    </row>
    <row r="82" spans="1:57">
      <c r="A82" s="19">
        <f>[1]!_xludf.edate(A81,1)</f>
        <v>39479</v>
      </c>
      <c r="B82" s="21">
        <f t="shared" si="30"/>
        <v>29</v>
      </c>
      <c r="C82" s="20">
        <f>IF(Control!$F$18="Physical",Model!A83+24,Model!A83)</f>
        <v>39532</v>
      </c>
      <c r="E82" s="22">
        <f>IF($A82&lt;End_Date,IF(Control!$C$20="Flat",Control!$C$21,VLOOKUP(Model!$A82,Euro!$B$29:$D$182,3)),0)</f>
        <v>0</v>
      </c>
      <c r="F82" s="22">
        <f t="shared" si="24"/>
        <v>0</v>
      </c>
      <c r="H82" s="23">
        <f>IF(Control!$C$27="Mid",VLOOKUP($A82,CurveFetch!$D$8:$F$367,3),VLOOKUP($A82,Euro!$B$29:$I$182,8))</f>
        <v>4.4109999999999996</v>
      </c>
      <c r="I82" s="23"/>
      <c r="J82" s="23">
        <f>IF($J$4="Mid",VLOOKUP($A82,Curve_Fetch,VLOOKUP(Control!$AJ$10,Control!$AI$11:$AK$22,3)),VLOOKUP($A82,Euro!$B$29:$M$182,12))</f>
        <v>-0.13</v>
      </c>
      <c r="K82" s="228">
        <f>IF(Control!$F$18="Physical",IF($K$4="Mid",VLOOKUP($A82,Curve_Fetch,VLOOKUP(Control!$AJ$10,Control!$AI$11:$AL$22,4)),VLOOKUP($A82,Euro!$B$29:$Q$182,16)),0)</f>
        <v>5.0000000000000001E-3</v>
      </c>
      <c r="L82" s="23">
        <f t="shared" si="25"/>
        <v>-0.125</v>
      </c>
      <c r="M82" s="23"/>
      <c r="N82" s="69">
        <f t="shared" si="16"/>
        <v>4.2859999999999996</v>
      </c>
      <c r="O82" s="69">
        <f>N82+Control!$C$39</f>
        <v>4.2859999999999996</v>
      </c>
      <c r="P82" s="73">
        <f>VLOOKUP($A82,CurveFetch!$D$8:$E$367,2)</f>
        <v>4.5165963106321302E-2</v>
      </c>
      <c r="Q82" s="24">
        <f t="shared" si="26"/>
        <v>4.5165963106321302E-2</v>
      </c>
      <c r="R82" s="72">
        <f t="shared" ca="1" si="27"/>
        <v>2282</v>
      </c>
      <c r="S82" s="25">
        <f>VLOOKUP($A82,Curve_Fetch,VLOOKUP(Control!$AJ$10,Control!$AI$11:$AM$22,5))</f>
        <v>0.23300000000000001</v>
      </c>
      <c r="T82" s="74">
        <f ca="1">_xll.EURO(N82,O82,P82,Q82,S82,R82,IF(Control!$C$38="Call",1,0),0)</f>
        <v>0.74050038823965325</v>
      </c>
      <c r="U82" s="27">
        <f t="shared" ca="1" si="17"/>
        <v>0</v>
      </c>
      <c r="V82" s="76"/>
      <c r="W82" s="197"/>
      <c r="X82" s="197"/>
      <c r="Y82" s="197"/>
      <c r="AA82" s="210"/>
      <c r="AB82" s="210"/>
      <c r="AC82" s="211"/>
      <c r="AD82" s="212"/>
      <c r="AE82" s="213"/>
      <c r="AF82" s="214"/>
      <c r="AG82" s="215"/>
      <c r="AH82" s="216"/>
      <c r="AI82" s="27"/>
      <c r="AJ82" s="28">
        <f t="shared" si="18"/>
        <v>0.125</v>
      </c>
      <c r="AL82" s="24">
        <f t="shared" si="28"/>
        <v>4.5320325835014802E-2</v>
      </c>
      <c r="AM82" s="25">
        <f t="shared" ca="1" si="29"/>
        <v>0.75070764277101765</v>
      </c>
      <c r="AO82" s="26">
        <f t="shared" ca="1" si="19"/>
        <v>0</v>
      </c>
      <c r="AP82" s="26"/>
      <c r="AQ82" s="26">
        <f t="shared" ca="1" si="20"/>
        <v>0</v>
      </c>
      <c r="AR82" s="26"/>
      <c r="AS82" s="27">
        <f t="shared" ca="1" si="21"/>
        <v>0</v>
      </c>
      <c r="AT82" s="27">
        <f t="shared" ca="1" si="22"/>
        <v>0</v>
      </c>
      <c r="AU82" s="27">
        <f t="shared" ca="1" si="23"/>
        <v>0</v>
      </c>
      <c r="AV82" s="27"/>
      <c r="AW82" s="27"/>
      <c r="AY82" s="216"/>
      <c r="AZ82" s="216"/>
      <c r="BA82" s="233"/>
      <c r="BC82" s="216"/>
      <c r="BE82" s="69"/>
    </row>
    <row r="83" spans="1:57">
      <c r="A83" s="19">
        <f>[1]!_xludf.edate(A82,1)</f>
        <v>39508</v>
      </c>
      <c r="B83" s="21">
        <f t="shared" si="30"/>
        <v>31</v>
      </c>
      <c r="C83" s="20">
        <f>IF(Control!$F$18="Physical",Model!A84+24,Model!A84)</f>
        <v>39563</v>
      </c>
      <c r="E83" s="22">
        <f>IF($A83&lt;End_Date,IF(Control!$C$20="Flat",Control!$C$21,VLOOKUP(Model!$A83,Euro!$B$29:$D$182,3)),0)</f>
        <v>0</v>
      </c>
      <c r="F83" s="22">
        <f t="shared" si="24"/>
        <v>0</v>
      </c>
      <c r="H83" s="23">
        <f>IF(Control!$C$27="Mid",VLOOKUP($A83,CurveFetch!$D$8:$F$367,3),VLOOKUP($A83,Euro!$B$29:$I$182,8))</f>
        <v>4.2720000000000002</v>
      </c>
      <c r="I83" s="23"/>
      <c r="J83" s="23">
        <f>IF($J$4="Mid",VLOOKUP($A83,Curve_Fetch,VLOOKUP(Control!$AJ$10,Control!$AI$11:$AK$22,3)),VLOOKUP($A83,Euro!$B$29:$M$182,12))</f>
        <v>-0.13</v>
      </c>
      <c r="K83" s="228">
        <f>IF(Control!$F$18="Physical",IF($K$4="Mid",VLOOKUP($A83,Curve_Fetch,VLOOKUP(Control!$AJ$10,Control!$AI$11:$AL$22,4)),VLOOKUP($A83,Euro!$B$29:$Q$182,16)),0)</f>
        <v>5.0000000000000001E-3</v>
      </c>
      <c r="L83" s="23">
        <f t="shared" si="25"/>
        <v>-0.125</v>
      </c>
      <c r="M83" s="23"/>
      <c r="N83" s="69">
        <f t="shared" si="16"/>
        <v>4.1470000000000002</v>
      </c>
      <c r="O83" s="69">
        <f>N83+Control!$C$39</f>
        <v>4.1470000000000002</v>
      </c>
      <c r="P83" s="73">
        <f>VLOOKUP($A83,CurveFetch!$D$8:$E$367,2)</f>
        <v>4.5320325835014802E-2</v>
      </c>
      <c r="Q83" s="24">
        <f t="shared" si="26"/>
        <v>4.5320325835014802E-2</v>
      </c>
      <c r="R83" s="72">
        <f t="shared" ca="1" si="27"/>
        <v>2311</v>
      </c>
      <c r="S83" s="25">
        <f>VLOOKUP($A83,Curve_Fetch,VLOOKUP(Control!$AJ$10,Control!$AI$11:$AM$22,5))</f>
        <v>0.223</v>
      </c>
      <c r="T83" s="74">
        <f ca="1">_xll.EURO(N83,O83,P83,Q83,S83,R83,IF(Control!$C$38="Call",1,0),0)</f>
        <v>0.68763179139402375</v>
      </c>
      <c r="U83" s="27">
        <f t="shared" ca="1" si="17"/>
        <v>0</v>
      </c>
      <c r="V83" s="76"/>
      <c r="W83" s="197"/>
      <c r="X83" s="197"/>
      <c r="Y83" s="197"/>
      <c r="AA83" s="210"/>
      <c r="AB83" s="210"/>
      <c r="AC83" s="211"/>
      <c r="AD83" s="212"/>
      <c r="AE83" s="213"/>
      <c r="AF83" s="214"/>
      <c r="AG83" s="215"/>
      <c r="AH83" s="216"/>
      <c r="AI83" s="27"/>
      <c r="AJ83" s="28">
        <f t="shared" si="18"/>
        <v>0.125</v>
      </c>
      <c r="AL83" s="24">
        <f t="shared" si="28"/>
        <v>4.5485334277953503E-2</v>
      </c>
      <c r="AM83" s="25">
        <f t="shared" ca="1" si="29"/>
        <v>0.747075827144281</v>
      </c>
      <c r="AO83" s="26">
        <f t="shared" ca="1" si="19"/>
        <v>0</v>
      </c>
      <c r="AP83" s="26"/>
      <c r="AQ83" s="26">
        <f t="shared" ca="1" si="20"/>
        <v>0</v>
      </c>
      <c r="AR83" s="26"/>
      <c r="AS83" s="27">
        <f t="shared" ca="1" si="21"/>
        <v>0</v>
      </c>
      <c r="AT83" s="27">
        <f t="shared" ca="1" si="22"/>
        <v>0</v>
      </c>
      <c r="AU83" s="27">
        <f t="shared" ca="1" si="23"/>
        <v>0</v>
      </c>
      <c r="AV83" s="27"/>
      <c r="AW83" s="27"/>
      <c r="AY83" s="216"/>
      <c r="AZ83" s="216"/>
      <c r="BA83" s="233"/>
      <c r="BC83" s="216"/>
      <c r="BE83" s="69"/>
    </row>
    <row r="84" spans="1:57">
      <c r="A84" s="19">
        <f>[1]!_xludf.edate(A83,1)</f>
        <v>39539</v>
      </c>
      <c r="B84" s="21">
        <f t="shared" si="30"/>
        <v>30</v>
      </c>
      <c r="C84" s="20">
        <f>IF(Control!$F$18="Physical",Model!A85+24,Model!A85)</f>
        <v>39593</v>
      </c>
      <c r="E84" s="22">
        <f>IF($A84&lt;End_Date,IF(Control!$C$20="Flat",Control!$C$21,VLOOKUP(Model!$A84,Euro!$B$29:$D$182,3)),0)</f>
        <v>0</v>
      </c>
      <c r="F84" s="22">
        <f t="shared" si="24"/>
        <v>0</v>
      </c>
      <c r="H84" s="23">
        <f>IF(Control!$C$27="Mid",VLOOKUP($A84,CurveFetch!$D$8:$F$367,3),VLOOKUP($A84,Euro!$B$29:$I$182,8))</f>
        <v>4.1180000000000003</v>
      </c>
      <c r="I84" s="23"/>
      <c r="J84" s="23">
        <f>IF($J$4="Mid",VLOOKUP($A84,Curve_Fetch,VLOOKUP(Control!$AJ$10,Control!$AI$11:$AK$22,3)),VLOOKUP($A84,Euro!$B$29:$M$182,12))</f>
        <v>-0.2</v>
      </c>
      <c r="K84" s="228">
        <f>IF(Control!$F$18="Physical",IF($K$4="Mid",VLOOKUP($A84,Curve_Fetch,VLOOKUP(Control!$AJ$10,Control!$AI$11:$AL$22,4)),VLOOKUP($A84,Euro!$B$29:$Q$182,16)),0)</f>
        <v>2.5000000000000001E-3</v>
      </c>
      <c r="L84" s="23">
        <f t="shared" si="25"/>
        <v>-0.19750000000000001</v>
      </c>
      <c r="M84" s="23"/>
      <c r="N84" s="69">
        <f t="shared" si="16"/>
        <v>3.9205000000000005</v>
      </c>
      <c r="O84" s="69">
        <f>N84+Control!$C$39</f>
        <v>3.9205000000000005</v>
      </c>
      <c r="P84" s="73">
        <f>VLOOKUP($A84,CurveFetch!$D$8:$E$367,2)</f>
        <v>4.5485334277953503E-2</v>
      </c>
      <c r="Q84" s="24">
        <f t="shared" si="26"/>
        <v>4.5485334277953503E-2</v>
      </c>
      <c r="R84" s="72">
        <f t="shared" ca="1" si="27"/>
        <v>2342</v>
      </c>
      <c r="S84" s="25">
        <f>VLOOKUP($A84,Curve_Fetch,VLOOKUP(Control!$AJ$10,Control!$AI$11:$AM$22,5))</f>
        <v>0.223</v>
      </c>
      <c r="T84" s="74">
        <f ca="1">_xll.EURO(N84,O84,P84,Q84,S84,R84,IF(Control!$C$38="Call",1,0),0)</f>
        <v>0.6511053440522887</v>
      </c>
      <c r="U84" s="27">
        <f t="shared" ca="1" si="17"/>
        <v>0</v>
      </c>
      <c r="V84" s="76"/>
      <c r="W84" s="197"/>
      <c r="X84" s="197"/>
      <c r="Y84" s="197"/>
      <c r="AA84" s="210"/>
      <c r="AB84" s="210"/>
      <c r="AC84" s="211"/>
      <c r="AD84" s="212"/>
      <c r="AE84" s="213"/>
      <c r="AF84" s="214"/>
      <c r="AG84" s="215"/>
      <c r="AH84" s="216"/>
      <c r="AI84" s="27"/>
      <c r="AJ84" s="28">
        <f t="shared" si="18"/>
        <v>0.19750000000000001</v>
      </c>
      <c r="AL84" s="24">
        <f t="shared" si="28"/>
        <v>4.5645019876568799E-2</v>
      </c>
      <c r="AM84" s="25">
        <f t="shared" ca="1" si="29"/>
        <v>0.74355856738115644</v>
      </c>
      <c r="AO84" s="26">
        <f t="shared" ca="1" si="19"/>
        <v>0</v>
      </c>
      <c r="AP84" s="26"/>
      <c r="AQ84" s="26">
        <f t="shared" ca="1" si="20"/>
        <v>0</v>
      </c>
      <c r="AR84" s="26"/>
      <c r="AS84" s="27">
        <f t="shared" ca="1" si="21"/>
        <v>0</v>
      </c>
      <c r="AT84" s="27">
        <f t="shared" ca="1" si="22"/>
        <v>0</v>
      </c>
      <c r="AU84" s="27">
        <f t="shared" ca="1" si="23"/>
        <v>0</v>
      </c>
      <c r="AV84" s="27"/>
      <c r="AW84" s="27"/>
      <c r="AY84" s="216"/>
      <c r="AZ84" s="216"/>
      <c r="BA84" s="233"/>
      <c r="BC84" s="216"/>
      <c r="BE84" s="69"/>
    </row>
    <row r="85" spans="1:57">
      <c r="A85" s="19">
        <f>[1]!_xludf.edate(A84,1)</f>
        <v>39569</v>
      </c>
      <c r="B85" s="21">
        <f t="shared" si="30"/>
        <v>31</v>
      </c>
      <c r="C85" s="20">
        <f>IF(Control!$F$18="Physical",Model!A86+24,Model!A86)</f>
        <v>39624</v>
      </c>
      <c r="E85" s="22">
        <f>IF($A85&lt;End_Date,IF(Control!$C$20="Flat",Control!$C$21,VLOOKUP(Model!$A85,Euro!$B$29:$D$182,3)),0)</f>
        <v>0</v>
      </c>
      <c r="F85" s="22">
        <f t="shared" si="24"/>
        <v>0</v>
      </c>
      <c r="H85" s="23">
        <f>IF(Control!$C$27="Mid",VLOOKUP($A85,CurveFetch!$D$8:$F$367,3),VLOOKUP($A85,Euro!$B$29:$I$182,8))</f>
        <v>4.1230000000000002</v>
      </c>
      <c r="I85" s="23"/>
      <c r="J85" s="23">
        <f>IF($J$4="Mid",VLOOKUP($A85,Curve_Fetch,VLOOKUP(Control!$AJ$10,Control!$AI$11:$AK$22,3)),VLOOKUP($A85,Euro!$B$29:$M$182,12))</f>
        <v>-0.2</v>
      </c>
      <c r="K85" s="228">
        <f>IF(Control!$F$18="Physical",IF($K$4="Mid",VLOOKUP($A85,Curve_Fetch,VLOOKUP(Control!$AJ$10,Control!$AI$11:$AL$22,4)),VLOOKUP($A85,Euro!$B$29:$Q$182,16)),0)</f>
        <v>2.5000000000000001E-3</v>
      </c>
      <c r="L85" s="23">
        <f t="shared" si="25"/>
        <v>-0.19750000000000001</v>
      </c>
      <c r="M85" s="23"/>
      <c r="N85" s="69">
        <f t="shared" si="16"/>
        <v>3.9255000000000004</v>
      </c>
      <c r="O85" s="69">
        <f>N85+Control!$C$39</f>
        <v>3.9255000000000004</v>
      </c>
      <c r="P85" s="73">
        <f>VLOOKUP($A85,CurveFetch!$D$8:$E$367,2)</f>
        <v>4.5645019876568799E-2</v>
      </c>
      <c r="Q85" s="24">
        <f t="shared" si="26"/>
        <v>4.5645019876568799E-2</v>
      </c>
      <c r="R85" s="72">
        <f t="shared" ca="1" si="27"/>
        <v>2372</v>
      </c>
      <c r="S85" s="25">
        <f>VLOOKUP($A85,Curve_Fetch,VLOOKUP(Control!$AJ$10,Control!$AI$11:$AM$22,5))</f>
        <v>0.223</v>
      </c>
      <c r="T85" s="74">
        <f ca="1">_xll.EURO(N85,O85,P85,Q85,S85,R85,IF(Control!$C$38="Call",1,0),0)</f>
        <v>0.65286392766574175</v>
      </c>
      <c r="U85" s="27">
        <f t="shared" ca="1" si="17"/>
        <v>0</v>
      </c>
      <c r="V85" s="76"/>
      <c r="W85" s="197"/>
      <c r="X85" s="197"/>
      <c r="Y85" s="197"/>
      <c r="AA85" s="210"/>
      <c r="AB85" s="210"/>
      <c r="AC85" s="211"/>
      <c r="AD85" s="212"/>
      <c r="AE85" s="213"/>
      <c r="AF85" s="214"/>
      <c r="AG85" s="215"/>
      <c r="AH85" s="216"/>
      <c r="AI85" s="27"/>
      <c r="AJ85" s="28">
        <f t="shared" si="18"/>
        <v>0.19750000000000001</v>
      </c>
      <c r="AL85" s="24">
        <f t="shared" si="28"/>
        <v>4.5810028337434999E-2</v>
      </c>
      <c r="AM85" s="25">
        <f t="shared" ca="1" si="29"/>
        <v>0.73992158749316095</v>
      </c>
      <c r="AO85" s="26">
        <f t="shared" ca="1" si="19"/>
        <v>0</v>
      </c>
      <c r="AP85" s="26"/>
      <c r="AQ85" s="26">
        <f t="shared" ca="1" si="20"/>
        <v>0</v>
      </c>
      <c r="AR85" s="26"/>
      <c r="AS85" s="27">
        <f t="shared" ca="1" si="21"/>
        <v>0</v>
      </c>
      <c r="AT85" s="27">
        <f t="shared" ca="1" si="22"/>
        <v>0</v>
      </c>
      <c r="AU85" s="27">
        <f t="shared" ca="1" si="23"/>
        <v>0</v>
      </c>
      <c r="AV85" s="27"/>
      <c r="AW85" s="27"/>
      <c r="AY85" s="216"/>
      <c r="AZ85" s="216"/>
      <c r="BA85" s="233"/>
      <c r="BC85" s="216"/>
      <c r="BE85" s="69"/>
    </row>
    <row r="86" spans="1:57">
      <c r="A86" s="19">
        <f>[1]!_xludf.edate(A85,1)</f>
        <v>39600</v>
      </c>
      <c r="B86" s="21">
        <f t="shared" si="30"/>
        <v>30</v>
      </c>
      <c r="C86" s="20">
        <f>IF(Control!$F$18="Physical",Model!A87+24,Model!A87)</f>
        <v>39654</v>
      </c>
      <c r="E86" s="22">
        <f>IF($A86&lt;End_Date,IF(Control!$C$20="Flat",Control!$C$21,VLOOKUP(Model!$A86,Euro!$B$29:$D$182,3)),0)</f>
        <v>0</v>
      </c>
      <c r="F86" s="22">
        <f t="shared" si="24"/>
        <v>0</v>
      </c>
      <c r="H86" s="23">
        <f>IF(Control!$C$27="Mid",VLOOKUP($A86,CurveFetch!$D$8:$F$367,3),VLOOKUP($A86,Euro!$B$29:$I$182,8))</f>
        <v>4.1609999999999996</v>
      </c>
      <c r="I86" s="23"/>
      <c r="J86" s="23">
        <f>IF($J$4="Mid",VLOOKUP($A86,Curve_Fetch,VLOOKUP(Control!$AJ$10,Control!$AI$11:$AK$22,3)),VLOOKUP($A86,Euro!$B$29:$M$182,12))</f>
        <v>-0.2</v>
      </c>
      <c r="K86" s="228">
        <f>IF(Control!$F$18="Physical",IF($K$4="Mid",VLOOKUP($A86,Curve_Fetch,VLOOKUP(Control!$AJ$10,Control!$AI$11:$AL$22,4)),VLOOKUP($A86,Euro!$B$29:$Q$182,16)),0)</f>
        <v>2.5000000000000001E-3</v>
      </c>
      <c r="L86" s="23">
        <f t="shared" si="25"/>
        <v>-0.19750000000000001</v>
      </c>
      <c r="M86" s="23"/>
      <c r="N86" s="69">
        <f t="shared" si="16"/>
        <v>3.9634999999999998</v>
      </c>
      <c r="O86" s="69">
        <f>N86+Control!$C$39</f>
        <v>3.9634999999999998</v>
      </c>
      <c r="P86" s="73">
        <f>VLOOKUP($A86,CurveFetch!$D$8:$E$367,2)</f>
        <v>4.5810028337434999E-2</v>
      </c>
      <c r="Q86" s="24">
        <f t="shared" si="26"/>
        <v>4.5810028337434999E-2</v>
      </c>
      <c r="R86" s="72">
        <f t="shared" ca="1" si="27"/>
        <v>2403</v>
      </c>
      <c r="S86" s="25">
        <f>VLOOKUP($A86,Curve_Fetch,VLOOKUP(Control!$AJ$10,Control!$AI$11:$AM$22,5))</f>
        <v>0.223</v>
      </c>
      <c r="T86" s="74">
        <f ca="1">_xll.EURO(N86,O86,P86,Q86,S86,R86,IF(Control!$C$38="Call",1,0),0)</f>
        <v>0.66008003801515569</v>
      </c>
      <c r="U86" s="27">
        <f t="shared" ca="1" si="17"/>
        <v>0</v>
      </c>
      <c r="V86" s="76"/>
      <c r="W86" s="197"/>
      <c r="X86" s="197"/>
      <c r="Y86" s="197"/>
      <c r="AA86" s="210"/>
      <c r="AB86" s="210"/>
      <c r="AC86" s="211"/>
      <c r="AD86" s="212"/>
      <c r="AE86" s="213"/>
      <c r="AF86" s="214"/>
      <c r="AG86" s="215"/>
      <c r="AH86" s="216"/>
      <c r="AI86" s="27"/>
      <c r="AJ86" s="28">
        <f t="shared" si="18"/>
        <v>0.19750000000000001</v>
      </c>
      <c r="AL86" s="24">
        <f t="shared" si="28"/>
        <v>4.5969713953397703E-2</v>
      </c>
      <c r="AM86" s="25">
        <f t="shared" ca="1" si="29"/>
        <v>0.73639972964210698</v>
      </c>
      <c r="AO86" s="26">
        <f t="shared" ca="1" si="19"/>
        <v>0</v>
      </c>
      <c r="AP86" s="26"/>
      <c r="AQ86" s="26">
        <f t="shared" ca="1" si="20"/>
        <v>0</v>
      </c>
      <c r="AR86" s="26"/>
      <c r="AS86" s="27">
        <f t="shared" ca="1" si="21"/>
        <v>0</v>
      </c>
      <c r="AT86" s="27">
        <f t="shared" ca="1" si="22"/>
        <v>0</v>
      </c>
      <c r="AU86" s="27">
        <f t="shared" ca="1" si="23"/>
        <v>0</v>
      </c>
      <c r="AV86" s="27"/>
      <c r="AW86" s="27"/>
      <c r="AY86" s="216"/>
      <c r="AZ86" s="216"/>
      <c r="BA86" s="233"/>
      <c r="BC86" s="216"/>
      <c r="BE86" s="69"/>
    </row>
    <row r="87" spans="1:57">
      <c r="A87" s="19">
        <f>[1]!_xludf.edate(A86,1)</f>
        <v>39630</v>
      </c>
      <c r="B87" s="21">
        <f t="shared" si="30"/>
        <v>31</v>
      </c>
      <c r="C87" s="20">
        <f>IF(Control!$F$18="Physical",Model!A88+24,Model!A88)</f>
        <v>39685</v>
      </c>
      <c r="E87" s="22">
        <f>IF($A87&lt;End_Date,IF(Control!$C$20="Flat",Control!$C$21,VLOOKUP(Model!$A87,Euro!$B$29:$D$182,3)),0)</f>
        <v>0</v>
      </c>
      <c r="F87" s="22">
        <f t="shared" si="24"/>
        <v>0</v>
      </c>
      <c r="H87" s="23">
        <f>IF(Control!$C$27="Mid",VLOOKUP($A87,CurveFetch!$D$8:$F$367,3),VLOOKUP($A87,Euro!$B$29:$I$182,8))</f>
        <v>4.2060000000000004</v>
      </c>
      <c r="I87" s="23"/>
      <c r="J87" s="23">
        <f>IF($J$4="Mid",VLOOKUP($A87,Curve_Fetch,VLOOKUP(Control!$AJ$10,Control!$AI$11:$AK$22,3)),VLOOKUP($A87,Euro!$B$29:$M$182,12))</f>
        <v>-0.2</v>
      </c>
      <c r="K87" s="228">
        <f>IF(Control!$F$18="Physical",IF($K$4="Mid",VLOOKUP($A87,Curve_Fetch,VLOOKUP(Control!$AJ$10,Control!$AI$11:$AL$22,4)),VLOOKUP($A87,Euro!$B$29:$Q$182,16)),0)</f>
        <v>2.5000000000000001E-3</v>
      </c>
      <c r="L87" s="23">
        <f t="shared" si="25"/>
        <v>-0.19750000000000001</v>
      </c>
      <c r="M87" s="23"/>
      <c r="N87" s="69">
        <f t="shared" si="16"/>
        <v>4.0085000000000006</v>
      </c>
      <c r="O87" s="69">
        <f>N87+Control!$C$39</f>
        <v>4.0085000000000006</v>
      </c>
      <c r="P87" s="73">
        <f>VLOOKUP($A87,CurveFetch!$D$8:$E$367,2)</f>
        <v>4.5969713953397703E-2</v>
      </c>
      <c r="Q87" s="24">
        <f t="shared" si="26"/>
        <v>4.5969713953397703E-2</v>
      </c>
      <c r="R87" s="72">
        <f t="shared" ca="1" si="27"/>
        <v>2433</v>
      </c>
      <c r="S87" s="25">
        <f>VLOOKUP($A87,Curve_Fetch,VLOOKUP(Control!$AJ$10,Control!$AI$11:$AM$22,5))</f>
        <v>0.22</v>
      </c>
      <c r="T87" s="74">
        <f ca="1">_xll.EURO(N87,O87,P87,Q87,S87,R87,IF(Control!$C$38="Call",1,0),0)</f>
        <v>0.65963078656344076</v>
      </c>
      <c r="U87" s="27">
        <f t="shared" ca="1" si="17"/>
        <v>0</v>
      </c>
      <c r="V87" s="76"/>
      <c r="W87" s="197"/>
      <c r="X87" s="197"/>
      <c r="Y87" s="197"/>
      <c r="AA87" s="210"/>
      <c r="AB87" s="210"/>
      <c r="AC87" s="211"/>
      <c r="AD87" s="212"/>
      <c r="AE87" s="213"/>
      <c r="AF87" s="214"/>
      <c r="AG87" s="215"/>
      <c r="AH87" s="216"/>
      <c r="AI87" s="27"/>
      <c r="AJ87" s="28">
        <f t="shared" si="18"/>
        <v>0.19750000000000001</v>
      </c>
      <c r="AL87" s="24">
        <f t="shared" si="28"/>
        <v>4.61347224321886E-2</v>
      </c>
      <c r="AM87" s="25">
        <f t="shared" ca="1" si="29"/>
        <v>0.73275840961041649</v>
      </c>
      <c r="AO87" s="26">
        <f t="shared" ca="1" si="19"/>
        <v>0</v>
      </c>
      <c r="AP87" s="26"/>
      <c r="AQ87" s="26">
        <f t="shared" ca="1" si="20"/>
        <v>0</v>
      </c>
      <c r="AR87" s="26"/>
      <c r="AS87" s="27">
        <f t="shared" ca="1" si="21"/>
        <v>0</v>
      </c>
      <c r="AT87" s="27">
        <f t="shared" ca="1" si="22"/>
        <v>0</v>
      </c>
      <c r="AU87" s="27">
        <f t="shared" ca="1" si="23"/>
        <v>0</v>
      </c>
      <c r="AV87" s="27"/>
      <c r="AW87" s="27"/>
      <c r="AY87" s="216"/>
      <c r="AZ87" s="216"/>
      <c r="BA87" s="233"/>
      <c r="BC87" s="216"/>
      <c r="BE87" s="69"/>
    </row>
    <row r="88" spans="1:57">
      <c r="A88" s="19">
        <f>[1]!_xludf.edate(A87,1)</f>
        <v>39661</v>
      </c>
      <c r="B88" s="21">
        <f t="shared" si="30"/>
        <v>31</v>
      </c>
      <c r="C88" s="20">
        <f>IF(Control!$F$18="Physical",Model!A89+24,Model!A89)</f>
        <v>39716</v>
      </c>
      <c r="E88" s="22">
        <f>IF($A88&lt;End_Date,IF(Control!$C$20="Flat",Control!$C$21,VLOOKUP(Model!$A88,Euro!$B$29:$D$182,3)),0)</f>
        <v>0</v>
      </c>
      <c r="F88" s="22">
        <f t="shared" si="24"/>
        <v>0</v>
      </c>
      <c r="H88" s="23">
        <f>IF(Control!$C$27="Mid",VLOOKUP($A88,CurveFetch!$D$8:$F$367,3),VLOOKUP($A88,Euro!$B$29:$I$182,8))</f>
        <v>4.2439999999999998</v>
      </c>
      <c r="I88" s="23"/>
      <c r="J88" s="23">
        <f>IF($J$4="Mid",VLOOKUP($A88,Curve_Fetch,VLOOKUP(Control!$AJ$10,Control!$AI$11:$AK$22,3)),VLOOKUP($A88,Euro!$B$29:$M$182,12))</f>
        <v>-0.2</v>
      </c>
      <c r="K88" s="228">
        <f>IF(Control!$F$18="Physical",IF($K$4="Mid",VLOOKUP($A88,Curve_Fetch,VLOOKUP(Control!$AJ$10,Control!$AI$11:$AL$22,4)),VLOOKUP($A88,Euro!$B$29:$Q$182,16)),0)</f>
        <v>2.5000000000000001E-3</v>
      </c>
      <c r="L88" s="23">
        <f t="shared" si="25"/>
        <v>-0.19750000000000001</v>
      </c>
      <c r="M88" s="23"/>
      <c r="N88" s="69">
        <f t="shared" si="16"/>
        <v>4.0465</v>
      </c>
      <c r="O88" s="69">
        <f>N88+Control!$C$39</f>
        <v>4.0465</v>
      </c>
      <c r="P88" s="73">
        <f>VLOOKUP($A88,CurveFetch!$D$8:$E$367,2)</f>
        <v>4.61347224321886E-2</v>
      </c>
      <c r="Q88" s="24">
        <f t="shared" si="26"/>
        <v>4.61347224321886E-2</v>
      </c>
      <c r="R88" s="72">
        <f t="shared" ca="1" si="27"/>
        <v>2464</v>
      </c>
      <c r="S88" s="25">
        <f>VLOOKUP($A88,Curve_Fetch,VLOOKUP(Control!$AJ$10,Control!$AI$11:$AM$22,5))</f>
        <v>0.22</v>
      </c>
      <c r="T88" s="74">
        <f ca="1">_xll.EURO(N88,O88,P88,Q88,S88,R88,IF(Control!$C$38="Call",1,0),0)</f>
        <v>0.66664780571700577</v>
      </c>
      <c r="U88" s="27">
        <f t="shared" ca="1" si="17"/>
        <v>0</v>
      </c>
      <c r="V88" s="76"/>
      <c r="W88" s="197"/>
      <c r="X88" s="197"/>
      <c r="Y88" s="197"/>
      <c r="AA88" s="210"/>
      <c r="AB88" s="210"/>
      <c r="AC88" s="211"/>
      <c r="AD88" s="212"/>
      <c r="AE88" s="213"/>
      <c r="AF88" s="214"/>
      <c r="AG88" s="215"/>
      <c r="AH88" s="216"/>
      <c r="AI88" s="27"/>
      <c r="AJ88" s="28">
        <f t="shared" si="18"/>
        <v>0.19750000000000001</v>
      </c>
      <c r="AL88" s="24">
        <f t="shared" si="28"/>
        <v>4.6299730920086997E-2</v>
      </c>
      <c r="AM88" s="25">
        <f t="shared" ca="1" si="29"/>
        <v>0.7291151975706186</v>
      </c>
      <c r="AO88" s="26">
        <f t="shared" ca="1" si="19"/>
        <v>0</v>
      </c>
      <c r="AP88" s="26"/>
      <c r="AQ88" s="26">
        <f t="shared" ca="1" si="20"/>
        <v>0</v>
      </c>
      <c r="AR88" s="26"/>
      <c r="AS88" s="27">
        <f t="shared" ca="1" si="21"/>
        <v>0</v>
      </c>
      <c r="AT88" s="27">
        <f t="shared" ca="1" si="22"/>
        <v>0</v>
      </c>
      <c r="AU88" s="27">
        <f t="shared" ca="1" si="23"/>
        <v>0</v>
      </c>
      <c r="AV88" s="27"/>
      <c r="AW88" s="27"/>
      <c r="AY88" s="216"/>
      <c r="AZ88" s="216"/>
      <c r="BA88" s="233"/>
      <c r="BC88" s="216"/>
      <c r="BE88" s="69"/>
    </row>
    <row r="89" spans="1:57">
      <c r="A89" s="19">
        <f>[1]!_xludf.edate(A88,1)</f>
        <v>39692</v>
      </c>
      <c r="B89" s="21">
        <f t="shared" si="30"/>
        <v>30</v>
      </c>
      <c r="C89" s="20">
        <f>IF(Control!$F$18="Physical",Model!A90+24,Model!A90)</f>
        <v>39746</v>
      </c>
      <c r="E89" s="22">
        <f>IF($A89&lt;End_Date,IF(Control!$C$20="Flat",Control!$C$21,VLOOKUP(Model!$A89,Euro!$B$29:$D$182,3)),0)</f>
        <v>0</v>
      </c>
      <c r="F89" s="22">
        <f t="shared" si="24"/>
        <v>0</v>
      </c>
      <c r="H89" s="23">
        <f>IF(Control!$C$27="Mid",VLOOKUP($A89,CurveFetch!$D$8:$F$367,3),VLOOKUP($A89,Euro!$B$29:$I$182,8))</f>
        <v>4.2380000000000004</v>
      </c>
      <c r="I89" s="23"/>
      <c r="J89" s="23">
        <f>IF($J$4="Mid",VLOOKUP($A89,Curve_Fetch,VLOOKUP(Control!$AJ$10,Control!$AI$11:$AK$22,3)),VLOOKUP($A89,Euro!$B$29:$M$182,12))</f>
        <v>-0.2</v>
      </c>
      <c r="K89" s="228">
        <f>IF(Control!$F$18="Physical",IF($K$4="Mid",VLOOKUP($A89,Curve_Fetch,VLOOKUP(Control!$AJ$10,Control!$AI$11:$AL$22,4)),VLOOKUP($A89,Euro!$B$29:$Q$182,16)),0)</f>
        <v>2.5000000000000001E-3</v>
      </c>
      <c r="L89" s="23">
        <f t="shared" si="25"/>
        <v>-0.19750000000000001</v>
      </c>
      <c r="M89" s="23"/>
      <c r="N89" s="69">
        <f t="shared" si="16"/>
        <v>4.0405000000000006</v>
      </c>
      <c r="O89" s="69">
        <f>N89+Control!$C$39</f>
        <v>4.0405000000000006</v>
      </c>
      <c r="P89" s="73">
        <f>VLOOKUP($A89,CurveFetch!$D$8:$E$367,2)</f>
        <v>4.6299730920086997E-2</v>
      </c>
      <c r="Q89" s="24">
        <f t="shared" si="26"/>
        <v>4.6299730920086997E-2</v>
      </c>
      <c r="R89" s="72">
        <f t="shared" ca="1" si="27"/>
        <v>2495</v>
      </c>
      <c r="S89" s="25">
        <f>VLOOKUP($A89,Curve_Fetch,VLOOKUP(Control!$AJ$10,Control!$AI$11:$AM$22,5))</f>
        <v>0.22</v>
      </c>
      <c r="T89" s="74">
        <f ca="1">_xll.EURO(N89,O89,P89,Q89,S89,R89,IF(Control!$C$38="Call",1,0),0)</f>
        <v>0.66635148844213021</v>
      </c>
      <c r="U89" s="27">
        <f t="shared" ca="1" si="17"/>
        <v>0</v>
      </c>
      <c r="V89" s="76"/>
      <c r="W89" s="197"/>
      <c r="X89" s="197"/>
      <c r="Y89" s="197"/>
      <c r="AA89" s="210"/>
      <c r="AB89" s="210"/>
      <c r="AC89" s="211"/>
      <c r="AD89" s="212"/>
      <c r="AE89" s="213"/>
      <c r="AF89" s="214"/>
      <c r="AG89" s="215"/>
      <c r="AH89" s="216"/>
      <c r="AI89" s="27"/>
      <c r="AJ89" s="28">
        <f t="shared" si="18"/>
        <v>0.19750000000000001</v>
      </c>
      <c r="AL89" s="24">
        <f t="shared" si="28"/>
        <v>4.6459416562208797E-2</v>
      </c>
      <c r="AM89" s="25">
        <f t="shared" ca="1" si="29"/>
        <v>0.72558790499608916</v>
      </c>
      <c r="AO89" s="26">
        <f t="shared" ca="1" si="19"/>
        <v>0</v>
      </c>
      <c r="AP89" s="26"/>
      <c r="AQ89" s="26">
        <f t="shared" ca="1" si="20"/>
        <v>0</v>
      </c>
      <c r="AR89" s="26"/>
      <c r="AS89" s="27">
        <f t="shared" ca="1" si="21"/>
        <v>0</v>
      </c>
      <c r="AT89" s="27">
        <f t="shared" ca="1" si="22"/>
        <v>0</v>
      </c>
      <c r="AU89" s="27">
        <f t="shared" ca="1" si="23"/>
        <v>0</v>
      </c>
      <c r="AV89" s="27"/>
      <c r="AW89" s="27"/>
      <c r="AY89" s="216"/>
      <c r="AZ89" s="216"/>
      <c r="BA89" s="233"/>
      <c r="BC89" s="216"/>
      <c r="BE89" s="69"/>
    </row>
    <row r="90" spans="1:57">
      <c r="A90" s="19">
        <f>[1]!_xludf.edate(A89,1)</f>
        <v>39722</v>
      </c>
      <c r="B90" s="21">
        <f t="shared" si="30"/>
        <v>31</v>
      </c>
      <c r="C90" s="20">
        <f>IF(Control!$F$18="Physical",Model!A91+24,Model!A91)</f>
        <v>39777</v>
      </c>
      <c r="E90" s="22">
        <f>IF($A90&lt;End_Date,IF(Control!$C$20="Flat",Control!$C$21,VLOOKUP(Model!$A90,Euro!$B$29:$D$182,3)),0)</f>
        <v>0</v>
      </c>
      <c r="F90" s="22">
        <f t="shared" si="24"/>
        <v>0</v>
      </c>
      <c r="H90" s="23">
        <f>IF(Control!$C$27="Mid",VLOOKUP($A90,CurveFetch!$D$8:$F$367,3),VLOOKUP($A90,Euro!$B$29:$I$182,8))</f>
        <v>4.2380000000000004</v>
      </c>
      <c r="I90" s="23"/>
      <c r="J90" s="23">
        <f>IF($J$4="Mid",VLOOKUP($A90,Curve_Fetch,VLOOKUP(Control!$AJ$10,Control!$AI$11:$AK$22,3)),VLOOKUP($A90,Euro!$B$29:$M$182,12))</f>
        <v>-0.2</v>
      </c>
      <c r="K90" s="228">
        <f>IF(Control!$F$18="Physical",IF($K$4="Mid",VLOOKUP($A90,Curve_Fetch,VLOOKUP(Control!$AJ$10,Control!$AI$11:$AL$22,4)),VLOOKUP($A90,Euro!$B$29:$Q$182,16)),0)</f>
        <v>2.5000000000000001E-3</v>
      </c>
      <c r="L90" s="23">
        <f t="shared" si="25"/>
        <v>-0.19750000000000001</v>
      </c>
      <c r="M90" s="23"/>
      <c r="N90" s="69">
        <f t="shared" si="16"/>
        <v>4.0405000000000006</v>
      </c>
      <c r="O90" s="69">
        <f>N90+Control!$C$39</f>
        <v>4.0405000000000006</v>
      </c>
      <c r="P90" s="73">
        <f>VLOOKUP($A90,CurveFetch!$D$8:$E$367,2)</f>
        <v>4.6459416562208797E-2</v>
      </c>
      <c r="Q90" s="24">
        <f t="shared" si="26"/>
        <v>4.6459416562208797E-2</v>
      </c>
      <c r="R90" s="72">
        <f t="shared" ca="1" si="27"/>
        <v>2525</v>
      </c>
      <c r="S90" s="25">
        <f>VLOOKUP($A90,Curve_Fetch,VLOOKUP(Control!$AJ$10,Control!$AI$11:$AM$22,5))</f>
        <v>0.22</v>
      </c>
      <c r="T90" s="74">
        <f ca="1">_xll.EURO(N90,O90,P90,Q90,S90,R90,IF(Control!$C$38="Call",1,0),0)</f>
        <v>0.66695519996173469</v>
      </c>
      <c r="U90" s="27">
        <f t="shared" ca="1" si="17"/>
        <v>0</v>
      </c>
      <c r="V90" s="76"/>
      <c r="W90" s="197"/>
      <c r="X90" s="197"/>
      <c r="Y90" s="197"/>
      <c r="AA90" s="210"/>
      <c r="AB90" s="210"/>
      <c r="AC90" s="211"/>
      <c r="AD90" s="212"/>
      <c r="AE90" s="213"/>
      <c r="AF90" s="214"/>
      <c r="AG90" s="215"/>
      <c r="AH90" s="216"/>
      <c r="AI90" s="27"/>
      <c r="AJ90" s="28">
        <f t="shared" si="18"/>
        <v>0.19750000000000001</v>
      </c>
      <c r="AL90" s="24">
        <f t="shared" si="28"/>
        <v>4.66244250680274E-2</v>
      </c>
      <c r="AM90" s="25">
        <f t="shared" ca="1" si="29"/>
        <v>0.72194158267267283</v>
      </c>
      <c r="AO90" s="26">
        <f t="shared" ca="1" si="19"/>
        <v>0</v>
      </c>
      <c r="AP90" s="26"/>
      <c r="AQ90" s="26">
        <f t="shared" ca="1" si="20"/>
        <v>0</v>
      </c>
      <c r="AR90" s="26"/>
      <c r="AS90" s="27">
        <f t="shared" ca="1" si="21"/>
        <v>0</v>
      </c>
      <c r="AT90" s="27">
        <f t="shared" ca="1" si="22"/>
        <v>0</v>
      </c>
      <c r="AU90" s="27">
        <f t="shared" ca="1" si="23"/>
        <v>0</v>
      </c>
      <c r="AV90" s="27"/>
      <c r="AW90" s="27"/>
      <c r="AY90" s="216"/>
      <c r="AZ90" s="216"/>
      <c r="BA90" s="233"/>
      <c r="BC90" s="216"/>
      <c r="BE90" s="69"/>
    </row>
    <row r="91" spans="1:57">
      <c r="A91" s="19">
        <f>[1]!_xludf.edate(A90,1)</f>
        <v>39753</v>
      </c>
      <c r="B91" s="21">
        <f t="shared" si="30"/>
        <v>30</v>
      </c>
      <c r="C91" s="20">
        <f>IF(Control!$F$18="Physical",Model!A92+24,Model!A92)</f>
        <v>39807</v>
      </c>
      <c r="E91" s="22">
        <f>IF($A91&lt;End_Date,IF(Control!$C$20="Flat",Control!$C$21,VLOOKUP(Model!$A91,Euro!$B$29:$D$182,3)),0)</f>
        <v>0</v>
      </c>
      <c r="F91" s="22">
        <f t="shared" si="24"/>
        <v>0</v>
      </c>
      <c r="H91" s="23">
        <f>IF(Control!$C$27="Mid",VLOOKUP($A91,CurveFetch!$D$8:$F$367,3),VLOOKUP($A91,Euro!$B$29:$I$182,8))</f>
        <v>4.4080000000000004</v>
      </c>
      <c r="I91" s="23"/>
      <c r="J91" s="23">
        <f>IF($J$4="Mid",VLOOKUP($A91,Curve_Fetch,VLOOKUP(Control!$AJ$10,Control!$AI$11:$AK$22,3)),VLOOKUP($A91,Euro!$B$29:$M$182,12))</f>
        <v>-0.13</v>
      </c>
      <c r="K91" s="228">
        <f>IF(Control!$F$18="Physical",IF($K$4="Mid",VLOOKUP($A91,Curve_Fetch,VLOOKUP(Control!$AJ$10,Control!$AI$11:$AL$22,4)),VLOOKUP($A91,Euro!$B$29:$Q$182,16)),0)</f>
        <v>5.0000000000000001E-3</v>
      </c>
      <c r="L91" s="23">
        <f t="shared" si="25"/>
        <v>-0.125</v>
      </c>
      <c r="M91" s="23"/>
      <c r="N91" s="69">
        <f t="shared" si="16"/>
        <v>4.2830000000000004</v>
      </c>
      <c r="O91" s="69">
        <f>N91+Control!$C$39</f>
        <v>4.2830000000000004</v>
      </c>
      <c r="P91" s="73">
        <f>VLOOKUP($A91,CurveFetch!$D$8:$E$367,2)</f>
        <v>4.66244250680274E-2</v>
      </c>
      <c r="Q91" s="24">
        <f t="shared" si="26"/>
        <v>4.66244250680274E-2</v>
      </c>
      <c r="R91" s="72">
        <f t="shared" ca="1" si="27"/>
        <v>2556</v>
      </c>
      <c r="S91" s="25">
        <f>VLOOKUP($A91,Curve_Fetch,VLOOKUP(Control!$AJ$10,Control!$AI$11:$AM$22,5))</f>
        <v>0.22</v>
      </c>
      <c r="T91" s="74">
        <f ca="1">_xll.EURO(N91,O91,P91,Q91,S91,R91,IF(Control!$C$38="Call",1,0),0)</f>
        <v>0.70757400900455214</v>
      </c>
      <c r="U91" s="27">
        <f t="shared" ca="1" si="17"/>
        <v>0</v>
      </c>
      <c r="V91" s="76"/>
      <c r="W91" s="197"/>
      <c r="X91" s="197"/>
      <c r="Y91" s="197"/>
      <c r="AA91" s="210"/>
      <c r="AB91" s="210"/>
      <c r="AC91" s="211"/>
      <c r="AD91" s="212"/>
      <c r="AE91" s="213"/>
      <c r="AF91" s="214"/>
      <c r="AG91" s="215"/>
      <c r="AH91" s="216"/>
      <c r="AI91" s="27"/>
      <c r="AJ91" s="28">
        <f t="shared" si="18"/>
        <v>0.125</v>
      </c>
      <c r="AL91" s="24">
        <f t="shared" si="28"/>
        <v>4.6726127043882598E-2</v>
      </c>
      <c r="AM91" s="25">
        <f t="shared" ca="1" si="29"/>
        <v>0.71870281951059234</v>
      </c>
      <c r="AO91" s="26">
        <f t="shared" ca="1" si="19"/>
        <v>0</v>
      </c>
      <c r="AP91" s="26"/>
      <c r="AQ91" s="26">
        <f t="shared" ca="1" si="20"/>
        <v>0</v>
      </c>
      <c r="AR91" s="26"/>
      <c r="AS91" s="27">
        <f t="shared" ca="1" si="21"/>
        <v>0</v>
      </c>
      <c r="AT91" s="27">
        <f t="shared" ca="1" si="22"/>
        <v>0</v>
      </c>
      <c r="AU91" s="27">
        <f t="shared" ca="1" si="23"/>
        <v>0</v>
      </c>
      <c r="AV91" s="27"/>
      <c r="AW91" s="27"/>
      <c r="AY91" s="216"/>
      <c r="AZ91" s="216"/>
      <c r="BA91" s="233"/>
      <c r="BC91" s="216"/>
      <c r="BE91" s="69"/>
    </row>
    <row r="92" spans="1:57">
      <c r="A92" s="19">
        <f>[1]!_xludf.edate(A91,1)</f>
        <v>39783</v>
      </c>
      <c r="B92" s="21">
        <f t="shared" si="30"/>
        <v>31</v>
      </c>
      <c r="C92" s="20">
        <f>IF(Control!$F$18="Physical",Model!A93+24,Model!A93)</f>
        <v>39838</v>
      </c>
      <c r="E92" s="22">
        <f>IF($A92&lt;End_Date,IF(Control!$C$20="Flat",Control!$C$21,VLOOKUP(Model!$A92,Euro!$B$29:$D$182,3)),0)</f>
        <v>0</v>
      </c>
      <c r="F92" s="22">
        <f t="shared" si="24"/>
        <v>0</v>
      </c>
      <c r="H92" s="23">
        <f>IF(Control!$C$27="Mid",VLOOKUP($A92,CurveFetch!$D$8:$F$367,3),VLOOKUP($A92,Euro!$B$29:$I$182,8))</f>
        <v>4.5389999999999997</v>
      </c>
      <c r="I92" s="23"/>
      <c r="J92" s="23">
        <f>IF($J$4="Mid",VLOOKUP($A92,Curve_Fetch,VLOOKUP(Control!$AJ$10,Control!$AI$11:$AK$22,3)),VLOOKUP($A92,Euro!$B$29:$M$182,12))</f>
        <v>-0.13</v>
      </c>
      <c r="K92" s="228">
        <f>IF(Control!$F$18="Physical",IF($K$4="Mid",VLOOKUP($A92,Curve_Fetch,VLOOKUP(Control!$AJ$10,Control!$AI$11:$AL$22,4)),VLOOKUP($A92,Euro!$B$29:$Q$182,16)),0)</f>
        <v>5.0000000000000001E-3</v>
      </c>
      <c r="L92" s="23">
        <f t="shared" si="25"/>
        <v>-0.125</v>
      </c>
      <c r="M92" s="23"/>
      <c r="N92" s="69">
        <f t="shared" si="16"/>
        <v>4.4139999999999997</v>
      </c>
      <c r="O92" s="69">
        <f>N92+Control!$C$39</f>
        <v>4.4139999999999997</v>
      </c>
      <c r="P92" s="73">
        <f>VLOOKUP($A92,CurveFetch!$D$8:$E$367,2)</f>
        <v>4.6726127043882598E-2</v>
      </c>
      <c r="Q92" s="24">
        <f t="shared" si="26"/>
        <v>4.6726127043882598E-2</v>
      </c>
      <c r="R92" s="72">
        <f t="shared" ca="1" si="27"/>
        <v>2586</v>
      </c>
      <c r="S92" s="25">
        <f>VLOOKUP($A92,Curve_Fetch,VLOOKUP(Control!$AJ$10,Control!$AI$11:$AM$22,5))</f>
        <v>0.223</v>
      </c>
      <c r="T92" s="74">
        <f ca="1">_xll.EURO(N92,O92,P92,Q92,S92,R92,IF(Control!$C$38="Call",1,0),0)</f>
        <v>0.73970211332106506</v>
      </c>
      <c r="U92" s="27">
        <f t="shared" ca="1" si="17"/>
        <v>0</v>
      </c>
      <c r="V92" s="76"/>
      <c r="W92" s="197"/>
      <c r="X92" s="197"/>
      <c r="Y92" s="197"/>
      <c r="AA92" s="210"/>
      <c r="AB92" s="210"/>
      <c r="AC92" s="211"/>
      <c r="AD92" s="212"/>
      <c r="AE92" s="213"/>
      <c r="AF92" s="214"/>
      <c r="AG92" s="215"/>
      <c r="AH92" s="216"/>
      <c r="AI92" s="27"/>
      <c r="AJ92" s="28">
        <f t="shared" si="18"/>
        <v>0.125</v>
      </c>
      <c r="AL92" s="24">
        <f t="shared" si="28"/>
        <v>4.6822001170080597E-2</v>
      </c>
      <c r="AM92" s="25">
        <f t="shared" ca="1" si="29"/>
        <v>0.71540574451850714</v>
      </c>
      <c r="AO92" s="26">
        <f t="shared" ca="1" si="19"/>
        <v>0</v>
      </c>
      <c r="AP92" s="26"/>
      <c r="AQ92" s="26">
        <f t="shared" ca="1" si="20"/>
        <v>0</v>
      </c>
      <c r="AR92" s="26"/>
      <c r="AS92" s="27">
        <f t="shared" ca="1" si="21"/>
        <v>0</v>
      </c>
      <c r="AT92" s="27">
        <f t="shared" ca="1" si="22"/>
        <v>0</v>
      </c>
      <c r="AU92" s="27">
        <f t="shared" ca="1" si="23"/>
        <v>0</v>
      </c>
      <c r="AV92" s="27"/>
      <c r="AW92" s="27"/>
      <c r="AY92" s="216"/>
      <c r="AZ92" s="216"/>
      <c r="BA92" s="233"/>
      <c r="BC92" s="216"/>
      <c r="BE92" s="69"/>
    </row>
    <row r="93" spans="1:57">
      <c r="A93" s="19">
        <f>[1]!_xludf.edate(A92,1)</f>
        <v>39814</v>
      </c>
      <c r="B93" s="21">
        <f t="shared" si="30"/>
        <v>31</v>
      </c>
      <c r="C93" s="20">
        <f>IF(Control!$F$18="Physical",Model!A94+24,Model!A94)</f>
        <v>39869</v>
      </c>
      <c r="E93" s="22">
        <f>IF($A93&lt;End_Date,IF(Control!$C$20="Flat",Control!$C$21,VLOOKUP(Model!$A93,Euro!$B$29:$D$182,3)),0)</f>
        <v>0</v>
      </c>
      <c r="F93" s="22">
        <f t="shared" si="24"/>
        <v>0</v>
      </c>
      <c r="H93" s="23">
        <f>IF(Control!$C$27="Mid",VLOOKUP($A93,CurveFetch!$D$8:$F$367,3),VLOOKUP($A93,Euro!$B$29:$I$182,8))</f>
        <v>4.6040000000000001</v>
      </c>
      <c r="I93" s="23"/>
      <c r="J93" s="23">
        <f>IF($J$4="Mid",VLOOKUP($A93,Curve_Fetch,VLOOKUP(Control!$AJ$10,Control!$AI$11:$AK$22,3)),VLOOKUP($A93,Euro!$B$29:$M$182,12))</f>
        <v>-0.13</v>
      </c>
      <c r="K93" s="228">
        <f>IF(Control!$F$18="Physical",IF($K$4="Mid",VLOOKUP($A93,Curve_Fetch,VLOOKUP(Control!$AJ$10,Control!$AI$11:$AL$22,4)),VLOOKUP($A93,Euro!$B$29:$Q$182,16)),0)</f>
        <v>5.0000000000000001E-3</v>
      </c>
      <c r="L93" s="23">
        <f t="shared" si="25"/>
        <v>-0.125</v>
      </c>
      <c r="M93" s="23"/>
      <c r="N93" s="69">
        <f t="shared" si="16"/>
        <v>4.4790000000000001</v>
      </c>
      <c r="O93" s="69">
        <f>N93+Control!$C$39</f>
        <v>4.4790000000000001</v>
      </c>
      <c r="P93" s="73">
        <f>VLOOKUP($A93,CurveFetch!$D$8:$E$367,2)</f>
        <v>4.6822001170080597E-2</v>
      </c>
      <c r="Q93" s="24">
        <f t="shared" si="26"/>
        <v>4.6822001170080597E-2</v>
      </c>
      <c r="R93" s="72">
        <f t="shared" ca="1" si="27"/>
        <v>2617</v>
      </c>
      <c r="S93" s="25">
        <f>VLOOKUP($A93,Curve_Fetch,VLOOKUP(Control!$AJ$10,Control!$AI$11:$AM$22,5))</f>
        <v>0.22500000000000001</v>
      </c>
      <c r="T93" s="74">
        <f ca="1">_xll.EURO(N93,O93,P93,Q93,S93,R93,IF(Control!$C$38="Call",1,0),0)</f>
        <v>0.75798381274172844</v>
      </c>
      <c r="U93" s="27">
        <f t="shared" ca="1" si="17"/>
        <v>0</v>
      </c>
      <c r="V93" s="76"/>
      <c r="W93" s="197"/>
      <c r="X93" s="197"/>
      <c r="Y93" s="197"/>
      <c r="AA93" s="210"/>
      <c r="AB93" s="210"/>
      <c r="AC93" s="211"/>
      <c r="AD93" s="212"/>
      <c r="AE93" s="213"/>
      <c r="AF93" s="214"/>
      <c r="AG93" s="215"/>
      <c r="AH93" s="216"/>
      <c r="AI93" s="27"/>
      <c r="AJ93" s="28">
        <f t="shared" si="18"/>
        <v>0.125</v>
      </c>
      <c r="AL93" s="24">
        <f t="shared" si="28"/>
        <v>4.6917875299352603E-2</v>
      </c>
      <c r="AM93" s="25">
        <f t="shared" ca="1" si="29"/>
        <v>0.71211249344209004</v>
      </c>
      <c r="AO93" s="26">
        <f t="shared" ca="1" si="19"/>
        <v>0</v>
      </c>
      <c r="AP93" s="26"/>
      <c r="AQ93" s="26">
        <f t="shared" ca="1" si="20"/>
        <v>0</v>
      </c>
      <c r="AR93" s="26"/>
      <c r="AS93" s="27">
        <f t="shared" ca="1" si="21"/>
        <v>0</v>
      </c>
      <c r="AT93" s="27">
        <f t="shared" ca="1" si="22"/>
        <v>0</v>
      </c>
      <c r="AU93" s="27">
        <f t="shared" ca="1" si="23"/>
        <v>0</v>
      </c>
      <c r="AV93" s="27"/>
      <c r="AW93" s="27"/>
      <c r="AY93" s="216"/>
      <c r="AZ93" s="216"/>
      <c r="BA93" s="233"/>
      <c r="BC93" s="216"/>
      <c r="BE93" s="69"/>
    </row>
    <row r="94" spans="1:57">
      <c r="A94" s="19">
        <f>[1]!_xludf.edate(A93,1)</f>
        <v>39845</v>
      </c>
      <c r="B94" s="21">
        <f t="shared" si="30"/>
        <v>28</v>
      </c>
      <c r="C94" s="20">
        <f>IF(Control!$F$18="Physical",Model!A95+24,Model!A95)</f>
        <v>39897</v>
      </c>
      <c r="E94" s="22">
        <f>IF($A94&lt;End_Date,IF(Control!$C$20="Flat",Control!$C$21,VLOOKUP(Model!$A94,Euro!$B$29:$D$182,3)),0)</f>
        <v>0</v>
      </c>
      <c r="F94" s="22">
        <f t="shared" si="24"/>
        <v>0</v>
      </c>
      <c r="H94" s="23">
        <f>IF(Control!$C$27="Mid",VLOOKUP($A94,CurveFetch!$D$8:$F$367,3),VLOOKUP($A94,Euro!$B$29:$I$182,8))</f>
        <v>4.516</v>
      </c>
      <c r="I94" s="23"/>
      <c r="J94" s="23">
        <f>IF($J$4="Mid",VLOOKUP($A94,Curve_Fetch,VLOOKUP(Control!$AJ$10,Control!$AI$11:$AK$22,3)),VLOOKUP($A94,Euro!$B$29:$M$182,12))</f>
        <v>-0.13</v>
      </c>
      <c r="K94" s="228">
        <f>IF(Control!$F$18="Physical",IF($K$4="Mid",VLOOKUP($A94,Curve_Fetch,VLOOKUP(Control!$AJ$10,Control!$AI$11:$AL$22,4)),VLOOKUP($A94,Euro!$B$29:$Q$182,16)),0)</f>
        <v>5.0000000000000001E-3</v>
      </c>
      <c r="L94" s="23">
        <f t="shared" si="25"/>
        <v>-0.125</v>
      </c>
      <c r="M94" s="23"/>
      <c r="N94" s="69">
        <f t="shared" si="16"/>
        <v>4.391</v>
      </c>
      <c r="O94" s="69">
        <f>N94+Control!$C$39</f>
        <v>4.391</v>
      </c>
      <c r="P94" s="73">
        <f>VLOOKUP($A94,CurveFetch!$D$8:$E$367,2)</f>
        <v>4.6917875299352603E-2</v>
      </c>
      <c r="Q94" s="24">
        <f t="shared" si="26"/>
        <v>4.6917875299352603E-2</v>
      </c>
      <c r="R94" s="72">
        <f t="shared" ca="1" si="27"/>
        <v>2648</v>
      </c>
      <c r="S94" s="25">
        <f>VLOOKUP($A94,Curve_Fetch,VLOOKUP(Control!$AJ$10,Control!$AI$11:$AM$22,5))</f>
        <v>0.22</v>
      </c>
      <c r="T94" s="74">
        <f ca="1">_xll.EURO(N94,O94,P94,Q94,S94,R94,IF(Control!$C$38="Call",1,0),0)</f>
        <v>0.72781915154283405</v>
      </c>
      <c r="U94" s="27">
        <f t="shared" ca="1" si="17"/>
        <v>0</v>
      </c>
      <c r="V94" s="76"/>
      <c r="W94" s="197"/>
      <c r="X94" s="197"/>
      <c r="Y94" s="197"/>
      <c r="AA94" s="210"/>
      <c r="AB94" s="210"/>
      <c r="AC94" s="211"/>
      <c r="AD94" s="212"/>
      <c r="AE94" s="213"/>
      <c r="AF94" s="214"/>
      <c r="AG94" s="215"/>
      <c r="AH94" s="216"/>
      <c r="AI94" s="27"/>
      <c r="AJ94" s="28">
        <f t="shared" si="18"/>
        <v>0.125</v>
      </c>
      <c r="AL94" s="24">
        <f t="shared" si="28"/>
        <v>4.7004471289723501E-2</v>
      </c>
      <c r="AM94" s="25">
        <f t="shared" ca="1" si="29"/>
        <v>0.7091413035930767</v>
      </c>
      <c r="AO94" s="26">
        <f t="shared" ca="1" si="19"/>
        <v>0</v>
      </c>
      <c r="AP94" s="26"/>
      <c r="AQ94" s="26">
        <f t="shared" ca="1" si="20"/>
        <v>0</v>
      </c>
      <c r="AR94" s="26"/>
      <c r="AS94" s="27">
        <f t="shared" ca="1" si="21"/>
        <v>0</v>
      </c>
      <c r="AT94" s="27">
        <f t="shared" ca="1" si="22"/>
        <v>0</v>
      </c>
      <c r="AU94" s="27">
        <f t="shared" ca="1" si="23"/>
        <v>0</v>
      </c>
      <c r="AV94" s="27"/>
      <c r="AW94" s="27"/>
      <c r="AY94" s="216"/>
      <c r="AZ94" s="216"/>
      <c r="BA94" s="233"/>
      <c r="BC94" s="216"/>
      <c r="BE94" s="69"/>
    </row>
    <row r="95" spans="1:57">
      <c r="A95" s="19">
        <f>[1]!_xludf.edate(A94,1)</f>
        <v>39873</v>
      </c>
      <c r="B95" s="21">
        <f t="shared" si="30"/>
        <v>31</v>
      </c>
      <c r="C95" s="20">
        <f>IF(Control!$F$18="Physical",Model!A96+24,Model!A96)</f>
        <v>39928</v>
      </c>
      <c r="E95" s="22">
        <f>IF($A95&lt;End_Date,IF(Control!$C$20="Flat",Control!$C$21,VLOOKUP(Model!$A95,Euro!$B$29:$D$182,3)),0)</f>
        <v>0</v>
      </c>
      <c r="F95" s="22">
        <f t="shared" si="24"/>
        <v>0</v>
      </c>
      <c r="H95" s="23">
        <f>IF(Control!$C$27="Mid",VLOOKUP($A95,CurveFetch!$D$8:$F$367,3),VLOOKUP($A95,Euro!$B$29:$I$182,8))</f>
        <v>4.3769999999999998</v>
      </c>
      <c r="I95" s="23"/>
      <c r="J95" s="23">
        <f>IF($J$4="Mid",VLOOKUP($A95,Curve_Fetch,VLOOKUP(Control!$AJ$10,Control!$AI$11:$AK$22,3)),VLOOKUP($A95,Euro!$B$29:$M$182,12))</f>
        <v>-0.13</v>
      </c>
      <c r="K95" s="228">
        <f>IF(Control!$F$18="Physical",IF($K$4="Mid",VLOOKUP($A95,Curve_Fetch,VLOOKUP(Control!$AJ$10,Control!$AI$11:$AL$22,4)),VLOOKUP($A95,Euro!$B$29:$Q$182,16)),0)</f>
        <v>5.0000000000000001E-3</v>
      </c>
      <c r="L95" s="23">
        <f t="shared" si="25"/>
        <v>-0.125</v>
      </c>
      <c r="M95" s="23"/>
      <c r="N95" s="69">
        <f t="shared" si="16"/>
        <v>4.2519999999999998</v>
      </c>
      <c r="O95" s="69">
        <f>N95+Control!$C$39</f>
        <v>4.2519999999999998</v>
      </c>
      <c r="P95" s="73">
        <f>VLOOKUP($A95,CurveFetch!$D$8:$E$367,2)</f>
        <v>4.7004471289723501E-2</v>
      </c>
      <c r="Q95" s="24">
        <f t="shared" si="26"/>
        <v>4.7004471289723501E-2</v>
      </c>
      <c r="R95" s="72">
        <f t="shared" ca="1" si="27"/>
        <v>2676</v>
      </c>
      <c r="S95" s="25">
        <f>VLOOKUP($A95,Curve_Fetch,VLOOKUP(Control!$AJ$10,Control!$AI$11:$AM$22,5))</f>
        <v>0.20499999999999999</v>
      </c>
      <c r="T95" s="74">
        <f ca="1">_xll.EURO(N95,O95,P95,Q95,S95,R95,IF(Control!$C$38="Call",1,0),0)</f>
        <v>0.6585678117793623</v>
      </c>
      <c r="U95" s="27">
        <f t="shared" ca="1" si="17"/>
        <v>0</v>
      </c>
      <c r="V95" s="76"/>
      <c r="W95" s="197"/>
      <c r="X95" s="197"/>
      <c r="Y95" s="197"/>
      <c r="AA95" s="210"/>
      <c r="AB95" s="210"/>
      <c r="AC95" s="211"/>
      <c r="AD95" s="212"/>
      <c r="AE95" s="213"/>
      <c r="AF95" s="214"/>
      <c r="AG95" s="215"/>
      <c r="AH95" s="216"/>
      <c r="AI95" s="27"/>
      <c r="AJ95" s="28">
        <f t="shared" si="18"/>
        <v>0.125</v>
      </c>
      <c r="AL95" s="24">
        <f t="shared" si="28"/>
        <v>4.7100345424845098E-2</v>
      </c>
      <c r="AM95" s="25">
        <f t="shared" ca="1" si="29"/>
        <v>0.70585557146348021</v>
      </c>
      <c r="AO95" s="26">
        <f t="shared" ca="1" si="19"/>
        <v>0</v>
      </c>
      <c r="AP95" s="26"/>
      <c r="AQ95" s="26">
        <f t="shared" ca="1" si="20"/>
        <v>0</v>
      </c>
      <c r="AR95" s="26"/>
      <c r="AS95" s="27">
        <f t="shared" ca="1" si="21"/>
        <v>0</v>
      </c>
      <c r="AT95" s="27">
        <f t="shared" ca="1" si="22"/>
        <v>0</v>
      </c>
      <c r="AU95" s="27">
        <f t="shared" ca="1" si="23"/>
        <v>0</v>
      </c>
      <c r="AV95" s="27"/>
      <c r="AW95" s="27"/>
      <c r="AY95" s="216"/>
      <c r="AZ95" s="216"/>
      <c r="BA95" s="233"/>
      <c r="BC95" s="216"/>
      <c r="BE95" s="69"/>
    </row>
    <row r="96" spans="1:57">
      <c r="A96" s="19">
        <f>[1]!_xludf.edate(A95,1)</f>
        <v>39904</v>
      </c>
      <c r="B96" s="21">
        <f t="shared" si="30"/>
        <v>30</v>
      </c>
      <c r="C96" s="20">
        <f>IF(Control!$F$18="Physical",Model!A97+24,Model!A97)</f>
        <v>39958</v>
      </c>
      <c r="E96" s="22">
        <f>IF($A96&lt;End_Date,IF(Control!$C$20="Flat",Control!$C$21,VLOOKUP(Model!$A96,Euro!$B$29:$D$182,3)),0)</f>
        <v>0</v>
      </c>
      <c r="F96" s="22">
        <f t="shared" si="24"/>
        <v>0</v>
      </c>
      <c r="H96" s="23">
        <f>IF(Control!$C$27="Mid",VLOOKUP($A96,CurveFetch!$D$8:$F$367,3),VLOOKUP($A96,Euro!$B$29:$I$182,8))</f>
        <v>4.2229999999999999</v>
      </c>
      <c r="I96" s="23"/>
      <c r="J96" s="23">
        <f>IF($J$4="Mid",VLOOKUP($A96,Curve_Fetch,VLOOKUP(Control!$AJ$10,Control!$AI$11:$AK$22,3)),VLOOKUP($A96,Euro!$B$29:$M$182,12))</f>
        <v>-0.2</v>
      </c>
      <c r="K96" s="228">
        <f>IF(Control!$F$18="Physical",IF($K$4="Mid",VLOOKUP($A96,Curve_Fetch,VLOOKUP(Control!$AJ$10,Control!$AI$11:$AL$22,4)),VLOOKUP($A96,Euro!$B$29:$Q$182,16)),0)</f>
        <v>2.5000000000000001E-3</v>
      </c>
      <c r="L96" s="23">
        <f t="shared" si="25"/>
        <v>-0.19750000000000001</v>
      </c>
      <c r="M96" s="23"/>
      <c r="N96" s="69">
        <f t="shared" si="16"/>
        <v>4.0255000000000001</v>
      </c>
      <c r="O96" s="69">
        <f>N96+Control!$C$39</f>
        <v>4.0255000000000001</v>
      </c>
      <c r="P96" s="73">
        <f>VLOOKUP($A96,CurveFetch!$D$8:$E$367,2)</f>
        <v>4.7100345424845098E-2</v>
      </c>
      <c r="Q96" s="24">
        <f t="shared" si="26"/>
        <v>4.7100345424845098E-2</v>
      </c>
      <c r="R96" s="72">
        <f t="shared" ca="1" si="27"/>
        <v>2707</v>
      </c>
      <c r="S96" s="25">
        <f>VLOOKUP($A96,Curve_Fetch,VLOOKUP(Control!$AJ$10,Control!$AI$11:$AM$22,5))</f>
        <v>0.19500000000000001</v>
      </c>
      <c r="T96" s="74">
        <f ca="1">_xll.EURO(N96,O96,P96,Q96,S96,R96,IF(Control!$C$38="Call",1,0),0)</f>
        <v>0.59434007053403382</v>
      </c>
      <c r="U96" s="27">
        <f t="shared" ca="1" si="17"/>
        <v>0</v>
      </c>
      <c r="V96" s="76"/>
      <c r="W96" s="197"/>
      <c r="X96" s="197"/>
      <c r="Y96" s="197"/>
      <c r="AA96" s="210"/>
      <c r="AB96" s="210"/>
      <c r="AC96" s="211"/>
      <c r="AD96" s="212"/>
      <c r="AE96" s="213"/>
      <c r="AF96" s="214"/>
      <c r="AG96" s="215"/>
      <c r="AH96" s="216"/>
      <c r="AI96" s="27"/>
      <c r="AJ96" s="28">
        <f t="shared" si="18"/>
        <v>0.19750000000000001</v>
      </c>
      <c r="AL96" s="24">
        <f t="shared" si="28"/>
        <v>4.7193126848856397E-2</v>
      </c>
      <c r="AM96" s="25">
        <f t="shared" ca="1" si="29"/>
        <v>0.7026797109128593</v>
      </c>
      <c r="AO96" s="26">
        <f t="shared" ca="1" si="19"/>
        <v>0</v>
      </c>
      <c r="AP96" s="26"/>
      <c r="AQ96" s="26">
        <f t="shared" ca="1" si="20"/>
        <v>0</v>
      </c>
      <c r="AR96" s="26"/>
      <c r="AS96" s="27">
        <f t="shared" ca="1" si="21"/>
        <v>0</v>
      </c>
      <c r="AT96" s="27">
        <f t="shared" ca="1" si="22"/>
        <v>0</v>
      </c>
      <c r="AU96" s="27">
        <f t="shared" ca="1" si="23"/>
        <v>0</v>
      </c>
      <c r="AV96" s="27"/>
      <c r="AW96" s="27"/>
      <c r="AY96" s="216"/>
      <c r="AZ96" s="216"/>
      <c r="BA96" s="233"/>
      <c r="BC96" s="216"/>
      <c r="BE96" s="69"/>
    </row>
    <row r="97" spans="1:57">
      <c r="A97" s="19">
        <f>[1]!_xludf.edate(A96,1)</f>
        <v>39934</v>
      </c>
      <c r="B97" s="21">
        <f t="shared" si="30"/>
        <v>31</v>
      </c>
      <c r="C97" s="20">
        <f>IF(Control!$F$18="Physical",Model!A98+24,Model!A98)</f>
        <v>39989</v>
      </c>
      <c r="E97" s="22">
        <f>IF($A97&lt;End_Date,IF(Control!$C$20="Flat",Control!$C$21,VLOOKUP(Model!$A97,Euro!$B$29:$D$182,3)),0)</f>
        <v>0</v>
      </c>
      <c r="F97" s="22">
        <f t="shared" si="24"/>
        <v>0</v>
      </c>
      <c r="H97" s="23">
        <f>IF(Control!$C$27="Mid",VLOOKUP($A97,CurveFetch!$D$8:$F$367,3),VLOOKUP($A97,Euro!$B$29:$I$182,8))</f>
        <v>4.2279999999999998</v>
      </c>
      <c r="I97" s="23"/>
      <c r="J97" s="23">
        <f>IF($J$4="Mid",VLOOKUP($A97,Curve_Fetch,VLOOKUP(Control!$AJ$10,Control!$AI$11:$AK$22,3)),VLOOKUP($A97,Euro!$B$29:$M$182,12))</f>
        <v>-0.2</v>
      </c>
      <c r="K97" s="228">
        <f>IF(Control!$F$18="Physical",IF($K$4="Mid",VLOOKUP($A97,Curve_Fetch,VLOOKUP(Control!$AJ$10,Control!$AI$11:$AL$22,4)),VLOOKUP($A97,Euro!$B$29:$Q$182,16)),0)</f>
        <v>2.5000000000000001E-3</v>
      </c>
      <c r="L97" s="23">
        <f t="shared" si="25"/>
        <v>-0.19750000000000001</v>
      </c>
      <c r="M97" s="23"/>
      <c r="N97" s="69">
        <f t="shared" si="16"/>
        <v>4.0305</v>
      </c>
      <c r="O97" s="69">
        <f>N97+Control!$C$39</f>
        <v>4.0305</v>
      </c>
      <c r="P97" s="73">
        <f>VLOOKUP($A97,CurveFetch!$D$8:$E$367,2)</f>
        <v>4.7193126848856397E-2</v>
      </c>
      <c r="Q97" s="24">
        <f t="shared" si="26"/>
        <v>4.7193126848856397E-2</v>
      </c>
      <c r="R97" s="72">
        <f t="shared" ca="1" si="27"/>
        <v>2737</v>
      </c>
      <c r="S97" s="25">
        <f>VLOOKUP($A97,Curve_Fetch,VLOOKUP(Control!$AJ$10,Control!$AI$11:$AM$22,5))</f>
        <v>0.19500000000000001</v>
      </c>
      <c r="T97" s="74">
        <f ca="1">_xll.EURO(N97,O97,P97,Q97,S97,R97,IF(Control!$C$38="Call",1,0),0)</f>
        <v>0.59556522150491387</v>
      </c>
      <c r="U97" s="27">
        <f t="shared" ca="1" si="17"/>
        <v>0</v>
      </c>
      <c r="V97" s="76"/>
      <c r="W97" s="197"/>
      <c r="X97" s="197"/>
      <c r="Y97" s="197"/>
      <c r="AA97" s="210"/>
      <c r="AB97" s="210"/>
      <c r="AC97" s="211"/>
      <c r="AD97" s="212"/>
      <c r="AE97" s="213"/>
      <c r="AF97" s="214"/>
      <c r="AG97" s="215"/>
      <c r="AH97" s="216"/>
      <c r="AI97" s="27"/>
      <c r="AJ97" s="28">
        <f t="shared" si="18"/>
        <v>0.19750000000000001</v>
      </c>
      <c r="AL97" s="24">
        <f t="shared" si="28"/>
        <v>4.7289000990025497E-2</v>
      </c>
      <c r="AM97" s="25">
        <f t="shared" ca="1" si="29"/>
        <v>0.69940208134940252</v>
      </c>
      <c r="AO97" s="26">
        <f t="shared" ca="1" si="19"/>
        <v>0</v>
      </c>
      <c r="AP97" s="26"/>
      <c r="AQ97" s="26">
        <f t="shared" ca="1" si="20"/>
        <v>0</v>
      </c>
      <c r="AR97" s="26"/>
      <c r="AS97" s="27">
        <f t="shared" ca="1" si="21"/>
        <v>0</v>
      </c>
      <c r="AT97" s="27">
        <f t="shared" ca="1" si="22"/>
        <v>0</v>
      </c>
      <c r="AU97" s="27">
        <f t="shared" ca="1" si="23"/>
        <v>0</v>
      </c>
      <c r="AV97" s="27"/>
      <c r="AW97" s="27"/>
      <c r="AY97" s="216"/>
      <c r="AZ97" s="216"/>
      <c r="BA97" s="233"/>
      <c r="BC97" s="216"/>
      <c r="BE97" s="69"/>
    </row>
    <row r="98" spans="1:57">
      <c r="A98" s="19">
        <f>[1]!_xludf.edate(A97,1)</f>
        <v>39965</v>
      </c>
      <c r="B98" s="21">
        <f t="shared" si="30"/>
        <v>30</v>
      </c>
      <c r="C98" s="20">
        <f>IF(Control!$F$18="Physical",Model!A99+24,Model!A99)</f>
        <v>40019</v>
      </c>
      <c r="E98" s="22">
        <f>IF($A98&lt;End_Date,IF(Control!$C$20="Flat",Control!$C$21,VLOOKUP(Model!$A98,Euro!$B$29:$D$182,3)),0)</f>
        <v>0</v>
      </c>
      <c r="F98" s="22">
        <f t="shared" si="24"/>
        <v>0</v>
      </c>
      <c r="H98" s="23">
        <f>IF(Control!$C$27="Mid",VLOOKUP($A98,CurveFetch!$D$8:$F$367,3),VLOOKUP($A98,Euro!$B$29:$I$182,8))</f>
        <v>4.266</v>
      </c>
      <c r="I98" s="23"/>
      <c r="J98" s="23">
        <f>IF($J$4="Mid",VLOOKUP($A98,Curve_Fetch,VLOOKUP(Control!$AJ$10,Control!$AI$11:$AK$22,3)),VLOOKUP($A98,Euro!$B$29:$M$182,12))</f>
        <v>-0.2</v>
      </c>
      <c r="K98" s="228">
        <f>IF(Control!$F$18="Physical",IF($K$4="Mid",VLOOKUP($A98,Curve_Fetch,VLOOKUP(Control!$AJ$10,Control!$AI$11:$AL$22,4)),VLOOKUP($A98,Euro!$B$29:$Q$182,16)),0)</f>
        <v>2.5000000000000001E-3</v>
      </c>
      <c r="L98" s="23">
        <f t="shared" si="25"/>
        <v>-0.19750000000000001</v>
      </c>
      <c r="M98" s="23"/>
      <c r="N98" s="69">
        <f t="shared" si="16"/>
        <v>4.0685000000000002</v>
      </c>
      <c r="O98" s="69">
        <f>N98+Control!$C$39</f>
        <v>4.0685000000000002</v>
      </c>
      <c r="P98" s="73">
        <f>VLOOKUP($A98,CurveFetch!$D$8:$E$367,2)</f>
        <v>4.7289000990025497E-2</v>
      </c>
      <c r="Q98" s="24">
        <f t="shared" si="26"/>
        <v>4.7289000990025497E-2</v>
      </c>
      <c r="R98" s="72">
        <f t="shared" ca="1" si="27"/>
        <v>2768</v>
      </c>
      <c r="S98" s="25">
        <f>VLOOKUP($A98,Curve_Fetch,VLOOKUP(Control!$AJ$10,Control!$AI$11:$AM$22,5))</f>
        <v>0.19500000000000001</v>
      </c>
      <c r="T98" s="74">
        <f ca="1">_xll.EURO(N98,O98,P98,Q98,S98,R98,IF(Control!$C$38="Call",1,0),0)</f>
        <v>0.60164101790422087</v>
      </c>
      <c r="U98" s="27">
        <f t="shared" ca="1" si="17"/>
        <v>0</v>
      </c>
      <c r="V98" s="76"/>
      <c r="W98" s="197"/>
      <c r="X98" s="197"/>
      <c r="Y98" s="197"/>
      <c r="AA98" s="210"/>
      <c r="AB98" s="210"/>
      <c r="AC98" s="211"/>
      <c r="AD98" s="212"/>
      <c r="AE98" s="213"/>
      <c r="AF98" s="214"/>
      <c r="AG98" s="215"/>
      <c r="AH98" s="216"/>
      <c r="AI98" s="27"/>
      <c r="AJ98" s="28">
        <f t="shared" si="18"/>
        <v>0.19750000000000001</v>
      </c>
      <c r="AL98" s="24">
        <f t="shared" si="28"/>
        <v>4.7381782419889003E-2</v>
      </c>
      <c r="AM98" s="25">
        <f t="shared" ca="1" si="29"/>
        <v>0.69623422206318475</v>
      </c>
      <c r="AO98" s="26">
        <f t="shared" ca="1" si="19"/>
        <v>0</v>
      </c>
      <c r="AP98" s="26"/>
      <c r="AQ98" s="26">
        <f t="shared" ca="1" si="20"/>
        <v>0</v>
      </c>
      <c r="AR98" s="26"/>
      <c r="AS98" s="27">
        <f t="shared" ca="1" si="21"/>
        <v>0</v>
      </c>
      <c r="AT98" s="27">
        <f t="shared" ca="1" si="22"/>
        <v>0</v>
      </c>
      <c r="AU98" s="27">
        <f t="shared" ca="1" si="23"/>
        <v>0</v>
      </c>
      <c r="AV98" s="27"/>
      <c r="AW98" s="27"/>
      <c r="AY98" s="216"/>
      <c r="AZ98" s="216"/>
      <c r="BA98" s="233"/>
      <c r="BC98" s="216"/>
      <c r="BE98" s="69"/>
    </row>
    <row r="99" spans="1:57">
      <c r="A99" s="19">
        <f>[1]!_xludf.edate(A98,1)</f>
        <v>39995</v>
      </c>
      <c r="B99" s="21">
        <f t="shared" si="30"/>
        <v>31</v>
      </c>
      <c r="C99" s="20">
        <f>IF(Control!$F$18="Physical",Model!A100+24,Model!A100)</f>
        <v>40050</v>
      </c>
      <c r="E99" s="22">
        <f>IF($A99&lt;End_Date,IF(Control!$C$20="Flat",Control!$C$21,VLOOKUP(Model!$A99,Euro!$B$29:$D$182,3)),0)</f>
        <v>0</v>
      </c>
      <c r="F99" s="22">
        <f t="shared" si="24"/>
        <v>0</v>
      </c>
      <c r="H99" s="23">
        <f>IF(Control!$C$27="Mid",VLOOKUP($A99,CurveFetch!$D$8:$F$367,3),VLOOKUP($A99,Euro!$B$29:$I$182,8))</f>
        <v>4.3109999999999999</v>
      </c>
      <c r="I99" s="23"/>
      <c r="J99" s="23">
        <f>IF($J$4="Mid",VLOOKUP($A99,Curve_Fetch,VLOOKUP(Control!$AJ$10,Control!$AI$11:$AK$22,3)),VLOOKUP($A99,Euro!$B$29:$M$182,12))</f>
        <v>-0.2</v>
      </c>
      <c r="K99" s="228">
        <f>IF(Control!$F$18="Physical",IF($K$4="Mid",VLOOKUP($A99,Curve_Fetch,VLOOKUP(Control!$AJ$10,Control!$AI$11:$AL$22,4)),VLOOKUP($A99,Euro!$B$29:$Q$182,16)),0)</f>
        <v>2.5000000000000001E-3</v>
      </c>
      <c r="L99" s="23">
        <f t="shared" si="25"/>
        <v>-0.19750000000000001</v>
      </c>
      <c r="M99" s="23"/>
      <c r="N99" s="69">
        <f t="shared" si="16"/>
        <v>4.1135000000000002</v>
      </c>
      <c r="O99" s="69">
        <f>N99+Control!$C$39</f>
        <v>4.1135000000000002</v>
      </c>
      <c r="P99" s="73">
        <f>VLOOKUP($A99,CurveFetch!$D$8:$E$367,2)</f>
        <v>4.7381782419889003E-2</v>
      </c>
      <c r="Q99" s="24">
        <f t="shared" si="26"/>
        <v>4.7381782419889003E-2</v>
      </c>
      <c r="R99" s="72">
        <f t="shared" ca="1" si="27"/>
        <v>2798</v>
      </c>
      <c r="S99" s="25">
        <f>VLOOKUP($A99,Curve_Fetch,VLOOKUP(Control!$AJ$10,Control!$AI$11:$AM$22,5))</f>
        <v>0.19500000000000001</v>
      </c>
      <c r="T99" s="74">
        <f ca="1">_xll.EURO(N99,O99,P99,Q99,S99,R99,IF(Control!$C$38="Call",1,0),0)</f>
        <v>0.60870088873896466</v>
      </c>
      <c r="U99" s="27">
        <f t="shared" ca="1" si="17"/>
        <v>0</v>
      </c>
      <c r="V99" s="76"/>
      <c r="W99" s="197"/>
      <c r="X99" s="197"/>
      <c r="Y99" s="197"/>
      <c r="AA99" s="210"/>
      <c r="AB99" s="210"/>
      <c r="AC99" s="211"/>
      <c r="AD99" s="212"/>
      <c r="AE99" s="213"/>
      <c r="AF99" s="214"/>
      <c r="AG99" s="215"/>
      <c r="AH99" s="216"/>
      <c r="AI99" s="27"/>
      <c r="AJ99" s="28">
        <f t="shared" si="18"/>
        <v>0.19750000000000001</v>
      </c>
      <c r="AL99" s="24">
        <f t="shared" si="28"/>
        <v>4.7477656567104502E-2</v>
      </c>
      <c r="AM99" s="25">
        <f t="shared" ca="1" si="29"/>
        <v>0.69296502471355026</v>
      </c>
      <c r="AO99" s="26">
        <f t="shared" ca="1" si="19"/>
        <v>0</v>
      </c>
      <c r="AP99" s="26"/>
      <c r="AQ99" s="26">
        <f t="shared" ca="1" si="20"/>
        <v>0</v>
      </c>
      <c r="AR99" s="26"/>
      <c r="AS99" s="27">
        <f t="shared" ca="1" si="21"/>
        <v>0</v>
      </c>
      <c r="AT99" s="27">
        <f t="shared" ca="1" si="22"/>
        <v>0</v>
      </c>
      <c r="AU99" s="27">
        <f t="shared" ca="1" si="23"/>
        <v>0</v>
      </c>
      <c r="AV99" s="27"/>
      <c r="AW99" s="27"/>
      <c r="AY99" s="216"/>
      <c r="AZ99" s="216"/>
      <c r="BA99" s="233"/>
      <c r="BC99" s="216"/>
      <c r="BE99" s="69"/>
    </row>
    <row r="100" spans="1:57">
      <c r="A100" s="19">
        <f>[1]!_xludf.edate(A99,1)</f>
        <v>40026</v>
      </c>
      <c r="B100" s="21">
        <f t="shared" si="30"/>
        <v>31</v>
      </c>
      <c r="C100" s="20">
        <f>IF(Control!$F$18="Physical",Model!A101+24,Model!A101)</f>
        <v>40081</v>
      </c>
      <c r="E100" s="22">
        <f>IF($A100&lt;End_Date,IF(Control!$C$20="Flat",Control!$C$21,VLOOKUP(Model!$A100,Euro!$B$29:$D$182,3)),0)</f>
        <v>0</v>
      </c>
      <c r="F100" s="22">
        <f t="shared" si="24"/>
        <v>0</v>
      </c>
      <c r="H100" s="23">
        <f>IF(Control!$C$27="Mid",VLOOKUP($A100,CurveFetch!$D$8:$F$367,3),VLOOKUP($A100,Euro!$B$29:$I$182,8))</f>
        <v>4.3490000000000002</v>
      </c>
      <c r="I100" s="23"/>
      <c r="J100" s="23">
        <f>IF($J$4="Mid",VLOOKUP($A100,Curve_Fetch,VLOOKUP(Control!$AJ$10,Control!$AI$11:$AK$22,3)),VLOOKUP($A100,Euro!$B$29:$M$182,12))</f>
        <v>-0.2</v>
      </c>
      <c r="K100" s="228">
        <f>IF(Control!$F$18="Physical",IF($K$4="Mid",VLOOKUP($A100,Curve_Fetch,VLOOKUP(Control!$AJ$10,Control!$AI$11:$AL$22,4)),VLOOKUP($A100,Euro!$B$29:$Q$182,16)),0)</f>
        <v>2.5000000000000001E-3</v>
      </c>
      <c r="L100" s="23">
        <f t="shared" si="25"/>
        <v>-0.19750000000000001</v>
      </c>
      <c r="M100" s="23"/>
      <c r="N100" s="69">
        <f t="shared" si="16"/>
        <v>4.1515000000000004</v>
      </c>
      <c r="O100" s="69">
        <f>N100+Control!$C$39</f>
        <v>4.1515000000000004</v>
      </c>
      <c r="P100" s="73">
        <f>VLOOKUP($A100,CurveFetch!$D$8:$E$367,2)</f>
        <v>4.7477656567104502E-2</v>
      </c>
      <c r="Q100" s="24">
        <f t="shared" si="26"/>
        <v>4.7477656567104502E-2</v>
      </c>
      <c r="R100" s="72">
        <f t="shared" ca="1" si="27"/>
        <v>2829</v>
      </c>
      <c r="S100" s="25">
        <f>VLOOKUP($A100,Curve_Fetch,VLOOKUP(Control!$AJ$10,Control!$AI$11:$AM$22,5))</f>
        <v>0.19500000000000001</v>
      </c>
      <c r="T100" s="74">
        <f ca="1">_xll.EURO(N100,O100,P100,Q100,S100,R100,IF(Control!$C$38="Call",1,0),0)</f>
        <v>0.6147000794981734</v>
      </c>
      <c r="U100" s="27">
        <f t="shared" ca="1" si="17"/>
        <v>0</v>
      </c>
      <c r="V100" s="76"/>
      <c r="W100" s="197"/>
      <c r="X100" s="197"/>
      <c r="Y100" s="197"/>
      <c r="AA100" s="210"/>
      <c r="AB100" s="210"/>
      <c r="AC100" s="211"/>
      <c r="AD100" s="212"/>
      <c r="AE100" s="213"/>
      <c r="AF100" s="214"/>
      <c r="AG100" s="215"/>
      <c r="AH100" s="216"/>
      <c r="AI100" s="27"/>
      <c r="AJ100" s="28">
        <f t="shared" si="18"/>
        <v>0.19750000000000001</v>
      </c>
      <c r="AL100" s="24">
        <f t="shared" si="28"/>
        <v>4.7573530717393002E-2</v>
      </c>
      <c r="AM100" s="25">
        <f t="shared" ca="1" si="29"/>
        <v>0.68970023742694231</v>
      </c>
      <c r="AO100" s="26">
        <f t="shared" ca="1" si="19"/>
        <v>0</v>
      </c>
      <c r="AP100" s="26"/>
      <c r="AQ100" s="26">
        <f t="shared" ca="1" si="20"/>
        <v>0</v>
      </c>
      <c r="AR100" s="26"/>
      <c r="AS100" s="27">
        <f t="shared" ca="1" si="21"/>
        <v>0</v>
      </c>
      <c r="AT100" s="27">
        <f t="shared" ca="1" si="22"/>
        <v>0</v>
      </c>
      <c r="AU100" s="27">
        <f t="shared" ca="1" si="23"/>
        <v>0</v>
      </c>
      <c r="AV100" s="27"/>
      <c r="AW100" s="27"/>
      <c r="AY100" s="216"/>
      <c r="AZ100" s="216"/>
      <c r="BA100" s="233"/>
      <c r="BC100" s="216"/>
      <c r="BE100" s="69"/>
    </row>
    <row r="101" spans="1:57">
      <c r="A101" s="19">
        <f>[1]!_xludf.edate(A100,1)</f>
        <v>40057</v>
      </c>
      <c r="B101" s="21">
        <f t="shared" si="30"/>
        <v>30</v>
      </c>
      <c r="C101" s="20">
        <f>IF(Control!$F$18="Physical",Model!A102+24,Model!A102)</f>
        <v>40111</v>
      </c>
      <c r="E101" s="22">
        <f>IF($A101&lt;End_Date,IF(Control!$C$20="Flat",Control!$C$21,VLOOKUP(Model!$A101,Euro!$B$29:$D$182,3)),0)</f>
        <v>0</v>
      </c>
      <c r="F101" s="22">
        <f t="shared" si="24"/>
        <v>0</v>
      </c>
      <c r="H101" s="23">
        <f>IF(Control!$C$27="Mid",VLOOKUP($A101,CurveFetch!$D$8:$F$367,3),VLOOKUP($A101,Euro!$B$29:$I$182,8))</f>
        <v>4.343</v>
      </c>
      <c r="I101" s="23"/>
      <c r="J101" s="23">
        <f>IF($J$4="Mid",VLOOKUP($A101,Curve_Fetch,VLOOKUP(Control!$AJ$10,Control!$AI$11:$AK$22,3)),VLOOKUP($A101,Euro!$B$29:$M$182,12))</f>
        <v>-0.2</v>
      </c>
      <c r="K101" s="228">
        <f>IF(Control!$F$18="Physical",IF($K$4="Mid",VLOOKUP($A101,Curve_Fetch,VLOOKUP(Control!$AJ$10,Control!$AI$11:$AL$22,4)),VLOOKUP($A101,Euro!$B$29:$Q$182,16)),0)</f>
        <v>2.5000000000000001E-3</v>
      </c>
      <c r="L101" s="23">
        <f t="shared" si="25"/>
        <v>-0.19750000000000001</v>
      </c>
      <c r="M101" s="23"/>
      <c r="N101" s="69">
        <f t="shared" si="16"/>
        <v>4.1455000000000002</v>
      </c>
      <c r="O101" s="69">
        <f>N101+Control!$C$39</f>
        <v>4.1455000000000002</v>
      </c>
      <c r="P101" s="73">
        <f>VLOOKUP($A101,CurveFetch!$D$8:$E$367,2)</f>
        <v>4.7573530717393002E-2</v>
      </c>
      <c r="Q101" s="24">
        <f t="shared" si="26"/>
        <v>4.7573530717393002E-2</v>
      </c>
      <c r="R101" s="72">
        <f t="shared" ca="1" si="27"/>
        <v>2860</v>
      </c>
      <c r="S101" s="25">
        <f>VLOOKUP($A101,Curve_Fetch,VLOOKUP(Control!$AJ$10,Control!$AI$11:$AM$22,5))</f>
        <v>0.19500000000000001</v>
      </c>
      <c r="T101" s="74">
        <f ca="1">_xll.EURO(N101,O101,P101,Q101,S101,R101,IF(Control!$C$38="Call",1,0),0)</f>
        <v>0.61414059012183797</v>
      </c>
      <c r="U101" s="27">
        <f t="shared" ca="1" si="17"/>
        <v>0</v>
      </c>
      <c r="V101" s="76"/>
      <c r="W101" s="197"/>
      <c r="X101" s="197"/>
      <c r="Y101" s="197"/>
      <c r="AA101" s="210"/>
      <c r="AB101" s="210"/>
      <c r="AC101" s="211"/>
      <c r="AD101" s="212"/>
      <c r="AE101" s="213"/>
      <c r="AF101" s="214"/>
      <c r="AG101" s="215"/>
      <c r="AH101" s="216"/>
      <c r="AI101" s="27"/>
      <c r="AJ101" s="28">
        <f t="shared" si="18"/>
        <v>0.19750000000000001</v>
      </c>
      <c r="AL101" s="24">
        <f t="shared" si="28"/>
        <v>4.76663121560819E-2</v>
      </c>
      <c r="AM101" s="25">
        <f t="shared" ca="1" si="29"/>
        <v>0.68654504330841959</v>
      </c>
      <c r="AO101" s="26">
        <f t="shared" ca="1" si="19"/>
        <v>0</v>
      </c>
      <c r="AP101" s="26"/>
      <c r="AQ101" s="26">
        <f t="shared" ca="1" si="20"/>
        <v>0</v>
      </c>
      <c r="AR101" s="26"/>
      <c r="AS101" s="27">
        <f t="shared" ca="1" si="21"/>
        <v>0</v>
      </c>
      <c r="AT101" s="27">
        <f t="shared" ca="1" si="22"/>
        <v>0</v>
      </c>
      <c r="AU101" s="27">
        <f t="shared" ca="1" si="23"/>
        <v>0</v>
      </c>
      <c r="AV101" s="27"/>
      <c r="AW101" s="27"/>
      <c r="AY101" s="216"/>
      <c r="AZ101" s="216"/>
      <c r="BA101" s="233"/>
      <c r="BC101" s="216"/>
      <c r="BE101" s="69"/>
    </row>
    <row r="102" spans="1:57">
      <c r="A102" s="19">
        <f>[1]!_xludf.edate(A101,1)</f>
        <v>40087</v>
      </c>
      <c r="B102" s="21">
        <f t="shared" si="30"/>
        <v>31</v>
      </c>
      <c r="C102" s="20">
        <f>IF(Control!$F$18="Physical",Model!A103+24,Model!A103)</f>
        <v>40142</v>
      </c>
      <c r="E102" s="22">
        <f>IF($A102&lt;End_Date,IF(Control!$C$20="Flat",Control!$C$21,VLOOKUP(Model!$A102,Euro!$B$29:$D$182,3)),0)</f>
        <v>0</v>
      </c>
      <c r="F102" s="22">
        <f t="shared" si="24"/>
        <v>0</v>
      </c>
      <c r="H102" s="23">
        <f>IF(Control!$C$27="Mid",VLOOKUP($A102,CurveFetch!$D$8:$F$367,3),VLOOKUP($A102,Euro!$B$29:$I$182,8))</f>
        <v>4.343</v>
      </c>
      <c r="I102" s="23"/>
      <c r="J102" s="23">
        <f>IF($J$4="Mid",VLOOKUP($A102,Curve_Fetch,VLOOKUP(Control!$AJ$10,Control!$AI$11:$AK$22,3)),VLOOKUP($A102,Euro!$B$29:$M$182,12))</f>
        <v>-0.2</v>
      </c>
      <c r="K102" s="228">
        <f>IF(Control!$F$18="Physical",IF($K$4="Mid",VLOOKUP($A102,Curve_Fetch,VLOOKUP(Control!$AJ$10,Control!$AI$11:$AL$22,4)),VLOOKUP($A102,Euro!$B$29:$Q$182,16)),0)</f>
        <v>2.5000000000000001E-3</v>
      </c>
      <c r="L102" s="23">
        <f t="shared" si="25"/>
        <v>-0.19750000000000001</v>
      </c>
      <c r="M102" s="23"/>
      <c r="N102" s="69">
        <f t="shared" si="16"/>
        <v>4.1455000000000002</v>
      </c>
      <c r="O102" s="69">
        <f>N102+Control!$C$39</f>
        <v>4.1455000000000002</v>
      </c>
      <c r="P102" s="73">
        <f>VLOOKUP($A102,CurveFetch!$D$8:$E$367,2)</f>
        <v>4.76663121560819E-2</v>
      </c>
      <c r="Q102" s="24">
        <f t="shared" si="26"/>
        <v>4.76663121560819E-2</v>
      </c>
      <c r="R102" s="72">
        <f t="shared" ca="1" si="27"/>
        <v>2890</v>
      </c>
      <c r="S102" s="25">
        <f>VLOOKUP($A102,Curve_Fetch,VLOOKUP(Control!$AJ$10,Control!$AI$11:$AM$22,5))</f>
        <v>0.19500000000000001</v>
      </c>
      <c r="T102" s="74">
        <f ca="1">_xll.EURO(N102,O102,P102,Q102,S102,R102,IF(Control!$C$38="Call",1,0),0)</f>
        <v>0.61441517138767021</v>
      </c>
      <c r="U102" s="27">
        <f t="shared" ca="1" si="17"/>
        <v>0</v>
      </c>
      <c r="V102" s="76"/>
      <c r="W102" s="197"/>
      <c r="X102" s="197"/>
      <c r="Y102" s="197"/>
      <c r="AA102" s="210"/>
      <c r="AB102" s="210"/>
      <c r="AC102" s="211"/>
      <c r="AD102" s="212"/>
      <c r="AE102" s="213"/>
      <c r="AF102" s="214"/>
      <c r="AG102" s="215"/>
      <c r="AH102" s="216"/>
      <c r="AI102" s="27"/>
      <c r="AJ102" s="28">
        <f t="shared" si="18"/>
        <v>0.19750000000000001</v>
      </c>
      <c r="AL102" s="24">
        <f t="shared" si="28"/>
        <v>4.7762186312416202E-2</v>
      </c>
      <c r="AM102" s="25">
        <f t="shared" ca="1" si="29"/>
        <v>0.6832891765851421</v>
      </c>
      <c r="AO102" s="26">
        <f t="shared" ca="1" si="19"/>
        <v>0</v>
      </c>
      <c r="AP102" s="26"/>
      <c r="AQ102" s="26">
        <f t="shared" ca="1" si="20"/>
        <v>0</v>
      </c>
      <c r="AR102" s="26"/>
      <c r="AS102" s="27">
        <f t="shared" ca="1" si="21"/>
        <v>0</v>
      </c>
      <c r="AT102" s="27">
        <f t="shared" ca="1" si="22"/>
        <v>0</v>
      </c>
      <c r="AU102" s="27">
        <f t="shared" ca="1" si="23"/>
        <v>0</v>
      </c>
      <c r="AV102" s="27"/>
      <c r="AW102" s="27"/>
      <c r="AY102" s="216"/>
      <c r="AZ102" s="216"/>
      <c r="BA102" s="233"/>
      <c r="BC102" s="216"/>
      <c r="BE102" s="69"/>
    </row>
    <row r="103" spans="1:57">
      <c r="A103" s="19">
        <f>[1]!_xludf.edate(A102,1)</f>
        <v>40118</v>
      </c>
      <c r="B103" s="21">
        <f t="shared" si="30"/>
        <v>30</v>
      </c>
      <c r="C103" s="20">
        <f>IF(Control!$F$18="Physical",Model!A104+24,Model!A104)</f>
        <v>40172</v>
      </c>
      <c r="E103" s="22">
        <f>IF($A103&lt;End_Date,IF(Control!$C$20="Flat",Control!$C$21,VLOOKUP(Model!$A103,Euro!$B$29:$D$182,3)),0)</f>
        <v>0</v>
      </c>
      <c r="F103" s="22">
        <f t="shared" si="24"/>
        <v>0</v>
      </c>
      <c r="H103" s="23">
        <f>IF(Control!$C$27="Mid",VLOOKUP($A103,CurveFetch!$D$8:$F$367,3),VLOOKUP($A103,Euro!$B$29:$I$182,8))</f>
        <v>4.5129999999999999</v>
      </c>
      <c r="I103" s="23"/>
      <c r="J103" s="23">
        <f>IF($J$4="Mid",VLOOKUP($A103,Curve_Fetch,VLOOKUP(Control!$AJ$10,Control!$AI$11:$AK$22,3)),VLOOKUP($A103,Euro!$B$29:$M$182,12))</f>
        <v>-0.13</v>
      </c>
      <c r="K103" s="228">
        <f>IF(Control!$F$18="Physical",IF($K$4="Mid",VLOOKUP($A103,Curve_Fetch,VLOOKUP(Control!$AJ$10,Control!$AI$11:$AL$22,4)),VLOOKUP($A103,Euro!$B$29:$Q$182,16)),0)</f>
        <v>5.0000000000000001E-3</v>
      </c>
      <c r="L103" s="23">
        <f t="shared" si="25"/>
        <v>-0.125</v>
      </c>
      <c r="M103" s="23"/>
      <c r="N103" s="69">
        <f t="shared" si="16"/>
        <v>4.3879999999999999</v>
      </c>
      <c r="O103" s="69">
        <f>N103+Control!$C$39</f>
        <v>4.3879999999999999</v>
      </c>
      <c r="P103" s="73">
        <f>VLOOKUP($A103,CurveFetch!$D$8:$E$367,2)</f>
        <v>4.7762186312416202E-2</v>
      </c>
      <c r="Q103" s="24">
        <f t="shared" si="26"/>
        <v>4.7762186312416202E-2</v>
      </c>
      <c r="R103" s="72">
        <f t="shared" ca="1" si="27"/>
        <v>2921</v>
      </c>
      <c r="S103" s="25">
        <f>VLOOKUP($A103,Curve_Fetch,VLOOKUP(Control!$AJ$10,Control!$AI$11:$AM$22,5))</f>
        <v>0.19500000000000001</v>
      </c>
      <c r="T103" s="74">
        <f ca="1">_xll.EURO(N103,O103,P103,Q103,S103,R103,IF(Control!$C$38="Call",1,0),0)</f>
        <v>0.65060995591220183</v>
      </c>
      <c r="U103" s="27">
        <f t="shared" ca="1" si="17"/>
        <v>0</v>
      </c>
      <c r="V103" s="76"/>
      <c r="W103" s="197"/>
      <c r="X103" s="197"/>
      <c r="Y103" s="197"/>
      <c r="AA103" s="210"/>
      <c r="AB103" s="210"/>
      <c r="AC103" s="211"/>
      <c r="AD103" s="212"/>
      <c r="AE103" s="213"/>
      <c r="AF103" s="214"/>
      <c r="AG103" s="215"/>
      <c r="AH103" s="216"/>
      <c r="AI103" s="27"/>
      <c r="AJ103" s="28">
        <f t="shared" si="18"/>
        <v>0.125</v>
      </c>
      <c r="AL103" s="24">
        <f t="shared" si="28"/>
        <v>4.7854967756956003E-2</v>
      </c>
      <c r="AM103" s="25">
        <f t="shared" ca="1" si="29"/>
        <v>0.68014276966481302</v>
      </c>
      <c r="AO103" s="26">
        <f t="shared" ca="1" si="19"/>
        <v>0</v>
      </c>
      <c r="AP103" s="26"/>
      <c r="AQ103" s="26">
        <f t="shared" ca="1" si="20"/>
        <v>0</v>
      </c>
      <c r="AR103" s="26"/>
      <c r="AS103" s="27">
        <f t="shared" ca="1" si="21"/>
        <v>0</v>
      </c>
      <c r="AT103" s="27">
        <f t="shared" ca="1" si="22"/>
        <v>0</v>
      </c>
      <c r="AU103" s="27">
        <f t="shared" ca="1" si="23"/>
        <v>0</v>
      </c>
      <c r="AV103" s="27"/>
      <c r="AW103" s="27"/>
      <c r="AY103" s="216"/>
      <c r="AZ103" s="216"/>
      <c r="BA103" s="233"/>
      <c r="BC103" s="216"/>
      <c r="BE103" s="69"/>
    </row>
    <row r="104" spans="1:57">
      <c r="A104" s="19">
        <f>[1]!_xludf.edate(A103,1)</f>
        <v>40148</v>
      </c>
      <c r="B104" s="21">
        <f t="shared" si="30"/>
        <v>31</v>
      </c>
      <c r="C104" s="20">
        <f>IF(Control!$F$18="Physical",Model!A105+24,Model!A105)</f>
        <v>40203</v>
      </c>
      <c r="E104" s="22">
        <f>IF($A104&lt;End_Date,IF(Control!$C$20="Flat",Control!$C$21,VLOOKUP(Model!$A104,Euro!$B$29:$D$182,3)),0)</f>
        <v>0</v>
      </c>
      <c r="F104" s="22">
        <f t="shared" si="24"/>
        <v>0</v>
      </c>
      <c r="H104" s="23">
        <f>IF(Control!$C$27="Mid",VLOOKUP($A104,CurveFetch!$D$8:$F$367,3),VLOOKUP($A104,Euro!$B$29:$I$182,8))</f>
        <v>4.6440000000000001</v>
      </c>
      <c r="I104" s="23"/>
      <c r="J104" s="23">
        <f>IF($J$4="Mid",VLOOKUP($A104,Curve_Fetch,VLOOKUP(Control!$AJ$10,Control!$AI$11:$AK$22,3)),VLOOKUP($A104,Euro!$B$29:$M$182,12))</f>
        <v>-0.13</v>
      </c>
      <c r="K104" s="228">
        <f>IF(Control!$F$18="Physical",IF($K$4="Mid",VLOOKUP($A104,Curve_Fetch,VLOOKUP(Control!$AJ$10,Control!$AI$11:$AL$22,4)),VLOOKUP($A104,Euro!$B$29:$Q$182,16)),0)</f>
        <v>5.0000000000000001E-3</v>
      </c>
      <c r="L104" s="23">
        <f t="shared" si="25"/>
        <v>-0.125</v>
      </c>
      <c r="M104" s="23"/>
      <c r="N104" s="69">
        <f t="shared" si="16"/>
        <v>4.5190000000000001</v>
      </c>
      <c r="O104" s="69">
        <f>N104+Control!$C$39</f>
        <v>4.5190000000000001</v>
      </c>
      <c r="P104" s="73">
        <f>VLOOKUP($A104,CurveFetch!$D$8:$E$367,2)</f>
        <v>4.7854967756956003E-2</v>
      </c>
      <c r="Q104" s="24">
        <f t="shared" si="26"/>
        <v>4.7854967756956003E-2</v>
      </c>
      <c r="R104" s="72">
        <f t="shared" ca="1" si="27"/>
        <v>2951</v>
      </c>
      <c r="S104" s="25">
        <f>VLOOKUP($A104,Curve_Fetch,VLOOKUP(Control!$AJ$10,Control!$AI$11:$AM$22,5))</f>
        <v>0.19500000000000001</v>
      </c>
      <c r="T104" s="74">
        <f ca="1">_xll.EURO(N104,O104,P104,Q104,S104,R104,IF(Control!$C$38="Call",1,0),0)</f>
        <v>0.67023951771343437</v>
      </c>
      <c r="U104" s="27">
        <f t="shared" ca="1" si="17"/>
        <v>0</v>
      </c>
      <c r="V104" s="76"/>
      <c r="W104" s="197"/>
      <c r="X104" s="197"/>
      <c r="Y104" s="197"/>
      <c r="AA104" s="210"/>
      <c r="AB104" s="210"/>
      <c r="AC104" s="211"/>
      <c r="AD104" s="212"/>
      <c r="AE104" s="213"/>
      <c r="AF104" s="214"/>
      <c r="AG104" s="215"/>
      <c r="AH104" s="216"/>
      <c r="AI104" s="27"/>
      <c r="AJ104" s="28">
        <f t="shared" si="18"/>
        <v>0.125</v>
      </c>
      <c r="AL104" s="24">
        <f t="shared" si="28"/>
        <v>4.7950841919335699E-2</v>
      </c>
      <c r="AM104" s="25">
        <f t="shared" ca="1" si="29"/>
        <v>0.67689614139888521</v>
      </c>
      <c r="AO104" s="26">
        <f t="shared" ca="1" si="19"/>
        <v>0</v>
      </c>
      <c r="AP104" s="26"/>
      <c r="AQ104" s="26">
        <f t="shared" ca="1" si="20"/>
        <v>0</v>
      </c>
      <c r="AR104" s="26"/>
      <c r="AS104" s="27">
        <f t="shared" ca="1" si="21"/>
        <v>0</v>
      </c>
      <c r="AT104" s="27">
        <f t="shared" ca="1" si="22"/>
        <v>0</v>
      </c>
      <c r="AU104" s="27">
        <f t="shared" ca="1" si="23"/>
        <v>0</v>
      </c>
      <c r="AV104" s="27"/>
      <c r="AW104" s="27"/>
      <c r="AY104" s="216"/>
      <c r="AZ104" s="216"/>
      <c r="BA104" s="233"/>
      <c r="BC104" s="216"/>
      <c r="BE104" s="69"/>
    </row>
    <row r="105" spans="1:57">
      <c r="A105" s="19">
        <f>[1]!_xludf.edate(A104,1)</f>
        <v>40179</v>
      </c>
      <c r="B105" s="21">
        <f t="shared" si="30"/>
        <v>31</v>
      </c>
      <c r="C105" s="20">
        <f>IF(Control!$F$18="Physical",Model!A106+24,Model!A106)</f>
        <v>40234</v>
      </c>
      <c r="E105" s="22">
        <f>IF($A105&lt;End_Date,IF(Control!$C$20="Flat",Control!$C$21,VLOOKUP(Model!$A105,Euro!$B$29:$D$182,3)),0)</f>
        <v>0</v>
      </c>
      <c r="F105" s="22">
        <f t="shared" si="24"/>
        <v>0</v>
      </c>
      <c r="H105" s="23">
        <f>IF(Control!$C$27="Mid",VLOOKUP($A105,CurveFetch!$D$8:$F$367,3),VLOOKUP($A105,Euro!$B$29:$I$182,8))</f>
        <v>4.7115</v>
      </c>
      <c r="I105" s="23"/>
      <c r="J105" s="23">
        <f>IF($J$4="Mid",VLOOKUP($A105,Curve_Fetch,VLOOKUP(Control!$AJ$10,Control!$AI$11:$AK$22,3)),VLOOKUP($A105,Euro!$B$29:$M$182,12))</f>
        <v>-0.13</v>
      </c>
      <c r="K105" s="228">
        <f>IF(Control!$F$18="Physical",IF($K$4="Mid",VLOOKUP($A105,Curve_Fetch,VLOOKUP(Control!$AJ$10,Control!$AI$11:$AL$22,4)),VLOOKUP($A105,Euro!$B$29:$Q$182,16)),0)</f>
        <v>5.0000000000000001E-3</v>
      </c>
      <c r="L105" s="23">
        <f t="shared" si="25"/>
        <v>-0.125</v>
      </c>
      <c r="M105" s="23"/>
      <c r="N105" s="69">
        <f t="shared" si="16"/>
        <v>4.5865</v>
      </c>
      <c r="O105" s="69">
        <f>N105+Control!$C$39</f>
        <v>4.5865</v>
      </c>
      <c r="P105" s="73">
        <f>VLOOKUP($A105,CurveFetch!$D$8:$E$367,2)</f>
        <v>4.7950841919335699E-2</v>
      </c>
      <c r="Q105" s="24">
        <f t="shared" si="26"/>
        <v>4.7950841919335699E-2</v>
      </c>
      <c r="R105" s="72">
        <f t="shared" ca="1" si="27"/>
        <v>2982</v>
      </c>
      <c r="S105" s="25">
        <f>VLOOKUP($A105,Curve_Fetch,VLOOKUP(Control!$AJ$10,Control!$AI$11:$AM$22,5))</f>
        <v>0.19500000000000001</v>
      </c>
      <c r="T105" s="74">
        <f ca="1">_xll.EURO(N105,O105,P105,Q105,S105,R105,IF(Control!$C$38="Call",1,0),0)</f>
        <v>0.68041929996129658</v>
      </c>
      <c r="U105" s="27">
        <f t="shared" ca="1" si="17"/>
        <v>0</v>
      </c>
      <c r="V105" s="76"/>
      <c r="W105" s="197"/>
      <c r="X105" s="197"/>
      <c r="Y105" s="197"/>
      <c r="AA105" s="210"/>
      <c r="AB105" s="210"/>
      <c r="AC105" s="211"/>
      <c r="AD105" s="212"/>
      <c r="AE105" s="213"/>
      <c r="AF105" s="214"/>
      <c r="AG105" s="215"/>
      <c r="AH105" s="216"/>
      <c r="AI105" s="27"/>
      <c r="AJ105" s="28">
        <f t="shared" si="18"/>
        <v>0.125</v>
      </c>
      <c r="AL105" s="24">
        <f t="shared" si="28"/>
        <v>4.8046716084787701E-2</v>
      </c>
      <c r="AM105" s="25">
        <f t="shared" ca="1" si="29"/>
        <v>0.67365432839387485</v>
      </c>
      <c r="AO105" s="26">
        <f t="shared" ca="1" si="19"/>
        <v>0</v>
      </c>
      <c r="AP105" s="26"/>
      <c r="AQ105" s="26">
        <f t="shared" ca="1" si="20"/>
        <v>0</v>
      </c>
      <c r="AR105" s="26"/>
      <c r="AS105" s="27">
        <f t="shared" ca="1" si="21"/>
        <v>0</v>
      </c>
      <c r="AT105" s="27">
        <f t="shared" ca="1" si="22"/>
        <v>0</v>
      </c>
      <c r="AU105" s="27">
        <f t="shared" ca="1" si="23"/>
        <v>0</v>
      </c>
      <c r="AV105" s="27"/>
      <c r="AW105" s="27"/>
      <c r="AY105" s="216"/>
      <c r="AZ105" s="216"/>
      <c r="BA105" s="233"/>
      <c r="BC105" s="216"/>
      <c r="BE105" s="69"/>
    </row>
    <row r="106" spans="1:57">
      <c r="A106" s="19">
        <f>[1]!_xludf.edate(A105,1)</f>
        <v>40210</v>
      </c>
      <c r="B106" s="21">
        <f t="shared" si="30"/>
        <v>28</v>
      </c>
      <c r="C106" s="20">
        <f>IF(Control!$F$18="Physical",Model!A107+24,Model!A107)</f>
        <v>40262</v>
      </c>
      <c r="E106" s="22">
        <f>IF($A106&lt;End_Date,IF(Control!$C$20="Flat",Control!$C$21,VLOOKUP(Model!$A106,Euro!$B$29:$D$182,3)),0)</f>
        <v>0</v>
      </c>
      <c r="F106" s="22">
        <f t="shared" si="24"/>
        <v>0</v>
      </c>
      <c r="H106" s="23">
        <f>IF(Control!$C$27="Mid",VLOOKUP($A106,CurveFetch!$D$8:$F$367,3),VLOOKUP($A106,Euro!$B$29:$I$182,8))</f>
        <v>4.6234999999999999</v>
      </c>
      <c r="I106" s="23"/>
      <c r="J106" s="23">
        <f>IF($J$4="Mid",VLOOKUP($A106,Curve_Fetch,VLOOKUP(Control!$AJ$10,Control!$AI$11:$AK$22,3)),VLOOKUP($A106,Euro!$B$29:$M$182,12))</f>
        <v>-0.13</v>
      </c>
      <c r="K106" s="228">
        <f>IF(Control!$F$18="Physical",IF($K$4="Mid",VLOOKUP($A106,Curve_Fetch,VLOOKUP(Control!$AJ$10,Control!$AI$11:$AL$22,4)),VLOOKUP($A106,Euro!$B$29:$Q$182,16)),0)</f>
        <v>5.0000000000000001E-3</v>
      </c>
      <c r="L106" s="23">
        <f t="shared" si="25"/>
        <v>-0.125</v>
      </c>
      <c r="M106" s="23"/>
      <c r="N106" s="69">
        <f t="shared" si="16"/>
        <v>4.4984999999999999</v>
      </c>
      <c r="O106" s="69">
        <f>N106+Control!$C$39</f>
        <v>4.4984999999999999</v>
      </c>
      <c r="P106" s="73">
        <f>VLOOKUP($A106,CurveFetch!$D$8:$E$367,2)</f>
        <v>4.8046716084787701E-2</v>
      </c>
      <c r="Q106" s="24">
        <f t="shared" si="26"/>
        <v>4.8046716084787701E-2</v>
      </c>
      <c r="R106" s="72">
        <f t="shared" ca="1" si="27"/>
        <v>3013</v>
      </c>
      <c r="S106" s="25">
        <f>VLOOKUP($A106,Curve_Fetch,VLOOKUP(Control!$AJ$10,Control!$AI$11:$AM$22,5))</f>
        <v>0.19</v>
      </c>
      <c r="T106" s="74">
        <f ca="1">_xll.EURO(N106,O106,P106,Q106,S106,R106,IF(Control!$C$38="Call",1,0),0)</f>
        <v>0.65079376171341874</v>
      </c>
      <c r="U106" s="27">
        <f t="shared" ca="1" si="17"/>
        <v>0</v>
      </c>
      <c r="V106" s="76"/>
      <c r="W106" s="197"/>
      <c r="X106" s="197"/>
      <c r="Y106" s="197"/>
      <c r="AA106" s="210"/>
      <c r="AB106" s="210"/>
      <c r="AC106" s="211"/>
      <c r="AD106" s="212"/>
      <c r="AE106" s="213"/>
      <c r="AF106" s="214"/>
      <c r="AG106" s="215"/>
      <c r="AH106" s="216"/>
      <c r="AI106" s="27"/>
      <c r="AJ106" s="28">
        <f t="shared" si="18"/>
        <v>0.125</v>
      </c>
      <c r="AL106" s="24">
        <f t="shared" si="28"/>
        <v>4.8133312107836897E-2</v>
      </c>
      <c r="AM106" s="25">
        <f t="shared" ca="1" si="29"/>
        <v>0.67073044481102517</v>
      </c>
      <c r="AO106" s="26">
        <f t="shared" ca="1" si="19"/>
        <v>0</v>
      </c>
      <c r="AP106" s="26"/>
      <c r="AQ106" s="26">
        <f t="shared" ca="1" si="20"/>
        <v>0</v>
      </c>
      <c r="AR106" s="26"/>
      <c r="AS106" s="27">
        <f t="shared" ca="1" si="21"/>
        <v>0</v>
      </c>
      <c r="AT106" s="27">
        <f t="shared" ca="1" si="22"/>
        <v>0</v>
      </c>
      <c r="AU106" s="27">
        <f t="shared" ca="1" si="23"/>
        <v>0</v>
      </c>
      <c r="AV106" s="27"/>
      <c r="AW106" s="27"/>
      <c r="AY106" s="216"/>
      <c r="AZ106" s="216"/>
      <c r="BA106" s="233"/>
      <c r="BC106" s="216"/>
      <c r="BE106" s="69"/>
    </row>
    <row r="107" spans="1:57">
      <c r="A107" s="19">
        <f>[1]!_xludf.edate(A106,1)</f>
        <v>40238</v>
      </c>
      <c r="B107" s="21">
        <f t="shared" si="30"/>
        <v>31</v>
      </c>
      <c r="C107" s="20">
        <f>IF(Control!$F$18="Physical",Model!A108+24,Model!A108)</f>
        <v>40293</v>
      </c>
      <c r="E107" s="22">
        <f>IF($A107&lt;End_Date,IF(Control!$C$20="Flat",Control!$C$21,VLOOKUP(Model!$A107,Euro!$B$29:$D$182,3)),0)</f>
        <v>0</v>
      </c>
      <c r="F107" s="22">
        <f t="shared" si="24"/>
        <v>0</v>
      </c>
      <c r="H107" s="23">
        <f>IF(Control!$C$27="Mid",VLOOKUP($A107,CurveFetch!$D$8:$F$367,3),VLOOKUP($A107,Euro!$B$29:$I$182,8))</f>
        <v>4.4844999999999997</v>
      </c>
      <c r="I107" s="23"/>
      <c r="J107" s="23">
        <f>IF($J$4="Mid",VLOOKUP($A107,Curve_Fetch,VLOOKUP(Control!$AJ$10,Control!$AI$11:$AK$22,3)),VLOOKUP($A107,Euro!$B$29:$M$182,12))</f>
        <v>-0.13</v>
      </c>
      <c r="K107" s="228">
        <f>IF(Control!$F$18="Physical",IF($K$4="Mid",VLOOKUP($A107,Curve_Fetch,VLOOKUP(Control!$AJ$10,Control!$AI$11:$AL$22,4)),VLOOKUP($A107,Euro!$B$29:$Q$182,16)),0)</f>
        <v>5.0000000000000001E-3</v>
      </c>
      <c r="L107" s="23">
        <f t="shared" si="25"/>
        <v>-0.125</v>
      </c>
      <c r="M107" s="23"/>
      <c r="N107" s="69">
        <f t="shared" si="16"/>
        <v>4.3594999999999997</v>
      </c>
      <c r="O107" s="69">
        <f>N107+Control!$C$39</f>
        <v>4.3594999999999997</v>
      </c>
      <c r="P107" s="73">
        <f>VLOOKUP($A107,CurveFetch!$D$8:$E$367,2)</f>
        <v>4.8133312107836897E-2</v>
      </c>
      <c r="Q107" s="24">
        <f t="shared" si="26"/>
        <v>4.8133312107836897E-2</v>
      </c>
      <c r="R107" s="72">
        <f t="shared" ca="1" si="27"/>
        <v>3041</v>
      </c>
      <c r="S107" s="25">
        <f>VLOOKUP($A107,Curve_Fetch,VLOOKUP(Control!$AJ$10,Control!$AI$11:$AM$22,5))</f>
        <v>0.188</v>
      </c>
      <c r="T107" s="74">
        <f ca="1">_xll.EURO(N107,O107,P107,Q107,S107,R107,IF(Control!$C$38="Call",1,0),0)</f>
        <v>0.62427463651004422</v>
      </c>
      <c r="U107" s="27">
        <f t="shared" ca="1" si="17"/>
        <v>0</v>
      </c>
      <c r="V107" s="76"/>
      <c r="W107" s="197"/>
      <c r="X107" s="197"/>
      <c r="Y107" s="197"/>
      <c r="AA107" s="210"/>
      <c r="AB107" s="210"/>
      <c r="AC107" s="211"/>
      <c r="AD107" s="212"/>
      <c r="AE107" s="213"/>
      <c r="AF107" s="214"/>
      <c r="AG107" s="215"/>
      <c r="AH107" s="216"/>
      <c r="AI107" s="27"/>
      <c r="AJ107" s="28">
        <f t="shared" si="18"/>
        <v>0.125</v>
      </c>
      <c r="AL107" s="24">
        <f t="shared" si="28"/>
        <v>4.8229186279135298E-2</v>
      </c>
      <c r="AM107" s="25">
        <f t="shared" ca="1" si="29"/>
        <v>0.66749801752062154</v>
      </c>
      <c r="AO107" s="26">
        <f t="shared" ca="1" si="19"/>
        <v>0</v>
      </c>
      <c r="AP107" s="26"/>
      <c r="AQ107" s="26">
        <f t="shared" ca="1" si="20"/>
        <v>0</v>
      </c>
      <c r="AR107" s="26"/>
      <c r="AS107" s="27">
        <f t="shared" ca="1" si="21"/>
        <v>0</v>
      </c>
      <c r="AT107" s="27">
        <f t="shared" ca="1" si="22"/>
        <v>0</v>
      </c>
      <c r="AU107" s="27">
        <f t="shared" ca="1" si="23"/>
        <v>0</v>
      </c>
      <c r="AV107" s="27"/>
      <c r="AW107" s="27"/>
      <c r="AY107" s="216"/>
      <c r="AZ107" s="216"/>
      <c r="BA107" s="233"/>
      <c r="BC107" s="216"/>
      <c r="BE107" s="69"/>
    </row>
    <row r="108" spans="1:57">
      <c r="A108" s="19">
        <f>[1]!_xludf.edate(A107,1)</f>
        <v>40269</v>
      </c>
      <c r="B108" s="21">
        <f t="shared" si="30"/>
        <v>30</v>
      </c>
      <c r="C108" s="20">
        <f>IF(Control!$F$18="Physical",Model!A109+24,Model!A109)</f>
        <v>40323</v>
      </c>
      <c r="E108" s="22">
        <f>IF($A108&lt;End_Date,IF(Control!$C$20="Flat",Control!$C$21,VLOOKUP(Model!$A108,Euro!$B$29:$D$182,3)),0)</f>
        <v>0</v>
      </c>
      <c r="F108" s="22">
        <f t="shared" si="24"/>
        <v>0</v>
      </c>
      <c r="H108" s="23">
        <f>IF(Control!$C$27="Mid",VLOOKUP($A108,CurveFetch!$D$8:$F$367,3),VLOOKUP($A108,Euro!$B$29:$I$182,8))</f>
        <v>4.3304999999999998</v>
      </c>
      <c r="I108" s="23"/>
      <c r="J108" s="23">
        <f>IF($J$4="Mid",VLOOKUP($A108,Curve_Fetch,VLOOKUP(Control!$AJ$10,Control!$AI$11:$AK$22,3)),VLOOKUP($A108,Euro!$B$29:$M$182,12))</f>
        <v>-0.2</v>
      </c>
      <c r="K108" s="228">
        <f>IF(Control!$F$18="Physical",IF($K$4="Mid",VLOOKUP($A108,Curve_Fetch,VLOOKUP(Control!$AJ$10,Control!$AI$11:$AL$22,4)),VLOOKUP($A108,Euro!$B$29:$Q$182,16)),0)</f>
        <v>2.5000000000000001E-3</v>
      </c>
      <c r="L108" s="23">
        <f t="shared" si="25"/>
        <v>-0.19750000000000001</v>
      </c>
      <c r="M108" s="23"/>
      <c r="N108" s="69">
        <f t="shared" si="16"/>
        <v>4.133</v>
      </c>
      <c r="O108" s="69">
        <f>N108+Control!$C$39</f>
        <v>4.133</v>
      </c>
      <c r="P108" s="73">
        <f>VLOOKUP($A108,CurveFetch!$D$8:$E$367,2)</f>
        <v>4.8229186279135298E-2</v>
      </c>
      <c r="Q108" s="24">
        <f t="shared" si="26"/>
        <v>4.8229186279135298E-2</v>
      </c>
      <c r="R108" s="72">
        <f t="shared" ca="1" si="27"/>
        <v>3072</v>
      </c>
      <c r="S108" s="25">
        <f>VLOOKUP($A108,Curve_Fetch,VLOOKUP(Control!$AJ$10,Control!$AI$11:$AM$22,5))</f>
        <v>0.185</v>
      </c>
      <c r="T108" s="74">
        <f ca="1">_xll.EURO(N108,O108,P108,Q108,S108,R108,IF(Control!$C$38="Call",1,0),0)</f>
        <v>0.58265462273012325</v>
      </c>
      <c r="U108" s="27">
        <f t="shared" ca="1" si="17"/>
        <v>0</v>
      </c>
      <c r="V108" s="76"/>
      <c r="W108" s="197"/>
      <c r="X108" s="197"/>
      <c r="Y108" s="197"/>
      <c r="AA108" s="210"/>
      <c r="AB108" s="210"/>
      <c r="AC108" s="211"/>
      <c r="AD108" s="212"/>
      <c r="AE108" s="213"/>
      <c r="AF108" s="214"/>
      <c r="AG108" s="215"/>
      <c r="AH108" s="216"/>
      <c r="AI108" s="27"/>
      <c r="AJ108" s="28">
        <f t="shared" si="18"/>
        <v>0.19750000000000001</v>
      </c>
      <c r="AL108" s="24">
        <f t="shared" si="28"/>
        <v>4.8321967738155003E-2</v>
      </c>
      <c r="AM108" s="25">
        <f t="shared" ca="1" si="29"/>
        <v>0.66437466621903774</v>
      </c>
      <c r="AO108" s="26">
        <f t="shared" ca="1" si="19"/>
        <v>0</v>
      </c>
      <c r="AP108" s="26"/>
      <c r="AQ108" s="26">
        <f t="shared" ca="1" si="20"/>
        <v>0</v>
      </c>
      <c r="AR108" s="26"/>
      <c r="AS108" s="27">
        <f t="shared" ca="1" si="21"/>
        <v>0</v>
      </c>
      <c r="AT108" s="27">
        <f t="shared" ca="1" si="22"/>
        <v>0</v>
      </c>
      <c r="AU108" s="27">
        <f t="shared" ca="1" si="23"/>
        <v>0</v>
      </c>
      <c r="AV108" s="27"/>
      <c r="AW108" s="27"/>
      <c r="AY108" s="216"/>
      <c r="AZ108" s="216"/>
      <c r="BA108" s="233"/>
      <c r="BC108" s="216"/>
      <c r="BE108" s="69"/>
    </row>
    <row r="109" spans="1:57">
      <c r="A109" s="19">
        <f>[1]!_xludf.edate(A108,1)</f>
        <v>40299</v>
      </c>
      <c r="B109" s="21">
        <f t="shared" si="30"/>
        <v>31</v>
      </c>
      <c r="C109" s="20">
        <f>IF(Control!$F$18="Physical",Model!A110+24,Model!A110)</f>
        <v>40354</v>
      </c>
      <c r="E109" s="22">
        <f>IF($A109&lt;End_Date,IF(Control!$C$20="Flat",Control!$C$21,VLOOKUP(Model!$A109,Euro!$B$29:$D$182,3)),0)</f>
        <v>0</v>
      </c>
      <c r="F109" s="22">
        <f t="shared" si="24"/>
        <v>0</v>
      </c>
      <c r="H109" s="23">
        <f>IF(Control!$C$27="Mid",VLOOKUP($A109,CurveFetch!$D$8:$F$367,3),VLOOKUP($A109,Euro!$B$29:$I$182,8))</f>
        <v>4.3354999999999997</v>
      </c>
      <c r="I109" s="23"/>
      <c r="J109" s="23">
        <f>IF($J$4="Mid",VLOOKUP($A109,Curve_Fetch,VLOOKUP(Control!$AJ$10,Control!$AI$11:$AK$22,3)),VLOOKUP($A109,Euro!$B$29:$M$182,12))</f>
        <v>-0.2</v>
      </c>
      <c r="K109" s="228">
        <f>IF(Control!$F$18="Physical",IF($K$4="Mid",VLOOKUP($A109,Curve_Fetch,VLOOKUP(Control!$AJ$10,Control!$AI$11:$AL$22,4)),VLOOKUP($A109,Euro!$B$29:$Q$182,16)),0)</f>
        <v>2.5000000000000001E-3</v>
      </c>
      <c r="L109" s="23">
        <f t="shared" si="25"/>
        <v>-0.19750000000000001</v>
      </c>
      <c r="M109" s="23"/>
      <c r="N109" s="69">
        <f t="shared" si="16"/>
        <v>4.1379999999999999</v>
      </c>
      <c r="O109" s="69">
        <f>N109+Control!$C$39</f>
        <v>4.1379999999999999</v>
      </c>
      <c r="P109" s="73">
        <f>VLOOKUP($A109,CurveFetch!$D$8:$E$367,2)</f>
        <v>4.8321967738155003E-2</v>
      </c>
      <c r="Q109" s="24">
        <f t="shared" si="26"/>
        <v>4.8321967738155003E-2</v>
      </c>
      <c r="R109" s="72">
        <f t="shared" ca="1" si="27"/>
        <v>3102</v>
      </c>
      <c r="S109" s="25">
        <f>VLOOKUP($A109,Curve_Fetch,VLOOKUP(Control!$AJ$10,Control!$AI$11:$AM$22,5))</f>
        <v>0.185</v>
      </c>
      <c r="T109" s="74">
        <f ca="1">_xll.EURO(N109,O109,P109,Q109,S109,R109,IF(Control!$C$38="Call",1,0),0)</f>
        <v>0.58335589586025716</v>
      </c>
      <c r="U109" s="27">
        <f t="shared" ca="1" si="17"/>
        <v>0</v>
      </c>
      <c r="V109" s="76"/>
      <c r="W109" s="197"/>
      <c r="X109" s="197"/>
      <c r="Y109" s="197"/>
      <c r="AA109" s="210"/>
      <c r="AB109" s="210"/>
      <c r="AC109" s="211"/>
      <c r="AD109" s="212"/>
      <c r="AE109" s="213"/>
      <c r="AF109" s="214"/>
      <c r="AG109" s="215"/>
      <c r="AH109" s="216"/>
      <c r="AI109" s="27"/>
      <c r="AJ109" s="28">
        <f t="shared" si="18"/>
        <v>0.19750000000000001</v>
      </c>
      <c r="AL109" s="24">
        <f t="shared" si="28"/>
        <v>4.8417841915497903E-2</v>
      </c>
      <c r="AM109" s="25">
        <f t="shared" ca="1" si="29"/>
        <v>0.66115224382174353</v>
      </c>
      <c r="AO109" s="26">
        <f t="shared" ca="1" si="19"/>
        <v>0</v>
      </c>
      <c r="AP109" s="26"/>
      <c r="AQ109" s="26">
        <f t="shared" ca="1" si="20"/>
        <v>0</v>
      </c>
      <c r="AR109" s="26"/>
      <c r="AS109" s="27">
        <f t="shared" ca="1" si="21"/>
        <v>0</v>
      </c>
      <c r="AT109" s="27">
        <f t="shared" ca="1" si="22"/>
        <v>0</v>
      </c>
      <c r="AU109" s="27">
        <f t="shared" ca="1" si="23"/>
        <v>0</v>
      </c>
      <c r="AV109" s="27"/>
      <c r="AW109" s="27"/>
      <c r="AY109" s="216"/>
      <c r="AZ109" s="216"/>
      <c r="BA109" s="233"/>
      <c r="BC109" s="216"/>
      <c r="BE109" s="69"/>
    </row>
    <row r="110" spans="1:57">
      <c r="A110" s="19">
        <f>[1]!_xludf.edate(A109,1)</f>
        <v>40330</v>
      </c>
      <c r="B110" s="21">
        <f t="shared" si="30"/>
        <v>30</v>
      </c>
      <c r="C110" s="20">
        <f>IF(Control!$F$18="Physical",Model!A111+24,Model!A111)</f>
        <v>40384</v>
      </c>
      <c r="E110" s="22">
        <f>IF($A110&lt;End_Date,IF(Control!$C$20="Flat",Control!$C$21,VLOOKUP(Model!$A110,Euro!$B$29:$D$182,3)),0)</f>
        <v>0</v>
      </c>
      <c r="F110" s="22">
        <f t="shared" si="24"/>
        <v>0</v>
      </c>
      <c r="H110" s="23">
        <f>IF(Control!$C$27="Mid",VLOOKUP($A110,CurveFetch!$D$8:$F$367,3),VLOOKUP($A110,Euro!$B$29:$I$182,8))</f>
        <v>4.3734999999999999</v>
      </c>
      <c r="I110" s="23"/>
      <c r="J110" s="23">
        <f>IF($J$4="Mid",VLOOKUP($A110,Curve_Fetch,VLOOKUP(Control!$AJ$10,Control!$AI$11:$AK$22,3)),VLOOKUP($A110,Euro!$B$29:$M$182,12))</f>
        <v>-0.2</v>
      </c>
      <c r="K110" s="228">
        <f>IF(Control!$F$18="Physical",IF($K$4="Mid",VLOOKUP($A110,Curve_Fetch,VLOOKUP(Control!$AJ$10,Control!$AI$11:$AL$22,4)),VLOOKUP($A110,Euro!$B$29:$Q$182,16)),0)</f>
        <v>2.5000000000000001E-3</v>
      </c>
      <c r="L110" s="23">
        <f t="shared" si="25"/>
        <v>-0.19750000000000001</v>
      </c>
      <c r="M110" s="23"/>
      <c r="N110" s="69">
        <f t="shared" si="16"/>
        <v>4.1760000000000002</v>
      </c>
      <c r="O110" s="69">
        <f>N110+Control!$C$39</f>
        <v>4.1760000000000002</v>
      </c>
      <c r="P110" s="73">
        <f>VLOOKUP($A110,CurveFetch!$D$8:$E$367,2)</f>
        <v>4.8417841915497903E-2</v>
      </c>
      <c r="Q110" s="24">
        <f t="shared" si="26"/>
        <v>4.8417841915497903E-2</v>
      </c>
      <c r="R110" s="72">
        <f t="shared" ca="1" si="27"/>
        <v>3133</v>
      </c>
      <c r="S110" s="25">
        <f>VLOOKUP($A110,Curve_Fetch,VLOOKUP(Control!$AJ$10,Control!$AI$11:$AM$22,5))</f>
        <v>0.185</v>
      </c>
      <c r="T110" s="74">
        <f ca="1">_xll.EURO(N110,O110,P110,Q110,S110,R110,IF(Control!$C$38="Call",1,0),0)</f>
        <v>0.58867085907917183</v>
      </c>
      <c r="U110" s="27">
        <f t="shared" ca="1" si="17"/>
        <v>0</v>
      </c>
      <c r="V110" s="76"/>
      <c r="W110" s="197"/>
      <c r="X110" s="197"/>
      <c r="Y110" s="197"/>
      <c r="AA110" s="210"/>
      <c r="AB110" s="210"/>
      <c r="AC110" s="211"/>
      <c r="AD110" s="212"/>
      <c r="AE110" s="213"/>
      <c r="AF110" s="214"/>
      <c r="AG110" s="215"/>
      <c r="AH110" s="216"/>
      <c r="AI110" s="27"/>
      <c r="AJ110" s="28">
        <f t="shared" si="18"/>
        <v>0.19750000000000001</v>
      </c>
      <c r="AL110" s="24">
        <f t="shared" si="28"/>
        <v>4.8510623380367199E-2</v>
      </c>
      <c r="AM110" s="25">
        <f t="shared" ca="1" si="29"/>
        <v>0.65803872103723138</v>
      </c>
      <c r="AO110" s="26">
        <f t="shared" ca="1" si="19"/>
        <v>0</v>
      </c>
      <c r="AP110" s="26"/>
      <c r="AQ110" s="26">
        <f t="shared" ca="1" si="20"/>
        <v>0</v>
      </c>
      <c r="AR110" s="26"/>
      <c r="AS110" s="27">
        <f t="shared" ca="1" si="21"/>
        <v>0</v>
      </c>
      <c r="AT110" s="27">
        <f t="shared" ca="1" si="22"/>
        <v>0</v>
      </c>
      <c r="AU110" s="27">
        <f t="shared" ca="1" si="23"/>
        <v>0</v>
      </c>
      <c r="AV110" s="27"/>
      <c r="AW110" s="27"/>
      <c r="AY110" s="216"/>
      <c r="AZ110" s="216"/>
      <c r="BA110" s="233"/>
      <c r="BC110" s="216"/>
      <c r="BE110" s="69"/>
    </row>
    <row r="111" spans="1:57">
      <c r="A111" s="19">
        <f>[1]!_xludf.edate(A110,1)</f>
        <v>40360</v>
      </c>
      <c r="B111" s="21">
        <f t="shared" si="30"/>
        <v>31</v>
      </c>
      <c r="C111" s="20">
        <f>IF(Control!$F$18="Physical",Model!A112+24,Model!A112)</f>
        <v>40415</v>
      </c>
      <c r="E111" s="22">
        <f>IF($A111&lt;End_Date,IF(Control!$C$20="Flat",Control!$C$21,VLOOKUP(Model!$A111,Euro!$B$29:$D$182,3)),0)</f>
        <v>0</v>
      </c>
      <c r="F111" s="22">
        <f t="shared" si="24"/>
        <v>0</v>
      </c>
      <c r="H111" s="23">
        <f>IF(Control!$C$27="Mid",VLOOKUP($A111,CurveFetch!$D$8:$F$367,3),VLOOKUP($A111,Euro!$B$29:$I$182,8))</f>
        <v>4.4184999999999999</v>
      </c>
      <c r="I111" s="23"/>
      <c r="J111" s="23">
        <f>IF($J$4="Mid",VLOOKUP($A111,Curve_Fetch,VLOOKUP(Control!$AJ$10,Control!$AI$11:$AK$22,3)),VLOOKUP($A111,Euro!$B$29:$M$182,12))</f>
        <v>-0.2</v>
      </c>
      <c r="K111" s="228">
        <f>IF(Control!$F$18="Physical",IF($K$4="Mid",VLOOKUP($A111,Curve_Fetch,VLOOKUP(Control!$AJ$10,Control!$AI$11:$AL$22,4)),VLOOKUP($A111,Euro!$B$29:$Q$182,16)),0)</f>
        <v>2.5000000000000001E-3</v>
      </c>
      <c r="L111" s="23">
        <f t="shared" si="25"/>
        <v>-0.19750000000000001</v>
      </c>
      <c r="M111" s="23"/>
      <c r="N111" s="69">
        <f t="shared" si="16"/>
        <v>4.2210000000000001</v>
      </c>
      <c r="O111" s="69">
        <f>N111+Control!$C$39</f>
        <v>4.2210000000000001</v>
      </c>
      <c r="P111" s="73">
        <f>VLOOKUP($A111,CurveFetch!$D$8:$E$367,2)</f>
        <v>4.8510623380367199E-2</v>
      </c>
      <c r="Q111" s="24">
        <f t="shared" si="26"/>
        <v>4.8510623380367199E-2</v>
      </c>
      <c r="R111" s="72">
        <f t="shared" ca="1" si="27"/>
        <v>3163</v>
      </c>
      <c r="S111" s="25">
        <f>VLOOKUP($A111,Curve_Fetch,VLOOKUP(Control!$AJ$10,Control!$AI$11:$AM$22,5))</f>
        <v>0.185</v>
      </c>
      <c r="T111" s="74">
        <f ca="1">_xll.EURO(N111,O111,P111,Q111,S111,R111,IF(Control!$C$38="Call",1,0),0)</f>
        <v>0.59493616797514282</v>
      </c>
      <c r="U111" s="27">
        <f t="shared" ca="1" si="17"/>
        <v>0</v>
      </c>
      <c r="V111" s="76"/>
      <c r="W111" s="197"/>
      <c r="X111" s="197"/>
      <c r="Y111" s="197"/>
      <c r="AA111" s="210"/>
      <c r="AB111" s="210"/>
      <c r="AC111" s="211"/>
      <c r="AD111" s="212"/>
      <c r="AE111" s="213"/>
      <c r="AF111" s="214"/>
      <c r="AG111" s="215"/>
      <c r="AH111" s="216"/>
      <c r="AI111" s="27"/>
      <c r="AJ111" s="28">
        <f t="shared" si="18"/>
        <v>0.19750000000000001</v>
      </c>
      <c r="AL111" s="24">
        <f t="shared" si="28"/>
        <v>4.8606497563753702E-2</v>
      </c>
      <c r="AM111" s="25">
        <f t="shared" ca="1" si="29"/>
        <v>0.65482660480009336</v>
      </c>
      <c r="AO111" s="26">
        <f t="shared" ca="1" si="19"/>
        <v>0</v>
      </c>
      <c r="AP111" s="26"/>
      <c r="AQ111" s="26">
        <f t="shared" ca="1" si="20"/>
        <v>0</v>
      </c>
      <c r="AR111" s="26"/>
      <c r="AS111" s="27">
        <f t="shared" ca="1" si="21"/>
        <v>0</v>
      </c>
      <c r="AT111" s="27">
        <f t="shared" ca="1" si="22"/>
        <v>0</v>
      </c>
      <c r="AU111" s="27">
        <f t="shared" ca="1" si="23"/>
        <v>0</v>
      </c>
      <c r="AV111" s="27"/>
      <c r="AW111" s="27"/>
      <c r="AY111" s="216"/>
      <c r="AZ111" s="216"/>
      <c r="BA111" s="233"/>
      <c r="BC111" s="216"/>
      <c r="BE111" s="69"/>
    </row>
    <row r="112" spans="1:57">
      <c r="A112" s="19">
        <f>[1]!_xludf.edate(A111,1)</f>
        <v>40391</v>
      </c>
      <c r="B112" s="21">
        <f t="shared" si="30"/>
        <v>31</v>
      </c>
      <c r="C112" s="20">
        <f>IF(Control!$F$18="Physical",Model!A113+24,Model!A113)</f>
        <v>40446</v>
      </c>
      <c r="E112" s="22">
        <f>IF($A112&lt;End_Date,IF(Control!$C$20="Flat",Control!$C$21,VLOOKUP(Model!$A112,Euro!$B$29:$D$182,3)),0)</f>
        <v>0</v>
      </c>
      <c r="F112" s="22">
        <f t="shared" si="24"/>
        <v>0</v>
      </c>
      <c r="H112" s="23">
        <f>IF(Control!$C$27="Mid",VLOOKUP($A112,CurveFetch!$D$8:$F$367,3),VLOOKUP($A112,Euro!$B$29:$I$182,8))</f>
        <v>4.4565000000000001</v>
      </c>
      <c r="I112" s="23"/>
      <c r="J112" s="23">
        <f>IF($J$4="Mid",VLOOKUP($A112,Curve_Fetch,VLOOKUP(Control!$AJ$10,Control!$AI$11:$AK$22,3)),VLOOKUP($A112,Euro!$B$29:$M$182,12))</f>
        <v>-0.2</v>
      </c>
      <c r="K112" s="228">
        <f>IF(Control!$F$18="Physical",IF($K$4="Mid",VLOOKUP($A112,Curve_Fetch,VLOOKUP(Control!$AJ$10,Control!$AI$11:$AL$22,4)),VLOOKUP($A112,Euro!$B$29:$Q$182,16)),0)</f>
        <v>2.5000000000000001E-3</v>
      </c>
      <c r="L112" s="23">
        <f t="shared" si="25"/>
        <v>-0.19750000000000001</v>
      </c>
      <c r="M112" s="23"/>
      <c r="N112" s="69">
        <f t="shared" si="16"/>
        <v>4.2590000000000003</v>
      </c>
      <c r="O112" s="69">
        <f>N112+Control!$C$39</f>
        <v>4.2590000000000003</v>
      </c>
      <c r="P112" s="73">
        <f>VLOOKUP($A112,CurveFetch!$D$8:$E$367,2)</f>
        <v>4.8606497563753702E-2</v>
      </c>
      <c r="Q112" s="24">
        <f t="shared" si="26"/>
        <v>4.8606497563753702E-2</v>
      </c>
      <c r="R112" s="72">
        <f t="shared" ca="1" si="27"/>
        <v>3194</v>
      </c>
      <c r="S112" s="25">
        <f>VLOOKUP($A112,Curve_Fetch,VLOOKUP(Control!$AJ$10,Control!$AI$11:$AM$22,5))</f>
        <v>0.185</v>
      </c>
      <c r="T112" s="74">
        <f ca="1">_xll.EURO(N112,O112,P112,Q112,S112,R112,IF(Control!$C$38="Call",1,0),0)</f>
        <v>0.60017273696983131</v>
      </c>
      <c r="U112" s="27">
        <f t="shared" ca="1" si="17"/>
        <v>0</v>
      </c>
      <c r="V112" s="76"/>
      <c r="W112" s="197"/>
      <c r="X112" s="197"/>
      <c r="Y112" s="197"/>
      <c r="AA112" s="210"/>
      <c r="AB112" s="210"/>
      <c r="AC112" s="211"/>
      <c r="AD112" s="212"/>
      <c r="AE112" s="213"/>
      <c r="AF112" s="214"/>
      <c r="AG112" s="215"/>
      <c r="AH112" s="216"/>
      <c r="AI112" s="27"/>
      <c r="AJ112" s="28">
        <f t="shared" si="18"/>
        <v>0.19750000000000001</v>
      </c>
      <c r="AL112" s="24">
        <f t="shared" si="28"/>
        <v>4.8702371750211103E-2</v>
      </c>
      <c r="AM112" s="25">
        <f t="shared" ca="1" si="29"/>
        <v>0.65161984002203754</v>
      </c>
      <c r="AO112" s="26">
        <f t="shared" ca="1" si="19"/>
        <v>0</v>
      </c>
      <c r="AP112" s="26"/>
      <c r="AQ112" s="26">
        <f t="shared" ca="1" si="20"/>
        <v>0</v>
      </c>
      <c r="AR112" s="26"/>
      <c r="AS112" s="27">
        <f t="shared" ca="1" si="21"/>
        <v>0</v>
      </c>
      <c r="AT112" s="27">
        <f t="shared" ca="1" si="22"/>
        <v>0</v>
      </c>
      <c r="AU112" s="27">
        <f t="shared" ca="1" si="23"/>
        <v>0</v>
      </c>
      <c r="AV112" s="27"/>
      <c r="AW112" s="27"/>
      <c r="AY112" s="216"/>
      <c r="AZ112" s="216"/>
      <c r="BA112" s="233"/>
      <c r="BC112" s="216"/>
      <c r="BE112" s="69"/>
    </row>
    <row r="113" spans="1:57">
      <c r="A113" s="19">
        <f>[1]!_xludf.edate(A112,1)</f>
        <v>40422</v>
      </c>
      <c r="B113" s="21">
        <f t="shared" si="30"/>
        <v>30</v>
      </c>
      <c r="C113" s="20">
        <f>IF(Control!$F$18="Physical",Model!A114+24,Model!A114)</f>
        <v>40476</v>
      </c>
      <c r="E113" s="22">
        <f>IF($A113&lt;End_Date,IF(Control!$C$20="Flat",Control!$C$21,VLOOKUP(Model!$A113,Euro!$B$29:$D$182,3)),0)</f>
        <v>0</v>
      </c>
      <c r="F113" s="22">
        <f t="shared" si="24"/>
        <v>0</v>
      </c>
      <c r="H113" s="23">
        <f>IF(Control!$C$27="Mid",VLOOKUP($A113,CurveFetch!$D$8:$F$367,3),VLOOKUP($A113,Euro!$B$29:$I$182,8))</f>
        <v>4.4504999999999999</v>
      </c>
      <c r="I113" s="23"/>
      <c r="J113" s="23">
        <f>IF($J$4="Mid",VLOOKUP($A113,Curve_Fetch,VLOOKUP(Control!$AJ$10,Control!$AI$11:$AK$22,3)),VLOOKUP($A113,Euro!$B$29:$M$182,12))</f>
        <v>-0.2</v>
      </c>
      <c r="K113" s="228">
        <f>IF(Control!$F$18="Physical",IF($K$4="Mid",VLOOKUP($A113,Curve_Fetch,VLOOKUP(Control!$AJ$10,Control!$AI$11:$AL$22,4)),VLOOKUP($A113,Euro!$B$29:$Q$182,16)),0)</f>
        <v>2.5000000000000001E-3</v>
      </c>
      <c r="L113" s="23">
        <f t="shared" si="25"/>
        <v>-0.19750000000000001</v>
      </c>
      <c r="M113" s="23"/>
      <c r="N113" s="69">
        <f t="shared" si="16"/>
        <v>4.2530000000000001</v>
      </c>
      <c r="O113" s="69">
        <f>N113+Control!$C$39</f>
        <v>4.2530000000000001</v>
      </c>
      <c r="P113" s="73">
        <f>VLOOKUP($A113,CurveFetch!$D$8:$E$367,2)</f>
        <v>4.8702371750211103E-2</v>
      </c>
      <c r="Q113" s="24">
        <f t="shared" si="26"/>
        <v>4.8702371750211103E-2</v>
      </c>
      <c r="R113" s="72">
        <f t="shared" ca="1" si="27"/>
        <v>3225</v>
      </c>
      <c r="S113" s="25">
        <f>VLOOKUP($A113,Curve_Fetch,VLOOKUP(Control!$AJ$10,Control!$AI$11:$AM$22,5))</f>
        <v>0.185</v>
      </c>
      <c r="T113" s="74">
        <f ca="1">_xll.EURO(N113,O113,P113,Q113,S113,R113,IF(Control!$C$38="Call",1,0),0)</f>
        <v>0.59917004210717129</v>
      </c>
      <c r="U113" s="27">
        <f t="shared" ca="1" si="17"/>
        <v>0</v>
      </c>
      <c r="V113" s="76"/>
      <c r="W113" s="197"/>
      <c r="X113" s="197"/>
      <c r="Y113" s="197"/>
      <c r="AA113" s="210"/>
      <c r="AB113" s="210"/>
      <c r="AC113" s="211"/>
      <c r="AD113" s="212"/>
      <c r="AE113" s="213"/>
      <c r="AF113" s="214"/>
      <c r="AG113" s="215"/>
      <c r="AH113" s="216"/>
      <c r="AI113" s="27"/>
      <c r="AJ113" s="28">
        <f t="shared" si="18"/>
        <v>0.19750000000000001</v>
      </c>
      <c r="AL113" s="24">
        <f t="shared" si="28"/>
        <v>4.8795153223900399E-2</v>
      </c>
      <c r="AM113" s="25">
        <f t="shared" ca="1" si="29"/>
        <v>0.64852168608049965</v>
      </c>
      <c r="AO113" s="26">
        <f t="shared" ca="1" si="19"/>
        <v>0</v>
      </c>
      <c r="AP113" s="26"/>
      <c r="AQ113" s="26">
        <f t="shared" ca="1" si="20"/>
        <v>0</v>
      </c>
      <c r="AR113" s="26"/>
      <c r="AS113" s="27">
        <f t="shared" ca="1" si="21"/>
        <v>0</v>
      </c>
      <c r="AT113" s="27">
        <f t="shared" ca="1" si="22"/>
        <v>0</v>
      </c>
      <c r="AU113" s="27">
        <f t="shared" ca="1" si="23"/>
        <v>0</v>
      </c>
      <c r="AV113" s="27"/>
      <c r="AW113" s="27"/>
      <c r="AY113" s="216"/>
      <c r="AZ113" s="216"/>
      <c r="BA113" s="233"/>
      <c r="BC113" s="216"/>
      <c r="BE113" s="69"/>
    </row>
    <row r="114" spans="1:57">
      <c r="A114" s="19">
        <f>[1]!_xludf.edate(A113,1)</f>
        <v>40452</v>
      </c>
      <c r="B114" s="21">
        <f t="shared" si="30"/>
        <v>31</v>
      </c>
      <c r="C114" s="20">
        <f>IF(Control!$F$18="Physical",Model!A115+24,Model!A115)</f>
        <v>40507</v>
      </c>
      <c r="E114" s="22">
        <f>IF($A114&lt;End_Date,IF(Control!$C$20="Flat",Control!$C$21,VLOOKUP(Model!$A114,Euro!$B$29:$D$182,3)),0)</f>
        <v>0</v>
      </c>
      <c r="F114" s="22">
        <f t="shared" si="24"/>
        <v>0</v>
      </c>
      <c r="H114" s="23">
        <f>IF(Control!$C$27="Mid",VLOOKUP($A114,CurveFetch!$D$8:$F$367,3),VLOOKUP($A114,Euro!$B$29:$I$182,8))</f>
        <v>4.4504999999999999</v>
      </c>
      <c r="I114" s="23"/>
      <c r="J114" s="23">
        <f>IF($J$4="Mid",VLOOKUP($A114,Curve_Fetch,VLOOKUP(Control!$AJ$10,Control!$AI$11:$AK$22,3)),VLOOKUP($A114,Euro!$B$29:$M$182,12))</f>
        <v>-0.2</v>
      </c>
      <c r="K114" s="228">
        <f>IF(Control!$F$18="Physical",IF($K$4="Mid",VLOOKUP($A114,Curve_Fetch,VLOOKUP(Control!$AJ$10,Control!$AI$11:$AL$22,4)),VLOOKUP($A114,Euro!$B$29:$Q$182,16)),0)</f>
        <v>2.5000000000000001E-3</v>
      </c>
      <c r="L114" s="23">
        <f t="shared" si="25"/>
        <v>-0.19750000000000001</v>
      </c>
      <c r="M114" s="23"/>
      <c r="N114" s="69">
        <f t="shared" si="16"/>
        <v>4.2530000000000001</v>
      </c>
      <c r="O114" s="69">
        <f>N114+Control!$C$39</f>
        <v>4.2530000000000001</v>
      </c>
      <c r="P114" s="73">
        <f>VLOOKUP($A114,CurveFetch!$D$8:$E$367,2)</f>
        <v>4.8795153223900399E-2</v>
      </c>
      <c r="Q114" s="24">
        <f t="shared" si="26"/>
        <v>4.8795153223900399E-2</v>
      </c>
      <c r="R114" s="72">
        <f t="shared" ca="1" si="27"/>
        <v>3255</v>
      </c>
      <c r="S114" s="25">
        <f>VLOOKUP($A114,Curve_Fetch,VLOOKUP(Control!$AJ$10,Control!$AI$11:$AM$22,5))</f>
        <v>0.185</v>
      </c>
      <c r="T114" s="74">
        <f ca="1">_xll.EURO(N114,O114,P114,Q114,S114,R114,IF(Control!$C$38="Call",1,0),0)</f>
        <v>0.59898233878632157</v>
      </c>
      <c r="U114" s="27">
        <f t="shared" ca="1" si="17"/>
        <v>0</v>
      </c>
      <c r="V114" s="76"/>
      <c r="W114" s="197"/>
      <c r="X114" s="197"/>
      <c r="Y114" s="197"/>
      <c r="AA114" s="210"/>
      <c r="AB114" s="210"/>
      <c r="AC114" s="211"/>
      <c r="AD114" s="212"/>
      <c r="AE114" s="213"/>
      <c r="AF114" s="214"/>
      <c r="AG114" s="215"/>
      <c r="AH114" s="216"/>
      <c r="AI114" s="27"/>
      <c r="AJ114" s="28">
        <f t="shared" si="18"/>
        <v>0.19750000000000001</v>
      </c>
      <c r="AL114" s="24">
        <f t="shared" si="28"/>
        <v>4.8891027416400099E-2</v>
      </c>
      <c r="AM114" s="25">
        <f t="shared" ca="1" si="29"/>
        <v>0.64532567265425933</v>
      </c>
      <c r="AO114" s="26">
        <f t="shared" ca="1" si="19"/>
        <v>0</v>
      </c>
      <c r="AP114" s="26"/>
      <c r="AQ114" s="26">
        <f t="shared" ca="1" si="20"/>
        <v>0</v>
      </c>
      <c r="AR114" s="26"/>
      <c r="AS114" s="27">
        <f t="shared" ca="1" si="21"/>
        <v>0</v>
      </c>
      <c r="AT114" s="27">
        <f t="shared" ca="1" si="22"/>
        <v>0</v>
      </c>
      <c r="AU114" s="27">
        <f t="shared" ca="1" si="23"/>
        <v>0</v>
      </c>
      <c r="AV114" s="27"/>
      <c r="AW114" s="27"/>
      <c r="AY114" s="216"/>
      <c r="AZ114" s="216"/>
      <c r="BA114" s="233"/>
      <c r="BC114" s="216"/>
      <c r="BE114" s="69"/>
    </row>
    <row r="115" spans="1:57">
      <c r="A115" s="19">
        <f>[1]!_xludf.edate(A114,1)</f>
        <v>40483</v>
      </c>
      <c r="B115" s="21">
        <f t="shared" si="30"/>
        <v>30</v>
      </c>
      <c r="C115" s="20">
        <f>IF(Control!$F$18="Physical",Model!A116+24,Model!A116)</f>
        <v>40537</v>
      </c>
      <c r="E115" s="22">
        <f>IF($A115&lt;End_Date,IF(Control!$C$20="Flat",Control!$C$21,VLOOKUP(Model!$A115,Euro!$B$29:$D$182,3)),0)</f>
        <v>0</v>
      </c>
      <c r="F115" s="22">
        <f t="shared" si="24"/>
        <v>0</v>
      </c>
      <c r="H115" s="23">
        <f>IF(Control!$C$27="Mid",VLOOKUP($A115,CurveFetch!$D$8:$F$367,3),VLOOKUP($A115,Euro!$B$29:$I$182,8))</f>
        <v>4.6204999999999998</v>
      </c>
      <c r="I115" s="23"/>
      <c r="J115" s="23">
        <f>IF($J$4="Mid",VLOOKUP($A115,Curve_Fetch,VLOOKUP(Control!$AJ$10,Control!$AI$11:$AK$22,3)),VLOOKUP($A115,Euro!$B$29:$M$182,12))</f>
        <v>-0.13</v>
      </c>
      <c r="K115" s="228">
        <f>IF(Control!$F$18="Physical",IF($K$4="Mid",VLOOKUP($A115,Curve_Fetch,VLOOKUP(Control!$AJ$10,Control!$AI$11:$AL$22,4)),VLOOKUP($A115,Euro!$B$29:$Q$182,16)),0)</f>
        <v>5.0000000000000001E-3</v>
      </c>
      <c r="L115" s="23">
        <f t="shared" si="25"/>
        <v>-0.125</v>
      </c>
      <c r="M115" s="23"/>
      <c r="N115" s="69">
        <f t="shared" si="16"/>
        <v>4.4954999999999998</v>
      </c>
      <c r="O115" s="69">
        <f>N115+Control!$C$39</f>
        <v>4.4954999999999998</v>
      </c>
      <c r="P115" s="73">
        <f>VLOOKUP($A115,CurveFetch!$D$8:$E$367,2)</f>
        <v>4.8891027416400099E-2</v>
      </c>
      <c r="Q115" s="24">
        <f t="shared" si="26"/>
        <v>4.8891027416400099E-2</v>
      </c>
      <c r="R115" s="72">
        <f t="shared" ca="1" si="27"/>
        <v>3286</v>
      </c>
      <c r="S115" s="25">
        <f>VLOOKUP($A115,Curve_Fetch,VLOOKUP(Control!$AJ$10,Control!$AI$11:$AM$22,5))</f>
        <v>0.185</v>
      </c>
      <c r="T115" s="74">
        <f ca="1">_xll.EURO(N115,O115,P115,Q115,S115,R115,IF(Control!$C$38="Call",1,0),0)</f>
        <v>0.63289214140251238</v>
      </c>
      <c r="U115" s="27">
        <f t="shared" ca="1" si="17"/>
        <v>0</v>
      </c>
      <c r="V115" s="76"/>
      <c r="W115" s="197"/>
      <c r="X115" s="197"/>
      <c r="Y115" s="197"/>
      <c r="AA115" s="210"/>
      <c r="AB115" s="210"/>
      <c r="AC115" s="211"/>
      <c r="AD115" s="212"/>
      <c r="AE115" s="213"/>
      <c r="AF115" s="214"/>
      <c r="AG115" s="215"/>
      <c r="AH115" s="216"/>
      <c r="AI115" s="27"/>
      <c r="AJ115" s="28">
        <f t="shared" si="18"/>
        <v>0.125</v>
      </c>
      <c r="AL115" s="24">
        <f t="shared" si="28"/>
        <v>4.8983808895936697E-2</v>
      </c>
      <c r="AM115" s="25">
        <f t="shared" ca="1" si="29"/>
        <v>0.64223806370978087</v>
      </c>
      <c r="AO115" s="26">
        <f t="shared" ca="1" si="19"/>
        <v>0</v>
      </c>
      <c r="AP115" s="26"/>
      <c r="AQ115" s="26">
        <f t="shared" ca="1" si="20"/>
        <v>0</v>
      </c>
      <c r="AR115" s="26"/>
      <c r="AS115" s="27">
        <f t="shared" ca="1" si="21"/>
        <v>0</v>
      </c>
      <c r="AT115" s="27">
        <f t="shared" ca="1" si="22"/>
        <v>0</v>
      </c>
      <c r="AU115" s="27">
        <f t="shared" ca="1" si="23"/>
        <v>0</v>
      </c>
      <c r="AV115" s="27"/>
      <c r="AW115" s="27"/>
      <c r="AY115" s="216"/>
      <c r="AZ115" s="216"/>
      <c r="BA115" s="233"/>
      <c r="BC115" s="216"/>
      <c r="BE115" s="69"/>
    </row>
    <row r="116" spans="1:57">
      <c r="A116" s="19">
        <f>[1]!_xludf.edate(A115,1)</f>
        <v>40513</v>
      </c>
      <c r="B116" s="21">
        <f t="shared" si="30"/>
        <v>31</v>
      </c>
      <c r="C116" s="20">
        <f>IF(Control!$F$18="Physical",Model!A117+24,Model!A117)</f>
        <v>40568</v>
      </c>
      <c r="E116" s="22">
        <f>IF($A116&lt;End_Date,IF(Control!$C$20="Flat",Control!$C$21,VLOOKUP(Model!$A116,Euro!$B$29:$D$182,3)),0)</f>
        <v>0</v>
      </c>
      <c r="F116" s="22">
        <f t="shared" si="24"/>
        <v>0</v>
      </c>
      <c r="H116" s="23">
        <f>IF(Control!$C$27="Mid",VLOOKUP($A116,CurveFetch!$D$8:$F$367,3),VLOOKUP($A116,Euro!$B$29:$I$182,8))</f>
        <v>4.7515000000000001</v>
      </c>
      <c r="I116" s="23"/>
      <c r="J116" s="23">
        <f>IF($J$4="Mid",VLOOKUP($A116,Curve_Fetch,VLOOKUP(Control!$AJ$10,Control!$AI$11:$AK$22,3)),VLOOKUP($A116,Euro!$B$29:$M$182,12))</f>
        <v>-0.13</v>
      </c>
      <c r="K116" s="228">
        <f>IF(Control!$F$18="Physical",IF($K$4="Mid",VLOOKUP($A116,Curve_Fetch,VLOOKUP(Control!$AJ$10,Control!$AI$11:$AL$22,4)),VLOOKUP($A116,Euro!$B$29:$Q$182,16)),0)</f>
        <v>5.0000000000000001E-3</v>
      </c>
      <c r="L116" s="23">
        <f t="shared" si="25"/>
        <v>-0.125</v>
      </c>
      <c r="M116" s="23"/>
      <c r="N116" s="69">
        <f t="shared" si="16"/>
        <v>4.6265000000000001</v>
      </c>
      <c r="O116" s="69">
        <f>N116+Control!$C$39</f>
        <v>4.6265000000000001</v>
      </c>
      <c r="P116" s="73">
        <f>VLOOKUP($A116,CurveFetch!$D$8:$E$367,2)</f>
        <v>4.8983808895936697E-2</v>
      </c>
      <c r="Q116" s="24">
        <f t="shared" si="26"/>
        <v>4.8983808895936697E-2</v>
      </c>
      <c r="R116" s="72">
        <f t="shared" ca="1" si="27"/>
        <v>3316</v>
      </c>
      <c r="S116" s="25">
        <f>VLOOKUP($A116,Curve_Fetch,VLOOKUP(Control!$AJ$10,Control!$AI$11:$AM$22,5))</f>
        <v>0.185</v>
      </c>
      <c r="T116" s="74">
        <f ca="1">_xll.EURO(N116,O116,P116,Q116,S116,R116,IF(Control!$C$38="Call",1,0),0)</f>
        <v>0.65105486562462689</v>
      </c>
      <c r="U116" s="27">
        <f t="shared" ca="1" si="17"/>
        <v>0</v>
      </c>
      <c r="V116" s="76"/>
      <c r="W116" s="197"/>
      <c r="X116" s="197"/>
      <c r="Y116" s="197"/>
      <c r="AA116" s="210"/>
      <c r="AB116" s="210"/>
      <c r="AC116" s="211"/>
      <c r="AD116" s="212"/>
      <c r="AE116" s="213"/>
      <c r="AF116" s="214"/>
      <c r="AG116" s="215"/>
      <c r="AH116" s="216"/>
      <c r="AI116" s="27"/>
      <c r="AJ116" s="28">
        <f t="shared" si="18"/>
        <v>0.125</v>
      </c>
      <c r="AL116" s="24">
        <f t="shared" si="28"/>
        <v>4.9079683094479097E-2</v>
      </c>
      <c r="AM116" s="25">
        <f t="shared" ca="1" si="29"/>
        <v>0.63905309069455662</v>
      </c>
      <c r="AO116" s="26">
        <f t="shared" ca="1" si="19"/>
        <v>0</v>
      </c>
      <c r="AP116" s="26"/>
      <c r="AQ116" s="26">
        <f t="shared" ca="1" si="20"/>
        <v>0</v>
      </c>
      <c r="AR116" s="26"/>
      <c r="AS116" s="27">
        <f t="shared" ca="1" si="21"/>
        <v>0</v>
      </c>
      <c r="AT116" s="27">
        <f t="shared" ca="1" si="22"/>
        <v>0</v>
      </c>
      <c r="AU116" s="27">
        <f t="shared" ca="1" si="23"/>
        <v>0</v>
      </c>
      <c r="AV116" s="27"/>
      <c r="AW116" s="27"/>
      <c r="AY116" s="216"/>
      <c r="AZ116" s="216"/>
      <c r="BA116" s="233"/>
      <c r="BC116" s="216"/>
      <c r="BE116" s="69"/>
    </row>
    <row r="117" spans="1:57">
      <c r="A117" s="19">
        <f>[1]!_xludf.edate(A116,1)</f>
        <v>40544</v>
      </c>
      <c r="B117" s="21">
        <f t="shared" si="30"/>
        <v>31</v>
      </c>
      <c r="C117" s="20">
        <f>IF(Control!$F$18="Physical",Model!A118+24,Model!A118)</f>
        <v>40599</v>
      </c>
      <c r="E117" s="22">
        <f>IF($A117&lt;End_Date,IF(Control!$C$20="Flat",Control!$C$21,VLOOKUP(Model!$A117,Euro!$B$29:$D$182,3)),0)</f>
        <v>0</v>
      </c>
      <c r="F117" s="22">
        <f t="shared" si="24"/>
        <v>0</v>
      </c>
      <c r="H117" s="23">
        <f>IF(Control!$C$27="Mid",VLOOKUP($A117,CurveFetch!$D$8:$F$367,3),VLOOKUP($A117,Euro!$B$29:$I$182,8))</f>
        <v>4.8215000000000003</v>
      </c>
      <c r="I117" s="23"/>
      <c r="J117" s="23">
        <f>IF($J$4="Mid",VLOOKUP($A117,Curve_Fetch,VLOOKUP(Control!$AJ$10,Control!$AI$11:$AK$22,3)),VLOOKUP($A117,Euro!$B$29:$M$182,12))</f>
        <v>-0.13</v>
      </c>
      <c r="K117" s="228">
        <f>IF(Control!$F$18="Physical",IF($K$4="Mid",VLOOKUP($A117,Curve_Fetch,VLOOKUP(Control!$AJ$10,Control!$AI$11:$AL$22,4)),VLOOKUP($A117,Euro!$B$29:$Q$182,16)),0)</f>
        <v>5.0000000000000001E-3</v>
      </c>
      <c r="L117" s="23">
        <f t="shared" si="25"/>
        <v>-0.125</v>
      </c>
      <c r="M117" s="23"/>
      <c r="N117" s="69">
        <f t="shared" si="16"/>
        <v>4.6965000000000003</v>
      </c>
      <c r="O117" s="69">
        <f>N117+Control!$C$39</f>
        <v>4.6965000000000003</v>
      </c>
      <c r="P117" s="73">
        <f>VLOOKUP($A117,CurveFetch!$D$8:$E$367,2)</f>
        <v>4.9079683094479097E-2</v>
      </c>
      <c r="Q117" s="24">
        <f t="shared" si="26"/>
        <v>4.9079683094479097E-2</v>
      </c>
      <c r="R117" s="72">
        <f t="shared" ca="1" si="27"/>
        <v>3347</v>
      </c>
      <c r="S117" s="25">
        <f>VLOOKUP($A117,Curve_Fetch,VLOOKUP(Control!$AJ$10,Control!$AI$11:$AM$22,5))</f>
        <v>0.185</v>
      </c>
      <c r="T117" s="74">
        <f ca="1">_xll.EURO(N117,O117,P117,Q117,S117,R117,IF(Control!$C$38="Call",1,0),0)</f>
        <v>0.6605730175824851</v>
      </c>
      <c r="U117" s="27">
        <f t="shared" ca="1" si="17"/>
        <v>0</v>
      </c>
      <c r="V117" s="76"/>
      <c r="W117" s="197"/>
      <c r="X117" s="197"/>
      <c r="Y117" s="197"/>
      <c r="AA117" s="210"/>
      <c r="AB117" s="210"/>
      <c r="AC117" s="211"/>
      <c r="AD117" s="212"/>
      <c r="AE117" s="213"/>
      <c r="AF117" s="214"/>
      <c r="AG117" s="215"/>
      <c r="AH117" s="216"/>
      <c r="AI117" s="27"/>
      <c r="AJ117" s="28">
        <f t="shared" si="18"/>
        <v>0.125</v>
      </c>
      <c r="AL117" s="24">
        <f t="shared" si="28"/>
        <v>4.9175557296091903E-2</v>
      </c>
      <c r="AM117" s="25">
        <f t="shared" ca="1" si="29"/>
        <v>0.63587383758435689</v>
      </c>
      <c r="AO117" s="26">
        <f t="shared" ca="1" si="19"/>
        <v>0</v>
      </c>
      <c r="AP117" s="26"/>
      <c r="AQ117" s="26">
        <f t="shared" ca="1" si="20"/>
        <v>0</v>
      </c>
      <c r="AR117" s="26"/>
      <c r="AS117" s="27">
        <f t="shared" ca="1" si="21"/>
        <v>0</v>
      </c>
      <c r="AT117" s="27">
        <f t="shared" ca="1" si="22"/>
        <v>0</v>
      </c>
      <c r="AU117" s="27">
        <f t="shared" ca="1" si="23"/>
        <v>0</v>
      </c>
      <c r="AV117" s="27"/>
      <c r="AW117" s="27"/>
      <c r="AY117" s="216"/>
      <c r="AZ117" s="216"/>
      <c r="BA117" s="233"/>
      <c r="BC117" s="216"/>
      <c r="BE117" s="69"/>
    </row>
    <row r="118" spans="1:57">
      <c r="A118" s="19">
        <f>[1]!_xludf.edate(A117,1)</f>
        <v>40575</v>
      </c>
      <c r="B118" s="21">
        <f t="shared" si="30"/>
        <v>28</v>
      </c>
      <c r="C118" s="20">
        <f>IF(Control!$F$18="Physical",Model!A119+24,Model!A119)</f>
        <v>40627</v>
      </c>
      <c r="E118" s="22">
        <f>IF($A118&lt;End_Date,IF(Control!$C$20="Flat",Control!$C$21,VLOOKUP(Model!$A118,Euro!$B$29:$D$182,3)),0)</f>
        <v>0</v>
      </c>
      <c r="F118" s="22">
        <f t="shared" si="24"/>
        <v>0</v>
      </c>
      <c r="H118" s="23">
        <f>IF(Control!$C$27="Mid",VLOOKUP($A118,CurveFetch!$D$8:$F$367,3),VLOOKUP($A118,Euro!$B$29:$I$182,8))</f>
        <v>4.7335000000000003</v>
      </c>
      <c r="I118" s="23"/>
      <c r="J118" s="23">
        <f>IF($J$4="Mid",VLOOKUP($A118,Curve_Fetch,VLOOKUP(Control!$AJ$10,Control!$AI$11:$AK$22,3)),VLOOKUP($A118,Euro!$B$29:$M$182,12))</f>
        <v>-0.13</v>
      </c>
      <c r="K118" s="228">
        <f>IF(Control!$F$18="Physical",IF($K$4="Mid",VLOOKUP($A118,Curve_Fetch,VLOOKUP(Control!$AJ$10,Control!$AI$11:$AL$22,4)),VLOOKUP($A118,Euro!$B$29:$Q$182,16)),0)</f>
        <v>5.0000000000000001E-3</v>
      </c>
      <c r="L118" s="23">
        <f t="shared" si="25"/>
        <v>-0.125</v>
      </c>
      <c r="M118" s="23"/>
      <c r="N118" s="69">
        <f t="shared" si="16"/>
        <v>4.6085000000000003</v>
      </c>
      <c r="O118" s="69">
        <f>N118+Control!$C$39</f>
        <v>4.6085000000000003</v>
      </c>
      <c r="P118" s="73">
        <f>VLOOKUP($A118,CurveFetch!$D$8:$E$367,2)</f>
        <v>4.9175557296091903E-2</v>
      </c>
      <c r="Q118" s="24">
        <f t="shared" si="26"/>
        <v>4.9175557296091903E-2</v>
      </c>
      <c r="R118" s="72">
        <f t="shared" ca="1" si="27"/>
        <v>3378</v>
      </c>
      <c r="S118" s="25">
        <f>VLOOKUP($A118,Curve_Fetch,VLOOKUP(Control!$AJ$10,Control!$AI$11:$AM$22,5))</f>
        <v>0.185</v>
      </c>
      <c r="T118" s="74">
        <f ca="1">_xll.EURO(N118,O118,P118,Q118,S118,R118,IF(Control!$C$38="Call",1,0),0)</f>
        <v>0.64783123666430287</v>
      </c>
      <c r="U118" s="27">
        <f t="shared" ca="1" si="17"/>
        <v>0</v>
      </c>
      <c r="V118" s="76"/>
      <c r="W118" s="197"/>
      <c r="X118" s="197"/>
      <c r="Y118" s="197"/>
      <c r="AA118" s="210"/>
      <c r="AB118" s="210"/>
      <c r="AC118" s="211"/>
      <c r="AD118" s="212"/>
      <c r="AE118" s="213"/>
      <c r="AF118" s="214"/>
      <c r="AG118" s="215"/>
      <c r="AH118" s="216"/>
      <c r="AI118" s="27"/>
      <c r="AJ118" s="28">
        <f t="shared" si="18"/>
        <v>0.125</v>
      </c>
      <c r="AL118" s="24">
        <f t="shared" si="28"/>
        <v>4.92621533518003E-2</v>
      </c>
      <c r="AM118" s="25">
        <f t="shared" ca="1" si="29"/>
        <v>0.63300723102798506</v>
      </c>
      <c r="AO118" s="26">
        <f t="shared" ca="1" si="19"/>
        <v>0</v>
      </c>
      <c r="AP118" s="26"/>
      <c r="AQ118" s="26">
        <f t="shared" ca="1" si="20"/>
        <v>0</v>
      </c>
      <c r="AR118" s="26"/>
      <c r="AS118" s="27">
        <f t="shared" ca="1" si="21"/>
        <v>0</v>
      </c>
      <c r="AT118" s="27">
        <f t="shared" ca="1" si="22"/>
        <v>0</v>
      </c>
      <c r="AU118" s="27">
        <f t="shared" ca="1" si="23"/>
        <v>0</v>
      </c>
      <c r="AV118" s="27"/>
      <c r="AW118" s="27"/>
      <c r="AY118" s="216"/>
      <c r="AZ118" s="216"/>
      <c r="BA118" s="233"/>
      <c r="BC118" s="216"/>
      <c r="BE118" s="69"/>
    </row>
    <row r="119" spans="1:57">
      <c r="A119" s="19">
        <f>[1]!_xludf.edate(A118,1)</f>
        <v>40603</v>
      </c>
      <c r="B119" s="21">
        <f t="shared" si="30"/>
        <v>31</v>
      </c>
      <c r="C119" s="20">
        <f>IF(Control!$F$18="Physical",Model!A120+24,Model!A120)</f>
        <v>40658</v>
      </c>
      <c r="E119" s="22">
        <f>IF($A119&lt;End_Date,IF(Control!$C$20="Flat",Control!$C$21,VLOOKUP(Model!$A119,Euro!$B$29:$D$182,3)),0)</f>
        <v>0</v>
      </c>
      <c r="F119" s="22">
        <f t="shared" si="24"/>
        <v>0</v>
      </c>
      <c r="H119" s="23">
        <f>IF(Control!$C$27="Mid",VLOOKUP($A119,CurveFetch!$D$8:$F$367,3),VLOOKUP($A119,Euro!$B$29:$I$182,8))</f>
        <v>4.5945</v>
      </c>
      <c r="I119" s="23"/>
      <c r="J119" s="23">
        <f>IF($J$4="Mid",VLOOKUP($A119,Curve_Fetch,VLOOKUP(Control!$AJ$10,Control!$AI$11:$AK$22,3)),VLOOKUP($A119,Euro!$B$29:$M$182,12))</f>
        <v>-0.13</v>
      </c>
      <c r="K119" s="228">
        <f>IF(Control!$F$18="Physical",IF($K$4="Mid",VLOOKUP($A119,Curve_Fetch,VLOOKUP(Control!$AJ$10,Control!$AI$11:$AL$22,4)),VLOOKUP($A119,Euro!$B$29:$Q$182,16)),0)</f>
        <v>5.0000000000000001E-3</v>
      </c>
      <c r="L119" s="23">
        <f t="shared" si="25"/>
        <v>-0.125</v>
      </c>
      <c r="M119" s="23"/>
      <c r="N119" s="69">
        <f t="shared" si="16"/>
        <v>4.4695</v>
      </c>
      <c r="O119" s="69">
        <f>N119+Control!$C$39</f>
        <v>4.4695</v>
      </c>
      <c r="P119" s="73">
        <f>VLOOKUP($A119,CurveFetch!$D$8:$E$367,2)</f>
        <v>4.92621533518003E-2</v>
      </c>
      <c r="Q119" s="24">
        <f t="shared" si="26"/>
        <v>4.92621533518003E-2</v>
      </c>
      <c r="R119" s="72">
        <f t="shared" ca="1" si="27"/>
        <v>3406</v>
      </c>
      <c r="S119" s="25">
        <f>VLOOKUP($A119,Curve_Fetch,VLOOKUP(Control!$AJ$10,Control!$AI$11:$AM$22,5))</f>
        <v>0.18</v>
      </c>
      <c r="T119" s="74">
        <f ca="1">_xll.EURO(N119,O119,P119,Q119,S119,R119,IF(Control!$C$38="Call",1,0),0)</f>
        <v>0.61139856562769501</v>
      </c>
      <c r="U119" s="27">
        <f t="shared" ca="1" si="17"/>
        <v>0</v>
      </c>
      <c r="V119" s="76"/>
      <c r="W119" s="197"/>
      <c r="X119" s="197"/>
      <c r="Y119" s="197"/>
      <c r="AA119" s="210"/>
      <c r="AB119" s="210"/>
      <c r="AC119" s="211"/>
      <c r="AD119" s="212"/>
      <c r="AE119" s="213"/>
      <c r="AF119" s="214"/>
      <c r="AG119" s="215"/>
      <c r="AH119" s="216"/>
      <c r="AI119" s="27"/>
      <c r="AJ119" s="28">
        <f t="shared" si="18"/>
        <v>0.125</v>
      </c>
      <c r="AL119" s="24">
        <f t="shared" si="28"/>
        <v>4.9358027559256397E-2</v>
      </c>
      <c r="AM119" s="25">
        <f t="shared" ca="1" si="29"/>
        <v>0.62983906461155825</v>
      </c>
      <c r="AO119" s="26">
        <f t="shared" ca="1" si="19"/>
        <v>0</v>
      </c>
      <c r="AP119" s="26"/>
      <c r="AQ119" s="26">
        <f t="shared" ca="1" si="20"/>
        <v>0</v>
      </c>
      <c r="AR119" s="26"/>
      <c r="AS119" s="27">
        <f t="shared" ca="1" si="21"/>
        <v>0</v>
      </c>
      <c r="AT119" s="27">
        <f t="shared" ca="1" si="22"/>
        <v>0</v>
      </c>
      <c r="AU119" s="27">
        <f t="shared" ca="1" si="23"/>
        <v>0</v>
      </c>
      <c r="AV119" s="27"/>
      <c r="AW119" s="27"/>
      <c r="AY119" s="216"/>
      <c r="AZ119" s="216"/>
      <c r="BA119" s="233"/>
      <c r="BC119" s="216"/>
      <c r="BE119" s="69"/>
    </row>
    <row r="120" spans="1:57">
      <c r="A120" s="19">
        <f>[1]!_xludf.edate(A119,1)</f>
        <v>40634</v>
      </c>
      <c r="B120" s="21">
        <f t="shared" si="30"/>
        <v>30</v>
      </c>
      <c r="C120" s="20">
        <f>IF(Control!$F$18="Physical",Model!A121+24,Model!A121)</f>
        <v>40688</v>
      </c>
      <c r="E120" s="22">
        <f>IF($A120&lt;End_Date,IF(Control!$C$20="Flat",Control!$C$21,VLOOKUP(Model!$A120,Euro!$B$29:$D$182,3)),0)</f>
        <v>0</v>
      </c>
      <c r="F120" s="22">
        <f t="shared" si="24"/>
        <v>0</v>
      </c>
      <c r="H120" s="23">
        <f>IF(Control!$C$27="Mid",VLOOKUP($A120,CurveFetch!$D$8:$F$367,3),VLOOKUP($A120,Euro!$B$29:$I$182,8))</f>
        <v>4.4405000000000001</v>
      </c>
      <c r="I120" s="23"/>
      <c r="J120" s="23">
        <f>IF($J$4="Mid",VLOOKUP($A120,Curve_Fetch,VLOOKUP(Control!$AJ$10,Control!$AI$11:$AK$22,3)),VLOOKUP($A120,Euro!$B$29:$M$182,12))</f>
        <v>-0.2</v>
      </c>
      <c r="K120" s="228">
        <f>IF(Control!$F$18="Physical",IF($K$4="Mid",VLOOKUP($A120,Curve_Fetch,VLOOKUP(Control!$AJ$10,Control!$AI$11:$AL$22,4)),VLOOKUP($A120,Euro!$B$29:$Q$182,16)),0)</f>
        <v>2.5000000000000001E-3</v>
      </c>
      <c r="L120" s="23">
        <f t="shared" si="25"/>
        <v>-0.19750000000000001</v>
      </c>
      <c r="M120" s="23"/>
      <c r="N120" s="69">
        <f t="shared" si="16"/>
        <v>4.2430000000000003</v>
      </c>
      <c r="O120" s="69">
        <f>N120+Control!$C$39</f>
        <v>4.2430000000000003</v>
      </c>
      <c r="P120" s="73">
        <f>VLOOKUP($A120,CurveFetch!$D$8:$E$367,2)</f>
        <v>4.9358027559256397E-2</v>
      </c>
      <c r="Q120" s="24">
        <f t="shared" si="26"/>
        <v>4.9358027559256397E-2</v>
      </c>
      <c r="R120" s="72">
        <f t="shared" ca="1" si="27"/>
        <v>3437</v>
      </c>
      <c r="S120" s="25">
        <f>VLOOKUP($A120,Curve_Fetch,VLOOKUP(Control!$AJ$10,Control!$AI$11:$AM$22,5))</f>
        <v>0.18</v>
      </c>
      <c r="T120" s="74">
        <f ca="1">_xll.EURO(N120,O120,P120,Q120,S120,R120,IF(Control!$C$38="Call",1,0),0)</f>
        <v>0.58002815561896526</v>
      </c>
      <c r="U120" s="27">
        <f t="shared" ca="1" si="17"/>
        <v>0</v>
      </c>
      <c r="V120" s="76"/>
      <c r="W120" s="197"/>
      <c r="X120" s="197"/>
      <c r="Y120" s="197"/>
      <c r="AA120" s="210"/>
      <c r="AB120" s="210"/>
      <c r="AC120" s="211"/>
      <c r="AD120" s="212"/>
      <c r="AE120" s="213"/>
      <c r="AF120" s="214"/>
      <c r="AG120" s="215"/>
      <c r="AH120" s="216"/>
      <c r="AI120" s="27"/>
      <c r="AJ120" s="28">
        <f t="shared" si="18"/>
        <v>0.19750000000000001</v>
      </c>
      <c r="AL120" s="24">
        <f t="shared" si="28"/>
        <v>4.9450809053265897E-2</v>
      </c>
      <c r="AM120" s="25">
        <f t="shared" ca="1" si="29"/>
        <v>0.6267787418627897</v>
      </c>
      <c r="AO120" s="26">
        <f t="shared" ca="1" si="19"/>
        <v>0</v>
      </c>
      <c r="AP120" s="26"/>
      <c r="AQ120" s="26">
        <f t="shared" ca="1" si="20"/>
        <v>0</v>
      </c>
      <c r="AR120" s="26"/>
      <c r="AS120" s="27">
        <f t="shared" ca="1" si="21"/>
        <v>0</v>
      </c>
      <c r="AT120" s="27">
        <f t="shared" ca="1" si="22"/>
        <v>0</v>
      </c>
      <c r="AU120" s="27">
        <f t="shared" ca="1" si="23"/>
        <v>0</v>
      </c>
      <c r="AV120" s="27"/>
      <c r="AW120" s="27"/>
      <c r="AY120" s="216"/>
      <c r="AZ120" s="216"/>
      <c r="BA120" s="233"/>
      <c r="BC120" s="216"/>
      <c r="BE120" s="69"/>
    </row>
    <row r="121" spans="1:57">
      <c r="A121" s="19">
        <f>[1]!_xludf.edate(A120,1)</f>
        <v>40664</v>
      </c>
      <c r="B121" s="21">
        <f t="shared" si="30"/>
        <v>31</v>
      </c>
      <c r="C121" s="20">
        <f>IF(Control!$F$18="Physical",Model!A122+24,Model!A122)</f>
        <v>40719</v>
      </c>
      <c r="E121" s="22">
        <f>IF($A121&lt;End_Date,IF(Control!$C$20="Flat",Control!$C$21,VLOOKUP(Model!$A121,Euro!$B$29:$D$182,3)),0)</f>
        <v>0</v>
      </c>
      <c r="F121" s="22">
        <f t="shared" si="24"/>
        <v>0</v>
      </c>
      <c r="H121" s="23">
        <f>IF(Control!$C$27="Mid",VLOOKUP($A121,CurveFetch!$D$8:$F$367,3),VLOOKUP($A121,Euro!$B$29:$I$182,8))</f>
        <v>4.4455</v>
      </c>
      <c r="I121" s="23"/>
      <c r="J121" s="23">
        <f>IF($J$4="Mid",VLOOKUP($A121,Curve_Fetch,VLOOKUP(Control!$AJ$10,Control!$AI$11:$AK$22,3)),VLOOKUP($A121,Euro!$B$29:$M$182,12))</f>
        <v>-0.2</v>
      </c>
      <c r="K121" s="228">
        <f>IF(Control!$F$18="Physical",IF($K$4="Mid",VLOOKUP($A121,Curve_Fetch,VLOOKUP(Control!$AJ$10,Control!$AI$11:$AL$22,4)),VLOOKUP($A121,Euro!$B$29:$Q$182,16)),0)</f>
        <v>2.5000000000000001E-3</v>
      </c>
      <c r="L121" s="23">
        <f t="shared" si="25"/>
        <v>-0.19750000000000001</v>
      </c>
      <c r="M121" s="23"/>
      <c r="N121" s="69">
        <f t="shared" si="16"/>
        <v>4.2480000000000002</v>
      </c>
      <c r="O121" s="69">
        <f>N121+Control!$C$39</f>
        <v>4.2480000000000002</v>
      </c>
      <c r="P121" s="73">
        <f>VLOOKUP($A121,CurveFetch!$D$8:$E$367,2)</f>
        <v>4.9450809053265897E-2</v>
      </c>
      <c r="Q121" s="24">
        <f t="shared" si="26"/>
        <v>4.9450809053265897E-2</v>
      </c>
      <c r="R121" s="72">
        <f t="shared" ca="1" si="27"/>
        <v>3467</v>
      </c>
      <c r="S121" s="25">
        <f>VLOOKUP($A121,Curve_Fetch,VLOOKUP(Control!$AJ$10,Control!$AI$11:$AM$22,5))</f>
        <v>0.18</v>
      </c>
      <c r="T121" s="74">
        <f ca="1">_xll.EURO(N121,O121,P121,Q121,S121,R121,IF(Control!$C$38="Call",1,0),0)</f>
        <v>0.580305797513055</v>
      </c>
      <c r="U121" s="27">
        <f t="shared" ca="1" si="17"/>
        <v>0</v>
      </c>
      <c r="V121" s="76"/>
      <c r="W121" s="197"/>
      <c r="X121" s="197"/>
      <c r="Y121" s="197"/>
      <c r="AA121" s="210"/>
      <c r="AB121" s="210"/>
      <c r="AC121" s="211"/>
      <c r="AD121" s="212"/>
      <c r="AE121" s="213"/>
      <c r="AF121" s="214"/>
      <c r="AG121" s="215"/>
      <c r="AH121" s="216"/>
      <c r="AI121" s="27"/>
      <c r="AJ121" s="28">
        <f t="shared" si="18"/>
        <v>0.19750000000000001</v>
      </c>
      <c r="AL121" s="24">
        <f t="shared" si="28"/>
        <v>4.9546683266762599E-2</v>
      </c>
      <c r="AM121" s="25">
        <f t="shared" ca="1" si="29"/>
        <v>0.62362231023870085</v>
      </c>
      <c r="AO121" s="26">
        <f t="shared" ca="1" si="19"/>
        <v>0</v>
      </c>
      <c r="AP121" s="26"/>
      <c r="AQ121" s="26">
        <f t="shared" ca="1" si="20"/>
        <v>0</v>
      </c>
      <c r="AR121" s="26"/>
      <c r="AS121" s="27">
        <f t="shared" ca="1" si="21"/>
        <v>0</v>
      </c>
      <c r="AT121" s="27">
        <f t="shared" ca="1" si="22"/>
        <v>0</v>
      </c>
      <c r="AU121" s="27">
        <f t="shared" ca="1" si="23"/>
        <v>0</v>
      </c>
      <c r="AV121" s="27"/>
      <c r="AW121" s="27"/>
      <c r="AY121" s="216"/>
      <c r="AZ121" s="216"/>
      <c r="BA121" s="233"/>
      <c r="BC121" s="216"/>
      <c r="BE121" s="69"/>
    </row>
    <row r="122" spans="1:57">
      <c r="A122" s="19">
        <f>[1]!_xludf.edate(A121,1)</f>
        <v>40695</v>
      </c>
      <c r="B122" s="21">
        <f t="shared" si="30"/>
        <v>30</v>
      </c>
      <c r="C122" s="20">
        <f>IF(Control!$F$18="Physical",Model!A123+24,Model!A123)</f>
        <v>40749</v>
      </c>
      <c r="E122" s="22">
        <f>IF($A122&lt;End_Date,IF(Control!$C$20="Flat",Control!$C$21,VLOOKUP(Model!$A122,Euro!$B$29:$D$182,3)),0)</f>
        <v>0</v>
      </c>
      <c r="F122" s="22">
        <f t="shared" si="24"/>
        <v>0</v>
      </c>
      <c r="H122" s="23">
        <f>IF(Control!$C$27="Mid",VLOOKUP($A122,CurveFetch!$D$8:$F$367,3),VLOOKUP($A122,Euro!$B$29:$I$182,8))</f>
        <v>4.4835000000000003</v>
      </c>
      <c r="I122" s="23"/>
      <c r="J122" s="23">
        <f>IF($J$4="Mid",VLOOKUP($A122,Curve_Fetch,VLOOKUP(Control!$AJ$10,Control!$AI$11:$AK$22,3)),VLOOKUP($A122,Euro!$B$29:$M$182,12))</f>
        <v>-0.2</v>
      </c>
      <c r="K122" s="228">
        <f>IF(Control!$F$18="Physical",IF($K$4="Mid",VLOOKUP($A122,Curve_Fetch,VLOOKUP(Control!$AJ$10,Control!$AI$11:$AL$22,4)),VLOOKUP($A122,Euro!$B$29:$Q$182,16)),0)</f>
        <v>2.5000000000000001E-3</v>
      </c>
      <c r="L122" s="23">
        <f t="shared" si="25"/>
        <v>-0.19750000000000001</v>
      </c>
      <c r="M122" s="23"/>
      <c r="N122" s="69">
        <f t="shared" si="16"/>
        <v>4.2860000000000005</v>
      </c>
      <c r="O122" s="69">
        <f>N122+Control!$C$39</f>
        <v>4.2860000000000005</v>
      </c>
      <c r="P122" s="73">
        <f>VLOOKUP($A122,CurveFetch!$D$8:$E$367,2)</f>
        <v>4.9546683266762599E-2</v>
      </c>
      <c r="Q122" s="24">
        <f t="shared" si="26"/>
        <v>4.9546683266762599E-2</v>
      </c>
      <c r="R122" s="72">
        <f t="shared" ca="1" si="27"/>
        <v>3498</v>
      </c>
      <c r="S122" s="25">
        <f>VLOOKUP($A122,Curve_Fetch,VLOOKUP(Control!$AJ$10,Control!$AI$11:$AM$22,5))</f>
        <v>0.18</v>
      </c>
      <c r="T122" s="74">
        <f ca="1">_xll.EURO(N122,O122,P122,Q122,S122,R122,IF(Control!$C$38="Call",1,0),0)</f>
        <v>0.58504163834280987</v>
      </c>
      <c r="U122" s="27">
        <f t="shared" ca="1" si="17"/>
        <v>0</v>
      </c>
      <c r="V122" s="76"/>
      <c r="W122" s="197"/>
      <c r="X122" s="197"/>
      <c r="Y122" s="197"/>
      <c r="AA122" s="210"/>
      <c r="AB122" s="210"/>
      <c r="AC122" s="211"/>
      <c r="AD122" s="212"/>
      <c r="AE122" s="213"/>
      <c r="AF122" s="214"/>
      <c r="AG122" s="215"/>
      <c r="AH122" s="216"/>
      <c r="AI122" s="27"/>
      <c r="AJ122" s="28">
        <f t="shared" si="18"/>
        <v>0.19750000000000001</v>
      </c>
      <c r="AL122" s="24">
        <f t="shared" si="28"/>
        <v>4.9639464766617597E-2</v>
      </c>
      <c r="AM122" s="25">
        <f t="shared" ca="1" si="29"/>
        <v>0.62057347591539391</v>
      </c>
      <c r="AO122" s="26">
        <f t="shared" ca="1" si="19"/>
        <v>0</v>
      </c>
      <c r="AP122" s="26"/>
      <c r="AQ122" s="26">
        <f t="shared" ca="1" si="20"/>
        <v>0</v>
      </c>
      <c r="AR122" s="26"/>
      <c r="AS122" s="27">
        <f t="shared" ca="1" si="21"/>
        <v>0</v>
      </c>
      <c r="AT122" s="27">
        <f t="shared" ca="1" si="22"/>
        <v>0</v>
      </c>
      <c r="AU122" s="27">
        <f t="shared" ca="1" si="23"/>
        <v>0</v>
      </c>
      <c r="AV122" s="27"/>
      <c r="AW122" s="27"/>
      <c r="AY122" s="216"/>
      <c r="AZ122" s="216"/>
      <c r="BA122" s="233"/>
      <c r="BC122" s="216"/>
      <c r="BE122" s="69"/>
    </row>
    <row r="123" spans="1:57">
      <c r="A123" s="19">
        <f>[1]!_xludf.edate(A122,1)</f>
        <v>40725</v>
      </c>
      <c r="B123" s="21">
        <f t="shared" si="30"/>
        <v>31</v>
      </c>
      <c r="C123" s="20">
        <f>IF(Control!$F$18="Physical",Model!A124+24,Model!A124)</f>
        <v>40780</v>
      </c>
      <c r="E123" s="22">
        <f>IF($A123&lt;End_Date,IF(Control!$C$20="Flat",Control!$C$21,VLOOKUP(Model!$A123,Euro!$B$29:$D$182,3)),0)</f>
        <v>0</v>
      </c>
      <c r="F123" s="22">
        <f t="shared" si="24"/>
        <v>0</v>
      </c>
      <c r="H123" s="23">
        <f>IF(Control!$C$27="Mid",VLOOKUP($A123,CurveFetch!$D$8:$F$367,3),VLOOKUP($A123,Euro!$B$29:$I$182,8))</f>
        <v>4.5285000000000002</v>
      </c>
      <c r="I123" s="23"/>
      <c r="J123" s="23">
        <f>IF($J$4="Mid",VLOOKUP($A123,Curve_Fetch,VLOOKUP(Control!$AJ$10,Control!$AI$11:$AK$22,3)),VLOOKUP($A123,Euro!$B$29:$M$182,12))</f>
        <v>-0.2</v>
      </c>
      <c r="K123" s="228">
        <f>IF(Control!$F$18="Physical",IF($K$4="Mid",VLOOKUP($A123,Curve_Fetch,VLOOKUP(Control!$AJ$10,Control!$AI$11:$AL$22,4)),VLOOKUP($A123,Euro!$B$29:$Q$182,16)),0)</f>
        <v>2.5000000000000001E-3</v>
      </c>
      <c r="L123" s="23">
        <f t="shared" si="25"/>
        <v>-0.19750000000000001</v>
      </c>
      <c r="M123" s="23"/>
      <c r="N123" s="69">
        <f t="shared" si="16"/>
        <v>4.3310000000000004</v>
      </c>
      <c r="O123" s="69">
        <f>N123+Control!$C$39</f>
        <v>4.3310000000000004</v>
      </c>
      <c r="P123" s="73">
        <f>VLOOKUP($A123,CurveFetch!$D$8:$E$367,2)</f>
        <v>4.9639464766617597E-2</v>
      </c>
      <c r="Q123" s="24">
        <f t="shared" si="26"/>
        <v>4.9639464766617597E-2</v>
      </c>
      <c r="R123" s="72">
        <f t="shared" ca="1" si="27"/>
        <v>3528</v>
      </c>
      <c r="S123" s="25">
        <f>VLOOKUP($A123,Curve_Fetch,VLOOKUP(Control!$AJ$10,Control!$AI$11:$AM$22,5))</f>
        <v>0.18</v>
      </c>
      <c r="T123" s="74">
        <f ca="1">_xll.EURO(N123,O123,P123,Q123,S123,R123,IF(Control!$C$38="Call",1,0),0)</f>
        <v>0.5907081076089653</v>
      </c>
      <c r="U123" s="27">
        <f t="shared" ca="1" si="17"/>
        <v>0</v>
      </c>
      <c r="V123" s="76"/>
      <c r="W123" s="197"/>
      <c r="X123" s="197"/>
      <c r="Y123" s="197"/>
      <c r="AA123" s="210"/>
      <c r="AB123" s="210"/>
      <c r="AC123" s="211"/>
      <c r="AD123" s="212"/>
      <c r="AE123" s="213"/>
      <c r="AF123" s="214"/>
      <c r="AG123" s="215"/>
      <c r="AH123" s="216"/>
      <c r="AI123" s="27"/>
      <c r="AJ123" s="28">
        <f t="shared" si="18"/>
        <v>0.19750000000000001</v>
      </c>
      <c r="AL123" s="24">
        <f t="shared" si="28"/>
        <v>4.9735338986154301E-2</v>
      </c>
      <c r="AM123" s="25">
        <f t="shared" ca="1" si="29"/>
        <v>0.61742905099659229</v>
      </c>
      <c r="AO123" s="26">
        <f t="shared" ca="1" si="19"/>
        <v>0</v>
      </c>
      <c r="AP123" s="26"/>
      <c r="AQ123" s="26">
        <f t="shared" ca="1" si="20"/>
        <v>0</v>
      </c>
      <c r="AR123" s="26"/>
      <c r="AS123" s="27">
        <f t="shared" ca="1" si="21"/>
        <v>0</v>
      </c>
      <c r="AT123" s="27">
        <f t="shared" ca="1" si="22"/>
        <v>0</v>
      </c>
      <c r="AU123" s="27">
        <f t="shared" ca="1" si="23"/>
        <v>0</v>
      </c>
      <c r="AV123" s="27"/>
      <c r="AW123" s="27"/>
      <c r="AY123" s="216"/>
      <c r="AZ123" s="216"/>
      <c r="BA123" s="233"/>
      <c r="BC123" s="216"/>
      <c r="BE123" s="69"/>
    </row>
    <row r="124" spans="1:57">
      <c r="A124" s="19">
        <f>[1]!_xludf.edate(A123,1)</f>
        <v>40756</v>
      </c>
      <c r="B124" s="21">
        <f t="shared" si="30"/>
        <v>31</v>
      </c>
      <c r="C124" s="20">
        <f>IF(Control!$F$18="Physical",Model!A125+24,Model!A125)</f>
        <v>40811</v>
      </c>
      <c r="E124" s="22">
        <f>IF($A124&lt;End_Date,IF(Control!$C$20="Flat",Control!$C$21,VLOOKUP(Model!$A124,Euro!$B$29:$D$182,3)),0)</f>
        <v>0</v>
      </c>
      <c r="F124" s="22">
        <f t="shared" si="24"/>
        <v>0</v>
      </c>
      <c r="H124" s="23">
        <f>IF(Control!$C$27="Mid",VLOOKUP($A124,CurveFetch!$D$8:$F$367,3),VLOOKUP($A124,Euro!$B$29:$I$182,8))</f>
        <v>4.5664999999999996</v>
      </c>
      <c r="I124" s="23"/>
      <c r="J124" s="23">
        <f>IF($J$4="Mid",VLOOKUP($A124,Curve_Fetch,VLOOKUP(Control!$AJ$10,Control!$AI$11:$AK$22,3)),VLOOKUP($A124,Euro!$B$29:$M$182,12))</f>
        <v>-0.2</v>
      </c>
      <c r="K124" s="228">
        <f>IF(Control!$F$18="Physical",IF($K$4="Mid",VLOOKUP($A124,Curve_Fetch,VLOOKUP(Control!$AJ$10,Control!$AI$11:$AL$22,4)),VLOOKUP($A124,Euro!$B$29:$Q$182,16)),0)</f>
        <v>2.5000000000000001E-3</v>
      </c>
      <c r="L124" s="23">
        <f t="shared" si="25"/>
        <v>-0.19750000000000001</v>
      </c>
      <c r="M124" s="23"/>
      <c r="N124" s="69">
        <f t="shared" si="16"/>
        <v>4.3689999999999998</v>
      </c>
      <c r="O124" s="69">
        <f>N124+Control!$C$39</f>
        <v>4.3689999999999998</v>
      </c>
      <c r="P124" s="73">
        <f>VLOOKUP($A124,CurveFetch!$D$8:$E$367,2)</f>
        <v>4.9735338986154301E-2</v>
      </c>
      <c r="Q124" s="24">
        <f t="shared" si="26"/>
        <v>4.9735338986154301E-2</v>
      </c>
      <c r="R124" s="72">
        <f t="shared" ca="1" si="27"/>
        <v>3559</v>
      </c>
      <c r="S124" s="25">
        <f>VLOOKUP($A124,Curve_Fetch,VLOOKUP(Control!$AJ$10,Control!$AI$11:$AM$22,5))</f>
        <v>0.18</v>
      </c>
      <c r="T124" s="74">
        <f ca="1">_xll.EURO(N124,O124,P124,Q124,S124,R124,IF(Control!$C$38="Call",1,0),0)</f>
        <v>0.59536298009919242</v>
      </c>
      <c r="U124" s="27">
        <f t="shared" ca="1" si="17"/>
        <v>0</v>
      </c>
      <c r="V124" s="76"/>
      <c r="W124" s="197"/>
      <c r="X124" s="197"/>
      <c r="Y124" s="197"/>
      <c r="AA124" s="210"/>
      <c r="AB124" s="210"/>
      <c r="AC124" s="211"/>
      <c r="AD124" s="212"/>
      <c r="AE124" s="213"/>
      <c r="AF124" s="214"/>
      <c r="AG124" s="215"/>
      <c r="AH124" s="216"/>
      <c r="AI124" s="27"/>
      <c r="AJ124" s="28">
        <f t="shared" si="18"/>
        <v>0.19750000000000001</v>
      </c>
      <c r="AL124" s="24">
        <f t="shared" si="28"/>
        <v>4.9831213208761001E-2</v>
      </c>
      <c r="AM124" s="25">
        <f t="shared" ca="1" si="29"/>
        <v>0.61429083045817245</v>
      </c>
      <c r="AO124" s="26">
        <f t="shared" ca="1" si="19"/>
        <v>0</v>
      </c>
      <c r="AP124" s="26"/>
      <c r="AQ124" s="26">
        <f t="shared" ca="1" si="20"/>
        <v>0</v>
      </c>
      <c r="AR124" s="26"/>
      <c r="AS124" s="27">
        <f t="shared" ca="1" si="21"/>
        <v>0</v>
      </c>
      <c r="AT124" s="27">
        <f t="shared" ca="1" si="22"/>
        <v>0</v>
      </c>
      <c r="AU124" s="27">
        <f t="shared" ca="1" si="23"/>
        <v>0</v>
      </c>
      <c r="AV124" s="27"/>
      <c r="AW124" s="27"/>
      <c r="AY124" s="216"/>
      <c r="AZ124" s="216"/>
      <c r="BA124" s="233"/>
      <c r="BC124" s="216"/>
      <c r="BE124" s="69"/>
    </row>
    <row r="125" spans="1:57">
      <c r="A125" s="19">
        <f>[1]!_xludf.edate(A124,1)</f>
        <v>40787</v>
      </c>
      <c r="B125" s="21">
        <f t="shared" si="30"/>
        <v>30</v>
      </c>
      <c r="C125" s="20">
        <f>IF(Control!$F$18="Physical",Model!A126+24,Model!A126)</f>
        <v>40841</v>
      </c>
      <c r="E125" s="22">
        <f>IF($A125&lt;End_Date,IF(Control!$C$20="Flat",Control!$C$21,VLOOKUP(Model!$A125,Euro!$B$29:$D$182,3)),0)</f>
        <v>0</v>
      </c>
      <c r="F125" s="22">
        <f t="shared" si="24"/>
        <v>0</v>
      </c>
      <c r="H125" s="23">
        <f>IF(Control!$C$27="Mid",VLOOKUP($A125,CurveFetch!$D$8:$F$367,3),VLOOKUP($A125,Euro!$B$29:$I$182,8))</f>
        <v>4.5605000000000002</v>
      </c>
      <c r="I125" s="23"/>
      <c r="J125" s="23">
        <f>IF($J$4="Mid",VLOOKUP($A125,Curve_Fetch,VLOOKUP(Control!$AJ$10,Control!$AI$11:$AK$22,3)),VLOOKUP($A125,Euro!$B$29:$M$182,12))</f>
        <v>-0.2</v>
      </c>
      <c r="K125" s="228">
        <f>IF(Control!$F$18="Physical",IF($K$4="Mid",VLOOKUP($A125,Curve_Fetch,VLOOKUP(Control!$AJ$10,Control!$AI$11:$AL$22,4)),VLOOKUP($A125,Euro!$B$29:$Q$182,16)),0)</f>
        <v>2.5000000000000001E-3</v>
      </c>
      <c r="L125" s="23">
        <f t="shared" si="25"/>
        <v>-0.19750000000000001</v>
      </c>
      <c r="M125" s="23"/>
      <c r="N125" s="69">
        <f t="shared" si="16"/>
        <v>4.3630000000000004</v>
      </c>
      <c r="O125" s="69">
        <f>N125+Control!$C$39</f>
        <v>4.3630000000000004</v>
      </c>
      <c r="P125" s="73">
        <f>VLOOKUP($A125,CurveFetch!$D$8:$E$367,2)</f>
        <v>4.9831213208761001E-2</v>
      </c>
      <c r="Q125" s="24">
        <f t="shared" si="26"/>
        <v>4.9831213208761001E-2</v>
      </c>
      <c r="R125" s="72">
        <f t="shared" ca="1" si="27"/>
        <v>3590</v>
      </c>
      <c r="S125" s="25">
        <f>VLOOKUP($A125,Curve_Fetch,VLOOKUP(Control!$AJ$10,Control!$AI$11:$AM$22,5))</f>
        <v>0.18</v>
      </c>
      <c r="T125" s="74">
        <f ca="1">_xll.EURO(N125,O125,P125,Q125,S125,R125,IF(Control!$C$38="Call",1,0),0)</f>
        <v>0.59398638426588923</v>
      </c>
      <c r="U125" s="27">
        <f t="shared" ca="1" si="17"/>
        <v>0</v>
      </c>
      <c r="V125" s="76"/>
      <c r="W125" s="197"/>
      <c r="X125" s="197"/>
      <c r="Y125" s="197"/>
      <c r="AA125" s="210"/>
      <c r="AB125" s="210"/>
      <c r="AC125" s="211"/>
      <c r="AD125" s="212"/>
      <c r="AE125" s="213"/>
      <c r="AF125" s="214"/>
      <c r="AG125" s="215"/>
      <c r="AH125" s="216"/>
      <c r="AI125" s="27"/>
      <c r="AJ125" s="28">
        <f t="shared" si="18"/>
        <v>0.19750000000000001</v>
      </c>
      <c r="AL125" s="24">
        <f t="shared" si="28"/>
        <v>4.9923994717431697E-2</v>
      </c>
      <c r="AM125" s="25">
        <f t="shared" ca="1" si="29"/>
        <v>0.61125981456055256</v>
      </c>
      <c r="AO125" s="26">
        <f t="shared" ca="1" si="19"/>
        <v>0</v>
      </c>
      <c r="AP125" s="26"/>
      <c r="AQ125" s="26">
        <f t="shared" ca="1" si="20"/>
        <v>0</v>
      </c>
      <c r="AR125" s="26"/>
      <c r="AS125" s="27">
        <f t="shared" ca="1" si="21"/>
        <v>0</v>
      </c>
      <c r="AT125" s="27">
        <f t="shared" ca="1" si="22"/>
        <v>0</v>
      </c>
      <c r="AU125" s="27">
        <f t="shared" ca="1" si="23"/>
        <v>0</v>
      </c>
      <c r="AV125" s="27"/>
      <c r="AW125" s="27"/>
      <c r="AY125" s="216"/>
      <c r="AZ125" s="216"/>
      <c r="BA125" s="233"/>
      <c r="BC125" s="216"/>
      <c r="BE125" s="69"/>
    </row>
    <row r="126" spans="1:57">
      <c r="A126" s="19">
        <f>[1]!_xludf.edate(A125,1)</f>
        <v>40817</v>
      </c>
      <c r="B126" s="21">
        <f t="shared" si="30"/>
        <v>31</v>
      </c>
      <c r="C126" s="20">
        <f>IF(Control!$F$18="Physical",Model!A127+24,Model!A127)</f>
        <v>40872</v>
      </c>
      <c r="E126" s="22">
        <f>IF($A126&lt;End_Date,IF(Control!$C$20="Flat",Control!$C$21,VLOOKUP(Model!$A126,Euro!$B$29:$D$182,3)),0)</f>
        <v>0</v>
      </c>
      <c r="F126" s="22">
        <f t="shared" si="24"/>
        <v>0</v>
      </c>
      <c r="H126" s="23">
        <f>IF(Control!$C$27="Mid",VLOOKUP($A126,CurveFetch!$D$8:$F$367,3),VLOOKUP($A126,Euro!$B$29:$I$182,8))</f>
        <v>4.5605000000000002</v>
      </c>
      <c r="I126" s="23"/>
      <c r="J126" s="23">
        <f>IF($J$4="Mid",VLOOKUP($A126,Curve_Fetch,VLOOKUP(Control!$AJ$10,Control!$AI$11:$AK$22,3)),VLOOKUP($A126,Euro!$B$29:$M$182,12))</f>
        <v>-0.2</v>
      </c>
      <c r="K126" s="228">
        <f>IF(Control!$F$18="Physical",IF($K$4="Mid",VLOOKUP($A126,Curve_Fetch,VLOOKUP(Control!$AJ$10,Control!$AI$11:$AL$22,4)),VLOOKUP($A126,Euro!$B$29:$Q$182,16)),0)</f>
        <v>2.5000000000000001E-3</v>
      </c>
      <c r="L126" s="23">
        <f t="shared" si="25"/>
        <v>-0.19750000000000001</v>
      </c>
      <c r="M126" s="23"/>
      <c r="N126" s="69">
        <f t="shared" si="16"/>
        <v>4.3630000000000004</v>
      </c>
      <c r="O126" s="69">
        <f>N126+Control!$C$39</f>
        <v>4.3630000000000004</v>
      </c>
      <c r="P126" s="73">
        <f>VLOOKUP($A126,CurveFetch!$D$8:$E$367,2)</f>
        <v>4.9923994717431697E-2</v>
      </c>
      <c r="Q126" s="24">
        <f t="shared" si="26"/>
        <v>4.9923994717431697E-2</v>
      </c>
      <c r="R126" s="72">
        <f t="shared" ca="1" si="27"/>
        <v>3620</v>
      </c>
      <c r="S126" s="25">
        <f>VLOOKUP($A126,Curve_Fetch,VLOOKUP(Control!$AJ$10,Control!$AI$11:$AM$22,5))</f>
        <v>0.18</v>
      </c>
      <c r="T126" s="74">
        <f ca="1">_xll.EURO(N126,O126,P126,Q126,S126,R126,IF(Control!$C$38="Call",1,0),0)</f>
        <v>0.59341567974693099</v>
      </c>
      <c r="U126" s="27">
        <f t="shared" ca="1" si="17"/>
        <v>0</v>
      </c>
      <c r="V126" s="76"/>
      <c r="W126" s="197"/>
      <c r="X126" s="197"/>
      <c r="Y126" s="197"/>
      <c r="AA126" s="210"/>
      <c r="AB126" s="210"/>
      <c r="AC126" s="211"/>
      <c r="AD126" s="212"/>
      <c r="AE126" s="213"/>
      <c r="AF126" s="214"/>
      <c r="AG126" s="215"/>
      <c r="AH126" s="216"/>
      <c r="AI126" s="27"/>
      <c r="AJ126" s="28">
        <f t="shared" si="18"/>
        <v>0.19750000000000001</v>
      </c>
      <c r="AL126" s="24">
        <f t="shared" si="28"/>
        <v>5.00198689460776E-2</v>
      </c>
      <c r="AM126" s="25">
        <f t="shared" ca="1" si="29"/>
        <v>0.6081340014123563</v>
      </c>
      <c r="AO126" s="26">
        <f t="shared" ca="1" si="19"/>
        <v>0</v>
      </c>
      <c r="AP126" s="26"/>
      <c r="AQ126" s="26">
        <f t="shared" ca="1" si="20"/>
        <v>0</v>
      </c>
      <c r="AR126" s="26"/>
      <c r="AS126" s="27">
        <f t="shared" ca="1" si="21"/>
        <v>0</v>
      </c>
      <c r="AT126" s="27">
        <f t="shared" ca="1" si="22"/>
        <v>0</v>
      </c>
      <c r="AU126" s="27">
        <f t="shared" ca="1" si="23"/>
        <v>0</v>
      </c>
      <c r="AV126" s="27"/>
      <c r="AW126" s="27"/>
      <c r="AY126" s="216"/>
      <c r="AZ126" s="216"/>
      <c r="BA126" s="233"/>
      <c r="BC126" s="216"/>
      <c r="BE126" s="69"/>
    </row>
    <row r="127" spans="1:57">
      <c r="A127" s="19">
        <f>[1]!_xludf.edate(A126,1)</f>
        <v>40848</v>
      </c>
      <c r="B127" s="21">
        <f t="shared" si="30"/>
        <v>30</v>
      </c>
      <c r="C127" s="20">
        <f>IF(Control!$F$18="Physical",Model!A128+24,Model!A128)</f>
        <v>40902</v>
      </c>
      <c r="E127" s="22">
        <f>IF($A127&lt;End_Date,IF(Control!$C$20="Flat",Control!$C$21,VLOOKUP(Model!$A127,Euro!$B$29:$D$182,3)),0)</f>
        <v>0</v>
      </c>
      <c r="F127" s="22">
        <f t="shared" si="24"/>
        <v>0</v>
      </c>
      <c r="H127" s="23">
        <f>IF(Control!$C$27="Mid",VLOOKUP($A127,CurveFetch!$D$8:$F$367,3),VLOOKUP($A127,Euro!$B$29:$I$182,8))</f>
        <v>4.7305000000000001</v>
      </c>
      <c r="I127" s="23"/>
      <c r="J127" s="23">
        <f>IF($J$4="Mid",VLOOKUP($A127,Curve_Fetch,VLOOKUP(Control!$AJ$10,Control!$AI$11:$AK$22,3)),VLOOKUP($A127,Euro!$B$29:$M$182,12))</f>
        <v>-0.13</v>
      </c>
      <c r="K127" s="228">
        <f>IF(Control!$F$18="Physical",IF($K$4="Mid",VLOOKUP($A127,Curve_Fetch,VLOOKUP(Control!$AJ$10,Control!$AI$11:$AL$22,4)),VLOOKUP($A127,Euro!$B$29:$Q$182,16)),0)</f>
        <v>5.0000000000000001E-3</v>
      </c>
      <c r="L127" s="23">
        <f t="shared" si="25"/>
        <v>-0.125</v>
      </c>
      <c r="M127" s="23"/>
      <c r="N127" s="69">
        <f t="shared" si="16"/>
        <v>4.6055000000000001</v>
      </c>
      <c r="O127" s="69">
        <f>N127+Control!$C$39</f>
        <v>4.6055000000000001</v>
      </c>
      <c r="P127" s="73">
        <f>VLOOKUP($A127,CurveFetch!$D$8:$E$367,2)</f>
        <v>5.00198689460776E-2</v>
      </c>
      <c r="Q127" s="24">
        <f t="shared" si="26"/>
        <v>5.00198689460776E-2</v>
      </c>
      <c r="R127" s="72">
        <f t="shared" ca="1" si="27"/>
        <v>3651</v>
      </c>
      <c r="S127" s="25">
        <f>VLOOKUP($A127,Curve_Fetch,VLOOKUP(Control!$AJ$10,Control!$AI$11:$AM$22,5))</f>
        <v>0.18</v>
      </c>
      <c r="T127" s="74">
        <f ca="1">_xll.EURO(N127,O127,P127,Q127,S127,R127,IF(Control!$C$38="Call",1,0),0)</f>
        <v>0.62574384773077751</v>
      </c>
      <c r="U127" s="27">
        <f t="shared" ca="1" si="17"/>
        <v>0</v>
      </c>
      <c r="V127" s="76"/>
      <c r="W127" s="197"/>
      <c r="X127" s="197"/>
      <c r="Y127" s="197"/>
      <c r="AA127" s="210"/>
      <c r="AB127" s="210"/>
      <c r="AC127" s="211"/>
      <c r="AD127" s="212"/>
      <c r="AE127" s="213"/>
      <c r="AF127" s="214"/>
      <c r="AG127" s="215"/>
      <c r="AH127" s="216"/>
      <c r="AI127" s="27"/>
      <c r="AJ127" s="28">
        <f t="shared" si="18"/>
        <v>0.125</v>
      </c>
      <c r="AL127" s="24">
        <f t="shared" si="28"/>
        <v>5.0081824508970002E-2</v>
      </c>
      <c r="AM127" s="25">
        <f t="shared" ca="1" si="29"/>
        <v>0.60529983656292585</v>
      </c>
      <c r="AO127" s="26">
        <f t="shared" ca="1" si="19"/>
        <v>0</v>
      </c>
      <c r="AP127" s="26"/>
      <c r="AQ127" s="26">
        <f t="shared" ca="1" si="20"/>
        <v>0</v>
      </c>
      <c r="AR127" s="26"/>
      <c r="AS127" s="27">
        <f t="shared" ca="1" si="21"/>
        <v>0</v>
      </c>
      <c r="AT127" s="27">
        <f t="shared" ca="1" si="22"/>
        <v>0</v>
      </c>
      <c r="AU127" s="27">
        <f t="shared" ca="1" si="23"/>
        <v>0</v>
      </c>
      <c r="AV127" s="27"/>
      <c r="AW127" s="27"/>
      <c r="AY127" s="216"/>
      <c r="AZ127" s="216"/>
      <c r="BA127" s="233"/>
      <c r="BC127" s="216"/>
      <c r="BE127" s="69"/>
    </row>
    <row r="128" spans="1:57">
      <c r="A128" s="19">
        <f>[1]!_xludf.edate(A127,1)</f>
        <v>40878</v>
      </c>
      <c r="B128" s="21">
        <f t="shared" si="30"/>
        <v>31</v>
      </c>
      <c r="C128" s="20">
        <f>IF(Control!$F$18="Physical",Model!A129+24,Model!A129)</f>
        <v>40933</v>
      </c>
      <c r="E128" s="22">
        <f>IF($A128&lt;End_Date,IF(Control!$C$20="Flat",Control!$C$21,VLOOKUP(Model!$A128,Euro!$B$29:$D$182,3)),0)</f>
        <v>0</v>
      </c>
      <c r="F128" s="22">
        <f t="shared" si="24"/>
        <v>0</v>
      </c>
      <c r="H128" s="23">
        <f>IF(Control!$C$27="Mid",VLOOKUP($A128,CurveFetch!$D$8:$F$367,3),VLOOKUP($A128,Euro!$B$29:$I$182,8))</f>
        <v>4.8615000000000004</v>
      </c>
      <c r="I128" s="23"/>
      <c r="J128" s="23">
        <f>IF($J$4="Mid",VLOOKUP($A128,Curve_Fetch,VLOOKUP(Control!$AJ$10,Control!$AI$11:$AK$22,3)),VLOOKUP($A128,Euro!$B$29:$M$182,12))</f>
        <v>-0.13</v>
      </c>
      <c r="K128" s="228">
        <f>IF(Control!$F$18="Physical",IF($K$4="Mid",VLOOKUP($A128,Curve_Fetch,VLOOKUP(Control!$AJ$10,Control!$AI$11:$AL$22,4)),VLOOKUP($A128,Euro!$B$29:$Q$182,16)),0)</f>
        <v>5.0000000000000001E-3</v>
      </c>
      <c r="L128" s="23">
        <f t="shared" si="25"/>
        <v>-0.125</v>
      </c>
      <c r="M128" s="23"/>
      <c r="N128" s="69">
        <f t="shared" si="16"/>
        <v>4.7365000000000004</v>
      </c>
      <c r="O128" s="69">
        <f>N128+Control!$C$39</f>
        <v>4.7365000000000004</v>
      </c>
      <c r="P128" s="73">
        <f>VLOOKUP($A128,CurveFetch!$D$8:$E$367,2)</f>
        <v>5.0081824508970002E-2</v>
      </c>
      <c r="Q128" s="24">
        <f t="shared" si="26"/>
        <v>5.0081824508970002E-2</v>
      </c>
      <c r="R128" s="72">
        <f t="shared" ca="1" si="27"/>
        <v>3681</v>
      </c>
      <c r="S128" s="25">
        <f>VLOOKUP($A128,Curve_Fetch,VLOOKUP(Control!$AJ$10,Control!$AI$11:$AM$22,5))</f>
        <v>0.18</v>
      </c>
      <c r="T128" s="74">
        <f ca="1">_xll.EURO(N128,O128,P128,Q128,S128,R128,IF(Control!$C$38="Call",1,0),0)</f>
        <v>0.64305966768141731</v>
      </c>
      <c r="U128" s="27">
        <f t="shared" ca="1" si="17"/>
        <v>0</v>
      </c>
      <c r="V128" s="76"/>
      <c r="W128" s="197"/>
      <c r="X128" s="197"/>
      <c r="Y128" s="197"/>
      <c r="AA128" s="210"/>
      <c r="AB128" s="210"/>
      <c r="AC128" s="211"/>
      <c r="AD128" s="212"/>
      <c r="AE128" s="213"/>
      <c r="AF128" s="214"/>
      <c r="AG128" s="215"/>
      <c r="AH128" s="216"/>
      <c r="AI128" s="27"/>
      <c r="AJ128" s="28">
        <f t="shared" si="18"/>
        <v>0.125</v>
      </c>
      <c r="AL128" s="24">
        <f t="shared" si="28"/>
        <v>5.0137881887684498E-2</v>
      </c>
      <c r="AM128" s="25">
        <f t="shared" ca="1" si="29"/>
        <v>0.60242669716510144</v>
      </c>
      <c r="AO128" s="26">
        <f t="shared" ca="1" si="19"/>
        <v>0</v>
      </c>
      <c r="AP128" s="26"/>
      <c r="AQ128" s="26">
        <f t="shared" ca="1" si="20"/>
        <v>0</v>
      </c>
      <c r="AR128" s="26"/>
      <c r="AS128" s="27">
        <f t="shared" ca="1" si="21"/>
        <v>0</v>
      </c>
      <c r="AT128" s="27">
        <f t="shared" ca="1" si="22"/>
        <v>0</v>
      </c>
      <c r="AU128" s="27">
        <f t="shared" ca="1" si="23"/>
        <v>0</v>
      </c>
      <c r="AV128" s="27"/>
      <c r="AW128" s="27"/>
      <c r="AY128" s="216"/>
      <c r="AZ128" s="216"/>
      <c r="BA128" s="233"/>
      <c r="BC128" s="216"/>
      <c r="BE128" s="69"/>
    </row>
    <row r="129" spans="1:57">
      <c r="A129" s="19">
        <f>[1]!_xludf.edate(A128,1)</f>
        <v>40909</v>
      </c>
      <c r="B129" s="21">
        <f t="shared" si="30"/>
        <v>31</v>
      </c>
      <c r="C129" s="20">
        <f>IF(Control!$F$18="Physical",Model!A130+24,Model!A130)</f>
        <v>40964</v>
      </c>
      <c r="E129" s="22">
        <f>IF($A129&lt;End_Date,IF(Control!$C$20="Flat",Control!$C$21,VLOOKUP(Model!$A129,Euro!$B$29:$D$182,3)),0)</f>
        <v>0</v>
      </c>
      <c r="F129" s="22">
        <f t="shared" si="24"/>
        <v>0</v>
      </c>
      <c r="H129" s="23">
        <f>IF(Control!$C$27="Mid",VLOOKUP($A129,CurveFetch!$D$8:$F$367,3),VLOOKUP($A129,Euro!$B$29:$I$182,8))</f>
        <v>4.9340000000000002</v>
      </c>
      <c r="I129" s="23"/>
      <c r="J129" s="23">
        <f>IF($J$4="Mid",VLOOKUP($A129,Curve_Fetch,VLOOKUP(Control!$AJ$10,Control!$AI$11:$AK$22,3)),VLOOKUP($A129,Euro!$B$29:$M$182,12))</f>
        <v>-0.13</v>
      </c>
      <c r="K129" s="228">
        <f>IF(Control!$F$18="Physical",IF($K$4="Mid",VLOOKUP($A129,Curve_Fetch,VLOOKUP(Control!$AJ$10,Control!$AI$11:$AL$22,4)),VLOOKUP($A129,Euro!$B$29:$Q$182,16)),0)</f>
        <v>5.0000000000000001E-3</v>
      </c>
      <c r="L129" s="23">
        <f t="shared" si="25"/>
        <v>-0.125</v>
      </c>
      <c r="M129" s="23"/>
      <c r="N129" s="69">
        <f t="shared" si="16"/>
        <v>4.8090000000000002</v>
      </c>
      <c r="O129" s="69">
        <f>N129+Control!$C$39</f>
        <v>4.8090000000000002</v>
      </c>
      <c r="P129" s="73">
        <f>VLOOKUP($A129,CurveFetch!$D$8:$E$367,2)</f>
        <v>5.0137881887684498E-2</v>
      </c>
      <c r="Q129" s="24">
        <f t="shared" si="26"/>
        <v>5.0137881887684498E-2</v>
      </c>
      <c r="R129" s="72">
        <f t="shared" ca="1" si="27"/>
        <v>3712</v>
      </c>
      <c r="S129" s="25">
        <f>VLOOKUP($A129,Curve_Fetch,VLOOKUP(Control!$AJ$10,Control!$AI$11:$AM$22,5))</f>
        <v>0.18</v>
      </c>
      <c r="T129" s="74">
        <f ca="1">_xll.EURO(N129,O129,P129,Q129,S129,R129,IF(Control!$C$38="Call",1,0),0)</f>
        <v>0.6524194880254186</v>
      </c>
      <c r="U129" s="27">
        <f t="shared" ca="1" si="17"/>
        <v>0</v>
      </c>
      <c r="V129" s="76"/>
      <c r="W129" s="197"/>
      <c r="X129" s="197"/>
      <c r="Y129" s="197"/>
      <c r="AA129" s="210"/>
      <c r="AB129" s="210"/>
      <c r="AC129" s="211"/>
      <c r="AD129" s="212"/>
      <c r="AE129" s="213"/>
      <c r="AF129" s="214"/>
      <c r="AG129" s="215"/>
      <c r="AH129" s="216"/>
      <c r="AI129" s="27"/>
      <c r="AJ129" s="28">
        <f t="shared" si="18"/>
        <v>0.125</v>
      </c>
      <c r="AL129" s="24">
        <f t="shared" si="28"/>
        <v>5.0193939267447502E-2</v>
      </c>
      <c r="AM129" s="25">
        <f t="shared" ca="1" si="29"/>
        <v>0.59956163902513815</v>
      </c>
      <c r="AO129" s="26">
        <f t="shared" ca="1" si="19"/>
        <v>0</v>
      </c>
      <c r="AP129" s="26"/>
      <c r="AQ129" s="26">
        <f t="shared" ca="1" si="20"/>
        <v>0</v>
      </c>
      <c r="AR129" s="26"/>
      <c r="AS129" s="27">
        <f t="shared" ca="1" si="21"/>
        <v>0</v>
      </c>
      <c r="AT129" s="27">
        <f t="shared" ca="1" si="22"/>
        <v>0</v>
      </c>
      <c r="AU129" s="27">
        <f t="shared" ca="1" si="23"/>
        <v>0</v>
      </c>
      <c r="AV129" s="27"/>
      <c r="AW129" s="27"/>
      <c r="AY129" s="216"/>
      <c r="AZ129" s="216"/>
      <c r="BA129" s="233"/>
      <c r="BC129" s="216"/>
      <c r="BE129" s="69"/>
    </row>
    <row r="130" spans="1:57">
      <c r="A130" s="19">
        <f>[1]!_xludf.edate(A129,1)</f>
        <v>40940</v>
      </c>
      <c r="B130" s="21">
        <f t="shared" si="30"/>
        <v>29</v>
      </c>
      <c r="C130" s="20">
        <f>IF(Control!$F$18="Physical",Model!A131+24,Model!A131)</f>
        <v>40993</v>
      </c>
      <c r="E130" s="22">
        <f>IF($A130&lt;End_Date,IF(Control!$C$20="Flat",Control!$C$21,VLOOKUP(Model!$A130,Euro!$B$29:$D$182,3)),0)</f>
        <v>0</v>
      </c>
      <c r="F130" s="22">
        <f t="shared" si="24"/>
        <v>0</v>
      </c>
      <c r="H130" s="23">
        <f>IF(Control!$C$27="Mid",VLOOKUP($A130,CurveFetch!$D$8:$F$367,3),VLOOKUP($A130,Euro!$B$29:$I$182,8))</f>
        <v>4.8460000000000001</v>
      </c>
      <c r="I130" s="23"/>
      <c r="J130" s="23">
        <f>IF($J$4="Mid",VLOOKUP($A130,Curve_Fetch,VLOOKUP(Control!$AJ$10,Control!$AI$11:$AK$22,3)),VLOOKUP($A130,Euro!$B$29:$M$182,12))</f>
        <v>-0.13</v>
      </c>
      <c r="K130" s="228">
        <f>IF(Control!$F$18="Physical",IF($K$4="Mid",VLOOKUP($A130,Curve_Fetch,VLOOKUP(Control!$AJ$10,Control!$AI$11:$AL$22,4)),VLOOKUP($A130,Euro!$B$29:$Q$182,16)),0)</f>
        <v>5.0000000000000001E-3</v>
      </c>
      <c r="L130" s="23">
        <f t="shared" si="25"/>
        <v>-0.125</v>
      </c>
      <c r="M130" s="23"/>
      <c r="N130" s="69">
        <f t="shared" si="16"/>
        <v>4.7210000000000001</v>
      </c>
      <c r="O130" s="69">
        <f>N130+Control!$C$39</f>
        <v>4.7210000000000001</v>
      </c>
      <c r="P130" s="73">
        <f>VLOOKUP($A130,CurveFetch!$D$8:$E$367,2)</f>
        <v>5.0193939267447502E-2</v>
      </c>
      <c r="Q130" s="24">
        <f t="shared" si="26"/>
        <v>5.0193939267447502E-2</v>
      </c>
      <c r="R130" s="72">
        <f t="shared" ca="1" si="27"/>
        <v>3743</v>
      </c>
      <c r="S130" s="25">
        <f>VLOOKUP($A130,Curve_Fetch,VLOOKUP(Control!$AJ$10,Control!$AI$11:$AM$22,5))</f>
        <v>0.17499999999999999</v>
      </c>
      <c r="T130" s="74">
        <f ca="1">_xll.EURO(N130,O130,P130,Q130,S130,R130,IF(Control!$C$38="Call",1,0),0)</f>
        <v>0.62266787806207113</v>
      </c>
      <c r="U130" s="27">
        <f t="shared" ca="1" si="17"/>
        <v>0</v>
      </c>
      <c r="V130" s="76"/>
      <c r="W130" s="197"/>
      <c r="X130" s="197"/>
      <c r="Y130" s="197"/>
      <c r="AA130" s="210"/>
      <c r="AB130" s="210"/>
      <c r="AC130" s="211"/>
      <c r="AD130" s="212"/>
      <c r="AE130" s="213"/>
      <c r="AF130" s="214"/>
      <c r="AG130" s="215"/>
      <c r="AH130" s="216"/>
      <c r="AI130" s="27"/>
      <c r="AJ130" s="28">
        <f t="shared" si="18"/>
        <v>0.125</v>
      </c>
      <c r="AL130" s="24">
        <f t="shared" si="28"/>
        <v>5.02463800430148E-2</v>
      </c>
      <c r="AM130" s="25">
        <f t="shared" ca="1" si="29"/>
        <v>0.59688875245370787</v>
      </c>
      <c r="AO130" s="26">
        <f t="shared" ca="1" si="19"/>
        <v>0</v>
      </c>
      <c r="AP130" s="26"/>
      <c r="AQ130" s="26">
        <f t="shared" ca="1" si="20"/>
        <v>0</v>
      </c>
      <c r="AR130" s="26"/>
      <c r="AS130" s="27">
        <f t="shared" ca="1" si="21"/>
        <v>0</v>
      </c>
      <c r="AT130" s="27">
        <f t="shared" ca="1" si="22"/>
        <v>0</v>
      </c>
      <c r="AU130" s="27">
        <f t="shared" ca="1" si="23"/>
        <v>0</v>
      </c>
      <c r="AV130" s="27"/>
      <c r="AW130" s="27"/>
      <c r="AY130" s="216"/>
      <c r="AZ130" s="216"/>
      <c r="BA130" s="233"/>
      <c r="BC130" s="216"/>
      <c r="BE130" s="69"/>
    </row>
    <row r="131" spans="1:57">
      <c r="A131" s="19">
        <f>[1]!_xludf.edate(A130,1)</f>
        <v>40969</v>
      </c>
      <c r="B131" s="21">
        <f t="shared" si="30"/>
        <v>31</v>
      </c>
      <c r="C131" s="20">
        <f>IF(Control!$F$18="Physical",Model!A132+24,Model!A132)</f>
        <v>41024</v>
      </c>
      <c r="E131" s="22">
        <f>IF($A131&lt;End_Date,IF(Control!$C$20="Flat",Control!$C$21,VLOOKUP(Model!$A131,Euro!$B$29:$D$182,3)),0)</f>
        <v>0</v>
      </c>
      <c r="F131" s="22">
        <f t="shared" si="24"/>
        <v>0</v>
      </c>
      <c r="H131" s="23">
        <f>IF(Control!$C$27="Mid",VLOOKUP($A131,CurveFetch!$D$8:$F$367,3),VLOOKUP($A131,Euro!$B$29:$I$182,8))</f>
        <v>4.7069999999999999</v>
      </c>
      <c r="I131" s="23"/>
      <c r="J131" s="23">
        <f>IF($J$4="Mid",VLOOKUP($A131,Curve_Fetch,VLOOKUP(Control!$AJ$10,Control!$AI$11:$AK$22,3)),VLOOKUP($A131,Euro!$B$29:$M$182,12))</f>
        <v>-0.13</v>
      </c>
      <c r="K131" s="228">
        <f>IF(Control!$F$18="Physical",IF($K$4="Mid",VLOOKUP($A131,Curve_Fetch,VLOOKUP(Control!$AJ$10,Control!$AI$11:$AL$22,4)),VLOOKUP($A131,Euro!$B$29:$Q$182,16)),0)</f>
        <v>5.0000000000000001E-3</v>
      </c>
      <c r="L131" s="23">
        <f t="shared" si="25"/>
        <v>-0.125</v>
      </c>
      <c r="M131" s="23"/>
      <c r="N131" s="69">
        <f t="shared" si="16"/>
        <v>4.5819999999999999</v>
      </c>
      <c r="O131" s="69">
        <f>N131+Control!$C$39</f>
        <v>4.5819999999999999</v>
      </c>
      <c r="P131" s="73">
        <f>VLOOKUP($A131,CurveFetch!$D$8:$E$367,2)</f>
        <v>5.02463800430148E-2</v>
      </c>
      <c r="Q131" s="24">
        <f t="shared" si="26"/>
        <v>5.02463800430148E-2</v>
      </c>
      <c r="R131" s="72">
        <f t="shared" ca="1" si="27"/>
        <v>3772</v>
      </c>
      <c r="S131" s="25">
        <f>VLOOKUP($A131,Curve_Fetch,VLOOKUP(Control!$AJ$10,Control!$AI$11:$AM$22,5))</f>
        <v>0.17</v>
      </c>
      <c r="T131" s="74">
        <f ca="1">_xll.EURO(N131,O131,P131,Q131,S131,R131,IF(Control!$C$38="Call",1,0),0)</f>
        <v>0.58704838160515926</v>
      </c>
      <c r="U131" s="27">
        <f t="shared" ca="1" si="17"/>
        <v>0</v>
      </c>
      <c r="V131" s="76"/>
      <c r="W131" s="197"/>
      <c r="X131" s="197"/>
      <c r="Y131" s="197"/>
      <c r="AA131" s="210"/>
      <c r="AB131" s="210"/>
      <c r="AC131" s="211"/>
      <c r="AD131" s="212"/>
      <c r="AE131" s="213"/>
      <c r="AF131" s="214"/>
      <c r="AG131" s="215"/>
      <c r="AH131" s="216"/>
      <c r="AI131" s="27"/>
      <c r="AJ131" s="28">
        <f t="shared" si="18"/>
        <v>0.125</v>
      </c>
      <c r="AL131" s="24">
        <f t="shared" si="28"/>
        <v>5.0302437424808201E-2</v>
      </c>
      <c r="AM131" s="25">
        <f t="shared" ca="1" si="29"/>
        <v>0.59403937715468169</v>
      </c>
      <c r="AO131" s="26">
        <f t="shared" ca="1" si="19"/>
        <v>0</v>
      </c>
      <c r="AP131" s="26"/>
      <c r="AQ131" s="26">
        <f t="shared" ca="1" si="20"/>
        <v>0</v>
      </c>
      <c r="AR131" s="26"/>
      <c r="AS131" s="27">
        <f t="shared" ca="1" si="21"/>
        <v>0</v>
      </c>
      <c r="AT131" s="27">
        <f t="shared" ca="1" si="22"/>
        <v>0</v>
      </c>
      <c r="AU131" s="27">
        <f t="shared" ca="1" si="23"/>
        <v>0</v>
      </c>
      <c r="AV131" s="27"/>
      <c r="AW131" s="27"/>
      <c r="AY131" s="216"/>
      <c r="AZ131" s="216"/>
      <c r="BA131" s="233"/>
      <c r="BC131" s="216"/>
      <c r="BE131" s="69"/>
    </row>
    <row r="132" spans="1:57">
      <c r="A132" s="19">
        <f>[1]!_xludf.edate(A131,1)</f>
        <v>41000</v>
      </c>
      <c r="B132" s="21">
        <f t="shared" si="30"/>
        <v>30</v>
      </c>
      <c r="C132" s="20">
        <f>IF(Control!$F$18="Physical",Model!A133+24,Model!A133)</f>
        <v>41054</v>
      </c>
      <c r="E132" s="22">
        <f>IF($A132&lt;End_Date,IF(Control!$C$20="Flat",Control!$C$21,VLOOKUP(Model!$A132,Euro!$B$29:$D$182,3)),0)</f>
        <v>0</v>
      </c>
      <c r="F132" s="22">
        <f t="shared" si="24"/>
        <v>0</v>
      </c>
      <c r="H132" s="23">
        <f>IF(Control!$C$27="Mid",VLOOKUP($A132,CurveFetch!$D$8:$F$367,3),VLOOKUP($A132,Euro!$B$29:$I$182,8))</f>
        <v>4.5529999999999999</v>
      </c>
      <c r="I132" s="23"/>
      <c r="J132" s="23">
        <f>IF($J$4="Mid",VLOOKUP($A132,Curve_Fetch,VLOOKUP(Control!$AJ$10,Control!$AI$11:$AK$22,3)),VLOOKUP($A132,Euro!$B$29:$M$182,12))</f>
        <v>-0.2</v>
      </c>
      <c r="K132" s="228">
        <f>IF(Control!$F$18="Physical",IF($K$4="Mid",VLOOKUP($A132,Curve_Fetch,VLOOKUP(Control!$AJ$10,Control!$AI$11:$AL$22,4)),VLOOKUP($A132,Euro!$B$29:$Q$182,16)),0)</f>
        <v>2.5000000000000001E-3</v>
      </c>
      <c r="L132" s="23">
        <f t="shared" si="25"/>
        <v>-0.19750000000000001</v>
      </c>
      <c r="M132" s="23"/>
      <c r="N132" s="69">
        <f t="shared" si="16"/>
        <v>4.3555000000000001</v>
      </c>
      <c r="O132" s="69">
        <f>N132+Control!$C$39</f>
        <v>4.3555000000000001</v>
      </c>
      <c r="P132" s="73">
        <f>VLOOKUP($A132,CurveFetch!$D$8:$E$367,2)</f>
        <v>5.0302437424808201E-2</v>
      </c>
      <c r="Q132" s="24">
        <f t="shared" si="26"/>
        <v>5.0302437424808201E-2</v>
      </c>
      <c r="R132" s="72">
        <f t="shared" ca="1" si="27"/>
        <v>3803</v>
      </c>
      <c r="S132" s="25">
        <f>VLOOKUP($A132,Curve_Fetch,VLOOKUP(Control!$AJ$10,Control!$AI$11:$AM$22,5))</f>
        <v>0.17</v>
      </c>
      <c r="T132" s="74">
        <f ca="1">_xll.EURO(N132,O132,P132,Q132,S132,R132,IF(Control!$C$38="Call",1,0),0)</f>
        <v>0.55755104725032067</v>
      </c>
      <c r="U132" s="27">
        <f t="shared" ca="1" si="17"/>
        <v>0</v>
      </c>
      <c r="V132" s="76"/>
      <c r="W132" s="197"/>
      <c r="X132" s="197"/>
      <c r="Y132" s="197"/>
      <c r="AA132" s="210"/>
      <c r="AB132" s="210"/>
      <c r="AC132" s="211"/>
      <c r="AD132" s="212"/>
      <c r="AE132" s="213"/>
      <c r="AF132" s="214"/>
      <c r="AG132" s="215"/>
      <c r="AH132" s="216"/>
      <c r="AI132" s="27"/>
      <c r="AJ132" s="28">
        <f t="shared" si="18"/>
        <v>0.19750000000000001</v>
      </c>
      <c r="AL132" s="24">
        <f t="shared" si="28"/>
        <v>5.0356686504962903E-2</v>
      </c>
      <c r="AM132" s="25">
        <f t="shared" ca="1" si="29"/>
        <v>0.59128965195706329</v>
      </c>
      <c r="AO132" s="26">
        <f t="shared" ca="1" si="19"/>
        <v>0</v>
      </c>
      <c r="AP132" s="26"/>
      <c r="AQ132" s="26">
        <f t="shared" ca="1" si="20"/>
        <v>0</v>
      </c>
      <c r="AR132" s="26"/>
      <c r="AS132" s="27">
        <f t="shared" ca="1" si="21"/>
        <v>0</v>
      </c>
      <c r="AT132" s="27">
        <f t="shared" ca="1" si="22"/>
        <v>0</v>
      </c>
      <c r="AU132" s="27">
        <f t="shared" ca="1" si="23"/>
        <v>0</v>
      </c>
      <c r="AV132" s="27"/>
      <c r="AW132" s="27"/>
      <c r="AY132" s="216"/>
      <c r="AZ132" s="216"/>
      <c r="BA132" s="233"/>
      <c r="BC132" s="216"/>
      <c r="BE132" s="69"/>
    </row>
    <row r="133" spans="1:57">
      <c r="A133" s="19">
        <f>[1]!_xludf.edate(A132,1)</f>
        <v>41030</v>
      </c>
      <c r="B133" s="21">
        <f t="shared" si="30"/>
        <v>31</v>
      </c>
      <c r="C133" s="20">
        <f>IF(Control!$F$18="Physical",Model!A134+24,Model!A134)</f>
        <v>41085</v>
      </c>
      <c r="E133" s="22">
        <f>IF($A133&lt;End_Date,IF(Control!$C$20="Flat",Control!$C$21,VLOOKUP(Model!$A133,Euro!$B$29:$D$182,3)),0)</f>
        <v>0</v>
      </c>
      <c r="F133" s="22">
        <f t="shared" si="24"/>
        <v>0</v>
      </c>
      <c r="H133" s="23">
        <f>IF(Control!$C$27="Mid",VLOOKUP($A133,CurveFetch!$D$8:$F$367,3),VLOOKUP($A133,Euro!$B$29:$I$182,8))</f>
        <v>4.5579999999999998</v>
      </c>
      <c r="I133" s="23"/>
      <c r="J133" s="23">
        <f>IF($J$4="Mid",VLOOKUP($A133,Curve_Fetch,VLOOKUP(Control!$AJ$10,Control!$AI$11:$AK$22,3)),VLOOKUP($A133,Euro!$B$29:$M$182,12))</f>
        <v>-0.2</v>
      </c>
      <c r="K133" s="228">
        <f>IF(Control!$F$18="Physical",IF($K$4="Mid",VLOOKUP($A133,Curve_Fetch,VLOOKUP(Control!$AJ$10,Control!$AI$11:$AL$22,4)),VLOOKUP($A133,Euro!$B$29:$Q$182,16)),0)</f>
        <v>2.5000000000000001E-3</v>
      </c>
      <c r="L133" s="23">
        <f t="shared" si="25"/>
        <v>-0.19750000000000001</v>
      </c>
      <c r="M133" s="23"/>
      <c r="N133" s="69">
        <f t="shared" si="16"/>
        <v>4.3605</v>
      </c>
      <c r="O133" s="69">
        <f>N133+Control!$C$39</f>
        <v>4.3605</v>
      </c>
      <c r="P133" s="73">
        <f>VLOOKUP($A133,CurveFetch!$D$8:$E$367,2)</f>
        <v>5.0356686504962903E-2</v>
      </c>
      <c r="Q133" s="24">
        <f t="shared" si="26"/>
        <v>5.0356686504962903E-2</v>
      </c>
      <c r="R133" s="72">
        <f t="shared" ca="1" si="27"/>
        <v>3833</v>
      </c>
      <c r="S133" s="25">
        <f>VLOOKUP($A133,Curve_Fetch,VLOOKUP(Control!$AJ$10,Control!$AI$11:$AM$22,5))</f>
        <v>0.17</v>
      </c>
      <c r="T133" s="74">
        <f ca="1">_xll.EURO(N133,O133,P133,Q133,S133,R133,IF(Control!$C$38="Call",1,0),0)</f>
        <v>0.55770565774942704</v>
      </c>
      <c r="U133" s="27">
        <f t="shared" ca="1" si="17"/>
        <v>0</v>
      </c>
      <c r="V133" s="76"/>
      <c r="W133" s="197"/>
      <c r="X133" s="197"/>
      <c r="Y133" s="197"/>
      <c r="AA133" s="210"/>
      <c r="AB133" s="210"/>
      <c r="AC133" s="211"/>
      <c r="AD133" s="212"/>
      <c r="AE133" s="213"/>
      <c r="AF133" s="214"/>
      <c r="AG133" s="215"/>
      <c r="AH133" s="216"/>
      <c r="AI133" s="27"/>
      <c r="AJ133" s="28">
        <f t="shared" si="18"/>
        <v>0.19750000000000001</v>
      </c>
      <c r="AL133" s="24">
        <f t="shared" si="28"/>
        <v>5.0412743888820902E-2</v>
      </c>
      <c r="AM133" s="25">
        <f t="shared" ca="1" si="29"/>
        <v>0.58845627537937839</v>
      </c>
      <c r="AO133" s="26">
        <f t="shared" ca="1" si="19"/>
        <v>0</v>
      </c>
      <c r="AP133" s="26"/>
      <c r="AQ133" s="26">
        <f t="shared" ca="1" si="20"/>
        <v>0</v>
      </c>
      <c r="AR133" s="26"/>
      <c r="AS133" s="27">
        <f t="shared" ca="1" si="21"/>
        <v>0</v>
      </c>
      <c r="AT133" s="27">
        <f t="shared" ca="1" si="22"/>
        <v>0</v>
      </c>
      <c r="AU133" s="27">
        <f t="shared" ca="1" si="23"/>
        <v>0</v>
      </c>
      <c r="AV133" s="27"/>
      <c r="AW133" s="27"/>
      <c r="AY133" s="216"/>
      <c r="AZ133" s="216"/>
      <c r="BA133" s="233"/>
      <c r="BC133" s="216"/>
      <c r="BE133" s="69"/>
    </row>
    <row r="134" spans="1:57">
      <c r="A134" s="19">
        <f>[1]!_xludf.edate(A133,1)</f>
        <v>41061</v>
      </c>
      <c r="B134" s="21">
        <f t="shared" si="30"/>
        <v>30</v>
      </c>
      <c r="C134" s="20">
        <f>IF(Control!$F$18="Physical",Model!A135+24,Model!A135)</f>
        <v>41115</v>
      </c>
      <c r="E134" s="22">
        <f>IF($A134&lt;End_Date,IF(Control!$C$20="Flat",Control!$C$21,VLOOKUP(Model!$A134,Euro!$B$29:$D$182,3)),0)</f>
        <v>0</v>
      </c>
      <c r="F134" s="22">
        <f t="shared" si="24"/>
        <v>0</v>
      </c>
      <c r="H134" s="23">
        <f>IF(Control!$C$27="Mid",VLOOKUP($A134,CurveFetch!$D$8:$F$367,3),VLOOKUP($A134,Euro!$B$29:$I$182,8))</f>
        <v>4.5960000000000001</v>
      </c>
      <c r="I134" s="23"/>
      <c r="J134" s="23">
        <f>IF($J$4="Mid",VLOOKUP($A134,Curve_Fetch,VLOOKUP(Control!$AJ$10,Control!$AI$11:$AK$22,3)),VLOOKUP($A134,Euro!$B$29:$M$182,12))</f>
        <v>-0.2</v>
      </c>
      <c r="K134" s="228">
        <f>IF(Control!$F$18="Physical",IF($K$4="Mid",VLOOKUP($A134,Curve_Fetch,VLOOKUP(Control!$AJ$10,Control!$AI$11:$AL$22,4)),VLOOKUP($A134,Euro!$B$29:$Q$182,16)),0)</f>
        <v>2.5000000000000001E-3</v>
      </c>
      <c r="L134" s="23">
        <f t="shared" si="25"/>
        <v>-0.19750000000000001</v>
      </c>
      <c r="M134" s="23"/>
      <c r="N134" s="69">
        <f t="shared" si="16"/>
        <v>4.3985000000000003</v>
      </c>
      <c r="O134" s="69">
        <f>N134+Control!$C$39</f>
        <v>4.3985000000000003</v>
      </c>
      <c r="P134" s="73">
        <f>VLOOKUP($A134,CurveFetch!$D$8:$E$367,2)</f>
        <v>5.0412743888820902E-2</v>
      </c>
      <c r="Q134" s="24">
        <f t="shared" si="26"/>
        <v>5.0412743888820902E-2</v>
      </c>
      <c r="R134" s="72">
        <f t="shared" ca="1" si="27"/>
        <v>3864</v>
      </c>
      <c r="S134" s="25">
        <f>VLOOKUP($A134,Curve_Fetch,VLOOKUP(Control!$AJ$10,Control!$AI$11:$AM$22,5))</f>
        <v>0.17</v>
      </c>
      <c r="T134" s="74">
        <f ca="1">_xll.EURO(N134,O134,P134,Q134,S134,R134,IF(Control!$C$38="Call",1,0),0)</f>
        <v>0.56203694860400044</v>
      </c>
      <c r="U134" s="27">
        <f t="shared" ca="1" si="17"/>
        <v>0</v>
      </c>
      <c r="V134" s="76"/>
      <c r="W134" s="197"/>
      <c r="X134" s="197"/>
      <c r="Y134" s="197"/>
      <c r="AA134" s="210"/>
      <c r="AB134" s="210"/>
      <c r="AC134" s="211"/>
      <c r="AD134" s="212"/>
      <c r="AE134" s="213"/>
      <c r="AF134" s="214"/>
      <c r="AG134" s="215"/>
      <c r="AH134" s="216"/>
      <c r="AI134" s="27"/>
      <c r="AJ134" s="28">
        <f t="shared" si="18"/>
        <v>0.19750000000000001</v>
      </c>
      <c r="AL134" s="24">
        <f t="shared" si="28"/>
        <v>5.04669929709727E-2</v>
      </c>
      <c r="AM134" s="25">
        <f t="shared" ca="1" si="29"/>
        <v>0.58572205859251236</v>
      </c>
      <c r="AO134" s="26">
        <f t="shared" ca="1" si="19"/>
        <v>0</v>
      </c>
      <c r="AP134" s="26"/>
      <c r="AQ134" s="26">
        <f t="shared" ca="1" si="20"/>
        <v>0</v>
      </c>
      <c r="AR134" s="26"/>
      <c r="AS134" s="27">
        <f t="shared" ca="1" si="21"/>
        <v>0</v>
      </c>
      <c r="AT134" s="27">
        <f t="shared" ca="1" si="22"/>
        <v>0</v>
      </c>
      <c r="AU134" s="27">
        <f t="shared" ca="1" si="23"/>
        <v>0</v>
      </c>
      <c r="AV134" s="27"/>
      <c r="AW134" s="27"/>
      <c r="AY134" s="216"/>
      <c r="AZ134" s="216"/>
      <c r="BA134" s="233"/>
      <c r="BC134" s="216"/>
      <c r="BE134" s="69"/>
    </row>
    <row r="135" spans="1:57">
      <c r="A135" s="19">
        <f>[1]!_xludf.edate(A134,1)</f>
        <v>41091</v>
      </c>
      <c r="B135" s="21">
        <f t="shared" si="30"/>
        <v>31</v>
      </c>
      <c r="C135" s="20">
        <f>IF(Control!$F$18="Physical",Model!A136+24,Model!A136)</f>
        <v>41146</v>
      </c>
      <c r="E135" s="22">
        <f>IF($A135&lt;End_Date,IF(Control!$C$20="Flat",Control!$C$21,VLOOKUP(Model!$A135,Euro!$B$29:$D$182,3)),0)</f>
        <v>0</v>
      </c>
      <c r="F135" s="22">
        <f t="shared" si="24"/>
        <v>0</v>
      </c>
      <c r="H135" s="23">
        <f>IF(Control!$C$27="Mid",VLOOKUP($A135,CurveFetch!$D$8:$F$367,3),VLOOKUP($A135,Euro!$B$29:$I$182,8))</f>
        <v>4.641</v>
      </c>
      <c r="I135" s="23"/>
      <c r="J135" s="23">
        <f>IF($J$4="Mid",VLOOKUP($A135,Curve_Fetch,VLOOKUP(Control!$AJ$10,Control!$AI$11:$AK$22,3)),VLOOKUP($A135,Euro!$B$29:$M$182,12))</f>
        <v>-0.2</v>
      </c>
      <c r="K135" s="228">
        <f>IF(Control!$F$18="Physical",IF($K$4="Mid",VLOOKUP($A135,Curve_Fetch,VLOOKUP(Control!$AJ$10,Control!$AI$11:$AL$22,4)),VLOOKUP($A135,Euro!$B$29:$Q$182,16)),0)</f>
        <v>2.5000000000000001E-3</v>
      </c>
      <c r="L135" s="23">
        <f t="shared" si="25"/>
        <v>-0.19750000000000001</v>
      </c>
      <c r="M135" s="23"/>
      <c r="N135" s="69">
        <f t="shared" si="16"/>
        <v>4.4435000000000002</v>
      </c>
      <c r="O135" s="69">
        <f>N135+Control!$C$39</f>
        <v>4.4435000000000002</v>
      </c>
      <c r="P135" s="73">
        <f>VLOOKUP($A135,CurveFetch!$D$8:$E$367,2)</f>
        <v>5.04669929709727E-2</v>
      </c>
      <c r="Q135" s="24">
        <f t="shared" si="26"/>
        <v>5.04669929709727E-2</v>
      </c>
      <c r="R135" s="72">
        <f t="shared" ca="1" si="27"/>
        <v>3894</v>
      </c>
      <c r="S135" s="25">
        <f>VLOOKUP($A135,Curve_Fetch,VLOOKUP(Control!$AJ$10,Control!$AI$11:$AM$22,5))</f>
        <v>0.17</v>
      </c>
      <c r="T135" s="74">
        <f ca="1">_xll.EURO(N135,O135,P135,Q135,S135,R135,IF(Control!$C$38="Call",1,0),0)</f>
        <v>0.56724790728400754</v>
      </c>
      <c r="U135" s="27">
        <f t="shared" ca="1" si="17"/>
        <v>0</v>
      </c>
      <c r="V135" s="76"/>
      <c r="W135" s="197"/>
      <c r="X135" s="197"/>
      <c r="Y135" s="197"/>
      <c r="AA135" s="210"/>
      <c r="AB135" s="210"/>
      <c r="AC135" s="211"/>
      <c r="AD135" s="212"/>
      <c r="AE135" s="213"/>
      <c r="AF135" s="214"/>
      <c r="AG135" s="215"/>
      <c r="AH135" s="216"/>
      <c r="AI135" s="27"/>
      <c r="AJ135" s="28">
        <f t="shared" si="18"/>
        <v>0.19750000000000001</v>
      </c>
      <c r="AL135" s="24">
        <f t="shared" si="28"/>
        <v>5.0523050356894798E-2</v>
      </c>
      <c r="AM135" s="25">
        <f t="shared" ca="1" si="29"/>
        <v>0.58290473344403182</v>
      </c>
      <c r="AO135" s="26">
        <f t="shared" ca="1" si="19"/>
        <v>0</v>
      </c>
      <c r="AP135" s="26"/>
      <c r="AQ135" s="26">
        <f t="shared" ca="1" si="20"/>
        <v>0</v>
      </c>
      <c r="AR135" s="26"/>
      <c r="AS135" s="27">
        <f t="shared" ca="1" si="21"/>
        <v>0</v>
      </c>
      <c r="AT135" s="27">
        <f t="shared" ca="1" si="22"/>
        <v>0</v>
      </c>
      <c r="AU135" s="27">
        <f t="shared" ca="1" si="23"/>
        <v>0</v>
      </c>
      <c r="AV135" s="27"/>
      <c r="AW135" s="27"/>
      <c r="AY135" s="216"/>
      <c r="AZ135" s="216"/>
      <c r="BA135" s="233"/>
      <c r="BC135" s="216"/>
      <c r="BE135" s="69"/>
    </row>
    <row r="136" spans="1:57">
      <c r="A136" s="19">
        <f>[1]!_xludf.edate(A135,1)</f>
        <v>41122</v>
      </c>
      <c r="B136" s="21">
        <f t="shared" si="30"/>
        <v>31</v>
      </c>
      <c r="C136" s="20">
        <f>IF(Control!$F$18="Physical",Model!A137+24,Model!A137)</f>
        <v>41177</v>
      </c>
      <c r="E136" s="22">
        <f>IF($A136&lt;End_Date,IF(Control!$C$20="Flat",Control!$C$21,VLOOKUP(Model!$A136,Euro!$B$29:$D$182,3)),0)</f>
        <v>0</v>
      </c>
      <c r="F136" s="22">
        <f t="shared" si="24"/>
        <v>0</v>
      </c>
      <c r="H136" s="23">
        <f>IF(Control!$C$27="Mid",VLOOKUP($A136,CurveFetch!$D$8:$F$367,3),VLOOKUP($A136,Euro!$B$29:$I$182,8))</f>
        <v>4.6790000000000003</v>
      </c>
      <c r="I136" s="23"/>
      <c r="J136" s="23">
        <f>IF($J$4="Mid",VLOOKUP($A136,Curve_Fetch,VLOOKUP(Control!$AJ$10,Control!$AI$11:$AK$22,3)),VLOOKUP($A136,Euro!$B$29:$M$182,12))</f>
        <v>-0.2</v>
      </c>
      <c r="K136" s="228">
        <f>IF(Control!$F$18="Physical",IF($K$4="Mid",VLOOKUP($A136,Curve_Fetch,VLOOKUP(Control!$AJ$10,Control!$AI$11:$AL$22,4)),VLOOKUP($A136,Euro!$B$29:$Q$182,16)),0)</f>
        <v>2.5000000000000001E-3</v>
      </c>
      <c r="L136" s="23">
        <f t="shared" si="25"/>
        <v>-0.19750000000000001</v>
      </c>
      <c r="M136" s="23"/>
      <c r="N136" s="69">
        <f t="shared" ref="N136:N199" si="31">L136+H136</f>
        <v>4.4815000000000005</v>
      </c>
      <c r="O136" s="69">
        <f>N136+Control!$C$39</f>
        <v>4.4815000000000005</v>
      </c>
      <c r="P136" s="73">
        <f>VLOOKUP($A136,CurveFetch!$D$8:$E$367,2)</f>
        <v>5.0523050356894798E-2</v>
      </c>
      <c r="Q136" s="24">
        <f t="shared" si="26"/>
        <v>5.0523050356894798E-2</v>
      </c>
      <c r="R136" s="72">
        <f t="shared" ca="1" si="27"/>
        <v>3925</v>
      </c>
      <c r="S136" s="25">
        <f>VLOOKUP($A136,Curve_Fetch,VLOOKUP(Control!$AJ$10,Control!$AI$11:$AM$22,5))</f>
        <v>0.17</v>
      </c>
      <c r="T136" s="74">
        <f ca="1">_xll.EURO(N136,O136,P136,Q136,S136,R136,IF(Control!$C$38="Call",1,0),0)</f>
        <v>0.57151444695261189</v>
      </c>
      <c r="U136" s="27">
        <f t="shared" ref="U136:U199" ca="1" si="32">T136*B136*E136</f>
        <v>0</v>
      </c>
      <c r="V136" s="76"/>
      <c r="W136" s="197"/>
      <c r="X136" s="197"/>
      <c r="Y136" s="197"/>
      <c r="AA136" s="210"/>
      <c r="AB136" s="210"/>
      <c r="AC136" s="211"/>
      <c r="AD136" s="212"/>
      <c r="AE136" s="213"/>
      <c r="AF136" s="214"/>
      <c r="AG136" s="215"/>
      <c r="AH136" s="216"/>
      <c r="AI136" s="27"/>
      <c r="AJ136" s="28">
        <f t="shared" ref="AJ136:AJ199" si="33">Y136-L136</f>
        <v>0.19750000000000001</v>
      </c>
      <c r="AL136" s="24">
        <f t="shared" si="28"/>
        <v>5.0579107743866203E-2</v>
      </c>
      <c r="AM136" s="25">
        <f t="shared" ca="1" si="29"/>
        <v>0.58009558506000614</v>
      </c>
      <c r="AO136" s="26">
        <f t="shared" ref="AO136:AO199" ca="1" si="34">$B136*$E136*$AM136</f>
        <v>0</v>
      </c>
      <c r="AP136" s="26"/>
      <c r="AQ136" s="26">
        <f t="shared" ref="AQ136:AQ199" ca="1" si="35">H136*AO136</f>
        <v>0</v>
      </c>
      <c r="AR136" s="26"/>
      <c r="AS136" s="27">
        <f t="shared" ref="AS136:AS199" ca="1" si="36">J136*$AO136</f>
        <v>0</v>
      </c>
      <c r="AT136" s="27">
        <f t="shared" ref="AT136:AT199" ca="1" si="37">K136*$AO136</f>
        <v>0</v>
      </c>
      <c r="AU136" s="27">
        <f t="shared" ref="AU136:AU199" ca="1" si="38">L136*$AO136</f>
        <v>0</v>
      </c>
      <c r="AV136" s="27"/>
      <c r="AW136" s="27"/>
      <c r="AY136" s="216"/>
      <c r="AZ136" s="216"/>
      <c r="BA136" s="233"/>
      <c r="BC136" s="216"/>
      <c r="BE136" s="69"/>
    </row>
    <row r="137" spans="1:57">
      <c r="A137" s="19">
        <f>[1]!_xludf.edate(A136,1)</f>
        <v>41153</v>
      </c>
      <c r="B137" s="21">
        <f t="shared" si="30"/>
        <v>30</v>
      </c>
      <c r="C137" s="20">
        <f>IF(Control!$F$18="Physical",Model!A138+24,Model!A138)</f>
        <v>41207</v>
      </c>
      <c r="E137" s="22">
        <f>IF($A137&lt;End_Date,IF(Control!$C$20="Flat",Control!$C$21,VLOOKUP(Model!$A137,Euro!$B$29:$D$182,3)),0)</f>
        <v>0</v>
      </c>
      <c r="F137" s="22">
        <f t="shared" ref="F137:F200" si="39">E137*B137</f>
        <v>0</v>
      </c>
      <c r="H137" s="23">
        <f>IF(Control!$C$27="Mid",VLOOKUP($A137,CurveFetch!$D$8:$F$367,3),VLOOKUP($A137,Euro!$B$29:$I$182,8))</f>
        <v>4.673</v>
      </c>
      <c r="I137" s="23"/>
      <c r="J137" s="23">
        <f>IF($J$4="Mid",VLOOKUP($A137,Curve_Fetch,VLOOKUP(Control!$AJ$10,Control!$AI$11:$AK$22,3)),VLOOKUP($A137,Euro!$B$29:$M$182,12))</f>
        <v>-0.2</v>
      </c>
      <c r="K137" s="228">
        <f>IF(Control!$F$18="Physical",IF($K$4="Mid",VLOOKUP($A137,Curve_Fetch,VLOOKUP(Control!$AJ$10,Control!$AI$11:$AL$22,4)),VLOOKUP($A137,Euro!$B$29:$Q$182,16)),0)</f>
        <v>2.5000000000000001E-3</v>
      </c>
      <c r="L137" s="23">
        <f t="shared" ref="L137:L200" si="40">SUM(J137:K137)</f>
        <v>-0.19750000000000001</v>
      </c>
      <c r="M137" s="23"/>
      <c r="N137" s="69">
        <f t="shared" si="31"/>
        <v>4.4755000000000003</v>
      </c>
      <c r="O137" s="69">
        <f>N137+Control!$C$39</f>
        <v>4.4755000000000003</v>
      </c>
      <c r="P137" s="73">
        <f>VLOOKUP($A137,CurveFetch!$D$8:$E$367,2)</f>
        <v>5.0579107743866203E-2</v>
      </c>
      <c r="Q137" s="24">
        <f t="shared" ref="Q137:Q200" si="41">P137</f>
        <v>5.0579107743866203E-2</v>
      </c>
      <c r="R137" s="72">
        <f t="shared" ref="R137:R200" ca="1" si="42">A137-1-TODAY()</f>
        <v>3956</v>
      </c>
      <c r="S137" s="25">
        <f>VLOOKUP($A137,Curve_Fetch,VLOOKUP(Control!$AJ$10,Control!$AI$11:$AM$22,5))</f>
        <v>0.17</v>
      </c>
      <c r="T137" s="74">
        <f ca="1">_xll.EURO(N137,O137,P137,Q137,S137,R137,IF(Control!$C$38="Call",1,0),0)</f>
        <v>0.57014299582794115</v>
      </c>
      <c r="U137" s="27">
        <f t="shared" ca="1" si="32"/>
        <v>0</v>
      </c>
      <c r="V137" s="76"/>
      <c r="W137" s="197"/>
      <c r="X137" s="197"/>
      <c r="Y137" s="197"/>
      <c r="AA137" s="210"/>
      <c r="AB137" s="210"/>
      <c r="AC137" s="211"/>
      <c r="AD137" s="212"/>
      <c r="AE137" s="213"/>
      <c r="AF137" s="214"/>
      <c r="AG137" s="215"/>
      <c r="AH137" s="216"/>
      <c r="AI137" s="27"/>
      <c r="AJ137" s="28">
        <f t="shared" si="33"/>
        <v>0.19750000000000001</v>
      </c>
      <c r="AL137" s="24">
        <f t="shared" ref="AL137:AL200" si="43">VLOOKUP($C137,Curve_Fetch,2)+Cost_of_Funds</f>
        <v>5.0633356829030203E-2</v>
      </c>
      <c r="AM137" s="25">
        <f t="shared" ref="AM137:AM200" ca="1" si="44">1/(1+AL137/2)^(2*(C137-Val_Date)/365.25)</f>
        <v>0.57738485173749998</v>
      </c>
      <c r="AO137" s="26">
        <f t="shared" ca="1" si="34"/>
        <v>0</v>
      </c>
      <c r="AP137" s="26"/>
      <c r="AQ137" s="26">
        <f t="shared" ca="1" si="35"/>
        <v>0</v>
      </c>
      <c r="AR137" s="26"/>
      <c r="AS137" s="27">
        <f t="shared" ca="1" si="36"/>
        <v>0</v>
      </c>
      <c r="AT137" s="27">
        <f t="shared" ca="1" si="37"/>
        <v>0</v>
      </c>
      <c r="AU137" s="27">
        <f t="shared" ca="1" si="38"/>
        <v>0</v>
      </c>
      <c r="AV137" s="27"/>
      <c r="AW137" s="27"/>
      <c r="AY137" s="216"/>
      <c r="AZ137" s="216"/>
      <c r="BA137" s="233"/>
      <c r="BC137" s="216"/>
      <c r="BE137" s="69"/>
    </row>
    <row r="138" spans="1:57">
      <c r="A138" s="19">
        <f>[1]!_xludf.edate(A137,1)</f>
        <v>41183</v>
      </c>
      <c r="B138" s="21">
        <f t="shared" ref="B138:B201" si="45">A139-A138</f>
        <v>31</v>
      </c>
      <c r="C138" s="20">
        <f>IF(Control!$F$18="Physical",Model!A139+24,Model!A139)</f>
        <v>41238</v>
      </c>
      <c r="E138" s="22">
        <f>IF($A138&lt;End_Date,IF(Control!$C$20="Flat",Control!$C$21,VLOOKUP(Model!$A138,Euro!$B$29:$D$182,3)),0)</f>
        <v>0</v>
      </c>
      <c r="F138" s="22">
        <f t="shared" si="39"/>
        <v>0</v>
      </c>
      <c r="H138" s="23">
        <f>IF(Control!$C$27="Mid",VLOOKUP($A138,CurveFetch!$D$8:$F$367,3),VLOOKUP($A138,Euro!$B$29:$I$182,8))</f>
        <v>4.673</v>
      </c>
      <c r="I138" s="23"/>
      <c r="J138" s="23">
        <f>IF($J$4="Mid",VLOOKUP($A138,Curve_Fetch,VLOOKUP(Control!$AJ$10,Control!$AI$11:$AK$22,3)),VLOOKUP($A138,Euro!$B$29:$M$182,12))</f>
        <v>-0.2</v>
      </c>
      <c r="K138" s="228">
        <f>IF(Control!$F$18="Physical",IF($K$4="Mid",VLOOKUP($A138,Curve_Fetch,VLOOKUP(Control!$AJ$10,Control!$AI$11:$AL$22,4)),VLOOKUP($A138,Euro!$B$29:$Q$182,16)),0)</f>
        <v>2.5000000000000001E-3</v>
      </c>
      <c r="L138" s="23">
        <f t="shared" si="40"/>
        <v>-0.19750000000000001</v>
      </c>
      <c r="M138" s="23"/>
      <c r="N138" s="69">
        <f t="shared" si="31"/>
        <v>4.4755000000000003</v>
      </c>
      <c r="O138" s="69">
        <f>N138+Control!$C$39</f>
        <v>4.4755000000000003</v>
      </c>
      <c r="P138" s="73">
        <f>VLOOKUP($A138,CurveFetch!$D$8:$E$367,2)</f>
        <v>5.0633356829030203E-2</v>
      </c>
      <c r="Q138" s="24">
        <f t="shared" si="41"/>
        <v>5.0633356829030203E-2</v>
      </c>
      <c r="R138" s="72">
        <f t="shared" ca="1" si="42"/>
        <v>3986</v>
      </c>
      <c r="S138" s="25">
        <f>VLOOKUP($A138,Curve_Fetch,VLOOKUP(Control!$AJ$10,Control!$AI$11:$AM$22,5))</f>
        <v>0.17</v>
      </c>
      <c r="T138" s="74">
        <f ca="1">_xll.EURO(N138,O138,P138,Q138,S138,R138,IF(Control!$C$38="Call",1,0),0)</f>
        <v>0.56953507184204977</v>
      </c>
      <c r="U138" s="27">
        <f t="shared" ca="1" si="32"/>
        <v>0</v>
      </c>
      <c r="V138" s="76"/>
      <c r="W138" s="197"/>
      <c r="X138" s="197"/>
      <c r="Y138" s="197"/>
      <c r="AA138" s="210"/>
      <c r="AB138" s="210"/>
      <c r="AC138" s="211"/>
      <c r="AD138" s="212"/>
      <c r="AE138" s="213"/>
      <c r="AF138" s="214"/>
      <c r="AG138" s="215"/>
      <c r="AH138" s="216"/>
      <c r="AI138" s="27"/>
      <c r="AJ138" s="28">
        <f t="shared" si="33"/>
        <v>0.19750000000000001</v>
      </c>
      <c r="AL138" s="24">
        <f t="shared" si="43"/>
        <v>5.0689414218065401E-2</v>
      </c>
      <c r="AM138" s="25">
        <f t="shared" ca="1" si="44"/>
        <v>0.57459183004295566</v>
      </c>
      <c r="AO138" s="26">
        <f t="shared" ca="1" si="34"/>
        <v>0</v>
      </c>
      <c r="AP138" s="26"/>
      <c r="AQ138" s="26">
        <f t="shared" ca="1" si="35"/>
        <v>0</v>
      </c>
      <c r="AR138" s="26"/>
      <c r="AS138" s="27">
        <f t="shared" ca="1" si="36"/>
        <v>0</v>
      </c>
      <c r="AT138" s="27">
        <f t="shared" ca="1" si="37"/>
        <v>0</v>
      </c>
      <c r="AU138" s="27">
        <f t="shared" ca="1" si="38"/>
        <v>0</v>
      </c>
      <c r="AV138" s="27"/>
      <c r="AW138" s="27"/>
      <c r="AY138" s="216"/>
      <c r="AZ138" s="216"/>
      <c r="BA138" s="233"/>
      <c r="BC138" s="216"/>
      <c r="BE138" s="69"/>
    </row>
    <row r="139" spans="1:57">
      <c r="A139" s="19">
        <f>[1]!_xludf.edate(A138,1)</f>
        <v>41214</v>
      </c>
      <c r="B139" s="21">
        <f t="shared" si="45"/>
        <v>30</v>
      </c>
      <c r="C139" s="20">
        <f>IF(Control!$F$18="Physical",Model!A140+24,Model!A140)</f>
        <v>41268</v>
      </c>
      <c r="E139" s="22">
        <f>IF($A139&lt;End_Date,IF(Control!$C$20="Flat",Control!$C$21,VLOOKUP(Model!$A139,Euro!$B$29:$D$182,3)),0)</f>
        <v>0</v>
      </c>
      <c r="F139" s="22">
        <f t="shared" si="39"/>
        <v>0</v>
      </c>
      <c r="H139" s="23">
        <f>IF(Control!$C$27="Mid",VLOOKUP($A139,CurveFetch!$D$8:$F$367,3),VLOOKUP($A139,Euro!$B$29:$I$182,8))</f>
        <v>4.843</v>
      </c>
      <c r="I139" s="23"/>
      <c r="J139" s="23">
        <f>IF($J$4="Mid",VLOOKUP($A139,Curve_Fetch,VLOOKUP(Control!$AJ$10,Control!$AI$11:$AK$22,3)),VLOOKUP($A139,Euro!$B$29:$M$182,12))</f>
        <v>-0.13</v>
      </c>
      <c r="K139" s="228">
        <f>IF(Control!$F$18="Physical",IF($K$4="Mid",VLOOKUP($A139,Curve_Fetch,VLOOKUP(Control!$AJ$10,Control!$AI$11:$AL$22,4)),VLOOKUP($A139,Euro!$B$29:$Q$182,16)),0)</f>
        <v>5.0000000000000001E-3</v>
      </c>
      <c r="L139" s="23">
        <f t="shared" si="40"/>
        <v>-0.125</v>
      </c>
      <c r="M139" s="23"/>
      <c r="N139" s="69">
        <f t="shared" si="31"/>
        <v>4.718</v>
      </c>
      <c r="O139" s="69">
        <f>N139+Control!$C$39</f>
        <v>4.718</v>
      </c>
      <c r="P139" s="73">
        <f>VLOOKUP($A139,CurveFetch!$D$8:$E$367,2)</f>
        <v>5.0689414218065401E-2</v>
      </c>
      <c r="Q139" s="24">
        <f t="shared" si="41"/>
        <v>5.0689414218065401E-2</v>
      </c>
      <c r="R139" s="72">
        <f t="shared" ca="1" si="42"/>
        <v>4017</v>
      </c>
      <c r="S139" s="25">
        <f>VLOOKUP($A139,Curve_Fetch,VLOOKUP(Control!$AJ$10,Control!$AI$11:$AM$22,5))</f>
        <v>0.17</v>
      </c>
      <c r="T139" s="74">
        <f ca="1">_xll.EURO(N139,O139,P139,Q139,S139,R139,IF(Control!$C$38="Call",1,0),0)</f>
        <v>0.59970973780034287</v>
      </c>
      <c r="U139" s="27">
        <f t="shared" ca="1" si="32"/>
        <v>0</v>
      </c>
      <c r="V139" s="76"/>
      <c r="W139" s="197"/>
      <c r="X139" s="197"/>
      <c r="Y139" s="197"/>
      <c r="AA139" s="210"/>
      <c r="AB139" s="210"/>
      <c r="AC139" s="211"/>
      <c r="AD139" s="212"/>
      <c r="AE139" s="213"/>
      <c r="AF139" s="214"/>
      <c r="AG139" s="215"/>
      <c r="AH139" s="216"/>
      <c r="AI139" s="27"/>
      <c r="AJ139" s="28">
        <f t="shared" si="33"/>
        <v>0.125</v>
      </c>
      <c r="AL139" s="24">
        <f t="shared" si="43"/>
        <v>5.0743663305226998E-2</v>
      </c>
      <c r="AM139" s="25">
        <f t="shared" ca="1" si="44"/>
        <v>0.57189672626063792</v>
      </c>
      <c r="AO139" s="26">
        <f t="shared" ca="1" si="34"/>
        <v>0</v>
      </c>
      <c r="AP139" s="26"/>
      <c r="AQ139" s="26">
        <f t="shared" ca="1" si="35"/>
        <v>0</v>
      </c>
      <c r="AR139" s="26"/>
      <c r="AS139" s="27">
        <f t="shared" ca="1" si="36"/>
        <v>0</v>
      </c>
      <c r="AT139" s="27">
        <f t="shared" ca="1" si="37"/>
        <v>0</v>
      </c>
      <c r="AU139" s="27">
        <f t="shared" ca="1" si="38"/>
        <v>0</v>
      </c>
      <c r="AV139" s="27"/>
      <c r="AW139" s="27"/>
      <c r="AY139" s="216"/>
      <c r="AZ139" s="216"/>
      <c r="BA139" s="233"/>
      <c r="BC139" s="216"/>
      <c r="BE139" s="69"/>
    </row>
    <row r="140" spans="1:57">
      <c r="A140" s="19">
        <f>[1]!_xludf.edate(A139,1)</f>
        <v>41244</v>
      </c>
      <c r="B140" s="21">
        <f t="shared" si="45"/>
        <v>31</v>
      </c>
      <c r="C140" s="20">
        <f>IF(Control!$F$18="Physical",Model!A141+24,Model!A141)</f>
        <v>41299</v>
      </c>
      <c r="E140" s="22">
        <f>IF($A140&lt;End_Date,IF(Control!$C$20="Flat",Control!$C$21,VLOOKUP(Model!$A140,Euro!$B$29:$D$182,3)),0)</f>
        <v>0</v>
      </c>
      <c r="F140" s="22">
        <f t="shared" si="39"/>
        <v>0</v>
      </c>
      <c r="H140" s="23">
        <f>IF(Control!$C$27="Mid",VLOOKUP($A140,CurveFetch!$D$8:$F$367,3),VLOOKUP($A140,Euro!$B$29:$I$182,8))</f>
        <v>4.9740000000000002</v>
      </c>
      <c r="I140" s="23"/>
      <c r="J140" s="23">
        <f>IF($J$4="Mid",VLOOKUP($A140,Curve_Fetch,VLOOKUP(Control!$AJ$10,Control!$AI$11:$AK$22,3)),VLOOKUP($A140,Euro!$B$29:$M$182,12))</f>
        <v>-0.13</v>
      </c>
      <c r="K140" s="228">
        <f>IF(Control!$F$18="Physical",IF($K$4="Mid",VLOOKUP($A140,Curve_Fetch,VLOOKUP(Control!$AJ$10,Control!$AI$11:$AL$22,4)),VLOOKUP($A140,Euro!$B$29:$Q$182,16)),0)</f>
        <v>5.0000000000000001E-3</v>
      </c>
      <c r="L140" s="23">
        <f t="shared" si="40"/>
        <v>-0.125</v>
      </c>
      <c r="M140" s="23"/>
      <c r="N140" s="69">
        <f t="shared" si="31"/>
        <v>4.8490000000000002</v>
      </c>
      <c r="O140" s="69">
        <f>N140+Control!$C$39</f>
        <v>4.8490000000000002</v>
      </c>
      <c r="P140" s="73">
        <f>VLOOKUP($A140,CurveFetch!$D$8:$E$367,2)</f>
        <v>5.0743663305226998E-2</v>
      </c>
      <c r="Q140" s="24">
        <f t="shared" si="41"/>
        <v>5.0743663305226998E-2</v>
      </c>
      <c r="R140" s="72">
        <f t="shared" ca="1" si="42"/>
        <v>4047</v>
      </c>
      <c r="S140" s="25">
        <f>VLOOKUP($A140,Curve_Fetch,VLOOKUP(Control!$AJ$10,Control!$AI$11:$AM$22,5))</f>
        <v>0.17</v>
      </c>
      <c r="T140" s="74">
        <f ca="1">_xll.EURO(N140,O140,P140,Q140,S140,R140,IF(Control!$C$38="Call",1,0),0)</f>
        <v>0.61565774310317689</v>
      </c>
      <c r="U140" s="27">
        <f t="shared" ca="1" si="32"/>
        <v>0</v>
      </c>
      <c r="V140" s="76"/>
      <c r="W140" s="197"/>
      <c r="X140" s="197"/>
      <c r="Y140" s="197"/>
      <c r="AA140" s="210"/>
      <c r="AB140" s="210"/>
      <c r="AC140" s="211"/>
      <c r="AD140" s="212"/>
      <c r="AE140" s="213"/>
      <c r="AF140" s="214"/>
      <c r="AG140" s="215"/>
      <c r="AH140" s="216"/>
      <c r="AI140" s="27"/>
      <c r="AJ140" s="28">
        <f t="shared" si="33"/>
        <v>0.125</v>
      </c>
      <c r="AL140" s="24">
        <f t="shared" si="43"/>
        <v>5.0799720696326198E-2</v>
      </c>
      <c r="AM140" s="25">
        <f t="shared" ca="1" si="44"/>
        <v>0.56911987837035194</v>
      </c>
      <c r="AO140" s="26">
        <f t="shared" ca="1" si="34"/>
        <v>0</v>
      </c>
      <c r="AP140" s="26"/>
      <c r="AQ140" s="26">
        <f t="shared" ca="1" si="35"/>
        <v>0</v>
      </c>
      <c r="AR140" s="26"/>
      <c r="AS140" s="27">
        <f t="shared" ca="1" si="36"/>
        <v>0</v>
      </c>
      <c r="AT140" s="27">
        <f t="shared" ca="1" si="37"/>
        <v>0</v>
      </c>
      <c r="AU140" s="27">
        <f t="shared" ca="1" si="38"/>
        <v>0</v>
      </c>
      <c r="AV140" s="27"/>
      <c r="AW140" s="27"/>
      <c r="AY140" s="216"/>
      <c r="AZ140" s="216"/>
      <c r="BA140" s="233"/>
      <c r="BC140" s="216"/>
      <c r="BE140" s="69"/>
    </row>
    <row r="141" spans="1:57">
      <c r="A141" s="19">
        <f>[1]!_xludf.edate(A140,1)</f>
        <v>41275</v>
      </c>
      <c r="B141" s="21">
        <f t="shared" si="45"/>
        <v>31</v>
      </c>
      <c r="C141" s="20">
        <f>IF(Control!$F$18="Physical",Model!A142+24,Model!A142)</f>
        <v>41330</v>
      </c>
      <c r="E141" s="22">
        <f>IF($A141&lt;End_Date,IF(Control!$C$20="Flat",Control!$C$21,VLOOKUP(Model!$A141,Euro!$B$29:$D$182,3)),0)</f>
        <v>0</v>
      </c>
      <c r="F141" s="22">
        <f t="shared" si="39"/>
        <v>0</v>
      </c>
      <c r="H141" s="23">
        <f>IF(Control!$C$27="Mid",VLOOKUP($A141,CurveFetch!$D$8:$F$367,3),VLOOKUP($A141,Euro!$B$29:$I$182,8))</f>
        <v>5.0465</v>
      </c>
      <c r="I141" s="23"/>
      <c r="J141" s="23">
        <f>IF($J$4="Mid",VLOOKUP($A141,Curve_Fetch,VLOOKUP(Control!$AJ$10,Control!$AI$11:$AK$22,3)),VLOOKUP($A141,Euro!$B$29:$M$182,12))</f>
        <v>-0.13</v>
      </c>
      <c r="K141" s="228">
        <f>IF(Control!$F$18="Physical",IF($K$4="Mid",VLOOKUP($A141,Curve_Fetch,VLOOKUP(Control!$AJ$10,Control!$AI$11:$AL$22,4)),VLOOKUP($A141,Euro!$B$29:$Q$182,16)),0)</f>
        <v>5.0000000000000001E-3</v>
      </c>
      <c r="L141" s="23">
        <f t="shared" si="40"/>
        <v>-0.125</v>
      </c>
      <c r="M141" s="23"/>
      <c r="N141" s="69">
        <f t="shared" si="31"/>
        <v>4.9215</v>
      </c>
      <c r="O141" s="69">
        <f>N141+Control!$C$39</f>
        <v>4.9215</v>
      </c>
      <c r="P141" s="73">
        <f>VLOOKUP($A141,CurveFetch!$D$8:$E$367,2)</f>
        <v>5.0799720696326198E-2</v>
      </c>
      <c r="Q141" s="24">
        <f t="shared" si="41"/>
        <v>5.0799720696326198E-2</v>
      </c>
      <c r="R141" s="72">
        <f t="shared" ca="1" si="42"/>
        <v>4078</v>
      </c>
      <c r="S141" s="25">
        <f>VLOOKUP($A141,Curve_Fetch,VLOOKUP(Control!$AJ$10,Control!$AI$11:$AM$22,5))</f>
        <v>0.17</v>
      </c>
      <c r="T141" s="74">
        <f ca="1">_xll.EURO(N141,O141,P141,Q141,S141,R141,IF(Control!$C$38="Call",1,0),0)</f>
        <v>0.624101920683652</v>
      </c>
      <c r="U141" s="27">
        <f t="shared" ca="1" si="32"/>
        <v>0</v>
      </c>
      <c r="V141" s="76"/>
      <c r="W141" s="197"/>
      <c r="X141" s="197"/>
      <c r="Y141" s="197"/>
      <c r="AA141" s="210"/>
      <c r="AB141" s="210"/>
      <c r="AC141" s="211"/>
      <c r="AD141" s="212"/>
      <c r="AE141" s="213"/>
      <c r="AF141" s="214"/>
      <c r="AG141" s="215"/>
      <c r="AH141" s="216"/>
      <c r="AI141" s="27"/>
      <c r="AJ141" s="28">
        <f t="shared" si="33"/>
        <v>0.125</v>
      </c>
      <c r="AL141" s="24">
        <f t="shared" si="43"/>
        <v>5.0855778088474003E-2</v>
      </c>
      <c r="AM141" s="25">
        <f t="shared" ca="1" si="44"/>
        <v>0.56635126730326091</v>
      </c>
      <c r="AO141" s="26">
        <f t="shared" ca="1" si="34"/>
        <v>0</v>
      </c>
      <c r="AP141" s="26"/>
      <c r="AQ141" s="26">
        <f t="shared" ca="1" si="35"/>
        <v>0</v>
      </c>
      <c r="AR141" s="26"/>
      <c r="AS141" s="27">
        <f t="shared" ca="1" si="36"/>
        <v>0</v>
      </c>
      <c r="AT141" s="27">
        <f t="shared" ca="1" si="37"/>
        <v>0</v>
      </c>
      <c r="AU141" s="27">
        <f t="shared" ca="1" si="38"/>
        <v>0</v>
      </c>
      <c r="AV141" s="27"/>
      <c r="AW141" s="27"/>
      <c r="AY141" s="216"/>
      <c r="AZ141" s="216"/>
      <c r="BA141" s="233"/>
      <c r="BC141" s="216"/>
      <c r="BE141" s="69"/>
    </row>
    <row r="142" spans="1:57">
      <c r="A142" s="19">
        <f>[1]!_xludf.edate(A141,1)</f>
        <v>41306</v>
      </c>
      <c r="B142" s="21">
        <f t="shared" si="45"/>
        <v>28</v>
      </c>
      <c r="C142" s="20">
        <f>IF(Control!$F$18="Physical",Model!A143+24,Model!A143)</f>
        <v>41358</v>
      </c>
      <c r="E142" s="22">
        <f>IF($A142&lt;End_Date,IF(Control!$C$20="Flat",Control!$C$21,VLOOKUP(Model!$A142,Euro!$B$29:$D$182,3)),0)</f>
        <v>0</v>
      </c>
      <c r="F142" s="22">
        <f t="shared" si="39"/>
        <v>0</v>
      </c>
      <c r="H142" s="23">
        <f>IF(Control!$C$27="Mid",VLOOKUP($A142,CurveFetch!$D$8:$F$367,3),VLOOKUP($A142,Euro!$B$29:$I$182,8))</f>
        <v>4.9584999999999999</v>
      </c>
      <c r="I142" s="23"/>
      <c r="J142" s="23">
        <f>IF($J$4="Mid",VLOOKUP($A142,Curve_Fetch,VLOOKUP(Control!$AJ$10,Control!$AI$11:$AK$22,3)),VLOOKUP($A142,Euro!$B$29:$M$182,12))</f>
        <v>-0.13</v>
      </c>
      <c r="K142" s="228">
        <f>IF(Control!$F$18="Physical",IF($K$4="Mid",VLOOKUP($A142,Curve_Fetch,VLOOKUP(Control!$AJ$10,Control!$AI$11:$AL$22,4)),VLOOKUP($A142,Euro!$B$29:$Q$182,16)),0)</f>
        <v>5.0000000000000001E-3</v>
      </c>
      <c r="L142" s="23">
        <f t="shared" si="40"/>
        <v>-0.125</v>
      </c>
      <c r="M142" s="23"/>
      <c r="N142" s="69">
        <f t="shared" si="31"/>
        <v>4.8334999999999999</v>
      </c>
      <c r="O142" s="69">
        <f>N142+Control!$C$39</f>
        <v>4.8334999999999999</v>
      </c>
      <c r="P142" s="73">
        <f>VLOOKUP($A142,CurveFetch!$D$8:$E$367,2)</f>
        <v>5.0855778088474003E-2</v>
      </c>
      <c r="Q142" s="24">
        <f t="shared" si="41"/>
        <v>5.0855778088474003E-2</v>
      </c>
      <c r="R142" s="72">
        <f t="shared" ca="1" si="42"/>
        <v>4109</v>
      </c>
      <c r="S142" s="25">
        <f>VLOOKUP($A142,Curve_Fetch,VLOOKUP(Control!$AJ$10,Control!$AI$11:$AM$22,5))</f>
        <v>0.17</v>
      </c>
      <c r="T142" s="74">
        <f ca="1">_xll.EURO(N142,O142,P142,Q142,S142,R142,IF(Control!$C$38="Call",1,0),0)</f>
        <v>0.61217267845255607</v>
      </c>
      <c r="U142" s="27">
        <f t="shared" ca="1" si="32"/>
        <v>0</v>
      </c>
      <c r="V142" s="76"/>
      <c r="W142" s="197"/>
      <c r="X142" s="197"/>
      <c r="Y142" s="197"/>
      <c r="AA142" s="210"/>
      <c r="AB142" s="210"/>
      <c r="AC142" s="211"/>
      <c r="AD142" s="212"/>
      <c r="AE142" s="213"/>
      <c r="AF142" s="214"/>
      <c r="AG142" s="215"/>
      <c r="AH142" s="216"/>
      <c r="AI142" s="27"/>
      <c r="AJ142" s="28">
        <f t="shared" si="33"/>
        <v>0.125</v>
      </c>
      <c r="AL142" s="24">
        <f t="shared" si="43"/>
        <v>5.0906410572605601E-2</v>
      </c>
      <c r="AM142" s="25">
        <f t="shared" ca="1" si="44"/>
        <v>0.5638576754785547</v>
      </c>
      <c r="AO142" s="26">
        <f t="shared" ca="1" si="34"/>
        <v>0</v>
      </c>
      <c r="AP142" s="26"/>
      <c r="AQ142" s="26">
        <f t="shared" ca="1" si="35"/>
        <v>0</v>
      </c>
      <c r="AR142" s="26"/>
      <c r="AS142" s="27">
        <f t="shared" ca="1" si="36"/>
        <v>0</v>
      </c>
      <c r="AT142" s="27">
        <f t="shared" ca="1" si="37"/>
        <v>0</v>
      </c>
      <c r="AU142" s="27">
        <f t="shared" ca="1" si="38"/>
        <v>0</v>
      </c>
      <c r="AV142" s="27"/>
      <c r="AW142" s="27"/>
      <c r="AY142" s="216"/>
      <c r="AZ142" s="216"/>
      <c r="BA142" s="233"/>
      <c r="BC142" s="216"/>
      <c r="BE142" s="69"/>
    </row>
    <row r="143" spans="1:57">
      <c r="A143" s="19">
        <f>[1]!_xludf.edate(A142,1)</f>
        <v>41334</v>
      </c>
      <c r="B143" s="21">
        <f t="shared" si="45"/>
        <v>31</v>
      </c>
      <c r="C143" s="20">
        <f>IF(Control!$F$18="Physical",Model!A144+24,Model!A144)</f>
        <v>41389</v>
      </c>
      <c r="E143" s="22">
        <f>IF($A143&lt;End_Date,IF(Control!$C$20="Flat",Control!$C$21,VLOOKUP(Model!$A143,Euro!$B$29:$D$182,3)),0)</f>
        <v>0</v>
      </c>
      <c r="F143" s="22">
        <f t="shared" si="39"/>
        <v>0</v>
      </c>
      <c r="H143" s="23">
        <f>IF(Control!$C$27="Mid",VLOOKUP($A143,CurveFetch!$D$8:$F$367,3),VLOOKUP($A143,Euro!$B$29:$I$182,8))</f>
        <v>4.8194999999999997</v>
      </c>
      <c r="I143" s="23"/>
      <c r="J143" s="23">
        <f>IF($J$4="Mid",VLOOKUP($A143,Curve_Fetch,VLOOKUP(Control!$AJ$10,Control!$AI$11:$AK$22,3)),VLOOKUP($A143,Euro!$B$29:$M$182,12))</f>
        <v>-0.13</v>
      </c>
      <c r="K143" s="228">
        <f>IF(Control!$F$18="Physical",IF($K$4="Mid",VLOOKUP($A143,Curve_Fetch,VLOOKUP(Control!$AJ$10,Control!$AI$11:$AL$22,4)),VLOOKUP($A143,Euro!$B$29:$Q$182,16)),0)</f>
        <v>5.0000000000000001E-3</v>
      </c>
      <c r="L143" s="23">
        <f t="shared" si="40"/>
        <v>-0.125</v>
      </c>
      <c r="M143" s="23"/>
      <c r="N143" s="69">
        <f t="shared" si="31"/>
        <v>4.6944999999999997</v>
      </c>
      <c r="O143" s="69">
        <f>N143+Control!$C$39</f>
        <v>4.6944999999999997</v>
      </c>
      <c r="P143" s="73">
        <f>VLOOKUP($A143,CurveFetch!$D$8:$E$367,2)</f>
        <v>5.0906410572605601E-2</v>
      </c>
      <c r="Q143" s="24">
        <f t="shared" si="41"/>
        <v>5.0906410572605601E-2</v>
      </c>
      <c r="R143" s="72">
        <f t="shared" ca="1" si="42"/>
        <v>4137</v>
      </c>
      <c r="S143" s="25">
        <f>VLOOKUP($A143,Curve_Fetch,VLOOKUP(Control!$AJ$10,Control!$AI$11:$AM$22,5))</f>
        <v>0.17</v>
      </c>
      <c r="T143" s="74">
        <f ca="1">_xll.EURO(N143,O143,P143,Q143,S143,R143,IF(Control!$C$38="Call",1,0),0)</f>
        <v>0.59387411507326604</v>
      </c>
      <c r="U143" s="27">
        <f t="shared" ca="1" si="32"/>
        <v>0</v>
      </c>
      <c r="V143" s="76"/>
      <c r="W143" s="197"/>
      <c r="X143" s="197"/>
      <c r="Y143" s="197"/>
      <c r="AA143" s="210"/>
      <c r="AB143" s="210"/>
      <c r="AC143" s="211"/>
      <c r="AD143" s="212"/>
      <c r="AE143" s="213"/>
      <c r="AF143" s="214"/>
      <c r="AG143" s="215"/>
      <c r="AH143" s="216"/>
      <c r="AI143" s="27"/>
      <c r="AJ143" s="28">
        <f t="shared" si="33"/>
        <v>0.125</v>
      </c>
      <c r="AL143" s="24">
        <f t="shared" si="43"/>
        <v>5.0962467966749102E-2</v>
      </c>
      <c r="AM143" s="25">
        <f t="shared" ca="1" si="44"/>
        <v>0.56110477195561959</v>
      </c>
      <c r="AO143" s="26">
        <f t="shared" ca="1" si="34"/>
        <v>0</v>
      </c>
      <c r="AP143" s="26"/>
      <c r="AQ143" s="26">
        <f t="shared" ca="1" si="35"/>
        <v>0</v>
      </c>
      <c r="AR143" s="26"/>
      <c r="AS143" s="27">
        <f t="shared" ca="1" si="36"/>
        <v>0</v>
      </c>
      <c r="AT143" s="27">
        <f t="shared" ca="1" si="37"/>
        <v>0</v>
      </c>
      <c r="AU143" s="27">
        <f t="shared" ca="1" si="38"/>
        <v>0</v>
      </c>
      <c r="AV143" s="27"/>
      <c r="AW143" s="27"/>
      <c r="AY143" s="216"/>
      <c r="AZ143" s="216"/>
      <c r="BA143" s="233"/>
      <c r="BC143" s="216"/>
      <c r="BE143" s="69"/>
    </row>
    <row r="144" spans="1:57">
      <c r="A144" s="19">
        <f>[1]!_xludf.edate(A143,1)</f>
        <v>41365</v>
      </c>
      <c r="B144" s="21">
        <f t="shared" si="45"/>
        <v>30</v>
      </c>
      <c r="C144" s="20">
        <f>IF(Control!$F$18="Physical",Model!A145+24,Model!A145)</f>
        <v>41419</v>
      </c>
      <c r="E144" s="22">
        <f>IF($A144&lt;End_Date,IF(Control!$C$20="Flat",Control!$C$21,VLOOKUP(Model!$A144,Euro!$B$29:$D$182,3)),0)</f>
        <v>0</v>
      </c>
      <c r="F144" s="22">
        <f t="shared" si="39"/>
        <v>0</v>
      </c>
      <c r="H144" s="23">
        <f>IF(Control!$C$27="Mid",VLOOKUP($A144,CurveFetch!$D$8:$F$367,3),VLOOKUP($A144,Euro!$B$29:$I$182,8))</f>
        <v>4.6654999999999998</v>
      </c>
      <c r="I144" s="23"/>
      <c r="J144" s="23">
        <f>IF($J$4="Mid",VLOOKUP($A144,Curve_Fetch,VLOOKUP(Control!$AJ$10,Control!$AI$11:$AK$22,3)),VLOOKUP($A144,Euro!$B$29:$M$182,12))</f>
        <v>-0.2</v>
      </c>
      <c r="K144" s="228">
        <f>IF(Control!$F$18="Physical",IF($K$4="Mid",VLOOKUP($A144,Curve_Fetch,VLOOKUP(Control!$AJ$10,Control!$AI$11:$AL$22,4)),VLOOKUP($A144,Euro!$B$29:$Q$182,16)),0)</f>
        <v>2.5000000000000001E-3</v>
      </c>
      <c r="L144" s="23">
        <f t="shared" si="40"/>
        <v>-0.19750000000000001</v>
      </c>
      <c r="M144" s="23"/>
      <c r="N144" s="69">
        <f t="shared" si="31"/>
        <v>4.468</v>
      </c>
      <c r="O144" s="69">
        <f>N144+Control!$C$39</f>
        <v>4.468</v>
      </c>
      <c r="P144" s="73">
        <f>VLOOKUP($A144,CurveFetch!$D$8:$E$367,2)</f>
        <v>5.0962467966749102E-2</v>
      </c>
      <c r="Q144" s="24">
        <f t="shared" si="41"/>
        <v>5.0962467966749102E-2</v>
      </c>
      <c r="R144" s="72">
        <f t="shared" ca="1" si="42"/>
        <v>4168</v>
      </c>
      <c r="S144" s="25">
        <f>VLOOKUP($A144,Curve_Fetch,VLOOKUP(Control!$AJ$10,Control!$AI$11:$AM$22,5))</f>
        <v>0.17</v>
      </c>
      <c r="T144" s="74">
        <f ca="1">_xll.EURO(N144,O144,P144,Q144,S144,R144,IF(Control!$C$38="Call",1,0),0)</f>
        <v>0.56447041437352607</v>
      </c>
      <c r="U144" s="27">
        <f t="shared" ca="1" si="32"/>
        <v>0</v>
      </c>
      <c r="V144" s="76"/>
      <c r="W144" s="197"/>
      <c r="X144" s="197"/>
      <c r="Y144" s="197"/>
      <c r="AA144" s="210"/>
      <c r="AB144" s="210"/>
      <c r="AC144" s="211"/>
      <c r="AD144" s="212"/>
      <c r="AE144" s="213"/>
      <c r="AF144" s="214"/>
      <c r="AG144" s="215"/>
      <c r="AH144" s="216"/>
      <c r="AI144" s="27"/>
      <c r="AJ144" s="28">
        <f t="shared" si="33"/>
        <v>0.19750000000000001</v>
      </c>
      <c r="AL144" s="24">
        <f t="shared" si="43"/>
        <v>5.1016717058854702E-2</v>
      </c>
      <c r="AM144" s="25">
        <f t="shared" ca="1" si="44"/>
        <v>0.5584485447284615</v>
      </c>
      <c r="AO144" s="26">
        <f t="shared" ca="1" si="34"/>
        <v>0</v>
      </c>
      <c r="AP144" s="26"/>
      <c r="AQ144" s="26">
        <f t="shared" ca="1" si="35"/>
        <v>0</v>
      </c>
      <c r="AR144" s="26"/>
      <c r="AS144" s="27">
        <f t="shared" ca="1" si="36"/>
        <v>0</v>
      </c>
      <c r="AT144" s="27">
        <f t="shared" ca="1" si="37"/>
        <v>0</v>
      </c>
      <c r="AU144" s="27">
        <f t="shared" ca="1" si="38"/>
        <v>0</v>
      </c>
      <c r="AV144" s="27"/>
      <c r="AW144" s="27"/>
      <c r="AY144" s="216"/>
      <c r="AZ144" s="216"/>
      <c r="BA144" s="233"/>
      <c r="BC144" s="216"/>
      <c r="BE144" s="69"/>
    </row>
    <row r="145" spans="1:57">
      <c r="A145" s="19">
        <f>[1]!_xludf.edate(A144,1)</f>
        <v>41395</v>
      </c>
      <c r="B145" s="21">
        <f t="shared" si="45"/>
        <v>31</v>
      </c>
      <c r="C145" s="20">
        <f>IF(Control!$F$18="Physical",Model!A146+24,Model!A146)</f>
        <v>41450</v>
      </c>
      <c r="E145" s="22">
        <f>IF($A145&lt;End_Date,IF(Control!$C$20="Flat",Control!$C$21,VLOOKUP(Model!$A145,Euro!$B$29:$D$182,3)),0)</f>
        <v>0</v>
      </c>
      <c r="F145" s="22">
        <f t="shared" si="39"/>
        <v>0</v>
      </c>
      <c r="H145" s="23">
        <f>IF(Control!$C$27="Mid",VLOOKUP($A145,CurveFetch!$D$8:$F$367,3),VLOOKUP($A145,Euro!$B$29:$I$182,8))</f>
        <v>4.6704999999999997</v>
      </c>
      <c r="I145" s="23"/>
      <c r="J145" s="23">
        <f>IF($J$4="Mid",VLOOKUP($A145,Curve_Fetch,VLOOKUP(Control!$AJ$10,Control!$AI$11:$AK$22,3)),VLOOKUP($A145,Euro!$B$29:$M$182,12))</f>
        <v>-0.2</v>
      </c>
      <c r="K145" s="228">
        <f>IF(Control!$F$18="Physical",IF($K$4="Mid",VLOOKUP($A145,Curve_Fetch,VLOOKUP(Control!$AJ$10,Control!$AI$11:$AL$22,4)),VLOOKUP($A145,Euro!$B$29:$Q$182,16)),0)</f>
        <v>2.5000000000000001E-3</v>
      </c>
      <c r="L145" s="23">
        <f t="shared" si="40"/>
        <v>-0.19750000000000001</v>
      </c>
      <c r="M145" s="23"/>
      <c r="N145" s="69">
        <f t="shared" si="31"/>
        <v>4.4729999999999999</v>
      </c>
      <c r="O145" s="69">
        <f>N145+Control!$C$39</f>
        <v>4.4729999999999999</v>
      </c>
      <c r="P145" s="73">
        <f>VLOOKUP($A145,CurveFetch!$D$8:$E$367,2)</f>
        <v>5.1016717058854702E-2</v>
      </c>
      <c r="Q145" s="24">
        <f t="shared" si="41"/>
        <v>5.1016717058854702E-2</v>
      </c>
      <c r="R145" s="72">
        <f t="shared" ca="1" si="42"/>
        <v>4198</v>
      </c>
      <c r="S145" s="25">
        <f>VLOOKUP($A145,Curve_Fetch,VLOOKUP(Control!$AJ$10,Control!$AI$11:$AM$22,5))</f>
        <v>0.17</v>
      </c>
      <c r="T145" s="74">
        <f ca="1">_xll.EURO(N145,O145,P145,Q145,S145,R145,IF(Control!$C$38="Call",1,0),0)</f>
        <v>0.56435597581184271</v>
      </c>
      <c r="U145" s="27">
        <f t="shared" ca="1" si="32"/>
        <v>0</v>
      </c>
      <c r="V145" s="76"/>
      <c r="W145" s="197"/>
      <c r="X145" s="197"/>
      <c r="Y145" s="197"/>
      <c r="AA145" s="210"/>
      <c r="AB145" s="210"/>
      <c r="AC145" s="211"/>
      <c r="AD145" s="212"/>
      <c r="AE145" s="213"/>
      <c r="AF145" s="214"/>
      <c r="AG145" s="215"/>
      <c r="AH145" s="216"/>
      <c r="AI145" s="27"/>
      <c r="AJ145" s="28">
        <f t="shared" si="33"/>
        <v>0.19750000000000001</v>
      </c>
      <c r="AL145" s="24">
        <f t="shared" si="43"/>
        <v>5.1072774455061899E-2</v>
      </c>
      <c r="AM145" s="25">
        <f t="shared" ca="1" si="44"/>
        <v>0.55571192218703835</v>
      </c>
      <c r="AO145" s="26">
        <f t="shared" ca="1" si="34"/>
        <v>0</v>
      </c>
      <c r="AP145" s="26"/>
      <c r="AQ145" s="26">
        <f t="shared" ca="1" si="35"/>
        <v>0</v>
      </c>
      <c r="AR145" s="26"/>
      <c r="AS145" s="27">
        <f t="shared" ca="1" si="36"/>
        <v>0</v>
      </c>
      <c r="AT145" s="27">
        <f t="shared" ca="1" si="37"/>
        <v>0</v>
      </c>
      <c r="AU145" s="27">
        <f t="shared" ca="1" si="38"/>
        <v>0</v>
      </c>
      <c r="AV145" s="27"/>
      <c r="AW145" s="27"/>
      <c r="AY145" s="216"/>
      <c r="AZ145" s="216"/>
      <c r="BA145" s="233"/>
      <c r="BC145" s="216"/>
      <c r="BE145" s="69"/>
    </row>
    <row r="146" spans="1:57">
      <c r="A146" s="19">
        <f>[1]!_xludf.edate(A145,1)</f>
        <v>41426</v>
      </c>
      <c r="B146" s="21">
        <f t="shared" si="45"/>
        <v>30</v>
      </c>
      <c r="C146" s="20">
        <f>IF(Control!$F$18="Physical",Model!A147+24,Model!A147)</f>
        <v>41480</v>
      </c>
      <c r="E146" s="22">
        <f>IF($A146&lt;End_Date,IF(Control!$C$20="Flat",Control!$C$21,VLOOKUP(Model!$A146,Euro!$B$29:$D$182,3)),0)</f>
        <v>0</v>
      </c>
      <c r="F146" s="22">
        <f t="shared" si="39"/>
        <v>0</v>
      </c>
      <c r="H146" s="23">
        <f>IF(Control!$C$27="Mid",VLOOKUP($A146,CurveFetch!$D$8:$F$367,3),VLOOKUP($A146,Euro!$B$29:$I$182,8))</f>
        <v>4.7084999999999999</v>
      </c>
      <c r="I146" s="23"/>
      <c r="J146" s="23">
        <f>IF($J$4="Mid",VLOOKUP($A146,Curve_Fetch,VLOOKUP(Control!$AJ$10,Control!$AI$11:$AK$22,3)),VLOOKUP($A146,Euro!$B$29:$M$182,12))</f>
        <v>-0.2</v>
      </c>
      <c r="K146" s="228">
        <f>IF(Control!$F$18="Physical",IF($K$4="Mid",VLOOKUP($A146,Curve_Fetch,VLOOKUP(Control!$AJ$10,Control!$AI$11:$AL$22,4)),VLOOKUP($A146,Euro!$B$29:$Q$182,16)),0)</f>
        <v>2.5000000000000001E-3</v>
      </c>
      <c r="L146" s="23">
        <f t="shared" si="40"/>
        <v>-0.19750000000000001</v>
      </c>
      <c r="M146" s="23"/>
      <c r="N146" s="69">
        <f t="shared" si="31"/>
        <v>4.5110000000000001</v>
      </c>
      <c r="O146" s="69">
        <f>N146+Control!$C$39</f>
        <v>4.5110000000000001</v>
      </c>
      <c r="P146" s="73">
        <f>VLOOKUP($A146,CurveFetch!$D$8:$E$367,2)</f>
        <v>5.1072774455061899E-2</v>
      </c>
      <c r="Q146" s="24">
        <f t="shared" si="41"/>
        <v>5.1072774455061899E-2</v>
      </c>
      <c r="R146" s="72">
        <f t="shared" ca="1" si="42"/>
        <v>4229</v>
      </c>
      <c r="S146" s="25">
        <f>VLOOKUP($A146,Curve_Fetch,VLOOKUP(Control!$AJ$10,Control!$AI$11:$AM$22,5))</f>
        <v>0.17</v>
      </c>
      <c r="T146" s="74">
        <f ca="1">_xll.EURO(N146,O146,P146,Q146,S146,R146,IF(Control!$C$38="Call",1,0),0)</f>
        <v>0.56835335743638649</v>
      </c>
      <c r="U146" s="27">
        <f t="shared" ca="1" si="32"/>
        <v>0</v>
      </c>
      <c r="V146" s="76"/>
      <c r="W146" s="197"/>
      <c r="X146" s="197"/>
      <c r="Y146" s="197"/>
      <c r="AA146" s="210"/>
      <c r="AB146" s="210"/>
      <c r="AC146" s="211"/>
      <c r="AD146" s="212"/>
      <c r="AE146" s="213"/>
      <c r="AF146" s="214"/>
      <c r="AG146" s="215"/>
      <c r="AH146" s="216"/>
      <c r="AI146" s="27"/>
      <c r="AJ146" s="28">
        <f t="shared" si="33"/>
        <v>0.19750000000000001</v>
      </c>
      <c r="AL146" s="24">
        <f t="shared" si="43"/>
        <v>5.1127023549164499E-2</v>
      </c>
      <c r="AM146" s="25">
        <f t="shared" ca="1" si="44"/>
        <v>0.5530714701326237</v>
      </c>
      <c r="AO146" s="26">
        <f t="shared" ca="1" si="34"/>
        <v>0</v>
      </c>
      <c r="AP146" s="26"/>
      <c r="AQ146" s="26">
        <f t="shared" ca="1" si="35"/>
        <v>0</v>
      </c>
      <c r="AR146" s="26"/>
      <c r="AS146" s="27">
        <f t="shared" ca="1" si="36"/>
        <v>0</v>
      </c>
      <c r="AT146" s="27">
        <f t="shared" ca="1" si="37"/>
        <v>0</v>
      </c>
      <c r="AU146" s="27">
        <f t="shared" ca="1" si="38"/>
        <v>0</v>
      </c>
      <c r="AV146" s="27"/>
      <c r="AW146" s="27"/>
      <c r="AY146" s="216"/>
      <c r="AZ146" s="216"/>
      <c r="BA146" s="233"/>
      <c r="BC146" s="216"/>
      <c r="BE146" s="69"/>
    </row>
    <row r="147" spans="1:57">
      <c r="A147" s="19">
        <f>[1]!_xludf.edate(A146,1)</f>
        <v>41456</v>
      </c>
      <c r="B147" s="21">
        <f t="shared" si="45"/>
        <v>31</v>
      </c>
      <c r="C147" s="20">
        <f>IF(Control!$F$18="Physical",Model!A148+24,Model!A148)</f>
        <v>41511</v>
      </c>
      <c r="E147" s="22">
        <f>IF($A147&lt;End_Date,IF(Control!$C$20="Flat",Control!$C$21,VLOOKUP(Model!$A147,Euro!$B$29:$D$182,3)),0)</f>
        <v>0</v>
      </c>
      <c r="F147" s="22">
        <f t="shared" si="39"/>
        <v>0</v>
      </c>
      <c r="H147" s="23">
        <f>IF(Control!$C$27="Mid",VLOOKUP($A147,CurveFetch!$D$8:$F$367,3),VLOOKUP($A147,Euro!$B$29:$I$182,8))</f>
        <v>4.7534999999999998</v>
      </c>
      <c r="I147" s="23"/>
      <c r="J147" s="23">
        <f>IF($J$4="Mid",VLOOKUP($A147,Curve_Fetch,VLOOKUP(Control!$AJ$10,Control!$AI$11:$AK$22,3)),VLOOKUP($A147,Euro!$B$29:$M$182,12))</f>
        <v>-0.2</v>
      </c>
      <c r="K147" s="228">
        <f>IF(Control!$F$18="Physical",IF($K$4="Mid",VLOOKUP($A147,Curve_Fetch,VLOOKUP(Control!$AJ$10,Control!$AI$11:$AL$22,4)),VLOOKUP($A147,Euro!$B$29:$Q$182,16)),0)</f>
        <v>2.5000000000000001E-3</v>
      </c>
      <c r="L147" s="23">
        <f t="shared" si="40"/>
        <v>-0.19750000000000001</v>
      </c>
      <c r="M147" s="23"/>
      <c r="N147" s="69">
        <f t="shared" si="31"/>
        <v>4.556</v>
      </c>
      <c r="O147" s="69">
        <f>N147+Control!$C$39</f>
        <v>4.556</v>
      </c>
      <c r="P147" s="73">
        <f>VLOOKUP($A147,CurveFetch!$D$8:$E$367,2)</f>
        <v>5.1127023549164499E-2</v>
      </c>
      <c r="Q147" s="24">
        <f t="shared" si="41"/>
        <v>5.1127023549164499E-2</v>
      </c>
      <c r="R147" s="72">
        <f t="shared" ca="1" si="42"/>
        <v>4259</v>
      </c>
      <c r="S147" s="25">
        <f>VLOOKUP($A147,Curve_Fetch,VLOOKUP(Control!$AJ$10,Control!$AI$11:$AM$22,5))</f>
        <v>0.17</v>
      </c>
      <c r="T147" s="74">
        <f ca="1">_xll.EURO(N147,O147,P147,Q147,S147,R147,IF(Control!$C$38="Call",1,0),0)</f>
        <v>0.57322520884466044</v>
      </c>
      <c r="U147" s="27">
        <f t="shared" ca="1" si="32"/>
        <v>0</v>
      </c>
      <c r="V147" s="76"/>
      <c r="W147" s="197"/>
      <c r="X147" s="197"/>
      <c r="Y147" s="197"/>
      <c r="AA147" s="210"/>
      <c r="AB147" s="210"/>
      <c r="AC147" s="211"/>
      <c r="AD147" s="212"/>
      <c r="AE147" s="213"/>
      <c r="AF147" s="214"/>
      <c r="AG147" s="215"/>
      <c r="AH147" s="216"/>
      <c r="AI147" s="27"/>
      <c r="AJ147" s="28">
        <f t="shared" si="33"/>
        <v>0.19750000000000001</v>
      </c>
      <c r="AL147" s="24">
        <f t="shared" si="43"/>
        <v>5.1183080947434997E-2</v>
      </c>
      <c r="AM147" s="25">
        <f t="shared" ca="1" si="44"/>
        <v>0.55035116809053786</v>
      </c>
      <c r="AO147" s="26">
        <f t="shared" ca="1" si="34"/>
        <v>0</v>
      </c>
      <c r="AP147" s="26"/>
      <c r="AQ147" s="26">
        <f t="shared" ca="1" si="35"/>
        <v>0</v>
      </c>
      <c r="AR147" s="26"/>
      <c r="AS147" s="27">
        <f t="shared" ca="1" si="36"/>
        <v>0</v>
      </c>
      <c r="AT147" s="27">
        <f t="shared" ca="1" si="37"/>
        <v>0</v>
      </c>
      <c r="AU147" s="27">
        <f t="shared" ca="1" si="38"/>
        <v>0</v>
      </c>
      <c r="AV147" s="27"/>
      <c r="AW147" s="27"/>
      <c r="AY147" s="216"/>
      <c r="AZ147" s="216"/>
      <c r="BA147" s="233"/>
      <c r="BC147" s="216"/>
      <c r="BE147" s="69"/>
    </row>
    <row r="148" spans="1:57">
      <c r="A148" s="19">
        <f>[1]!_xludf.edate(A147,1)</f>
        <v>41487</v>
      </c>
      <c r="B148" s="21">
        <f t="shared" si="45"/>
        <v>31</v>
      </c>
      <c r="C148" s="20">
        <f>IF(Control!$F$18="Physical",Model!A149+24,Model!A149)</f>
        <v>41542</v>
      </c>
      <c r="E148" s="22">
        <f>IF($A148&lt;End_Date,IF(Control!$C$20="Flat",Control!$C$21,VLOOKUP(Model!$A148,Euro!$B$29:$D$182,3)),0)</f>
        <v>0</v>
      </c>
      <c r="F148" s="22">
        <f t="shared" si="39"/>
        <v>0</v>
      </c>
      <c r="H148" s="23">
        <f>IF(Control!$C$27="Mid",VLOOKUP($A148,CurveFetch!$D$8:$F$367,3),VLOOKUP($A148,Euro!$B$29:$I$182,8))</f>
        <v>4.7915000000000001</v>
      </c>
      <c r="I148" s="23"/>
      <c r="J148" s="23">
        <f>IF($J$4="Mid",VLOOKUP($A148,Curve_Fetch,VLOOKUP(Control!$AJ$10,Control!$AI$11:$AK$22,3)),VLOOKUP($A148,Euro!$B$29:$M$182,12))</f>
        <v>-0.2</v>
      </c>
      <c r="K148" s="228">
        <f>IF(Control!$F$18="Physical",IF($K$4="Mid",VLOOKUP($A148,Curve_Fetch,VLOOKUP(Control!$AJ$10,Control!$AI$11:$AL$22,4)),VLOOKUP($A148,Euro!$B$29:$Q$182,16)),0)</f>
        <v>2.5000000000000001E-3</v>
      </c>
      <c r="L148" s="23">
        <f t="shared" si="40"/>
        <v>-0.19750000000000001</v>
      </c>
      <c r="M148" s="23"/>
      <c r="N148" s="69">
        <f t="shared" si="31"/>
        <v>4.5940000000000003</v>
      </c>
      <c r="O148" s="69">
        <f>N148+Control!$C$39</f>
        <v>4.5940000000000003</v>
      </c>
      <c r="P148" s="73">
        <f>VLOOKUP($A148,CurveFetch!$D$8:$E$367,2)</f>
        <v>5.1183080947434997E-2</v>
      </c>
      <c r="Q148" s="24">
        <f t="shared" si="41"/>
        <v>5.1183080947434997E-2</v>
      </c>
      <c r="R148" s="72">
        <f t="shared" ca="1" si="42"/>
        <v>4290</v>
      </c>
      <c r="S148" s="25">
        <f>VLOOKUP($A148,Curve_Fetch,VLOOKUP(Control!$AJ$10,Control!$AI$11:$AM$22,5))</f>
        <v>0.17</v>
      </c>
      <c r="T148" s="74">
        <f ca="1">_xll.EURO(N148,O148,P148,Q148,S148,R148,IF(Control!$C$38="Call",1,0),0)</f>
        <v>0.57715572174058583</v>
      </c>
      <c r="U148" s="27">
        <f t="shared" ca="1" si="32"/>
        <v>0</v>
      </c>
      <c r="V148" s="76"/>
      <c r="W148" s="197"/>
      <c r="X148" s="197"/>
      <c r="Y148" s="197"/>
      <c r="AA148" s="210"/>
      <c r="AB148" s="210"/>
      <c r="AC148" s="211"/>
      <c r="AD148" s="212"/>
      <c r="AE148" s="213"/>
      <c r="AF148" s="214"/>
      <c r="AG148" s="215"/>
      <c r="AH148" s="216"/>
      <c r="AI148" s="27"/>
      <c r="AJ148" s="28">
        <f t="shared" si="33"/>
        <v>0.19750000000000001</v>
      </c>
      <c r="AL148" s="24">
        <f t="shared" si="43"/>
        <v>5.1239138346754802E-2</v>
      </c>
      <c r="AM148" s="25">
        <f t="shared" ca="1" si="44"/>
        <v>0.54763917452709432</v>
      </c>
      <c r="AO148" s="26">
        <f t="shared" ca="1" si="34"/>
        <v>0</v>
      </c>
      <c r="AP148" s="26"/>
      <c r="AQ148" s="26">
        <f t="shared" ca="1" si="35"/>
        <v>0</v>
      </c>
      <c r="AR148" s="26"/>
      <c r="AS148" s="27">
        <f t="shared" ca="1" si="36"/>
        <v>0</v>
      </c>
      <c r="AT148" s="27">
        <f t="shared" ca="1" si="37"/>
        <v>0</v>
      </c>
      <c r="AU148" s="27">
        <f t="shared" ca="1" si="38"/>
        <v>0</v>
      </c>
      <c r="AV148" s="27"/>
      <c r="AW148" s="27"/>
      <c r="AY148" s="216"/>
      <c r="AZ148" s="216"/>
      <c r="BA148" s="233"/>
      <c r="BC148" s="216"/>
      <c r="BE148" s="69"/>
    </row>
    <row r="149" spans="1:57">
      <c r="A149" s="19">
        <f>[1]!_xludf.edate(A148,1)</f>
        <v>41518</v>
      </c>
      <c r="B149" s="21">
        <f t="shared" si="45"/>
        <v>30</v>
      </c>
      <c r="C149" s="20">
        <f>IF(Control!$F$18="Physical",Model!A150+24,Model!A150)</f>
        <v>41572</v>
      </c>
      <c r="E149" s="22">
        <f>IF($A149&lt;End_Date,IF(Control!$C$20="Flat",Control!$C$21,VLOOKUP(Model!$A149,Euro!$B$29:$D$182,3)),0)</f>
        <v>0</v>
      </c>
      <c r="F149" s="22">
        <f t="shared" si="39"/>
        <v>0</v>
      </c>
      <c r="H149" s="23">
        <f>IF(Control!$C$27="Mid",VLOOKUP($A149,CurveFetch!$D$8:$F$367,3),VLOOKUP($A149,Euro!$B$29:$I$182,8))</f>
        <v>4.7854999999999999</v>
      </c>
      <c r="I149" s="23"/>
      <c r="J149" s="23">
        <f>IF($J$4="Mid",VLOOKUP($A149,Curve_Fetch,VLOOKUP(Control!$AJ$10,Control!$AI$11:$AK$22,3)),VLOOKUP($A149,Euro!$B$29:$M$182,12))</f>
        <v>-0.2</v>
      </c>
      <c r="K149" s="228">
        <f>IF(Control!$F$18="Physical",IF($K$4="Mid",VLOOKUP($A149,Curve_Fetch,VLOOKUP(Control!$AJ$10,Control!$AI$11:$AL$22,4)),VLOOKUP($A149,Euro!$B$29:$Q$182,16)),0)</f>
        <v>2.5000000000000001E-3</v>
      </c>
      <c r="L149" s="23">
        <f t="shared" si="40"/>
        <v>-0.19750000000000001</v>
      </c>
      <c r="M149" s="23"/>
      <c r="N149" s="69">
        <f t="shared" si="31"/>
        <v>4.5880000000000001</v>
      </c>
      <c r="O149" s="69">
        <f>N149+Control!$C$39</f>
        <v>4.5880000000000001</v>
      </c>
      <c r="P149" s="73">
        <f>VLOOKUP($A149,CurveFetch!$D$8:$E$367,2)</f>
        <v>5.1239138346754802E-2</v>
      </c>
      <c r="Q149" s="24">
        <f t="shared" si="41"/>
        <v>5.1239138346754802E-2</v>
      </c>
      <c r="R149" s="72">
        <f t="shared" ca="1" si="42"/>
        <v>4321</v>
      </c>
      <c r="S149" s="25">
        <f>VLOOKUP($A149,Curve_Fetch,VLOOKUP(Control!$AJ$10,Control!$AI$11:$AM$22,5))</f>
        <v>0.17</v>
      </c>
      <c r="T149" s="74">
        <f ca="1">_xll.EURO(N149,O149,P149,Q149,S149,R149,IF(Control!$C$38="Call",1,0),0)</f>
        <v>0.57553323113341792</v>
      </c>
      <c r="U149" s="27">
        <f t="shared" ca="1" si="32"/>
        <v>0</v>
      </c>
      <c r="V149" s="76"/>
      <c r="W149" s="197"/>
      <c r="X149" s="197"/>
      <c r="Y149" s="197"/>
      <c r="AA149" s="210"/>
      <c r="AB149" s="210"/>
      <c r="AC149" s="211"/>
      <c r="AD149" s="212"/>
      <c r="AE149" s="213"/>
      <c r="AF149" s="214"/>
      <c r="AG149" s="215"/>
      <c r="AH149" s="216"/>
      <c r="AI149" s="27"/>
      <c r="AJ149" s="28">
        <f t="shared" si="33"/>
        <v>0.19750000000000001</v>
      </c>
      <c r="AL149" s="24">
        <f t="shared" si="43"/>
        <v>5.1293387443868403E-2</v>
      </c>
      <c r="AM149" s="25">
        <f t="shared" ca="1" si="44"/>
        <v>0.54502258423225269</v>
      </c>
      <c r="AO149" s="26">
        <f t="shared" ca="1" si="34"/>
        <v>0</v>
      </c>
      <c r="AP149" s="26"/>
      <c r="AQ149" s="26">
        <f t="shared" ca="1" si="35"/>
        <v>0</v>
      </c>
      <c r="AR149" s="26"/>
      <c r="AS149" s="27">
        <f t="shared" ca="1" si="36"/>
        <v>0</v>
      </c>
      <c r="AT149" s="27">
        <f t="shared" ca="1" si="37"/>
        <v>0</v>
      </c>
      <c r="AU149" s="27">
        <f t="shared" ca="1" si="38"/>
        <v>0</v>
      </c>
      <c r="AV149" s="27"/>
      <c r="AW149" s="27"/>
      <c r="AY149" s="216"/>
      <c r="AZ149" s="216"/>
      <c r="BA149" s="233"/>
      <c r="BC149" s="216"/>
      <c r="BE149" s="69"/>
    </row>
    <row r="150" spans="1:57">
      <c r="A150" s="19">
        <f>[1]!_xludf.edate(A149,1)</f>
        <v>41548</v>
      </c>
      <c r="B150" s="21">
        <f t="shared" si="45"/>
        <v>31</v>
      </c>
      <c r="C150" s="20">
        <f>IF(Control!$F$18="Physical",Model!A151+24,Model!A151)</f>
        <v>41603</v>
      </c>
      <c r="E150" s="22">
        <f>IF($A150&lt;End_Date,IF(Control!$C$20="Flat",Control!$C$21,VLOOKUP(Model!$A150,Euro!$B$29:$D$182,3)),0)</f>
        <v>0</v>
      </c>
      <c r="F150" s="22">
        <f t="shared" si="39"/>
        <v>0</v>
      </c>
      <c r="H150" s="23">
        <f>IF(Control!$C$27="Mid",VLOOKUP($A150,CurveFetch!$D$8:$F$367,3),VLOOKUP($A150,Euro!$B$29:$I$182,8))</f>
        <v>4.7854999999999999</v>
      </c>
      <c r="I150" s="23"/>
      <c r="J150" s="23">
        <f>IF($J$4="Mid",VLOOKUP($A150,Curve_Fetch,VLOOKUP(Control!$AJ$10,Control!$AI$11:$AK$22,3)),VLOOKUP($A150,Euro!$B$29:$M$182,12))</f>
        <v>-0.2</v>
      </c>
      <c r="K150" s="228">
        <f>IF(Control!$F$18="Physical",IF($K$4="Mid",VLOOKUP($A150,Curve_Fetch,VLOOKUP(Control!$AJ$10,Control!$AI$11:$AL$22,4)),VLOOKUP($A150,Euro!$B$29:$Q$182,16)),0)</f>
        <v>2.5000000000000001E-3</v>
      </c>
      <c r="L150" s="23">
        <f t="shared" si="40"/>
        <v>-0.19750000000000001</v>
      </c>
      <c r="M150" s="23"/>
      <c r="N150" s="69">
        <f t="shared" si="31"/>
        <v>4.5880000000000001</v>
      </c>
      <c r="O150" s="69">
        <f>N150+Control!$C$39</f>
        <v>4.5880000000000001</v>
      </c>
      <c r="P150" s="73">
        <f>VLOOKUP($A150,CurveFetch!$D$8:$E$367,2)</f>
        <v>5.1293387443868403E-2</v>
      </c>
      <c r="Q150" s="24">
        <f t="shared" si="41"/>
        <v>5.1293387443868403E-2</v>
      </c>
      <c r="R150" s="72">
        <f t="shared" ca="1" si="42"/>
        <v>4351</v>
      </c>
      <c r="S150" s="25">
        <f>VLOOKUP($A150,Curve_Fetch,VLOOKUP(Control!$AJ$10,Control!$AI$11:$AM$22,5))</f>
        <v>0.17</v>
      </c>
      <c r="T150" s="74">
        <f ca="1">_xll.EURO(N150,O150,P150,Q150,S150,R150,IF(Control!$C$38="Call",1,0),0)</f>
        <v>0.57467451830690774</v>
      </c>
      <c r="U150" s="27">
        <f t="shared" ca="1" si="32"/>
        <v>0</v>
      </c>
      <c r="V150" s="76"/>
      <c r="W150" s="197"/>
      <c r="X150" s="197"/>
      <c r="Y150" s="197"/>
      <c r="AA150" s="210"/>
      <c r="AB150" s="210"/>
      <c r="AC150" s="211"/>
      <c r="AD150" s="212"/>
      <c r="AE150" s="213"/>
      <c r="AF150" s="214"/>
      <c r="AG150" s="215"/>
      <c r="AH150" s="216"/>
      <c r="AI150" s="27"/>
      <c r="AJ150" s="28">
        <f t="shared" si="33"/>
        <v>0.19750000000000001</v>
      </c>
      <c r="AL150" s="24">
        <f t="shared" si="43"/>
        <v>5.1349444845251398E-2</v>
      </c>
      <c r="AM150" s="25">
        <f t="shared" ca="1" si="44"/>
        <v>0.54232696670404612</v>
      </c>
      <c r="AO150" s="26">
        <f t="shared" ca="1" si="34"/>
        <v>0</v>
      </c>
      <c r="AP150" s="26"/>
      <c r="AQ150" s="26">
        <f t="shared" ca="1" si="35"/>
        <v>0</v>
      </c>
      <c r="AR150" s="26"/>
      <c r="AS150" s="27">
        <f t="shared" ca="1" si="36"/>
        <v>0</v>
      </c>
      <c r="AT150" s="27">
        <f t="shared" ca="1" si="37"/>
        <v>0</v>
      </c>
      <c r="AU150" s="27">
        <f t="shared" ca="1" si="38"/>
        <v>0</v>
      </c>
      <c r="AV150" s="27"/>
      <c r="AW150" s="27"/>
      <c r="AY150" s="216"/>
      <c r="AZ150" s="216"/>
      <c r="BA150" s="233"/>
      <c r="BC150" s="216"/>
      <c r="BE150" s="69"/>
    </row>
    <row r="151" spans="1:57">
      <c r="A151" s="19">
        <f>[1]!_xludf.edate(A150,1)</f>
        <v>41579</v>
      </c>
      <c r="B151" s="21">
        <f t="shared" si="45"/>
        <v>30</v>
      </c>
      <c r="C151" s="20">
        <f>IF(Control!$F$18="Physical",Model!A152+24,Model!A152)</f>
        <v>41633</v>
      </c>
      <c r="E151" s="22">
        <f>IF($A151&lt;End_Date,IF(Control!$C$20="Flat",Control!$C$21,VLOOKUP(Model!$A151,Euro!$B$29:$D$182,3)),0)</f>
        <v>0</v>
      </c>
      <c r="F151" s="22">
        <f t="shared" si="39"/>
        <v>0</v>
      </c>
      <c r="H151" s="23">
        <f>IF(Control!$C$27="Mid",VLOOKUP($A151,CurveFetch!$D$8:$F$367,3),VLOOKUP($A151,Euro!$B$29:$I$182,8))</f>
        <v>4.9554999999999998</v>
      </c>
      <c r="I151" s="23"/>
      <c r="J151" s="23">
        <f>IF($J$4="Mid",VLOOKUP($A151,Curve_Fetch,VLOOKUP(Control!$AJ$10,Control!$AI$11:$AK$22,3)),VLOOKUP($A151,Euro!$B$29:$M$182,12))</f>
        <v>-0.13</v>
      </c>
      <c r="K151" s="228">
        <f>IF(Control!$F$18="Physical",IF($K$4="Mid",VLOOKUP($A151,Curve_Fetch,VLOOKUP(Control!$AJ$10,Control!$AI$11:$AL$22,4)),VLOOKUP($A151,Euro!$B$29:$Q$182,16)),0)</f>
        <v>5.0000000000000001E-3</v>
      </c>
      <c r="L151" s="23">
        <f t="shared" si="40"/>
        <v>-0.125</v>
      </c>
      <c r="M151" s="23"/>
      <c r="N151" s="69">
        <f t="shared" si="31"/>
        <v>4.8304999999999998</v>
      </c>
      <c r="O151" s="69">
        <f>N151+Control!$C$39</f>
        <v>4.8304999999999998</v>
      </c>
      <c r="P151" s="73">
        <f>VLOOKUP($A151,CurveFetch!$D$8:$E$367,2)</f>
        <v>5.1349444845251398E-2</v>
      </c>
      <c r="Q151" s="24">
        <f t="shared" si="41"/>
        <v>5.1349444845251398E-2</v>
      </c>
      <c r="R151" s="72">
        <f t="shared" ca="1" si="42"/>
        <v>4382</v>
      </c>
      <c r="S151" s="25">
        <f>VLOOKUP($A151,Curve_Fetch,VLOOKUP(Control!$AJ$10,Control!$AI$11:$AM$22,5))</f>
        <v>0.17</v>
      </c>
      <c r="T151" s="74">
        <f ca="1">_xll.EURO(N151,O151,P151,Q151,S151,R151,IF(Control!$C$38="Call",1,0),0)</f>
        <v>0.6040955433728239</v>
      </c>
      <c r="U151" s="27">
        <f t="shared" ca="1" si="32"/>
        <v>0</v>
      </c>
      <c r="V151" s="76"/>
      <c r="W151" s="197"/>
      <c r="X151" s="197"/>
      <c r="Y151" s="197"/>
      <c r="AA151" s="210"/>
      <c r="AB151" s="210"/>
      <c r="AC151" s="211"/>
      <c r="AD151" s="212"/>
      <c r="AE151" s="213"/>
      <c r="AF151" s="214"/>
      <c r="AG151" s="215"/>
      <c r="AH151" s="216"/>
      <c r="AI151" s="27"/>
      <c r="AJ151" s="28">
        <f t="shared" si="33"/>
        <v>0.125</v>
      </c>
      <c r="AL151" s="24">
        <f t="shared" si="43"/>
        <v>5.1403693944362103E-2</v>
      </c>
      <c r="AM151" s="25">
        <f t="shared" ca="1" si="44"/>
        <v>0.5397262409676401</v>
      </c>
      <c r="AO151" s="26">
        <f t="shared" ca="1" si="34"/>
        <v>0</v>
      </c>
      <c r="AP151" s="26"/>
      <c r="AQ151" s="26">
        <f t="shared" ca="1" si="35"/>
        <v>0</v>
      </c>
      <c r="AR151" s="26"/>
      <c r="AS151" s="27">
        <f t="shared" ca="1" si="36"/>
        <v>0</v>
      </c>
      <c r="AT151" s="27">
        <f t="shared" ca="1" si="37"/>
        <v>0</v>
      </c>
      <c r="AU151" s="27">
        <f t="shared" ca="1" si="38"/>
        <v>0</v>
      </c>
      <c r="AV151" s="27"/>
      <c r="AW151" s="27"/>
      <c r="AY151" s="216"/>
      <c r="AZ151" s="216"/>
      <c r="BA151" s="233"/>
      <c r="BC151" s="216"/>
      <c r="BE151" s="69"/>
    </row>
    <row r="152" spans="1:57">
      <c r="A152" s="19">
        <f>[1]!_xludf.edate(A151,1)</f>
        <v>41609</v>
      </c>
      <c r="B152" s="21">
        <f t="shared" si="45"/>
        <v>31</v>
      </c>
      <c r="C152" s="20">
        <f>IF(Control!$F$18="Physical",Model!A153+24,Model!A153)</f>
        <v>41664</v>
      </c>
      <c r="E152" s="22">
        <f>IF($A152&lt;End_Date,IF(Control!$C$20="Flat",Control!$C$21,VLOOKUP(Model!$A152,Euro!$B$29:$D$182,3)),0)</f>
        <v>0</v>
      </c>
      <c r="F152" s="22">
        <f t="shared" si="39"/>
        <v>0</v>
      </c>
      <c r="H152" s="23">
        <f>IF(Control!$C$27="Mid",VLOOKUP($A152,CurveFetch!$D$8:$F$367,3),VLOOKUP($A152,Euro!$B$29:$I$182,8))</f>
        <v>5.0865</v>
      </c>
      <c r="I152" s="23"/>
      <c r="J152" s="23">
        <f>IF($J$4="Mid",VLOOKUP($A152,Curve_Fetch,VLOOKUP(Control!$AJ$10,Control!$AI$11:$AK$22,3)),VLOOKUP($A152,Euro!$B$29:$M$182,12))</f>
        <v>-0.13</v>
      </c>
      <c r="K152" s="228">
        <f>IF(Control!$F$18="Physical",IF($K$4="Mid",VLOOKUP($A152,Curve_Fetch,VLOOKUP(Control!$AJ$10,Control!$AI$11:$AL$22,4)),VLOOKUP($A152,Euro!$B$29:$Q$182,16)),0)</f>
        <v>5.0000000000000001E-3</v>
      </c>
      <c r="L152" s="23">
        <f t="shared" si="40"/>
        <v>-0.125</v>
      </c>
      <c r="M152" s="23"/>
      <c r="N152" s="69">
        <f t="shared" si="31"/>
        <v>4.9615</v>
      </c>
      <c r="O152" s="69">
        <f>N152+Control!$C$39</f>
        <v>4.9615</v>
      </c>
      <c r="P152" s="73">
        <f>VLOOKUP($A152,CurveFetch!$D$8:$E$367,2)</f>
        <v>5.1403693944362103E-2</v>
      </c>
      <c r="Q152" s="24">
        <f t="shared" si="41"/>
        <v>5.1403693944362103E-2</v>
      </c>
      <c r="R152" s="72">
        <f t="shared" ca="1" si="42"/>
        <v>4412</v>
      </c>
      <c r="S152" s="25">
        <f>VLOOKUP($A152,Curve_Fetch,VLOOKUP(Control!$AJ$10,Control!$AI$11:$AM$22,5))</f>
        <v>0.17</v>
      </c>
      <c r="T152" s="74">
        <f ca="1">_xll.EURO(N152,O152,P152,Q152,S152,R152,IF(Control!$C$38="Call",1,0),0)</f>
        <v>0.61951149765897218</v>
      </c>
      <c r="U152" s="27">
        <f t="shared" ca="1" si="32"/>
        <v>0</v>
      </c>
      <c r="V152" s="76"/>
      <c r="W152" s="197"/>
      <c r="X152" s="197"/>
      <c r="Y152" s="197"/>
      <c r="AA152" s="210"/>
      <c r="AB152" s="210"/>
      <c r="AC152" s="211"/>
      <c r="AD152" s="212"/>
      <c r="AE152" s="213"/>
      <c r="AF152" s="214"/>
      <c r="AG152" s="215"/>
      <c r="AH152" s="216"/>
      <c r="AI152" s="27"/>
      <c r="AJ152" s="28">
        <f t="shared" si="33"/>
        <v>0.125</v>
      </c>
      <c r="AL152" s="24">
        <f t="shared" si="43"/>
        <v>5.1459751347807899E-2</v>
      </c>
      <c r="AM152" s="25">
        <f t="shared" ca="1" si="44"/>
        <v>0.53704703362543493</v>
      </c>
      <c r="AO152" s="26">
        <f t="shared" ca="1" si="34"/>
        <v>0</v>
      </c>
      <c r="AP152" s="26"/>
      <c r="AQ152" s="26">
        <f t="shared" ca="1" si="35"/>
        <v>0</v>
      </c>
      <c r="AR152" s="26"/>
      <c r="AS152" s="27">
        <f t="shared" ca="1" si="36"/>
        <v>0</v>
      </c>
      <c r="AT152" s="27">
        <f t="shared" ca="1" si="37"/>
        <v>0</v>
      </c>
      <c r="AU152" s="27">
        <f t="shared" ca="1" si="38"/>
        <v>0</v>
      </c>
      <c r="AV152" s="27"/>
      <c r="AW152" s="27"/>
      <c r="AY152" s="216"/>
      <c r="AZ152" s="216"/>
      <c r="BA152" s="233"/>
      <c r="BC152" s="216"/>
      <c r="BE152" s="69"/>
    </row>
    <row r="153" spans="1:57">
      <c r="A153" s="19">
        <f>[1]!_xludf.edate(A152,1)</f>
        <v>41640</v>
      </c>
      <c r="B153" s="21">
        <f t="shared" si="45"/>
        <v>31</v>
      </c>
      <c r="C153" s="20">
        <f>IF(Control!$F$18="Physical",Model!A154+24,Model!A154)</f>
        <v>41695</v>
      </c>
      <c r="E153" s="22">
        <f>IF($A153&lt;End_Date,IF(Control!$C$20="Flat",Control!$C$21,VLOOKUP(Model!$A153,Euro!$B$29:$D$182,3)),0)</f>
        <v>0</v>
      </c>
      <c r="F153" s="22">
        <f t="shared" si="39"/>
        <v>0</v>
      </c>
      <c r="H153" s="23">
        <f>IF(Control!$C$27="Mid",VLOOKUP($A153,CurveFetch!$D$8:$F$367,3),VLOOKUP($A153,Euro!$B$29:$I$182,8))</f>
        <v>5.1589999999999998</v>
      </c>
      <c r="I153" s="23"/>
      <c r="J153" s="23">
        <f>IF($J$4="Mid",VLOOKUP($A153,Curve_Fetch,VLOOKUP(Control!$AJ$10,Control!$AI$11:$AK$22,3)),VLOOKUP($A153,Euro!$B$29:$M$182,12))</f>
        <v>-0.13</v>
      </c>
      <c r="K153" s="228">
        <f>IF(Control!$F$18="Physical",IF($K$4="Mid",VLOOKUP($A153,Curve_Fetch,VLOOKUP(Control!$AJ$10,Control!$AI$11:$AL$22,4)),VLOOKUP($A153,Euro!$B$29:$Q$182,16)),0)</f>
        <v>5.0000000000000001E-3</v>
      </c>
      <c r="L153" s="23">
        <f t="shared" si="40"/>
        <v>-0.125</v>
      </c>
      <c r="M153" s="23"/>
      <c r="N153" s="69">
        <f t="shared" si="31"/>
        <v>5.0339999999999998</v>
      </c>
      <c r="O153" s="69">
        <f>N153+Control!$C$39</f>
        <v>5.0339999999999998</v>
      </c>
      <c r="P153" s="73">
        <f>VLOOKUP($A153,CurveFetch!$D$8:$E$367,2)</f>
        <v>5.1459751347807899E-2</v>
      </c>
      <c r="Q153" s="24">
        <f t="shared" si="41"/>
        <v>5.1459751347807899E-2</v>
      </c>
      <c r="R153" s="72">
        <f t="shared" ca="1" si="42"/>
        <v>4443</v>
      </c>
      <c r="S153" s="25">
        <f>VLOOKUP($A153,Curve_Fetch,VLOOKUP(Control!$AJ$10,Control!$AI$11:$AM$22,5))</f>
        <v>0.17</v>
      </c>
      <c r="T153" s="74">
        <f ca="1">_xll.EURO(N153,O153,P153,Q153,S153,R153,IF(Control!$C$38="Call",1,0),0)</f>
        <v>0.62753107349644677</v>
      </c>
      <c r="U153" s="27">
        <f t="shared" ca="1" si="32"/>
        <v>0</v>
      </c>
      <c r="V153" s="76"/>
      <c r="W153" s="197"/>
      <c r="X153" s="197"/>
      <c r="Y153" s="197"/>
      <c r="AA153" s="210"/>
      <c r="AB153" s="210"/>
      <c r="AC153" s="211"/>
      <c r="AD153" s="212"/>
      <c r="AE153" s="213"/>
      <c r="AF153" s="214"/>
      <c r="AG153" s="215"/>
      <c r="AH153" s="216"/>
      <c r="AI153" s="27"/>
      <c r="AJ153" s="28">
        <f t="shared" si="33"/>
        <v>0.125</v>
      </c>
      <c r="AL153" s="24">
        <f t="shared" si="43"/>
        <v>5.1515808752302203E-2</v>
      </c>
      <c r="AM153" s="25">
        <f t="shared" ca="1" si="44"/>
        <v>0.5343761782962807</v>
      </c>
      <c r="AO153" s="26">
        <f t="shared" ca="1" si="34"/>
        <v>0</v>
      </c>
      <c r="AP153" s="26"/>
      <c r="AQ153" s="26">
        <f t="shared" ca="1" si="35"/>
        <v>0</v>
      </c>
      <c r="AR153" s="26"/>
      <c r="AS153" s="27">
        <f t="shared" ca="1" si="36"/>
        <v>0</v>
      </c>
      <c r="AT153" s="27">
        <f t="shared" ca="1" si="37"/>
        <v>0</v>
      </c>
      <c r="AU153" s="27">
        <f t="shared" ca="1" si="38"/>
        <v>0</v>
      </c>
      <c r="AV153" s="27"/>
      <c r="AW153" s="27"/>
      <c r="AY153" s="216"/>
      <c r="AZ153" s="216"/>
      <c r="BA153" s="233"/>
      <c r="BC153" s="216"/>
      <c r="BE153" s="69"/>
    </row>
    <row r="154" spans="1:57">
      <c r="A154" s="19">
        <f>[1]!_xludf.edate(A153,1)</f>
        <v>41671</v>
      </c>
      <c r="B154" s="21">
        <f t="shared" si="45"/>
        <v>28</v>
      </c>
      <c r="C154" s="20">
        <f>IF(Control!$F$18="Physical",Model!A155+24,Model!A155)</f>
        <v>41723</v>
      </c>
      <c r="E154" s="22">
        <f>IF($A154&lt;End_Date,IF(Control!$C$20="Flat",Control!$C$21,VLOOKUP(Model!$A154,Euro!$B$29:$D$182,3)),0)</f>
        <v>0</v>
      </c>
      <c r="F154" s="22">
        <f t="shared" si="39"/>
        <v>0</v>
      </c>
      <c r="H154" s="23">
        <f>IF(Control!$C$27="Mid",VLOOKUP($A154,CurveFetch!$D$8:$F$367,3),VLOOKUP($A154,Euro!$B$29:$I$182,8))</f>
        <v>5.0709999999999997</v>
      </c>
      <c r="I154" s="23"/>
      <c r="J154" s="23">
        <f>IF($J$4="Mid",VLOOKUP($A154,Curve_Fetch,VLOOKUP(Control!$AJ$10,Control!$AI$11:$AK$22,3)),VLOOKUP($A154,Euro!$B$29:$M$182,12))</f>
        <v>-0.13</v>
      </c>
      <c r="K154" s="228">
        <f>IF(Control!$F$18="Physical",IF($K$4="Mid",VLOOKUP($A154,Curve_Fetch,VLOOKUP(Control!$AJ$10,Control!$AI$11:$AL$22,4)),VLOOKUP($A154,Euro!$B$29:$Q$182,16)),0)</f>
        <v>5.0000000000000001E-3</v>
      </c>
      <c r="L154" s="23">
        <f t="shared" si="40"/>
        <v>-0.125</v>
      </c>
      <c r="M154" s="23"/>
      <c r="N154" s="69">
        <f t="shared" si="31"/>
        <v>4.9459999999999997</v>
      </c>
      <c r="O154" s="69">
        <f>N154+Control!$C$39</f>
        <v>4.9459999999999997</v>
      </c>
      <c r="P154" s="73">
        <f>VLOOKUP($A154,CurveFetch!$D$8:$E$367,2)</f>
        <v>5.1515808752302203E-2</v>
      </c>
      <c r="Q154" s="24">
        <f t="shared" si="41"/>
        <v>5.1515808752302203E-2</v>
      </c>
      <c r="R154" s="72">
        <f t="shared" ca="1" si="42"/>
        <v>4474</v>
      </c>
      <c r="S154" s="25">
        <f>VLOOKUP($A154,Curve_Fetch,VLOOKUP(Control!$AJ$10,Control!$AI$11:$AM$22,5))</f>
        <v>0.17</v>
      </c>
      <c r="T154" s="74">
        <f ca="1">_xll.EURO(N154,O154,P154,Q154,S154,R154,IF(Control!$C$38="Call",1,0),0)</f>
        <v>0.61552696784657224</v>
      </c>
      <c r="U154" s="27">
        <f t="shared" ca="1" si="32"/>
        <v>0</v>
      </c>
      <c r="V154" s="76"/>
      <c r="W154" s="197"/>
      <c r="X154" s="197"/>
      <c r="Y154" s="197"/>
      <c r="AA154" s="210"/>
      <c r="AB154" s="210"/>
      <c r="AC154" s="211"/>
      <c r="AD154" s="212"/>
      <c r="AE154" s="213"/>
      <c r="AF154" s="214"/>
      <c r="AG154" s="215"/>
      <c r="AH154" s="216"/>
      <c r="AI154" s="27"/>
      <c r="AJ154" s="28">
        <f t="shared" si="33"/>
        <v>0.125</v>
      </c>
      <c r="AL154" s="24">
        <f t="shared" si="43"/>
        <v>5.1566441247585401E-2</v>
      </c>
      <c r="AM154" s="25">
        <f t="shared" ca="1" si="44"/>
        <v>0.53197097822985828</v>
      </c>
      <c r="AO154" s="26">
        <f t="shared" ca="1" si="34"/>
        <v>0</v>
      </c>
      <c r="AP154" s="26"/>
      <c r="AQ154" s="26">
        <f t="shared" ca="1" si="35"/>
        <v>0</v>
      </c>
      <c r="AR154" s="26"/>
      <c r="AS154" s="27">
        <f t="shared" ca="1" si="36"/>
        <v>0</v>
      </c>
      <c r="AT154" s="27">
        <f t="shared" ca="1" si="37"/>
        <v>0</v>
      </c>
      <c r="AU154" s="27">
        <f t="shared" ca="1" si="38"/>
        <v>0</v>
      </c>
      <c r="AV154" s="27"/>
      <c r="AW154" s="27"/>
      <c r="AY154" s="216"/>
      <c r="AZ154" s="216"/>
      <c r="BA154" s="233"/>
      <c r="BC154" s="216"/>
      <c r="BE154" s="69"/>
    </row>
    <row r="155" spans="1:57">
      <c r="A155" s="19">
        <f>[1]!_xludf.edate(A154,1)</f>
        <v>41699</v>
      </c>
      <c r="B155" s="21">
        <f t="shared" si="45"/>
        <v>31</v>
      </c>
      <c r="C155" s="20">
        <f>IF(Control!$F$18="Physical",Model!A156+24,Model!A156)</f>
        <v>41754</v>
      </c>
      <c r="E155" s="22">
        <f>IF($A155&lt;End_Date,IF(Control!$C$20="Flat",Control!$C$21,VLOOKUP(Model!$A155,Euro!$B$29:$D$182,3)),0)</f>
        <v>0</v>
      </c>
      <c r="F155" s="22">
        <f t="shared" si="39"/>
        <v>0</v>
      </c>
      <c r="H155" s="23">
        <f>IF(Control!$C$27="Mid",VLOOKUP($A155,CurveFetch!$D$8:$F$367,3),VLOOKUP($A155,Euro!$B$29:$I$182,8))</f>
        <v>4.9320000000000004</v>
      </c>
      <c r="I155" s="23"/>
      <c r="J155" s="23">
        <f>IF($J$4="Mid",VLOOKUP($A155,Curve_Fetch,VLOOKUP(Control!$AJ$10,Control!$AI$11:$AK$22,3)),VLOOKUP($A155,Euro!$B$29:$M$182,12))</f>
        <v>-0.13</v>
      </c>
      <c r="K155" s="228">
        <f>IF(Control!$F$18="Physical",IF($K$4="Mid",VLOOKUP($A155,Curve_Fetch,VLOOKUP(Control!$AJ$10,Control!$AI$11:$AL$22,4)),VLOOKUP($A155,Euro!$B$29:$Q$182,16)),0)</f>
        <v>5.0000000000000001E-3</v>
      </c>
      <c r="L155" s="23">
        <f t="shared" si="40"/>
        <v>-0.125</v>
      </c>
      <c r="M155" s="23"/>
      <c r="N155" s="69">
        <f t="shared" si="31"/>
        <v>4.8070000000000004</v>
      </c>
      <c r="O155" s="69">
        <f>N155+Control!$C$39</f>
        <v>4.8070000000000004</v>
      </c>
      <c r="P155" s="73">
        <f>VLOOKUP($A155,CurveFetch!$D$8:$E$367,2)</f>
        <v>5.1566441247585401E-2</v>
      </c>
      <c r="Q155" s="24">
        <f t="shared" si="41"/>
        <v>5.1566441247585401E-2</v>
      </c>
      <c r="R155" s="72">
        <f t="shared" ca="1" si="42"/>
        <v>4502</v>
      </c>
      <c r="S155" s="25">
        <f>VLOOKUP($A155,Curve_Fetch,VLOOKUP(Control!$AJ$10,Control!$AI$11:$AM$22,5))</f>
        <v>0.17</v>
      </c>
      <c r="T155" s="74">
        <f ca="1">_xll.EURO(N155,O155,P155,Q155,S155,R155,IF(Control!$C$38="Call",1,0),0)</f>
        <v>0.59730490846663886</v>
      </c>
      <c r="U155" s="27">
        <f t="shared" ca="1" si="32"/>
        <v>0</v>
      </c>
      <c r="V155" s="76"/>
      <c r="W155" s="197"/>
      <c r="X155" s="197"/>
      <c r="Y155" s="197"/>
      <c r="AA155" s="210"/>
      <c r="AB155" s="210"/>
      <c r="AC155" s="211"/>
      <c r="AD155" s="212"/>
      <c r="AE155" s="213"/>
      <c r="AF155" s="214"/>
      <c r="AG155" s="215"/>
      <c r="AH155" s="216"/>
      <c r="AI155" s="27"/>
      <c r="AJ155" s="28">
        <f t="shared" si="33"/>
        <v>0.125</v>
      </c>
      <c r="AL155" s="24">
        <f t="shared" si="43"/>
        <v>5.1622498654074998E-2</v>
      </c>
      <c r="AM155" s="25">
        <f t="shared" ca="1" si="44"/>
        <v>0.52931604053747516</v>
      </c>
      <c r="AO155" s="26">
        <f t="shared" ca="1" si="34"/>
        <v>0</v>
      </c>
      <c r="AP155" s="26"/>
      <c r="AQ155" s="26">
        <f t="shared" ca="1" si="35"/>
        <v>0</v>
      </c>
      <c r="AR155" s="26"/>
      <c r="AS155" s="27">
        <f t="shared" ca="1" si="36"/>
        <v>0</v>
      </c>
      <c r="AT155" s="27">
        <f t="shared" ca="1" si="37"/>
        <v>0</v>
      </c>
      <c r="AU155" s="27">
        <f t="shared" ca="1" si="38"/>
        <v>0</v>
      </c>
      <c r="AV155" s="27"/>
      <c r="AW155" s="27"/>
      <c r="AY155" s="216"/>
      <c r="AZ155" s="216"/>
      <c r="BA155" s="233"/>
      <c r="BC155" s="216"/>
      <c r="BE155" s="69"/>
    </row>
    <row r="156" spans="1:57">
      <c r="A156" s="19">
        <f>[1]!_xludf.edate(A155,1)</f>
        <v>41730</v>
      </c>
      <c r="B156" s="21">
        <f t="shared" si="45"/>
        <v>30</v>
      </c>
      <c r="C156" s="20">
        <f>IF(Control!$F$18="Physical",Model!A157+24,Model!A157)</f>
        <v>41784</v>
      </c>
      <c r="E156" s="22">
        <f>IF($A156&lt;End_Date,IF(Control!$C$20="Flat",Control!$C$21,VLOOKUP(Model!$A156,Euro!$B$29:$D$182,3)),0)</f>
        <v>0</v>
      </c>
      <c r="F156" s="22">
        <f t="shared" si="39"/>
        <v>0</v>
      </c>
      <c r="H156" s="23">
        <f>IF(Control!$C$27="Mid",VLOOKUP($A156,CurveFetch!$D$8:$F$367,3),VLOOKUP($A156,Euro!$B$29:$I$182,8))</f>
        <v>4.7779999999999996</v>
      </c>
      <c r="I156" s="23"/>
      <c r="J156" s="23">
        <f>IF($J$4="Mid",VLOOKUP($A156,Curve_Fetch,VLOOKUP(Control!$AJ$10,Control!$AI$11:$AK$22,3)),VLOOKUP($A156,Euro!$B$29:$M$182,12))</f>
        <v>-0.2</v>
      </c>
      <c r="K156" s="228">
        <f>IF(Control!$F$18="Physical",IF($K$4="Mid",VLOOKUP($A156,Curve_Fetch,VLOOKUP(Control!$AJ$10,Control!$AI$11:$AL$22,4)),VLOOKUP($A156,Euro!$B$29:$Q$182,16)),0)</f>
        <v>2.5000000000000001E-3</v>
      </c>
      <c r="L156" s="23">
        <f t="shared" si="40"/>
        <v>-0.19750000000000001</v>
      </c>
      <c r="M156" s="23"/>
      <c r="N156" s="69">
        <f t="shared" si="31"/>
        <v>4.5804999999999998</v>
      </c>
      <c r="O156" s="69">
        <f>N156+Control!$C$39</f>
        <v>4.5804999999999998</v>
      </c>
      <c r="P156" s="73">
        <f>VLOOKUP($A156,CurveFetch!$D$8:$E$367,2)</f>
        <v>5.1622498654074998E-2</v>
      </c>
      <c r="Q156" s="24">
        <f t="shared" si="41"/>
        <v>5.1622498654074998E-2</v>
      </c>
      <c r="R156" s="72">
        <f t="shared" ca="1" si="42"/>
        <v>4533</v>
      </c>
      <c r="S156" s="25">
        <f>VLOOKUP($A156,Curve_Fetch,VLOOKUP(Control!$AJ$10,Control!$AI$11:$AM$22,5))</f>
        <v>0.17</v>
      </c>
      <c r="T156" s="74">
        <f ca="1">_xll.EURO(N156,O156,P156,Q156,S156,R156,IF(Control!$C$38="Call",1,0),0)</f>
        <v>0.56816989749093583</v>
      </c>
      <c r="U156" s="27">
        <f t="shared" ca="1" si="32"/>
        <v>0</v>
      </c>
      <c r="V156" s="76"/>
      <c r="W156" s="197"/>
      <c r="X156" s="197"/>
      <c r="Y156" s="197"/>
      <c r="AA156" s="210"/>
      <c r="AB156" s="210"/>
      <c r="AC156" s="211"/>
      <c r="AD156" s="212"/>
      <c r="AE156" s="213"/>
      <c r="AF156" s="214"/>
      <c r="AG156" s="215"/>
      <c r="AH156" s="216"/>
      <c r="AI156" s="27"/>
      <c r="AJ156" s="28">
        <f t="shared" si="33"/>
        <v>0.19750000000000001</v>
      </c>
      <c r="AL156" s="24">
        <f t="shared" si="43"/>
        <v>5.1676747758128402E-2</v>
      </c>
      <c r="AM156" s="25">
        <f t="shared" ca="1" si="44"/>
        <v>0.52675471954011854</v>
      </c>
      <c r="AO156" s="26">
        <f t="shared" ca="1" si="34"/>
        <v>0</v>
      </c>
      <c r="AP156" s="26"/>
      <c r="AQ156" s="26">
        <f t="shared" ca="1" si="35"/>
        <v>0</v>
      </c>
      <c r="AR156" s="26"/>
      <c r="AS156" s="27">
        <f t="shared" ca="1" si="36"/>
        <v>0</v>
      </c>
      <c r="AT156" s="27">
        <f t="shared" ca="1" si="37"/>
        <v>0</v>
      </c>
      <c r="AU156" s="27">
        <f t="shared" ca="1" si="38"/>
        <v>0</v>
      </c>
      <c r="AV156" s="27"/>
      <c r="AW156" s="27"/>
      <c r="AY156" s="216"/>
      <c r="AZ156" s="216"/>
      <c r="BA156" s="233"/>
      <c r="BC156" s="216"/>
      <c r="BE156" s="69"/>
    </row>
    <row r="157" spans="1:57">
      <c r="A157" s="19">
        <f>[1]!_xludf.edate(A156,1)</f>
        <v>41760</v>
      </c>
      <c r="B157" s="21">
        <f t="shared" si="45"/>
        <v>31</v>
      </c>
      <c r="C157" s="20">
        <f>IF(Control!$F$18="Physical",Model!A158+24,Model!A158)</f>
        <v>41815</v>
      </c>
      <c r="E157" s="22">
        <f>IF($A157&lt;End_Date,IF(Control!$C$20="Flat",Control!$C$21,VLOOKUP(Model!$A157,Euro!$B$29:$D$182,3)),0)</f>
        <v>0</v>
      </c>
      <c r="F157" s="22">
        <f t="shared" si="39"/>
        <v>0</v>
      </c>
      <c r="H157" s="23">
        <f>IF(Control!$C$27="Mid",VLOOKUP($A157,CurveFetch!$D$8:$F$367,3),VLOOKUP($A157,Euro!$B$29:$I$182,8))</f>
        <v>4.7830000000000004</v>
      </c>
      <c r="I157" s="23"/>
      <c r="J157" s="23">
        <f>IF($J$4="Mid",VLOOKUP($A157,Curve_Fetch,VLOOKUP(Control!$AJ$10,Control!$AI$11:$AK$22,3)),VLOOKUP($A157,Euro!$B$29:$M$182,12))</f>
        <v>-0.2</v>
      </c>
      <c r="K157" s="228">
        <f>IF(Control!$F$18="Physical",IF($K$4="Mid",VLOOKUP($A157,Curve_Fetch,VLOOKUP(Control!$AJ$10,Control!$AI$11:$AL$22,4)),VLOOKUP($A157,Euro!$B$29:$Q$182,16)),0)</f>
        <v>2.5000000000000001E-3</v>
      </c>
      <c r="L157" s="23">
        <f t="shared" si="40"/>
        <v>-0.19750000000000001</v>
      </c>
      <c r="M157" s="23"/>
      <c r="N157" s="69">
        <f t="shared" si="31"/>
        <v>4.5855000000000006</v>
      </c>
      <c r="O157" s="69">
        <f>N157+Control!$C$39</f>
        <v>4.5855000000000006</v>
      </c>
      <c r="P157" s="73">
        <f>VLOOKUP($A157,CurveFetch!$D$8:$E$367,2)</f>
        <v>5.1676747758128402E-2</v>
      </c>
      <c r="Q157" s="24">
        <f t="shared" si="41"/>
        <v>5.1676747758128402E-2</v>
      </c>
      <c r="R157" s="72">
        <f t="shared" ca="1" si="42"/>
        <v>4563</v>
      </c>
      <c r="S157" s="25">
        <f>VLOOKUP($A157,Curve_Fetch,VLOOKUP(Control!$AJ$10,Control!$AI$11:$AM$22,5))</f>
        <v>0.17</v>
      </c>
      <c r="T157" s="74">
        <f ca="1">_xll.EURO(N157,O157,P157,Q157,S157,R157,IF(Control!$C$38="Call",1,0),0)</f>
        <v>0.56781414483733084</v>
      </c>
      <c r="U157" s="27">
        <f t="shared" ca="1" si="32"/>
        <v>0</v>
      </c>
      <c r="V157" s="76"/>
      <c r="W157" s="197"/>
      <c r="X157" s="197"/>
      <c r="Y157" s="197"/>
      <c r="AA157" s="210"/>
      <c r="AB157" s="210"/>
      <c r="AC157" s="211"/>
      <c r="AD157" s="212"/>
      <c r="AE157" s="213"/>
      <c r="AF157" s="214"/>
      <c r="AG157" s="215"/>
      <c r="AH157" s="216"/>
      <c r="AI157" s="27"/>
      <c r="AJ157" s="28">
        <f t="shared" si="33"/>
        <v>0.19750000000000001</v>
      </c>
      <c r="AL157" s="24">
        <f t="shared" si="43"/>
        <v>5.1732805166680801E-2</v>
      </c>
      <c r="AM157" s="25">
        <f t="shared" ca="1" si="44"/>
        <v>0.52411626752134799</v>
      </c>
      <c r="AO157" s="26">
        <f t="shared" ca="1" si="34"/>
        <v>0</v>
      </c>
      <c r="AP157" s="26"/>
      <c r="AQ157" s="26">
        <f t="shared" ca="1" si="35"/>
        <v>0</v>
      </c>
      <c r="AR157" s="26"/>
      <c r="AS157" s="27">
        <f t="shared" ca="1" si="36"/>
        <v>0</v>
      </c>
      <c r="AT157" s="27">
        <f t="shared" ca="1" si="37"/>
        <v>0</v>
      </c>
      <c r="AU157" s="27">
        <f t="shared" ca="1" si="38"/>
        <v>0</v>
      </c>
      <c r="AV157" s="27"/>
      <c r="AW157" s="27"/>
      <c r="AY157" s="216"/>
      <c r="AZ157" s="216"/>
      <c r="BA157" s="233"/>
      <c r="BC157" s="216"/>
      <c r="BE157" s="69"/>
    </row>
    <row r="158" spans="1:57">
      <c r="A158" s="19">
        <f>[1]!_xludf.edate(A157,1)</f>
        <v>41791</v>
      </c>
      <c r="B158" s="21">
        <f t="shared" si="45"/>
        <v>30</v>
      </c>
      <c r="C158" s="20">
        <f>IF(Control!$F$18="Physical",Model!A159+24,Model!A159)</f>
        <v>41845</v>
      </c>
      <c r="E158" s="22">
        <f>IF($A158&lt;End_Date,IF(Control!$C$20="Flat",Control!$C$21,VLOOKUP(Model!$A158,Euro!$B$29:$D$182,3)),0)</f>
        <v>0</v>
      </c>
      <c r="F158" s="22">
        <f t="shared" si="39"/>
        <v>0</v>
      </c>
      <c r="H158" s="23">
        <f>IF(Control!$C$27="Mid",VLOOKUP($A158,CurveFetch!$D$8:$F$367,3),VLOOKUP($A158,Euro!$B$29:$I$182,8))</f>
        <v>4.8209999999999997</v>
      </c>
      <c r="I158" s="23"/>
      <c r="J158" s="23">
        <f>IF($J$4="Mid",VLOOKUP($A158,Curve_Fetch,VLOOKUP(Control!$AJ$10,Control!$AI$11:$AK$22,3)),VLOOKUP($A158,Euro!$B$29:$M$182,12))</f>
        <v>-0.2</v>
      </c>
      <c r="K158" s="228">
        <f>IF(Control!$F$18="Physical",IF($K$4="Mid",VLOOKUP($A158,Curve_Fetch,VLOOKUP(Control!$AJ$10,Control!$AI$11:$AL$22,4)),VLOOKUP($A158,Euro!$B$29:$Q$182,16)),0)</f>
        <v>2.5000000000000001E-3</v>
      </c>
      <c r="L158" s="23">
        <f t="shared" si="40"/>
        <v>-0.19750000000000001</v>
      </c>
      <c r="M158" s="23"/>
      <c r="N158" s="69">
        <f t="shared" si="31"/>
        <v>4.6234999999999999</v>
      </c>
      <c r="O158" s="69">
        <f>N158+Control!$C$39</f>
        <v>4.6234999999999999</v>
      </c>
      <c r="P158" s="73">
        <f>VLOOKUP($A158,CurveFetch!$D$8:$E$367,2)</f>
        <v>5.1732805166680801E-2</v>
      </c>
      <c r="Q158" s="24">
        <f t="shared" si="41"/>
        <v>5.1732805166680801E-2</v>
      </c>
      <c r="R158" s="72">
        <f t="shared" ca="1" si="42"/>
        <v>4594</v>
      </c>
      <c r="S158" s="25">
        <f>VLOOKUP($A158,Curve_Fetch,VLOOKUP(Control!$AJ$10,Control!$AI$11:$AM$22,5))</f>
        <v>0.17</v>
      </c>
      <c r="T158" s="74">
        <f ca="1">_xll.EURO(N158,O158,P158,Q158,S158,R158,IF(Control!$C$38="Call",1,0),0)</f>
        <v>0.57148622247831804</v>
      </c>
      <c r="U158" s="27">
        <f t="shared" ca="1" si="32"/>
        <v>0</v>
      </c>
      <c r="V158" s="76"/>
      <c r="W158" s="197"/>
      <c r="X158" s="197"/>
      <c r="Y158" s="197"/>
      <c r="AA158" s="210"/>
      <c r="AB158" s="210"/>
      <c r="AC158" s="211"/>
      <c r="AD158" s="212"/>
      <c r="AE158" s="213"/>
      <c r="AF158" s="214"/>
      <c r="AG158" s="215"/>
      <c r="AH158" s="216"/>
      <c r="AI158" s="27"/>
      <c r="AJ158" s="28">
        <f t="shared" si="33"/>
        <v>0.19750000000000001</v>
      </c>
      <c r="AL158" s="24">
        <f t="shared" si="43"/>
        <v>5.17870542727299E-2</v>
      </c>
      <c r="AM158" s="25">
        <f t="shared" ca="1" si="44"/>
        <v>0.52157091365993091</v>
      </c>
      <c r="AO158" s="26">
        <f t="shared" ca="1" si="34"/>
        <v>0</v>
      </c>
      <c r="AP158" s="26"/>
      <c r="AQ158" s="26">
        <f t="shared" ca="1" si="35"/>
        <v>0</v>
      </c>
      <c r="AR158" s="26"/>
      <c r="AS158" s="27">
        <f t="shared" ca="1" si="36"/>
        <v>0</v>
      </c>
      <c r="AT158" s="27">
        <f t="shared" ca="1" si="37"/>
        <v>0</v>
      </c>
      <c r="AU158" s="27">
        <f t="shared" ca="1" si="38"/>
        <v>0</v>
      </c>
      <c r="AV158" s="27"/>
      <c r="AW158" s="27"/>
      <c r="AY158" s="216"/>
      <c r="AZ158" s="216"/>
      <c r="BA158" s="233"/>
      <c r="BC158" s="216"/>
      <c r="BE158" s="69"/>
    </row>
    <row r="159" spans="1:57">
      <c r="A159" s="19">
        <f>[1]!_xludf.edate(A158,1)</f>
        <v>41821</v>
      </c>
      <c r="B159" s="21">
        <f t="shared" si="45"/>
        <v>31</v>
      </c>
      <c r="C159" s="20">
        <f>IF(Control!$F$18="Physical",Model!A160+24,Model!A160)</f>
        <v>41876</v>
      </c>
      <c r="E159" s="22">
        <f>IF($A159&lt;End_Date,IF(Control!$C$20="Flat",Control!$C$21,VLOOKUP(Model!$A159,Euro!$B$29:$D$182,3)),0)</f>
        <v>0</v>
      </c>
      <c r="F159" s="22">
        <f t="shared" si="39"/>
        <v>0</v>
      </c>
      <c r="H159" s="23">
        <f>IF(Control!$C$27="Mid",VLOOKUP($A159,CurveFetch!$D$8:$F$367,3),VLOOKUP($A159,Euro!$B$29:$I$182,8))</f>
        <v>4.8659999999999997</v>
      </c>
      <c r="I159" s="23"/>
      <c r="J159" s="23">
        <f>IF($J$4="Mid",VLOOKUP($A159,Curve_Fetch,VLOOKUP(Control!$AJ$10,Control!$AI$11:$AK$22,3)),VLOOKUP($A159,Euro!$B$29:$M$182,12))</f>
        <v>-0.2</v>
      </c>
      <c r="K159" s="228">
        <f>IF(Control!$F$18="Physical",IF($K$4="Mid",VLOOKUP($A159,Curve_Fetch,VLOOKUP(Control!$AJ$10,Control!$AI$11:$AL$22,4)),VLOOKUP($A159,Euro!$B$29:$Q$182,16)),0)</f>
        <v>2.5000000000000001E-3</v>
      </c>
      <c r="L159" s="23">
        <f t="shared" si="40"/>
        <v>-0.19750000000000001</v>
      </c>
      <c r="M159" s="23"/>
      <c r="N159" s="69">
        <f t="shared" si="31"/>
        <v>4.6684999999999999</v>
      </c>
      <c r="O159" s="69">
        <f>N159+Control!$C$39</f>
        <v>4.6684999999999999</v>
      </c>
      <c r="P159" s="73">
        <f>VLOOKUP($A159,CurveFetch!$D$8:$E$367,2)</f>
        <v>5.17870542727299E-2</v>
      </c>
      <c r="Q159" s="24">
        <f t="shared" si="41"/>
        <v>5.17870542727299E-2</v>
      </c>
      <c r="R159" s="72">
        <f t="shared" ca="1" si="42"/>
        <v>4624</v>
      </c>
      <c r="S159" s="25">
        <f>VLOOKUP($A159,Curve_Fetch,VLOOKUP(Control!$AJ$10,Control!$AI$11:$AM$22,5))</f>
        <v>0.17</v>
      </c>
      <c r="T159" s="74">
        <f ca="1">_xll.EURO(N159,O159,P159,Q159,S159,R159,IF(Control!$C$38="Call",1,0),0)</f>
        <v>0.57602273129630399</v>
      </c>
      <c r="U159" s="27">
        <f t="shared" ca="1" si="32"/>
        <v>0</v>
      </c>
      <c r="V159" s="76"/>
      <c r="W159" s="197"/>
      <c r="X159" s="197"/>
      <c r="Y159" s="197"/>
      <c r="AA159" s="210"/>
      <c r="AB159" s="210"/>
      <c r="AC159" s="211"/>
      <c r="AD159" s="212"/>
      <c r="AE159" s="213"/>
      <c r="AF159" s="214"/>
      <c r="AG159" s="215"/>
      <c r="AH159" s="216"/>
      <c r="AI159" s="27"/>
      <c r="AJ159" s="28">
        <f t="shared" si="33"/>
        <v>0.19750000000000001</v>
      </c>
      <c r="AL159" s="24">
        <f t="shared" si="43"/>
        <v>5.18431116833451E-2</v>
      </c>
      <c r="AM159" s="25">
        <f t="shared" ca="1" si="44"/>
        <v>0.51894897419665142</v>
      </c>
      <c r="AO159" s="26">
        <f t="shared" ca="1" si="34"/>
        <v>0</v>
      </c>
      <c r="AP159" s="26"/>
      <c r="AQ159" s="26">
        <f t="shared" ca="1" si="35"/>
        <v>0</v>
      </c>
      <c r="AR159" s="26"/>
      <c r="AS159" s="27">
        <f t="shared" ca="1" si="36"/>
        <v>0</v>
      </c>
      <c r="AT159" s="27">
        <f t="shared" ca="1" si="37"/>
        <v>0</v>
      </c>
      <c r="AU159" s="27">
        <f t="shared" ca="1" si="38"/>
        <v>0</v>
      </c>
      <c r="AV159" s="27"/>
      <c r="AW159" s="27"/>
      <c r="AY159" s="216"/>
      <c r="AZ159" s="216"/>
      <c r="BA159" s="233"/>
      <c r="BC159" s="216"/>
      <c r="BE159" s="69"/>
    </row>
    <row r="160" spans="1:57">
      <c r="A160" s="19">
        <f>[1]!_xludf.edate(A159,1)</f>
        <v>41852</v>
      </c>
      <c r="B160" s="21">
        <f t="shared" si="45"/>
        <v>31</v>
      </c>
      <c r="C160" s="20">
        <f>IF(Control!$F$18="Physical",Model!A161+24,Model!A161)</f>
        <v>41907</v>
      </c>
      <c r="E160" s="22">
        <f>IF($A160&lt;End_Date,IF(Control!$C$20="Flat",Control!$C$21,VLOOKUP(Model!$A160,Euro!$B$29:$D$182,3)),0)</f>
        <v>0</v>
      </c>
      <c r="F160" s="22">
        <f t="shared" si="39"/>
        <v>0</v>
      </c>
      <c r="H160" s="23">
        <f>IF(Control!$C$27="Mid",VLOOKUP($A160,CurveFetch!$D$8:$F$367,3),VLOOKUP($A160,Euro!$B$29:$I$182,8))</f>
        <v>4.9039999999999999</v>
      </c>
      <c r="I160" s="23"/>
      <c r="J160" s="23">
        <f>IF($J$4="Mid",VLOOKUP($A160,Curve_Fetch,VLOOKUP(Control!$AJ$10,Control!$AI$11:$AK$22,3)),VLOOKUP($A160,Euro!$B$29:$M$182,12))</f>
        <v>-0.2</v>
      </c>
      <c r="K160" s="228">
        <f>IF(Control!$F$18="Physical",IF($K$4="Mid",VLOOKUP($A160,Curve_Fetch,VLOOKUP(Control!$AJ$10,Control!$AI$11:$AL$22,4)),VLOOKUP($A160,Euro!$B$29:$Q$182,16)),0)</f>
        <v>2.5000000000000001E-3</v>
      </c>
      <c r="L160" s="23">
        <f t="shared" si="40"/>
        <v>-0.19750000000000001</v>
      </c>
      <c r="M160" s="23"/>
      <c r="N160" s="69">
        <f t="shared" si="31"/>
        <v>4.7065000000000001</v>
      </c>
      <c r="O160" s="69">
        <f>N160+Control!$C$39</f>
        <v>4.7065000000000001</v>
      </c>
      <c r="P160" s="73">
        <f>VLOOKUP($A160,CurveFetch!$D$8:$E$367,2)</f>
        <v>5.18431116833451E-2</v>
      </c>
      <c r="Q160" s="24">
        <f t="shared" si="41"/>
        <v>5.18431116833451E-2</v>
      </c>
      <c r="R160" s="72">
        <f t="shared" ca="1" si="42"/>
        <v>4655</v>
      </c>
      <c r="S160" s="25">
        <f>VLOOKUP($A160,Curve_Fetch,VLOOKUP(Control!$AJ$10,Control!$AI$11:$AM$22,5))</f>
        <v>0.17</v>
      </c>
      <c r="T160" s="74">
        <f ca="1">_xll.EURO(N160,O160,P160,Q160,S160,R160,IF(Control!$C$38="Call",1,0),0)</f>
        <v>0.57962653596551938</v>
      </c>
      <c r="U160" s="27">
        <f t="shared" ca="1" si="32"/>
        <v>0</v>
      </c>
      <c r="V160" s="76"/>
      <c r="W160" s="197"/>
      <c r="X160" s="197"/>
      <c r="Y160" s="197"/>
      <c r="AA160" s="210"/>
      <c r="AB160" s="210"/>
      <c r="AC160" s="211"/>
      <c r="AD160" s="212"/>
      <c r="AE160" s="213"/>
      <c r="AF160" s="214"/>
      <c r="AG160" s="215"/>
      <c r="AH160" s="216"/>
      <c r="AI160" s="27"/>
      <c r="AJ160" s="28">
        <f t="shared" si="33"/>
        <v>0.19750000000000001</v>
      </c>
      <c r="AL160" s="24">
        <f t="shared" si="43"/>
        <v>5.1899169095009197E-2</v>
      </c>
      <c r="AM160" s="25">
        <f t="shared" ca="1" si="44"/>
        <v>0.51633543600301079</v>
      </c>
      <c r="AO160" s="26">
        <f t="shared" ca="1" si="34"/>
        <v>0</v>
      </c>
      <c r="AP160" s="26"/>
      <c r="AQ160" s="26">
        <f t="shared" ca="1" si="35"/>
        <v>0</v>
      </c>
      <c r="AR160" s="26"/>
      <c r="AS160" s="27">
        <f t="shared" ca="1" si="36"/>
        <v>0</v>
      </c>
      <c r="AT160" s="27">
        <f t="shared" ca="1" si="37"/>
        <v>0</v>
      </c>
      <c r="AU160" s="27">
        <f t="shared" ca="1" si="38"/>
        <v>0</v>
      </c>
      <c r="AV160" s="27"/>
      <c r="AW160" s="27"/>
      <c r="AY160" s="216"/>
      <c r="AZ160" s="216"/>
      <c r="BA160" s="233"/>
      <c r="BC160" s="216"/>
      <c r="BE160" s="69"/>
    </row>
    <row r="161" spans="1:57">
      <c r="A161" s="19">
        <f>[1]!_xludf.edate(A160,1)</f>
        <v>41883</v>
      </c>
      <c r="B161" s="21">
        <f t="shared" si="45"/>
        <v>30</v>
      </c>
      <c r="C161" s="20">
        <f>IF(Control!$F$18="Physical",Model!A162+24,Model!A162)</f>
        <v>41937</v>
      </c>
      <c r="E161" s="22">
        <f>IF($A161&lt;End_Date,IF(Control!$C$20="Flat",Control!$C$21,VLOOKUP(Model!$A161,Euro!$B$29:$D$182,3)),0)</f>
        <v>0</v>
      </c>
      <c r="F161" s="22">
        <f t="shared" si="39"/>
        <v>0</v>
      </c>
      <c r="H161" s="23">
        <f>IF(Control!$C$27="Mid",VLOOKUP($A161,CurveFetch!$D$8:$F$367,3),VLOOKUP($A161,Euro!$B$29:$I$182,8))</f>
        <v>4.8979999999999997</v>
      </c>
      <c r="I161" s="23"/>
      <c r="J161" s="23">
        <f>IF($J$4="Mid",VLOOKUP($A161,Curve_Fetch,VLOOKUP(Control!$AJ$10,Control!$AI$11:$AK$22,3)),VLOOKUP($A161,Euro!$B$29:$M$182,12))</f>
        <v>-0.2</v>
      </c>
      <c r="K161" s="228">
        <f>IF(Control!$F$18="Physical",IF($K$4="Mid",VLOOKUP($A161,Curve_Fetch,VLOOKUP(Control!$AJ$10,Control!$AI$11:$AL$22,4)),VLOOKUP($A161,Euro!$B$29:$Q$182,16)),0)</f>
        <v>2.5000000000000001E-3</v>
      </c>
      <c r="L161" s="23">
        <f t="shared" si="40"/>
        <v>-0.19750000000000001</v>
      </c>
      <c r="M161" s="23"/>
      <c r="N161" s="69">
        <f t="shared" si="31"/>
        <v>4.7004999999999999</v>
      </c>
      <c r="O161" s="69">
        <f>N161+Control!$C$39</f>
        <v>4.7004999999999999</v>
      </c>
      <c r="P161" s="73">
        <f>VLOOKUP($A161,CurveFetch!$D$8:$E$367,2)</f>
        <v>5.1899169095009197E-2</v>
      </c>
      <c r="Q161" s="24">
        <f t="shared" si="41"/>
        <v>5.1899169095009197E-2</v>
      </c>
      <c r="R161" s="72">
        <f t="shared" ca="1" si="42"/>
        <v>4686</v>
      </c>
      <c r="S161" s="25">
        <f>VLOOKUP($A161,Curve_Fetch,VLOOKUP(Control!$AJ$10,Control!$AI$11:$AM$22,5))</f>
        <v>0.17</v>
      </c>
      <c r="T161" s="74">
        <f ca="1">_xll.EURO(N161,O161,P161,Q161,S161,R161,IF(Control!$C$38="Call",1,0),0)</f>
        <v>0.57778788596429353</v>
      </c>
      <c r="U161" s="27">
        <f t="shared" ca="1" si="32"/>
        <v>0</v>
      </c>
      <c r="V161" s="76"/>
      <c r="W161" s="197"/>
      <c r="X161" s="197"/>
      <c r="Y161" s="197"/>
      <c r="AA161" s="210"/>
      <c r="AB161" s="210"/>
      <c r="AC161" s="211"/>
      <c r="AD161" s="212"/>
      <c r="AE161" s="213"/>
      <c r="AF161" s="214"/>
      <c r="AG161" s="215"/>
      <c r="AH161" s="216"/>
      <c r="AI161" s="27"/>
      <c r="AJ161" s="28">
        <f t="shared" si="33"/>
        <v>0.19750000000000001</v>
      </c>
      <c r="AL161" s="24">
        <f t="shared" si="43"/>
        <v>5.1953418204068798E-2</v>
      </c>
      <c r="AM161" s="25">
        <f t="shared" ca="1" si="44"/>
        <v>0.51381421040964559</v>
      </c>
      <c r="AO161" s="26">
        <f t="shared" ca="1" si="34"/>
        <v>0</v>
      </c>
      <c r="AP161" s="26"/>
      <c r="AQ161" s="26">
        <f t="shared" ca="1" si="35"/>
        <v>0</v>
      </c>
      <c r="AR161" s="26"/>
      <c r="AS161" s="27">
        <f t="shared" ca="1" si="36"/>
        <v>0</v>
      </c>
      <c r="AT161" s="27">
        <f t="shared" ca="1" si="37"/>
        <v>0</v>
      </c>
      <c r="AU161" s="27">
        <f t="shared" ca="1" si="38"/>
        <v>0</v>
      </c>
      <c r="AV161" s="27"/>
      <c r="AW161" s="27"/>
      <c r="AY161" s="216"/>
      <c r="AZ161" s="216"/>
      <c r="BA161" s="233"/>
      <c r="BC161" s="216"/>
      <c r="BE161" s="69"/>
    </row>
    <row r="162" spans="1:57">
      <c r="A162" s="19">
        <f>[1]!_xludf.edate(A161,1)</f>
        <v>41913</v>
      </c>
      <c r="B162" s="21">
        <f t="shared" si="45"/>
        <v>31</v>
      </c>
      <c r="C162" s="20">
        <f>IF(Control!$F$18="Physical",Model!A163+24,Model!A163)</f>
        <v>41968</v>
      </c>
      <c r="E162" s="22">
        <f>IF($A162&lt;End_Date,IF(Control!$C$20="Flat",Control!$C$21,VLOOKUP(Model!$A162,Euro!$B$29:$D$182,3)),0)</f>
        <v>0</v>
      </c>
      <c r="F162" s="22">
        <f t="shared" si="39"/>
        <v>0</v>
      </c>
      <c r="H162" s="23">
        <f>IF(Control!$C$27="Mid",VLOOKUP($A162,CurveFetch!$D$8:$F$367,3),VLOOKUP($A162,Euro!$B$29:$I$182,8))</f>
        <v>4.8979999999999997</v>
      </c>
      <c r="I162" s="23"/>
      <c r="J162" s="23">
        <f>IF($J$4="Mid",VLOOKUP($A162,Curve_Fetch,VLOOKUP(Control!$AJ$10,Control!$AI$11:$AK$22,3)),VLOOKUP($A162,Euro!$B$29:$M$182,12))</f>
        <v>-0.2</v>
      </c>
      <c r="K162" s="228">
        <f>IF(Control!$F$18="Physical",IF($K$4="Mid",VLOOKUP($A162,Curve_Fetch,VLOOKUP(Control!$AJ$10,Control!$AI$11:$AL$22,4)),VLOOKUP($A162,Euro!$B$29:$Q$182,16)),0)</f>
        <v>2.5000000000000001E-3</v>
      </c>
      <c r="L162" s="23">
        <f t="shared" si="40"/>
        <v>-0.19750000000000001</v>
      </c>
      <c r="M162" s="23"/>
      <c r="N162" s="69">
        <f t="shared" si="31"/>
        <v>4.7004999999999999</v>
      </c>
      <c r="O162" s="69">
        <f>N162+Control!$C$39</f>
        <v>4.7004999999999999</v>
      </c>
      <c r="P162" s="73">
        <f>VLOOKUP($A162,CurveFetch!$D$8:$E$367,2)</f>
        <v>5.1953418204068798E-2</v>
      </c>
      <c r="Q162" s="24">
        <f t="shared" si="41"/>
        <v>5.1953418204068798E-2</v>
      </c>
      <c r="R162" s="72">
        <f t="shared" ca="1" si="42"/>
        <v>4716</v>
      </c>
      <c r="S162" s="25">
        <f>VLOOKUP($A162,Curve_Fetch,VLOOKUP(Control!$AJ$10,Control!$AI$11:$AM$22,5))</f>
        <v>0.17</v>
      </c>
      <c r="T162" s="74">
        <f ca="1">_xll.EURO(N162,O162,P162,Q162,S162,R162,IF(Control!$C$38="Call",1,0),0)</f>
        <v>0.57670838874448827</v>
      </c>
      <c r="U162" s="27">
        <f t="shared" ca="1" si="32"/>
        <v>0</v>
      </c>
      <c r="V162" s="76"/>
      <c r="W162" s="197"/>
      <c r="X162" s="197"/>
      <c r="Y162" s="197"/>
      <c r="AA162" s="210"/>
      <c r="AB162" s="210"/>
      <c r="AC162" s="211"/>
      <c r="AD162" s="212"/>
      <c r="AE162" s="213"/>
      <c r="AF162" s="214"/>
      <c r="AG162" s="215"/>
      <c r="AH162" s="216"/>
      <c r="AI162" s="27"/>
      <c r="AJ162" s="28">
        <f t="shared" si="33"/>
        <v>0.19750000000000001</v>
      </c>
      <c r="AL162" s="24">
        <f t="shared" si="43"/>
        <v>5.20094756177953E-2</v>
      </c>
      <c r="AM162" s="25">
        <f t="shared" ca="1" si="44"/>
        <v>0.51121722143459758</v>
      </c>
      <c r="AO162" s="26">
        <f t="shared" ca="1" si="34"/>
        <v>0</v>
      </c>
      <c r="AP162" s="26"/>
      <c r="AQ162" s="26">
        <f t="shared" ca="1" si="35"/>
        <v>0</v>
      </c>
      <c r="AR162" s="26"/>
      <c r="AS162" s="27">
        <f t="shared" ca="1" si="36"/>
        <v>0</v>
      </c>
      <c r="AT162" s="27">
        <f t="shared" ca="1" si="37"/>
        <v>0</v>
      </c>
      <c r="AU162" s="27">
        <f t="shared" ca="1" si="38"/>
        <v>0</v>
      </c>
      <c r="AV162" s="27"/>
      <c r="AW162" s="27"/>
      <c r="AY162" s="216"/>
      <c r="AZ162" s="216"/>
      <c r="BA162" s="233"/>
      <c r="BC162" s="216"/>
      <c r="BE162" s="69"/>
    </row>
    <row r="163" spans="1:57">
      <c r="A163" s="19">
        <f>[1]!_xludf.edate(A162,1)</f>
        <v>41944</v>
      </c>
      <c r="B163" s="21">
        <f t="shared" si="45"/>
        <v>30</v>
      </c>
      <c r="C163" s="20">
        <f>IF(Control!$F$18="Physical",Model!A164+24,Model!A164)</f>
        <v>41998</v>
      </c>
      <c r="E163" s="22">
        <f>IF($A163&lt;End_Date,IF(Control!$C$20="Flat",Control!$C$21,VLOOKUP(Model!$A163,Euro!$B$29:$D$182,3)),0)</f>
        <v>0</v>
      </c>
      <c r="F163" s="22">
        <f t="shared" si="39"/>
        <v>0</v>
      </c>
      <c r="H163" s="23">
        <f>IF(Control!$C$27="Mid",VLOOKUP($A163,CurveFetch!$D$8:$F$367,3),VLOOKUP($A163,Euro!$B$29:$I$182,8))</f>
        <v>5.0679999999999996</v>
      </c>
      <c r="I163" s="23"/>
      <c r="J163" s="23">
        <f>IF($J$4="Mid",VLOOKUP($A163,Curve_Fetch,VLOOKUP(Control!$AJ$10,Control!$AI$11:$AK$22,3)),VLOOKUP($A163,Euro!$B$29:$M$182,12))</f>
        <v>-0.13</v>
      </c>
      <c r="K163" s="228">
        <f>IF(Control!$F$18="Physical",IF($K$4="Mid",VLOOKUP($A163,Curve_Fetch,VLOOKUP(Control!$AJ$10,Control!$AI$11:$AL$22,4)),VLOOKUP($A163,Euro!$B$29:$Q$182,16)),0)</f>
        <v>5.0000000000000001E-3</v>
      </c>
      <c r="L163" s="23">
        <f t="shared" si="40"/>
        <v>-0.125</v>
      </c>
      <c r="M163" s="23"/>
      <c r="N163" s="69">
        <f t="shared" si="31"/>
        <v>4.9429999999999996</v>
      </c>
      <c r="O163" s="69">
        <f>N163+Control!$C$39</f>
        <v>4.9429999999999996</v>
      </c>
      <c r="P163" s="73">
        <f>VLOOKUP($A163,CurveFetch!$D$8:$E$367,2)</f>
        <v>5.20094756177953E-2</v>
      </c>
      <c r="Q163" s="24">
        <f t="shared" si="41"/>
        <v>5.20094756177953E-2</v>
      </c>
      <c r="R163" s="72">
        <f t="shared" ca="1" si="42"/>
        <v>4747</v>
      </c>
      <c r="S163" s="25">
        <f>VLOOKUP($A163,Curve_Fetch,VLOOKUP(Control!$AJ$10,Control!$AI$11:$AM$22,5))</f>
        <v>0.17</v>
      </c>
      <c r="T163" s="74">
        <f ca="1">_xll.EURO(N163,O163,P163,Q163,S163,R163,IF(Control!$C$38="Call",1,0),0)</f>
        <v>0.6052715959457714</v>
      </c>
      <c r="U163" s="27">
        <f t="shared" ca="1" si="32"/>
        <v>0</v>
      </c>
      <c r="V163" s="76"/>
      <c r="W163" s="197"/>
      <c r="X163" s="197"/>
      <c r="Y163" s="197"/>
      <c r="AA163" s="210"/>
      <c r="AB163" s="210"/>
      <c r="AC163" s="211"/>
      <c r="AD163" s="212"/>
      <c r="AE163" s="213"/>
      <c r="AF163" s="214"/>
      <c r="AG163" s="215"/>
      <c r="AH163" s="216"/>
      <c r="AI163" s="27"/>
      <c r="AJ163" s="28">
        <f t="shared" si="33"/>
        <v>0.125</v>
      </c>
      <c r="AL163" s="24">
        <f t="shared" si="43"/>
        <v>5.2063724728850701E-2</v>
      </c>
      <c r="AM163" s="25">
        <f t="shared" ca="1" si="44"/>
        <v>0.50871202198955479</v>
      </c>
      <c r="AO163" s="26">
        <f t="shared" ca="1" si="34"/>
        <v>0</v>
      </c>
      <c r="AP163" s="26"/>
      <c r="AQ163" s="26">
        <f t="shared" ca="1" si="35"/>
        <v>0</v>
      </c>
      <c r="AR163" s="26"/>
      <c r="AS163" s="27">
        <f t="shared" ca="1" si="36"/>
        <v>0</v>
      </c>
      <c r="AT163" s="27">
        <f t="shared" ca="1" si="37"/>
        <v>0</v>
      </c>
      <c r="AU163" s="27">
        <f t="shared" ca="1" si="38"/>
        <v>0</v>
      </c>
      <c r="AV163" s="27"/>
      <c r="AW163" s="27"/>
      <c r="AY163" s="216"/>
      <c r="AZ163" s="216"/>
      <c r="BA163" s="233"/>
      <c r="BC163" s="216"/>
      <c r="BE163" s="69"/>
    </row>
    <row r="164" spans="1:57">
      <c r="A164" s="19">
        <f>[1]!_xludf.edate(A163,1)</f>
        <v>41974</v>
      </c>
      <c r="B164" s="21">
        <f t="shared" si="45"/>
        <v>31</v>
      </c>
      <c r="C164" s="20">
        <f>IF(Control!$F$18="Physical",Model!A165+24,Model!A165)</f>
        <v>42029</v>
      </c>
      <c r="E164" s="22">
        <f>IF($A164&lt;End_Date,IF(Control!$C$20="Flat",Control!$C$21,VLOOKUP(Model!$A164,Euro!$B$29:$D$182,3)),0)</f>
        <v>0</v>
      </c>
      <c r="F164" s="22">
        <f t="shared" si="39"/>
        <v>0</v>
      </c>
      <c r="H164" s="23">
        <f>IF(Control!$C$27="Mid",VLOOKUP($A164,CurveFetch!$D$8:$F$367,3),VLOOKUP($A164,Euro!$B$29:$I$182,8))</f>
        <v>5.1989999999999998</v>
      </c>
      <c r="I164" s="23"/>
      <c r="J164" s="23">
        <f>IF($J$4="Mid",VLOOKUP($A164,Curve_Fetch,VLOOKUP(Control!$AJ$10,Control!$AI$11:$AK$22,3)),VLOOKUP($A164,Euro!$B$29:$M$182,12))</f>
        <v>-0.13</v>
      </c>
      <c r="K164" s="228">
        <f>IF(Control!$F$18="Physical",IF($K$4="Mid",VLOOKUP($A164,Curve_Fetch,VLOOKUP(Control!$AJ$10,Control!$AI$11:$AL$22,4)),VLOOKUP($A164,Euro!$B$29:$Q$182,16)),0)</f>
        <v>5.0000000000000001E-3</v>
      </c>
      <c r="L164" s="23">
        <f t="shared" si="40"/>
        <v>-0.125</v>
      </c>
      <c r="M164" s="23"/>
      <c r="N164" s="69">
        <f t="shared" si="31"/>
        <v>5.0739999999999998</v>
      </c>
      <c r="O164" s="69">
        <f>N164+Control!$C$39</f>
        <v>5.0739999999999998</v>
      </c>
      <c r="P164" s="73">
        <f>VLOOKUP($A164,CurveFetch!$D$8:$E$367,2)</f>
        <v>5.2063724728850701E-2</v>
      </c>
      <c r="Q164" s="24">
        <f t="shared" si="41"/>
        <v>5.2063724728850701E-2</v>
      </c>
      <c r="R164" s="72">
        <f t="shared" ca="1" si="42"/>
        <v>4777</v>
      </c>
      <c r="S164" s="25">
        <f>VLOOKUP($A164,Curve_Fetch,VLOOKUP(Control!$AJ$10,Control!$AI$11:$AM$22,5))</f>
        <v>0.17</v>
      </c>
      <c r="T164" s="74">
        <f ca="1">_xll.EURO(N164,O164,P164,Q164,S164,R164,IF(Control!$C$38="Call",1,0),0)</f>
        <v>0.62011518897862028</v>
      </c>
      <c r="U164" s="27">
        <f t="shared" ca="1" si="32"/>
        <v>0</v>
      </c>
      <c r="V164" s="76"/>
      <c r="W164" s="197"/>
      <c r="X164" s="197"/>
      <c r="Y164" s="197"/>
      <c r="AA164" s="210"/>
      <c r="AB164" s="210"/>
      <c r="AC164" s="211"/>
      <c r="AD164" s="212"/>
      <c r="AE164" s="213"/>
      <c r="AF164" s="214"/>
      <c r="AG164" s="215"/>
      <c r="AH164" s="216"/>
      <c r="AI164" s="27"/>
      <c r="AJ164" s="28">
        <f t="shared" si="33"/>
        <v>0.125</v>
      </c>
      <c r="AL164" s="24">
        <f t="shared" si="43"/>
        <v>5.2119782144639998E-2</v>
      </c>
      <c r="AM164" s="25">
        <f t="shared" ca="1" si="44"/>
        <v>0.50613160399470625</v>
      </c>
      <c r="AO164" s="26">
        <f t="shared" ca="1" si="34"/>
        <v>0</v>
      </c>
      <c r="AP164" s="26"/>
      <c r="AQ164" s="26">
        <f t="shared" ca="1" si="35"/>
        <v>0</v>
      </c>
      <c r="AR164" s="26"/>
      <c r="AS164" s="27">
        <f t="shared" ca="1" si="36"/>
        <v>0</v>
      </c>
      <c r="AT164" s="27">
        <f t="shared" ca="1" si="37"/>
        <v>0</v>
      </c>
      <c r="AU164" s="27">
        <f t="shared" ca="1" si="38"/>
        <v>0</v>
      </c>
      <c r="AV164" s="27"/>
      <c r="AW164" s="27"/>
      <c r="AY164" s="216"/>
      <c r="AZ164" s="216"/>
      <c r="BA164" s="233"/>
      <c r="BC164" s="216"/>
      <c r="BE164" s="69"/>
    </row>
    <row r="165" spans="1:57">
      <c r="A165" s="19">
        <f>[1]!_xludf.edate(A164,1)</f>
        <v>42005</v>
      </c>
      <c r="B165" s="21">
        <f t="shared" si="45"/>
        <v>31</v>
      </c>
      <c r="C165" s="20">
        <f>IF(Control!$F$18="Physical",Model!A166+24,Model!A166)</f>
        <v>42060</v>
      </c>
      <c r="E165" s="22">
        <f>IF($A165&lt;End_Date,IF(Control!$C$20="Flat",Control!$C$21,VLOOKUP(Model!$A165,Euro!$B$29:$D$182,3)),0)</f>
        <v>0</v>
      </c>
      <c r="F165" s="22">
        <f t="shared" si="39"/>
        <v>0</v>
      </c>
      <c r="H165" s="23">
        <f>IF(Control!$C$27="Mid",VLOOKUP($A165,CurveFetch!$D$8:$F$367,3),VLOOKUP($A165,Euro!$B$29:$I$182,8))</f>
        <v>5.2714999999999996</v>
      </c>
      <c r="I165" s="23"/>
      <c r="J165" s="23">
        <f>IF($J$4="Mid",VLOOKUP($A165,Curve_Fetch,VLOOKUP(Control!$AJ$10,Control!$AI$11:$AK$22,3)),VLOOKUP($A165,Euro!$B$29:$M$182,12))</f>
        <v>-0.13</v>
      </c>
      <c r="K165" s="228">
        <f>IF(Control!$F$18="Physical",IF($K$4="Mid",VLOOKUP($A165,Curve_Fetch,VLOOKUP(Control!$AJ$10,Control!$AI$11:$AL$22,4)),VLOOKUP($A165,Euro!$B$29:$Q$182,16)),0)</f>
        <v>0</v>
      </c>
      <c r="L165" s="23">
        <f t="shared" si="40"/>
        <v>-0.13</v>
      </c>
      <c r="M165" s="23"/>
      <c r="N165" s="69">
        <f t="shared" si="31"/>
        <v>5.1414999999999997</v>
      </c>
      <c r="O165" s="69">
        <f>N165+Control!$C$39</f>
        <v>5.1414999999999997</v>
      </c>
      <c r="P165" s="73">
        <f>VLOOKUP($A165,CurveFetch!$D$8:$E$367,2)</f>
        <v>5.2119782144639998E-2</v>
      </c>
      <c r="Q165" s="24">
        <f t="shared" si="41"/>
        <v>5.2119782144639998E-2</v>
      </c>
      <c r="R165" s="72">
        <f t="shared" ca="1" si="42"/>
        <v>4808</v>
      </c>
      <c r="S165" s="25">
        <f>VLOOKUP($A165,Curve_Fetch,VLOOKUP(Control!$AJ$10,Control!$AI$11:$AM$22,5))</f>
        <v>0.17</v>
      </c>
      <c r="T165" s="74">
        <f ca="1">_xll.EURO(N165,O165,P165,Q165,S165,R165,IF(Control!$C$38="Call",1,0),0)</f>
        <v>0.62709448960409819</v>
      </c>
      <c r="U165" s="27">
        <f t="shared" ca="1" si="32"/>
        <v>0</v>
      </c>
      <c r="V165" s="76"/>
      <c r="W165" s="197"/>
      <c r="X165" s="197"/>
      <c r="Y165" s="197"/>
      <c r="AA165" s="210"/>
      <c r="AB165" s="210"/>
      <c r="AC165" s="211"/>
      <c r="AD165" s="212"/>
      <c r="AE165" s="213"/>
      <c r="AF165" s="214"/>
      <c r="AG165" s="215"/>
      <c r="AH165" s="216"/>
      <c r="AI165" s="27"/>
      <c r="AJ165" s="28">
        <f t="shared" si="33"/>
        <v>0.13</v>
      </c>
      <c r="AL165" s="24">
        <f t="shared" si="43"/>
        <v>5.2175839561476901E-2</v>
      </c>
      <c r="AM165" s="25">
        <f t="shared" ca="1" si="44"/>
        <v>0.50355961501228386</v>
      </c>
      <c r="AO165" s="26">
        <f t="shared" ca="1" si="34"/>
        <v>0</v>
      </c>
      <c r="AP165" s="26"/>
      <c r="AQ165" s="26">
        <f t="shared" ca="1" si="35"/>
        <v>0</v>
      </c>
      <c r="AR165" s="26"/>
      <c r="AS165" s="27">
        <f t="shared" ca="1" si="36"/>
        <v>0</v>
      </c>
      <c r="AT165" s="27">
        <f t="shared" ca="1" si="37"/>
        <v>0</v>
      </c>
      <c r="AU165" s="27">
        <f t="shared" ca="1" si="38"/>
        <v>0</v>
      </c>
      <c r="AV165" s="27"/>
      <c r="AW165" s="27"/>
      <c r="AY165" s="216"/>
      <c r="AZ165" s="216"/>
      <c r="BA165" s="233"/>
      <c r="BC165" s="216"/>
      <c r="BE165" s="69"/>
    </row>
    <row r="166" spans="1:57">
      <c r="A166" s="19">
        <f>[1]!_xludf.edate(A165,1)</f>
        <v>42036</v>
      </c>
      <c r="B166" s="21">
        <f t="shared" si="45"/>
        <v>28</v>
      </c>
      <c r="C166" s="20">
        <f>IF(Control!$F$18="Physical",Model!A167+24,Model!A167)</f>
        <v>42088</v>
      </c>
      <c r="E166" s="22">
        <f>IF($A166&lt;End_Date,IF(Control!$C$20="Flat",Control!$C$21,VLOOKUP(Model!$A166,Euro!$B$29:$D$182,3)),0)</f>
        <v>0</v>
      </c>
      <c r="F166" s="22">
        <f t="shared" si="39"/>
        <v>0</v>
      </c>
      <c r="H166" s="23">
        <f>IF(Control!$C$27="Mid",VLOOKUP($A166,CurveFetch!$D$8:$F$367,3),VLOOKUP($A166,Euro!$B$29:$I$182,8))</f>
        <v>5.1835000000000004</v>
      </c>
      <c r="I166" s="23"/>
      <c r="J166" s="23">
        <f>IF($J$4="Mid",VLOOKUP($A166,Curve_Fetch,VLOOKUP(Control!$AJ$10,Control!$AI$11:$AK$22,3)),VLOOKUP($A166,Euro!$B$29:$M$182,12))</f>
        <v>-0.13</v>
      </c>
      <c r="K166" s="228">
        <f>IF(Control!$F$18="Physical",IF($K$4="Mid",VLOOKUP($A166,Curve_Fetch,VLOOKUP(Control!$AJ$10,Control!$AI$11:$AL$22,4)),VLOOKUP($A166,Euro!$B$29:$Q$182,16)),0)</f>
        <v>0</v>
      </c>
      <c r="L166" s="23">
        <f t="shared" si="40"/>
        <v>-0.13</v>
      </c>
      <c r="M166" s="23"/>
      <c r="N166" s="69">
        <f t="shared" si="31"/>
        <v>5.0535000000000005</v>
      </c>
      <c r="O166" s="69">
        <f>N166+Control!$C$39</f>
        <v>5.0535000000000005</v>
      </c>
      <c r="P166" s="73">
        <f>VLOOKUP($A166,CurveFetch!$D$8:$E$367,2)</f>
        <v>5.2175839561476901E-2</v>
      </c>
      <c r="Q166" s="24">
        <f t="shared" si="41"/>
        <v>5.2175839561476901E-2</v>
      </c>
      <c r="R166" s="72">
        <f t="shared" ca="1" si="42"/>
        <v>4839</v>
      </c>
      <c r="S166" s="25">
        <f>VLOOKUP($A166,Curve_Fetch,VLOOKUP(Control!$AJ$10,Control!$AI$11:$AM$22,5))</f>
        <v>0.17</v>
      </c>
      <c r="T166" s="74">
        <f ca="1">_xll.EURO(N166,O166,P166,Q166,S166,R166,IF(Control!$C$38="Call",1,0),0)</f>
        <v>0.61509684090592454</v>
      </c>
      <c r="U166" s="27">
        <f t="shared" ca="1" si="32"/>
        <v>0</v>
      </c>
      <c r="V166" s="76"/>
      <c r="W166" s="197"/>
      <c r="X166" s="197"/>
      <c r="Y166" s="197"/>
      <c r="AA166" s="210"/>
      <c r="AB166" s="210"/>
      <c r="AC166" s="211"/>
      <c r="AD166" s="212"/>
      <c r="AE166" s="213"/>
      <c r="AF166" s="214"/>
      <c r="AG166" s="215"/>
      <c r="AH166" s="216"/>
      <c r="AI166" s="27"/>
      <c r="AJ166" s="28">
        <f t="shared" si="33"/>
        <v>0.13</v>
      </c>
      <c r="AL166" s="24">
        <f t="shared" si="43"/>
        <v>5.2226472067908002E-2</v>
      </c>
      <c r="AM166" s="25">
        <f t="shared" ca="1" si="44"/>
        <v>0.50124377713515877</v>
      </c>
      <c r="AO166" s="26">
        <f t="shared" ca="1" si="34"/>
        <v>0</v>
      </c>
      <c r="AP166" s="26"/>
      <c r="AQ166" s="26">
        <f t="shared" ca="1" si="35"/>
        <v>0</v>
      </c>
      <c r="AR166" s="26"/>
      <c r="AS166" s="27">
        <f t="shared" ca="1" si="36"/>
        <v>0</v>
      </c>
      <c r="AT166" s="27">
        <f t="shared" ca="1" si="37"/>
        <v>0</v>
      </c>
      <c r="AU166" s="27">
        <f t="shared" ca="1" si="38"/>
        <v>0</v>
      </c>
      <c r="AV166" s="27"/>
      <c r="AW166" s="27"/>
      <c r="AY166" s="216"/>
      <c r="AZ166" s="216"/>
      <c r="BA166" s="233"/>
      <c r="BC166" s="216"/>
      <c r="BE166" s="69"/>
    </row>
    <row r="167" spans="1:57">
      <c r="A167" s="19">
        <f>[1]!_xludf.edate(A166,1)</f>
        <v>42064</v>
      </c>
      <c r="B167" s="21">
        <f t="shared" si="45"/>
        <v>31</v>
      </c>
      <c r="C167" s="20">
        <f>IF(Control!$F$18="Physical",Model!A168+24,Model!A168)</f>
        <v>42119</v>
      </c>
      <c r="E167" s="22">
        <f>IF($A167&lt;End_Date,IF(Control!$C$20="Flat",Control!$C$21,VLOOKUP(Model!$A167,Euro!$B$29:$D$182,3)),0)</f>
        <v>0</v>
      </c>
      <c r="F167" s="22">
        <f t="shared" si="39"/>
        <v>0</v>
      </c>
      <c r="H167" s="23">
        <f>IF(Control!$C$27="Mid",VLOOKUP($A167,CurveFetch!$D$8:$F$367,3),VLOOKUP($A167,Euro!$B$29:$I$182,8))</f>
        <v>5.0445000000000002</v>
      </c>
      <c r="I167" s="23"/>
      <c r="J167" s="23">
        <f>IF($J$4="Mid",VLOOKUP($A167,Curve_Fetch,VLOOKUP(Control!$AJ$10,Control!$AI$11:$AK$22,3)),VLOOKUP($A167,Euro!$B$29:$M$182,12))</f>
        <v>-0.13</v>
      </c>
      <c r="K167" s="228">
        <f>IF(Control!$F$18="Physical",IF($K$4="Mid",VLOOKUP($A167,Curve_Fetch,VLOOKUP(Control!$AJ$10,Control!$AI$11:$AL$22,4)),VLOOKUP($A167,Euro!$B$29:$Q$182,16)),0)</f>
        <v>0</v>
      </c>
      <c r="L167" s="23">
        <f t="shared" si="40"/>
        <v>-0.13</v>
      </c>
      <c r="M167" s="23"/>
      <c r="N167" s="69">
        <f t="shared" si="31"/>
        <v>4.9145000000000003</v>
      </c>
      <c r="O167" s="69">
        <f>N167+Control!$C$39</f>
        <v>4.9145000000000003</v>
      </c>
      <c r="P167" s="73">
        <f>VLOOKUP($A167,CurveFetch!$D$8:$E$367,2)</f>
        <v>5.2226472067908002E-2</v>
      </c>
      <c r="Q167" s="24">
        <f t="shared" si="41"/>
        <v>5.2226472067908002E-2</v>
      </c>
      <c r="R167" s="72">
        <f t="shared" ca="1" si="42"/>
        <v>4867</v>
      </c>
      <c r="S167" s="25">
        <f>VLOOKUP($A167,Curve_Fetch,VLOOKUP(Control!$AJ$10,Control!$AI$11:$AM$22,5))</f>
        <v>0.17</v>
      </c>
      <c r="T167" s="74">
        <f ca="1">_xll.EURO(N167,O167,P167,Q167,S167,R167,IF(Control!$C$38="Call",1,0),0)</f>
        <v>0.59705418997801185</v>
      </c>
      <c r="U167" s="27">
        <f t="shared" ca="1" si="32"/>
        <v>0</v>
      </c>
      <c r="V167" s="76"/>
      <c r="W167" s="197"/>
      <c r="X167" s="197"/>
      <c r="Y167" s="197"/>
      <c r="AA167" s="210"/>
      <c r="AB167" s="210"/>
      <c r="AC167" s="211"/>
      <c r="AD167" s="212"/>
      <c r="AE167" s="213"/>
      <c r="AF167" s="214"/>
      <c r="AG167" s="215"/>
      <c r="AH167" s="216"/>
      <c r="AI167" s="27"/>
      <c r="AJ167" s="28">
        <f t="shared" si="33"/>
        <v>0.13</v>
      </c>
      <c r="AL167" s="24">
        <f t="shared" si="43"/>
        <v>5.2282529486739698E-2</v>
      </c>
      <c r="AM167" s="25">
        <f t="shared" ca="1" si="44"/>
        <v>0.49868784361649621</v>
      </c>
      <c r="AO167" s="26">
        <f t="shared" ca="1" si="34"/>
        <v>0</v>
      </c>
      <c r="AP167" s="26"/>
      <c r="AQ167" s="26">
        <f t="shared" ca="1" si="35"/>
        <v>0</v>
      </c>
      <c r="AR167" s="26"/>
      <c r="AS167" s="27">
        <f t="shared" ca="1" si="36"/>
        <v>0</v>
      </c>
      <c r="AT167" s="27">
        <f t="shared" ca="1" si="37"/>
        <v>0</v>
      </c>
      <c r="AU167" s="27">
        <f t="shared" ca="1" si="38"/>
        <v>0</v>
      </c>
      <c r="AV167" s="27"/>
      <c r="AW167" s="27"/>
      <c r="AY167" s="216"/>
      <c r="AZ167" s="216"/>
      <c r="BA167" s="233"/>
      <c r="BC167" s="216"/>
      <c r="BE167" s="69"/>
    </row>
    <row r="168" spans="1:57">
      <c r="A168" s="19">
        <f>[1]!_xludf.edate(A167,1)</f>
        <v>42095</v>
      </c>
      <c r="B168" s="21">
        <f t="shared" si="45"/>
        <v>30</v>
      </c>
      <c r="C168" s="20">
        <f>IF(Control!$F$18="Physical",Model!A169+24,Model!A169)</f>
        <v>42149</v>
      </c>
      <c r="E168" s="22">
        <f>IF($A168&lt;End_Date,IF(Control!$C$20="Flat",Control!$C$21,VLOOKUP(Model!$A168,Euro!$B$29:$D$182,3)),0)</f>
        <v>0</v>
      </c>
      <c r="F168" s="22">
        <f t="shared" si="39"/>
        <v>0</v>
      </c>
      <c r="H168" s="23">
        <f>IF(Control!$C$27="Mid",VLOOKUP($A168,CurveFetch!$D$8:$F$367,3),VLOOKUP($A168,Euro!$B$29:$I$182,8))</f>
        <v>4.8905000000000003</v>
      </c>
      <c r="I168" s="23"/>
      <c r="J168" s="23">
        <f>IF($J$4="Mid",VLOOKUP($A168,Curve_Fetch,VLOOKUP(Control!$AJ$10,Control!$AI$11:$AK$22,3)),VLOOKUP($A168,Euro!$B$29:$M$182,12))</f>
        <v>-0.2</v>
      </c>
      <c r="K168" s="228">
        <f>IF(Control!$F$18="Physical",IF($K$4="Mid",VLOOKUP($A168,Curve_Fetch,VLOOKUP(Control!$AJ$10,Control!$AI$11:$AL$22,4)),VLOOKUP($A168,Euro!$B$29:$Q$182,16)),0)</f>
        <v>0</v>
      </c>
      <c r="L168" s="23">
        <f t="shared" si="40"/>
        <v>-0.2</v>
      </c>
      <c r="M168" s="23"/>
      <c r="N168" s="69">
        <f t="shared" si="31"/>
        <v>4.6905000000000001</v>
      </c>
      <c r="O168" s="69">
        <f>N168+Control!$C$39</f>
        <v>4.6905000000000001</v>
      </c>
      <c r="P168" s="73">
        <f>VLOOKUP($A168,CurveFetch!$D$8:$E$367,2)</f>
        <v>5.2282529486739698E-2</v>
      </c>
      <c r="Q168" s="24">
        <f t="shared" si="41"/>
        <v>5.2282529486739698E-2</v>
      </c>
      <c r="R168" s="72">
        <f t="shared" ca="1" si="42"/>
        <v>4898</v>
      </c>
      <c r="S168" s="25">
        <f>VLOOKUP($A168,Curve_Fetch,VLOOKUP(Control!$AJ$10,Control!$AI$11:$AM$22,5))</f>
        <v>0.17</v>
      </c>
      <c r="T168" s="74">
        <f ca="1">_xll.EURO(N168,O168,P168,Q168,S168,R168,IF(Control!$C$38="Call",1,0),0)</f>
        <v>0.56863935145683642</v>
      </c>
      <c r="U168" s="27">
        <f t="shared" ca="1" si="32"/>
        <v>0</v>
      </c>
      <c r="V168" s="76"/>
      <c r="W168" s="197"/>
      <c r="X168" s="197"/>
      <c r="Y168" s="197"/>
      <c r="AA168" s="210"/>
      <c r="AB168" s="210"/>
      <c r="AC168" s="211"/>
      <c r="AD168" s="212"/>
      <c r="AE168" s="213"/>
      <c r="AF168" s="214"/>
      <c r="AG168" s="215"/>
      <c r="AH168" s="216"/>
      <c r="AI168" s="27"/>
      <c r="AJ168" s="28">
        <f t="shared" si="33"/>
        <v>0.2</v>
      </c>
      <c r="AL168" s="24">
        <f t="shared" si="43"/>
        <v>5.2336778602736E-2</v>
      </c>
      <c r="AM168" s="25">
        <f t="shared" ca="1" si="44"/>
        <v>0.49622239775468641</v>
      </c>
      <c r="AO168" s="26">
        <f t="shared" ca="1" si="34"/>
        <v>0</v>
      </c>
      <c r="AP168" s="26"/>
      <c r="AQ168" s="26">
        <f t="shared" ca="1" si="35"/>
        <v>0</v>
      </c>
      <c r="AR168" s="26"/>
      <c r="AS168" s="27">
        <f t="shared" ca="1" si="36"/>
        <v>0</v>
      </c>
      <c r="AT168" s="27">
        <f t="shared" ca="1" si="37"/>
        <v>0</v>
      </c>
      <c r="AU168" s="27">
        <f t="shared" ca="1" si="38"/>
        <v>0</v>
      </c>
      <c r="AV168" s="27"/>
      <c r="AW168" s="27"/>
      <c r="AY168" s="216"/>
      <c r="AZ168" s="216"/>
      <c r="BA168" s="233"/>
      <c r="BC168" s="216"/>
      <c r="BE168" s="69"/>
    </row>
    <row r="169" spans="1:57">
      <c r="A169" s="19">
        <f>[1]!_xludf.edate(A168,1)</f>
        <v>42125</v>
      </c>
      <c r="B169" s="21">
        <f t="shared" si="45"/>
        <v>31</v>
      </c>
      <c r="C169" s="20">
        <f>IF(Control!$F$18="Physical",Model!A170+24,Model!A170)</f>
        <v>42180</v>
      </c>
      <c r="E169" s="22">
        <f>IF($A169&lt;End_Date,IF(Control!$C$20="Flat",Control!$C$21,VLOOKUP(Model!$A169,Euro!$B$29:$D$182,3)),0)</f>
        <v>0</v>
      </c>
      <c r="F169" s="22">
        <f t="shared" si="39"/>
        <v>0</v>
      </c>
      <c r="H169" s="23">
        <f>IF(Control!$C$27="Mid",VLOOKUP($A169,CurveFetch!$D$8:$F$367,3),VLOOKUP($A169,Euro!$B$29:$I$182,8))</f>
        <v>4.8955000000000002</v>
      </c>
      <c r="I169" s="23"/>
      <c r="J169" s="23">
        <f>IF($J$4="Mid",VLOOKUP($A169,Curve_Fetch,VLOOKUP(Control!$AJ$10,Control!$AI$11:$AK$22,3)),VLOOKUP($A169,Euro!$B$29:$M$182,12))</f>
        <v>-0.2</v>
      </c>
      <c r="K169" s="228">
        <f>IF(Control!$F$18="Physical",IF($K$4="Mid",VLOOKUP($A169,Curve_Fetch,VLOOKUP(Control!$AJ$10,Control!$AI$11:$AL$22,4)),VLOOKUP($A169,Euro!$B$29:$Q$182,16)),0)</f>
        <v>0</v>
      </c>
      <c r="L169" s="23">
        <f t="shared" si="40"/>
        <v>-0.2</v>
      </c>
      <c r="M169" s="23"/>
      <c r="N169" s="69">
        <f t="shared" si="31"/>
        <v>4.6955</v>
      </c>
      <c r="O169" s="69">
        <f>N169+Control!$C$39</f>
        <v>4.6955</v>
      </c>
      <c r="P169" s="73">
        <f>VLOOKUP($A169,CurveFetch!$D$8:$E$367,2)</f>
        <v>5.2336778602736E-2</v>
      </c>
      <c r="Q169" s="24">
        <f t="shared" si="41"/>
        <v>5.2336778602736E-2</v>
      </c>
      <c r="R169" s="72">
        <f t="shared" ca="1" si="42"/>
        <v>4928</v>
      </c>
      <c r="S169" s="25">
        <f>VLOOKUP($A169,Curve_Fetch,VLOOKUP(Control!$AJ$10,Control!$AI$11:$AM$22,5))</f>
        <v>0.17</v>
      </c>
      <c r="T169" s="74">
        <f ca="1">_xll.EURO(N169,O169,P169,Q169,S169,R169,IF(Control!$C$38="Call",1,0),0)</f>
        <v>0.56806800475927866</v>
      </c>
      <c r="U169" s="27">
        <f t="shared" ca="1" si="32"/>
        <v>0</v>
      </c>
      <c r="V169" s="76"/>
      <c r="W169" s="197"/>
      <c r="X169" s="197"/>
      <c r="Y169" s="197"/>
      <c r="AA169" s="210"/>
      <c r="AB169" s="210"/>
      <c r="AC169" s="211"/>
      <c r="AD169" s="212"/>
      <c r="AE169" s="213"/>
      <c r="AF169" s="214"/>
      <c r="AG169" s="215"/>
      <c r="AH169" s="216"/>
      <c r="AI169" s="27"/>
      <c r="AJ169" s="28">
        <f t="shared" si="33"/>
        <v>0.2</v>
      </c>
      <c r="AL169" s="24">
        <f t="shared" si="43"/>
        <v>5.2392836023630103E-2</v>
      </c>
      <c r="AM169" s="25">
        <f t="shared" ca="1" si="44"/>
        <v>0.49368308047086878</v>
      </c>
      <c r="AO169" s="26">
        <f t="shared" ca="1" si="34"/>
        <v>0</v>
      </c>
      <c r="AP169" s="26"/>
      <c r="AQ169" s="26">
        <f t="shared" ca="1" si="35"/>
        <v>0</v>
      </c>
      <c r="AR169" s="26"/>
      <c r="AS169" s="27">
        <f t="shared" ca="1" si="36"/>
        <v>0</v>
      </c>
      <c r="AT169" s="27">
        <f t="shared" ca="1" si="37"/>
        <v>0</v>
      </c>
      <c r="AU169" s="27">
        <f t="shared" ca="1" si="38"/>
        <v>0</v>
      </c>
      <c r="AV169" s="27"/>
      <c r="AW169" s="27"/>
      <c r="AY169" s="216"/>
      <c r="AZ169" s="216"/>
      <c r="BA169" s="233"/>
      <c r="BC169" s="216"/>
      <c r="BE169" s="69"/>
    </row>
    <row r="170" spans="1:57">
      <c r="A170" s="19">
        <f>[1]!_xludf.edate(A169,1)</f>
        <v>42156</v>
      </c>
      <c r="B170" s="21">
        <f t="shared" si="45"/>
        <v>30</v>
      </c>
      <c r="C170" s="20">
        <f>IF(Control!$F$18="Physical",Model!A171+24,Model!A171)</f>
        <v>42210</v>
      </c>
      <c r="E170" s="22">
        <f>IF($A170&lt;End_Date,IF(Control!$C$20="Flat",Control!$C$21,VLOOKUP(Model!$A170,Euro!$B$29:$D$182,3)),0)</f>
        <v>0</v>
      </c>
      <c r="F170" s="22">
        <f t="shared" si="39"/>
        <v>0</v>
      </c>
      <c r="H170" s="23">
        <f>IF(Control!$C$27="Mid",VLOOKUP($A170,CurveFetch!$D$8:$F$367,3),VLOOKUP($A170,Euro!$B$29:$I$182,8))</f>
        <v>4.9335000000000004</v>
      </c>
      <c r="I170" s="23"/>
      <c r="J170" s="23">
        <f>IF($J$4="Mid",VLOOKUP($A170,Curve_Fetch,VLOOKUP(Control!$AJ$10,Control!$AI$11:$AK$22,3)),VLOOKUP($A170,Euro!$B$29:$M$182,12))</f>
        <v>-0.2</v>
      </c>
      <c r="K170" s="228">
        <f>IF(Control!$F$18="Physical",IF($K$4="Mid",VLOOKUP($A170,Curve_Fetch,VLOOKUP(Control!$AJ$10,Control!$AI$11:$AL$22,4)),VLOOKUP($A170,Euro!$B$29:$Q$182,16)),0)</f>
        <v>0</v>
      </c>
      <c r="L170" s="23">
        <f t="shared" si="40"/>
        <v>-0.2</v>
      </c>
      <c r="M170" s="23"/>
      <c r="N170" s="69">
        <f t="shared" si="31"/>
        <v>4.7335000000000003</v>
      </c>
      <c r="O170" s="69">
        <f>N170+Control!$C$39</f>
        <v>4.7335000000000003</v>
      </c>
      <c r="P170" s="73">
        <f>VLOOKUP($A170,CurveFetch!$D$8:$E$367,2)</f>
        <v>5.2392836023630103E-2</v>
      </c>
      <c r="Q170" s="24">
        <f t="shared" si="41"/>
        <v>5.2392836023630103E-2</v>
      </c>
      <c r="R170" s="72">
        <f t="shared" ca="1" si="42"/>
        <v>4959</v>
      </c>
      <c r="S170" s="25">
        <f>VLOOKUP($A170,Curve_Fetch,VLOOKUP(Control!$AJ$10,Control!$AI$11:$AM$22,5))</f>
        <v>0.17</v>
      </c>
      <c r="T170" s="74">
        <f ca="1">_xll.EURO(N170,O170,P170,Q170,S170,R170,IF(Control!$C$38="Call",1,0),0)</f>
        <v>0.57142480378906291</v>
      </c>
      <c r="U170" s="27">
        <f t="shared" ca="1" si="32"/>
        <v>0</v>
      </c>
      <c r="V170" s="76"/>
      <c r="W170" s="197"/>
      <c r="X170" s="197"/>
      <c r="Y170" s="197"/>
      <c r="AA170" s="210"/>
      <c r="AB170" s="210"/>
      <c r="AC170" s="211"/>
      <c r="AD170" s="212"/>
      <c r="AE170" s="213"/>
      <c r="AF170" s="214"/>
      <c r="AG170" s="215"/>
      <c r="AH170" s="216"/>
      <c r="AI170" s="27"/>
      <c r="AJ170" s="28">
        <f t="shared" si="33"/>
        <v>0.2</v>
      </c>
      <c r="AL170" s="24">
        <f t="shared" si="43"/>
        <v>5.24470851416221E-2</v>
      </c>
      <c r="AM170" s="25">
        <f t="shared" ca="1" si="44"/>
        <v>0.49123372225880552</v>
      </c>
      <c r="AO170" s="26">
        <f t="shared" ca="1" si="34"/>
        <v>0</v>
      </c>
      <c r="AP170" s="26"/>
      <c r="AQ170" s="26">
        <f t="shared" ca="1" si="35"/>
        <v>0</v>
      </c>
      <c r="AR170" s="26"/>
      <c r="AS170" s="27">
        <f t="shared" ca="1" si="36"/>
        <v>0</v>
      </c>
      <c r="AT170" s="27">
        <f t="shared" ca="1" si="37"/>
        <v>0</v>
      </c>
      <c r="AU170" s="27">
        <f t="shared" ca="1" si="38"/>
        <v>0</v>
      </c>
      <c r="AV170" s="27"/>
      <c r="AW170" s="27"/>
      <c r="AY170" s="216"/>
      <c r="AZ170" s="216"/>
      <c r="BA170" s="233"/>
      <c r="BC170" s="216"/>
      <c r="BE170" s="69"/>
    </row>
    <row r="171" spans="1:57">
      <c r="A171" s="19">
        <f>[1]!_xludf.edate(A170,1)</f>
        <v>42186</v>
      </c>
      <c r="B171" s="21">
        <f t="shared" si="45"/>
        <v>31</v>
      </c>
      <c r="C171" s="20">
        <f>IF(Control!$F$18="Physical",Model!A172+24,Model!A172)</f>
        <v>42241</v>
      </c>
      <c r="E171" s="22">
        <f>IF($A171&lt;End_Date,IF(Control!$C$20="Flat",Control!$C$21,VLOOKUP(Model!$A171,Euro!$B$29:$D$182,3)),0)</f>
        <v>0</v>
      </c>
      <c r="F171" s="22">
        <f t="shared" si="39"/>
        <v>0</v>
      </c>
      <c r="H171" s="23">
        <f>IF(Control!$C$27="Mid",VLOOKUP($A171,CurveFetch!$D$8:$F$367,3),VLOOKUP($A171,Euro!$B$29:$I$182,8))</f>
        <v>4.9785000000000004</v>
      </c>
      <c r="I171" s="23"/>
      <c r="J171" s="23">
        <f>IF($J$4="Mid",VLOOKUP($A171,Curve_Fetch,VLOOKUP(Control!$AJ$10,Control!$AI$11:$AK$22,3)),VLOOKUP($A171,Euro!$B$29:$M$182,12))</f>
        <v>-0.2</v>
      </c>
      <c r="K171" s="228">
        <f>IF(Control!$F$18="Physical",IF($K$4="Mid",VLOOKUP($A171,Curve_Fetch,VLOOKUP(Control!$AJ$10,Control!$AI$11:$AL$22,4)),VLOOKUP($A171,Euro!$B$29:$Q$182,16)),0)</f>
        <v>0</v>
      </c>
      <c r="L171" s="23">
        <f t="shared" si="40"/>
        <v>-0.2</v>
      </c>
      <c r="M171" s="23"/>
      <c r="N171" s="69">
        <f t="shared" si="31"/>
        <v>4.7785000000000002</v>
      </c>
      <c r="O171" s="69">
        <f>N171+Control!$C$39</f>
        <v>4.7785000000000002</v>
      </c>
      <c r="P171" s="73">
        <f>VLOOKUP($A171,CurveFetch!$D$8:$E$367,2)</f>
        <v>5.24470851416221E-2</v>
      </c>
      <c r="Q171" s="24">
        <f t="shared" si="41"/>
        <v>5.24470851416221E-2</v>
      </c>
      <c r="R171" s="72">
        <f t="shared" ca="1" si="42"/>
        <v>4989</v>
      </c>
      <c r="S171" s="25">
        <f>VLOOKUP($A171,Curve_Fetch,VLOOKUP(Control!$AJ$10,Control!$AI$11:$AM$22,5))</f>
        <v>0.17</v>
      </c>
      <c r="T171" s="74">
        <f ca="1">_xll.EURO(N171,O171,P171,Q171,S171,R171,IF(Control!$C$38="Call",1,0),0)</f>
        <v>0.5756319440164771</v>
      </c>
      <c r="U171" s="27">
        <f t="shared" ca="1" si="32"/>
        <v>0</v>
      </c>
      <c r="V171" s="76"/>
      <c r="W171" s="197"/>
      <c r="X171" s="197"/>
      <c r="Y171" s="197"/>
      <c r="AA171" s="210"/>
      <c r="AB171" s="210"/>
      <c r="AC171" s="211"/>
      <c r="AD171" s="212"/>
      <c r="AE171" s="213"/>
      <c r="AF171" s="214"/>
      <c r="AG171" s="215"/>
      <c r="AH171" s="216"/>
      <c r="AI171" s="27"/>
      <c r="AJ171" s="28">
        <f t="shared" si="33"/>
        <v>0.2</v>
      </c>
      <c r="AL171" s="24">
        <f t="shared" si="43"/>
        <v>5.2503142564578102E-2</v>
      </c>
      <c r="AM171" s="25">
        <f t="shared" ca="1" si="44"/>
        <v>0.48871103605728539</v>
      </c>
      <c r="AO171" s="26">
        <f t="shared" ca="1" si="34"/>
        <v>0</v>
      </c>
      <c r="AP171" s="26"/>
      <c r="AQ171" s="26">
        <f t="shared" ca="1" si="35"/>
        <v>0</v>
      </c>
      <c r="AR171" s="26"/>
      <c r="AS171" s="27">
        <f t="shared" ca="1" si="36"/>
        <v>0</v>
      </c>
      <c r="AT171" s="27">
        <f t="shared" ca="1" si="37"/>
        <v>0</v>
      </c>
      <c r="AU171" s="27">
        <f t="shared" ca="1" si="38"/>
        <v>0</v>
      </c>
      <c r="AV171" s="27"/>
      <c r="AW171" s="27"/>
      <c r="AY171" s="216"/>
      <c r="AZ171" s="216"/>
      <c r="BA171" s="233"/>
      <c r="BC171" s="216"/>
      <c r="BE171" s="69"/>
    </row>
    <row r="172" spans="1:57">
      <c r="A172" s="19">
        <f>[1]!_xludf.edate(A171,1)</f>
        <v>42217</v>
      </c>
      <c r="B172" s="21">
        <f t="shared" si="45"/>
        <v>31</v>
      </c>
      <c r="C172" s="20">
        <f>IF(Control!$F$18="Physical",Model!A173+24,Model!A173)</f>
        <v>42272</v>
      </c>
      <c r="E172" s="22">
        <f>IF($A172&lt;End_Date,IF(Control!$C$20="Flat",Control!$C$21,VLOOKUP(Model!$A172,Euro!$B$29:$D$182,3)),0)</f>
        <v>0</v>
      </c>
      <c r="F172" s="22">
        <f t="shared" si="39"/>
        <v>0</v>
      </c>
      <c r="H172" s="23">
        <f>IF(Control!$C$27="Mid",VLOOKUP($A172,CurveFetch!$D$8:$F$367,3),VLOOKUP($A172,Euro!$B$29:$I$182,8))</f>
        <v>5.0164999999999997</v>
      </c>
      <c r="I172" s="23"/>
      <c r="J172" s="23">
        <f>IF($J$4="Mid",VLOOKUP($A172,Curve_Fetch,VLOOKUP(Control!$AJ$10,Control!$AI$11:$AK$22,3)),VLOOKUP($A172,Euro!$B$29:$M$182,12))</f>
        <v>-0.2</v>
      </c>
      <c r="K172" s="228">
        <f>IF(Control!$F$18="Physical",IF($K$4="Mid",VLOOKUP($A172,Curve_Fetch,VLOOKUP(Control!$AJ$10,Control!$AI$11:$AL$22,4)),VLOOKUP($A172,Euro!$B$29:$Q$182,16)),0)</f>
        <v>0</v>
      </c>
      <c r="L172" s="23">
        <f t="shared" si="40"/>
        <v>-0.2</v>
      </c>
      <c r="M172" s="23"/>
      <c r="N172" s="69">
        <f t="shared" si="31"/>
        <v>4.8164999999999996</v>
      </c>
      <c r="O172" s="69">
        <f>N172+Control!$C$39</f>
        <v>4.8164999999999996</v>
      </c>
      <c r="P172" s="73">
        <f>VLOOKUP($A172,CurveFetch!$D$8:$E$367,2)</f>
        <v>5.2503142564578102E-2</v>
      </c>
      <c r="Q172" s="24">
        <f t="shared" si="41"/>
        <v>5.2503142564578102E-2</v>
      </c>
      <c r="R172" s="72">
        <f t="shared" ca="1" si="42"/>
        <v>5020</v>
      </c>
      <c r="S172" s="25">
        <f>VLOOKUP($A172,Curve_Fetch,VLOOKUP(Control!$AJ$10,Control!$AI$11:$AM$22,5))</f>
        <v>0.17</v>
      </c>
      <c r="T172" s="74">
        <f ca="1">_xll.EURO(N172,O172,P172,Q172,S172,R172,IF(Control!$C$38="Call",1,0),0)</f>
        <v>0.57891974244339517</v>
      </c>
      <c r="U172" s="27">
        <f t="shared" ca="1" si="32"/>
        <v>0</v>
      </c>
      <c r="V172" s="76"/>
      <c r="W172" s="197"/>
      <c r="X172" s="197"/>
      <c r="Y172" s="197"/>
      <c r="AA172" s="210"/>
      <c r="AB172" s="210"/>
      <c r="AC172" s="211"/>
      <c r="AD172" s="212"/>
      <c r="AE172" s="213"/>
      <c r="AF172" s="214"/>
      <c r="AG172" s="215"/>
      <c r="AH172" s="216"/>
      <c r="AI172" s="27"/>
      <c r="AJ172" s="28">
        <f t="shared" si="33"/>
        <v>0.2</v>
      </c>
      <c r="AL172" s="24">
        <f t="shared" si="43"/>
        <v>5.2559199988582599E-2</v>
      </c>
      <c r="AM172" s="25">
        <f t="shared" ca="1" si="44"/>
        <v>0.48619680678186333</v>
      </c>
      <c r="AO172" s="26">
        <f t="shared" ca="1" si="34"/>
        <v>0</v>
      </c>
      <c r="AP172" s="26"/>
      <c r="AQ172" s="26">
        <f t="shared" ca="1" si="35"/>
        <v>0</v>
      </c>
      <c r="AR172" s="26"/>
      <c r="AS172" s="27">
        <f t="shared" ca="1" si="36"/>
        <v>0</v>
      </c>
      <c r="AT172" s="27">
        <f t="shared" ca="1" si="37"/>
        <v>0</v>
      </c>
      <c r="AU172" s="27">
        <f t="shared" ca="1" si="38"/>
        <v>0</v>
      </c>
      <c r="AV172" s="27"/>
      <c r="AW172" s="27"/>
      <c r="AY172" s="216"/>
      <c r="AZ172" s="216"/>
      <c r="BA172" s="233"/>
      <c r="BC172" s="216"/>
      <c r="BE172" s="69"/>
    </row>
    <row r="173" spans="1:57">
      <c r="A173" s="19">
        <f>[1]!_xludf.edate(A172,1)</f>
        <v>42248</v>
      </c>
      <c r="B173" s="21">
        <f t="shared" si="45"/>
        <v>30</v>
      </c>
      <c r="C173" s="20">
        <f>IF(Control!$F$18="Physical",Model!A174+24,Model!A174)</f>
        <v>42302</v>
      </c>
      <c r="E173" s="22">
        <f>IF($A173&lt;End_Date,IF(Control!$C$20="Flat",Control!$C$21,VLOOKUP(Model!$A173,Euro!$B$29:$D$182,3)),0)</f>
        <v>0</v>
      </c>
      <c r="F173" s="22">
        <f t="shared" si="39"/>
        <v>0</v>
      </c>
      <c r="H173" s="23">
        <f>IF(Control!$C$27="Mid",VLOOKUP($A173,CurveFetch!$D$8:$F$367,3),VLOOKUP($A173,Euro!$B$29:$I$182,8))</f>
        <v>5.0105000000000004</v>
      </c>
      <c r="I173" s="23"/>
      <c r="J173" s="23">
        <f>IF($J$4="Mid",VLOOKUP($A173,Curve_Fetch,VLOOKUP(Control!$AJ$10,Control!$AI$11:$AK$22,3)),VLOOKUP($A173,Euro!$B$29:$M$182,12))</f>
        <v>-0.2</v>
      </c>
      <c r="K173" s="228">
        <f>IF(Control!$F$18="Physical",IF($K$4="Mid",VLOOKUP($A173,Curve_Fetch,VLOOKUP(Control!$AJ$10,Control!$AI$11:$AL$22,4)),VLOOKUP($A173,Euro!$B$29:$Q$182,16)),0)</f>
        <v>0</v>
      </c>
      <c r="L173" s="23">
        <f t="shared" si="40"/>
        <v>-0.2</v>
      </c>
      <c r="M173" s="23"/>
      <c r="N173" s="69">
        <f t="shared" si="31"/>
        <v>4.8105000000000002</v>
      </c>
      <c r="O173" s="69">
        <f>N173+Control!$C$39</f>
        <v>4.8105000000000002</v>
      </c>
      <c r="P173" s="73">
        <f>VLOOKUP($A173,CurveFetch!$D$8:$E$367,2)</f>
        <v>5.2559199988582599E-2</v>
      </c>
      <c r="Q173" s="24">
        <f t="shared" si="41"/>
        <v>5.2559199988582599E-2</v>
      </c>
      <c r="R173" s="72">
        <f t="shared" ca="1" si="42"/>
        <v>5051</v>
      </c>
      <c r="S173" s="25">
        <f>VLOOKUP($A173,Curve_Fetch,VLOOKUP(Control!$AJ$10,Control!$AI$11:$AM$22,5))</f>
        <v>0.17</v>
      </c>
      <c r="T173" s="74">
        <f ca="1">_xll.EURO(N173,O173,P173,Q173,S173,R173,IF(Control!$C$38="Call",1,0),0)</f>
        <v>0.5768967655833861</v>
      </c>
      <c r="U173" s="27">
        <f t="shared" ca="1" si="32"/>
        <v>0</v>
      </c>
      <c r="V173" s="76"/>
      <c r="W173" s="197"/>
      <c r="X173" s="197"/>
      <c r="Y173" s="197"/>
      <c r="AA173" s="210"/>
      <c r="AB173" s="210"/>
      <c r="AC173" s="211"/>
      <c r="AD173" s="212"/>
      <c r="AE173" s="213"/>
      <c r="AF173" s="214"/>
      <c r="AG173" s="215"/>
      <c r="AH173" s="216"/>
      <c r="AI173" s="27"/>
      <c r="AJ173" s="28">
        <f t="shared" si="33"/>
        <v>0.2</v>
      </c>
      <c r="AL173" s="24">
        <f t="shared" si="43"/>
        <v>5.26134491095838E-2</v>
      </c>
      <c r="AM173" s="25">
        <f t="shared" ca="1" si="44"/>
        <v>0.48377173669649315</v>
      </c>
      <c r="AO173" s="26">
        <f t="shared" ca="1" si="34"/>
        <v>0</v>
      </c>
      <c r="AP173" s="26"/>
      <c r="AQ173" s="26">
        <f t="shared" ca="1" si="35"/>
        <v>0</v>
      </c>
      <c r="AR173" s="26"/>
      <c r="AS173" s="27">
        <f t="shared" ca="1" si="36"/>
        <v>0</v>
      </c>
      <c r="AT173" s="27">
        <f t="shared" ca="1" si="37"/>
        <v>0</v>
      </c>
      <c r="AU173" s="27">
        <f t="shared" ca="1" si="38"/>
        <v>0</v>
      </c>
      <c r="AV173" s="27"/>
      <c r="AW173" s="27"/>
      <c r="AY173" s="216"/>
      <c r="AZ173" s="216"/>
      <c r="BA173" s="233"/>
      <c r="BC173" s="216"/>
      <c r="BE173" s="69"/>
    </row>
    <row r="174" spans="1:57">
      <c r="A174" s="19">
        <f>[1]!_xludf.edate(A173,1)</f>
        <v>42278</v>
      </c>
      <c r="B174" s="21">
        <f t="shared" si="45"/>
        <v>31</v>
      </c>
      <c r="C174" s="20">
        <f>IF(Control!$F$18="Physical",Model!A175+24,Model!A175)</f>
        <v>42333</v>
      </c>
      <c r="E174" s="22">
        <f>IF($A174&lt;End_Date,IF(Control!$C$20="Flat",Control!$C$21,VLOOKUP(Model!$A174,Euro!$B$29:$D$182,3)),0)</f>
        <v>0</v>
      </c>
      <c r="F174" s="22">
        <f t="shared" si="39"/>
        <v>0</v>
      </c>
      <c r="H174" s="23">
        <f>IF(Control!$C$27="Mid",VLOOKUP($A174,CurveFetch!$D$8:$F$367,3),VLOOKUP($A174,Euro!$B$29:$I$182,8))</f>
        <v>5.0105000000000004</v>
      </c>
      <c r="I174" s="23"/>
      <c r="J174" s="23">
        <f>IF($J$4="Mid",VLOOKUP($A174,Curve_Fetch,VLOOKUP(Control!$AJ$10,Control!$AI$11:$AK$22,3)),VLOOKUP($A174,Euro!$B$29:$M$182,12))</f>
        <v>-0.2</v>
      </c>
      <c r="K174" s="228">
        <f>IF(Control!$F$18="Physical",IF($K$4="Mid",VLOOKUP($A174,Curve_Fetch,VLOOKUP(Control!$AJ$10,Control!$AI$11:$AL$22,4)),VLOOKUP($A174,Euro!$B$29:$Q$182,16)),0)</f>
        <v>0</v>
      </c>
      <c r="L174" s="23">
        <f t="shared" si="40"/>
        <v>-0.2</v>
      </c>
      <c r="M174" s="23"/>
      <c r="N174" s="69">
        <f t="shared" si="31"/>
        <v>4.8105000000000002</v>
      </c>
      <c r="O174" s="69">
        <f>N174+Control!$C$39</f>
        <v>4.8105000000000002</v>
      </c>
      <c r="P174" s="73">
        <f>VLOOKUP($A174,CurveFetch!$D$8:$E$367,2)</f>
        <v>5.26134491095838E-2</v>
      </c>
      <c r="Q174" s="24">
        <f t="shared" si="41"/>
        <v>5.26134491095838E-2</v>
      </c>
      <c r="R174" s="72">
        <f t="shared" ca="1" si="42"/>
        <v>5081</v>
      </c>
      <c r="S174" s="25">
        <f>VLOOKUP($A174,Curve_Fetch,VLOOKUP(Control!$AJ$10,Control!$AI$11:$AM$22,5))</f>
        <v>0.17</v>
      </c>
      <c r="T174" s="74">
        <f ca="1">_xll.EURO(N174,O174,P174,Q174,S174,R174,IF(Control!$C$38="Call",1,0),0)</f>
        <v>0.57562420920015667</v>
      </c>
      <c r="U174" s="27">
        <f t="shared" ca="1" si="32"/>
        <v>0</v>
      </c>
      <c r="V174" s="76"/>
      <c r="W174" s="197"/>
      <c r="X174" s="197"/>
      <c r="Y174" s="197"/>
      <c r="AA174" s="210"/>
      <c r="AB174" s="210"/>
      <c r="AC174" s="211"/>
      <c r="AD174" s="212"/>
      <c r="AE174" s="213"/>
      <c r="AF174" s="214"/>
      <c r="AG174" s="215"/>
      <c r="AH174" s="216"/>
      <c r="AI174" s="27"/>
      <c r="AJ174" s="28">
        <f t="shared" si="33"/>
        <v>0.2</v>
      </c>
      <c r="AL174" s="24">
        <f t="shared" si="43"/>
        <v>5.2669506535650203E-2</v>
      </c>
      <c r="AM174" s="25">
        <f t="shared" ca="1" si="44"/>
        <v>0.48127415721444067</v>
      </c>
      <c r="AO174" s="26">
        <f t="shared" ca="1" si="34"/>
        <v>0</v>
      </c>
      <c r="AP174" s="26"/>
      <c r="AQ174" s="26">
        <f t="shared" ca="1" si="35"/>
        <v>0</v>
      </c>
      <c r="AR174" s="26"/>
      <c r="AS174" s="27">
        <f t="shared" ca="1" si="36"/>
        <v>0</v>
      </c>
      <c r="AT174" s="27">
        <f t="shared" ca="1" si="37"/>
        <v>0</v>
      </c>
      <c r="AU174" s="27">
        <f t="shared" ca="1" si="38"/>
        <v>0</v>
      </c>
      <c r="AV174" s="27"/>
      <c r="AW174" s="27"/>
      <c r="AY174" s="216"/>
      <c r="AZ174" s="216"/>
      <c r="BA174" s="233"/>
      <c r="BC174" s="216"/>
      <c r="BE174" s="69"/>
    </row>
    <row r="175" spans="1:57">
      <c r="A175" s="19">
        <f>[1]!_xludf.edate(A174,1)</f>
        <v>42309</v>
      </c>
      <c r="B175" s="21">
        <f t="shared" si="45"/>
        <v>30</v>
      </c>
      <c r="C175" s="20">
        <f>IF(Control!$F$18="Physical",Model!A176+24,Model!A176)</f>
        <v>42363</v>
      </c>
      <c r="E175" s="22">
        <f>IF($A175&lt;End_Date,IF(Control!$C$20="Flat",Control!$C$21,VLOOKUP(Model!$A175,Euro!$B$29:$D$182,3)),0)</f>
        <v>0</v>
      </c>
      <c r="F175" s="22">
        <f t="shared" si="39"/>
        <v>0</v>
      </c>
      <c r="H175" s="23">
        <f>IF(Control!$C$27="Mid",VLOOKUP($A175,CurveFetch!$D$8:$F$367,3),VLOOKUP($A175,Euro!$B$29:$I$182,8))</f>
        <v>5.1805000000000003</v>
      </c>
      <c r="I175" s="23"/>
      <c r="J175" s="23">
        <f>IF($J$4="Mid",VLOOKUP($A175,Curve_Fetch,VLOOKUP(Control!$AJ$10,Control!$AI$11:$AK$22,3)),VLOOKUP($A175,Euro!$B$29:$M$182,12))</f>
        <v>-0.13</v>
      </c>
      <c r="K175" s="228">
        <f>IF(Control!$F$18="Physical",IF($K$4="Mid",VLOOKUP($A175,Curve_Fetch,VLOOKUP(Control!$AJ$10,Control!$AI$11:$AL$22,4)),VLOOKUP($A175,Euro!$B$29:$Q$182,16)),0)</f>
        <v>0</v>
      </c>
      <c r="L175" s="23">
        <f t="shared" si="40"/>
        <v>-0.13</v>
      </c>
      <c r="M175" s="23"/>
      <c r="N175" s="69">
        <f t="shared" si="31"/>
        <v>5.0505000000000004</v>
      </c>
      <c r="O175" s="69">
        <f>N175+Control!$C$39</f>
        <v>5.0505000000000004</v>
      </c>
      <c r="P175" s="73">
        <f>VLOOKUP($A175,CurveFetch!$D$8:$E$367,2)</f>
        <v>5.2669506535650203E-2</v>
      </c>
      <c r="Q175" s="24">
        <f t="shared" si="41"/>
        <v>5.2669506535650203E-2</v>
      </c>
      <c r="R175" s="72">
        <f t="shared" ca="1" si="42"/>
        <v>5112</v>
      </c>
      <c r="S175" s="25">
        <f>VLOOKUP($A175,Curve_Fetch,VLOOKUP(Control!$AJ$10,Control!$AI$11:$AM$22,5))</f>
        <v>0.17</v>
      </c>
      <c r="T175" s="74">
        <f ca="1">_xll.EURO(N175,O175,P175,Q175,S175,R175,IF(Control!$C$38="Call",1,0),0)</f>
        <v>0.60294843402974618</v>
      </c>
      <c r="U175" s="27">
        <f t="shared" ca="1" si="32"/>
        <v>0</v>
      </c>
      <c r="V175" s="76"/>
      <c r="W175" s="197"/>
      <c r="X175" s="197"/>
      <c r="Y175" s="197"/>
      <c r="AA175" s="210"/>
      <c r="AB175" s="210"/>
      <c r="AC175" s="211"/>
      <c r="AD175" s="212"/>
      <c r="AE175" s="213"/>
      <c r="AF175" s="214"/>
      <c r="AG175" s="215"/>
      <c r="AH175" s="216"/>
      <c r="AI175" s="27"/>
      <c r="AJ175" s="28">
        <f t="shared" si="33"/>
        <v>0.13</v>
      </c>
      <c r="AL175" s="24">
        <f t="shared" si="43"/>
        <v>5.2723755658647099E-2</v>
      </c>
      <c r="AM175" s="25">
        <f t="shared" ca="1" si="44"/>
        <v>0.47886520489969936</v>
      </c>
      <c r="AO175" s="26">
        <f t="shared" ca="1" si="34"/>
        <v>0</v>
      </c>
      <c r="AP175" s="26"/>
      <c r="AQ175" s="26">
        <f t="shared" ca="1" si="35"/>
        <v>0</v>
      </c>
      <c r="AR175" s="26"/>
      <c r="AS175" s="27">
        <f t="shared" ca="1" si="36"/>
        <v>0</v>
      </c>
      <c r="AT175" s="27">
        <f t="shared" ca="1" si="37"/>
        <v>0</v>
      </c>
      <c r="AU175" s="27">
        <f t="shared" ca="1" si="38"/>
        <v>0</v>
      </c>
      <c r="AV175" s="27"/>
      <c r="AW175" s="27"/>
      <c r="AY175" s="216"/>
      <c r="AZ175" s="216"/>
      <c r="BA175" s="233"/>
      <c r="BC175" s="216"/>
      <c r="BE175" s="69"/>
    </row>
    <row r="176" spans="1:57">
      <c r="A176" s="19">
        <f>[1]!_xludf.edate(A175,1)</f>
        <v>42339</v>
      </c>
      <c r="B176" s="21">
        <f t="shared" si="45"/>
        <v>31</v>
      </c>
      <c r="C176" s="20">
        <f>IF(Control!$F$18="Physical",Model!A177+24,Model!A177)</f>
        <v>42394</v>
      </c>
      <c r="E176" s="22">
        <f>IF($A176&lt;End_Date,IF(Control!$C$20="Flat",Control!$C$21,VLOOKUP(Model!$A176,Euro!$B$29:$D$182,3)),0)</f>
        <v>0</v>
      </c>
      <c r="F176" s="22">
        <f t="shared" si="39"/>
        <v>0</v>
      </c>
      <c r="H176" s="23">
        <f>IF(Control!$C$27="Mid",VLOOKUP($A176,CurveFetch!$D$8:$F$367,3),VLOOKUP($A176,Euro!$B$29:$I$182,8))</f>
        <v>5.3114999999999997</v>
      </c>
      <c r="I176" s="23"/>
      <c r="J176" s="23">
        <f>IF($J$4="Mid",VLOOKUP($A176,Curve_Fetch,VLOOKUP(Control!$AJ$10,Control!$AI$11:$AK$22,3)),VLOOKUP($A176,Euro!$B$29:$M$182,12))</f>
        <v>-0.13</v>
      </c>
      <c r="K176" s="228">
        <f>IF(Control!$F$18="Physical",IF($K$4="Mid",VLOOKUP($A176,Curve_Fetch,VLOOKUP(Control!$AJ$10,Control!$AI$11:$AL$22,4)),VLOOKUP($A176,Euro!$B$29:$Q$182,16)),0)</f>
        <v>0</v>
      </c>
      <c r="L176" s="23">
        <f t="shared" si="40"/>
        <v>-0.13</v>
      </c>
      <c r="M176" s="23"/>
      <c r="N176" s="69">
        <f t="shared" si="31"/>
        <v>5.1814999999999998</v>
      </c>
      <c r="O176" s="69">
        <f>N176+Control!$C$39</f>
        <v>5.1814999999999998</v>
      </c>
      <c r="P176" s="73">
        <f>VLOOKUP($A176,CurveFetch!$D$8:$E$367,2)</f>
        <v>5.2723755658647099E-2</v>
      </c>
      <c r="Q176" s="24">
        <f t="shared" si="41"/>
        <v>5.2723755658647099E-2</v>
      </c>
      <c r="R176" s="72">
        <f t="shared" ca="1" si="42"/>
        <v>5142</v>
      </c>
      <c r="S176" s="25">
        <f>VLOOKUP($A176,Curve_Fetch,VLOOKUP(Control!$AJ$10,Control!$AI$11:$AM$22,5))</f>
        <v>0.17</v>
      </c>
      <c r="T176" s="74">
        <f ca="1">_xll.EURO(N176,O176,P176,Q176,S176,R176,IF(Control!$C$38="Call",1,0),0)</f>
        <v>0.61719028761092598</v>
      </c>
      <c r="U176" s="27">
        <f t="shared" ca="1" si="32"/>
        <v>0</v>
      </c>
      <c r="V176" s="76"/>
      <c r="W176" s="197"/>
      <c r="X176" s="197"/>
      <c r="Y176" s="197"/>
      <c r="AA176" s="210"/>
      <c r="AB176" s="210"/>
      <c r="AC176" s="211"/>
      <c r="AD176" s="212"/>
      <c r="AE176" s="213"/>
      <c r="AF176" s="214"/>
      <c r="AG176" s="215"/>
      <c r="AH176" s="216"/>
      <c r="AI176" s="27"/>
      <c r="AJ176" s="28">
        <f t="shared" si="33"/>
        <v>0.13</v>
      </c>
      <c r="AL176" s="24">
        <f t="shared" si="43"/>
        <v>5.2779813086775401E-2</v>
      </c>
      <c r="AM176" s="25">
        <f t="shared" ca="1" si="44"/>
        <v>0.47638428520268605</v>
      </c>
      <c r="AO176" s="26">
        <f t="shared" ca="1" si="34"/>
        <v>0</v>
      </c>
      <c r="AP176" s="26"/>
      <c r="AQ176" s="26">
        <f t="shared" ca="1" si="35"/>
        <v>0</v>
      </c>
      <c r="AR176" s="26"/>
      <c r="AS176" s="27">
        <f t="shared" ca="1" si="36"/>
        <v>0</v>
      </c>
      <c r="AT176" s="27">
        <f t="shared" ca="1" si="37"/>
        <v>0</v>
      </c>
      <c r="AU176" s="27">
        <f t="shared" ca="1" si="38"/>
        <v>0</v>
      </c>
      <c r="AV176" s="27"/>
      <c r="AW176" s="27"/>
      <c r="AY176" s="216"/>
      <c r="AZ176" s="216"/>
      <c r="BA176" s="233"/>
      <c r="BC176" s="216"/>
      <c r="BE176" s="69"/>
    </row>
    <row r="177" spans="1:57">
      <c r="A177" s="19">
        <f>[1]!_xludf.edate(A176,1)</f>
        <v>42370</v>
      </c>
      <c r="B177" s="21">
        <f t="shared" si="45"/>
        <v>31</v>
      </c>
      <c r="C177" s="20">
        <f>IF(Control!$F$18="Physical",Model!A178+24,Model!A178)</f>
        <v>42425</v>
      </c>
      <c r="E177" s="22">
        <f>IF($A177&lt;End_Date,IF(Control!$C$20="Flat",Control!$C$21,VLOOKUP(Model!$A177,Euro!$B$29:$D$182,3)),0)</f>
        <v>0</v>
      </c>
      <c r="F177" s="22">
        <f t="shared" si="39"/>
        <v>0</v>
      </c>
      <c r="H177" s="23">
        <f>IF(Control!$C$27="Mid",VLOOKUP($A177,CurveFetch!$D$8:$F$367,3),VLOOKUP($A177,Euro!$B$29:$I$182,8))</f>
        <v>5.3840000000000003</v>
      </c>
      <c r="I177" s="23"/>
      <c r="J177" s="23">
        <f>IF($J$4="Mid",VLOOKUP($A177,Curve_Fetch,VLOOKUP(Control!$AJ$10,Control!$AI$11:$AK$22,3)),VLOOKUP($A177,Euro!$B$29:$M$182,12))</f>
        <v>-0.13</v>
      </c>
      <c r="K177" s="228">
        <f>IF(Control!$F$18="Physical",IF($K$4="Mid",VLOOKUP($A177,Curve_Fetch,VLOOKUP(Control!$AJ$10,Control!$AI$11:$AL$22,4)),VLOOKUP($A177,Euro!$B$29:$Q$182,16)),0)</f>
        <v>0</v>
      </c>
      <c r="L177" s="23">
        <f t="shared" si="40"/>
        <v>-0.13</v>
      </c>
      <c r="M177" s="23"/>
      <c r="N177" s="69">
        <f t="shared" si="31"/>
        <v>5.2540000000000004</v>
      </c>
      <c r="O177" s="69">
        <f>N177+Control!$C$39</f>
        <v>5.2540000000000004</v>
      </c>
      <c r="P177" s="73">
        <f>VLOOKUP($A177,CurveFetch!$D$8:$E$367,2)</f>
        <v>5.2779813086775401E-2</v>
      </c>
      <c r="Q177" s="24">
        <f t="shared" si="41"/>
        <v>5.2779813086775401E-2</v>
      </c>
      <c r="R177" s="72">
        <f t="shared" ca="1" si="42"/>
        <v>5173</v>
      </c>
      <c r="S177" s="25">
        <f>VLOOKUP($A177,Curve_Fetch,VLOOKUP(Control!$AJ$10,Control!$AI$11:$AM$22,5))</f>
        <v>0.17</v>
      </c>
      <c r="T177" s="74">
        <f ca="1">_xll.EURO(N177,O177,P177,Q177,S177,R177,IF(Control!$C$38="Call",1,0),0)</f>
        <v>0.62434820368825561</v>
      </c>
      <c r="U177" s="27">
        <f t="shared" ca="1" si="32"/>
        <v>0</v>
      </c>
      <c r="V177" s="76"/>
      <c r="W177" s="197"/>
      <c r="X177" s="197"/>
      <c r="Y177" s="197"/>
      <c r="AA177" s="210"/>
      <c r="AB177" s="210"/>
      <c r="AC177" s="211"/>
      <c r="AD177" s="212"/>
      <c r="AE177" s="213"/>
      <c r="AF177" s="214"/>
      <c r="AG177" s="215"/>
      <c r="AH177" s="216"/>
      <c r="AI177" s="27"/>
      <c r="AJ177" s="28">
        <f t="shared" si="33"/>
        <v>0.13</v>
      </c>
      <c r="AL177" s="24">
        <f t="shared" si="43"/>
        <v>5.2835870515950803E-2</v>
      </c>
      <c r="AM177" s="25">
        <f t="shared" ca="1" si="44"/>
        <v>0.47391183517216717</v>
      </c>
      <c r="AO177" s="26">
        <f t="shared" ca="1" si="34"/>
        <v>0</v>
      </c>
      <c r="AP177" s="26"/>
      <c r="AQ177" s="26">
        <f t="shared" ca="1" si="35"/>
        <v>0</v>
      </c>
      <c r="AR177" s="26"/>
      <c r="AS177" s="27">
        <f t="shared" ca="1" si="36"/>
        <v>0</v>
      </c>
      <c r="AT177" s="27">
        <f t="shared" ca="1" si="37"/>
        <v>0</v>
      </c>
      <c r="AU177" s="27">
        <f t="shared" ca="1" si="38"/>
        <v>0</v>
      </c>
      <c r="AV177" s="27"/>
      <c r="AW177" s="27"/>
      <c r="AY177" s="216"/>
      <c r="AZ177" s="216"/>
      <c r="BA177" s="233"/>
      <c r="BC177" s="216"/>
      <c r="BE177" s="69"/>
    </row>
    <row r="178" spans="1:57">
      <c r="A178" s="19">
        <f>[1]!_xludf.edate(A177,1)</f>
        <v>42401</v>
      </c>
      <c r="B178" s="21">
        <f t="shared" si="45"/>
        <v>29</v>
      </c>
      <c r="C178" s="20">
        <f>IF(Control!$F$18="Physical",Model!A179+24,Model!A179)</f>
        <v>42454</v>
      </c>
      <c r="E178" s="22">
        <f>IF($A178&lt;End_Date,IF(Control!$C$20="Flat",Control!$C$21,VLOOKUP(Model!$A178,Euro!$B$29:$D$182,3)),0)</f>
        <v>0</v>
      </c>
      <c r="F178" s="22">
        <f t="shared" si="39"/>
        <v>0</v>
      </c>
      <c r="H178" s="23">
        <f>IF(Control!$C$27="Mid",VLOOKUP($A178,CurveFetch!$D$8:$F$367,3),VLOOKUP($A178,Euro!$B$29:$I$182,8))</f>
        <v>5.2960000000000003</v>
      </c>
      <c r="I178" s="23"/>
      <c r="J178" s="23">
        <f>IF($J$4="Mid",VLOOKUP($A178,Curve_Fetch,VLOOKUP(Control!$AJ$10,Control!$AI$11:$AK$22,3)),VLOOKUP($A178,Euro!$B$29:$M$182,12))</f>
        <v>-0.13</v>
      </c>
      <c r="K178" s="228">
        <f>IF(Control!$F$18="Physical",IF($K$4="Mid",VLOOKUP($A178,Curve_Fetch,VLOOKUP(Control!$AJ$10,Control!$AI$11:$AL$22,4)),VLOOKUP($A178,Euro!$B$29:$Q$182,16)),0)</f>
        <v>0</v>
      </c>
      <c r="L178" s="23">
        <f t="shared" si="40"/>
        <v>-0.13</v>
      </c>
      <c r="M178" s="23"/>
      <c r="N178" s="69">
        <f t="shared" si="31"/>
        <v>5.1660000000000004</v>
      </c>
      <c r="O178" s="69">
        <f>N178+Control!$C$39</f>
        <v>5.1660000000000004</v>
      </c>
      <c r="P178" s="73">
        <f>VLOOKUP($A178,CurveFetch!$D$8:$E$367,2)</f>
        <v>5.2835870515950803E-2</v>
      </c>
      <c r="Q178" s="24">
        <f t="shared" si="41"/>
        <v>5.2835870515950803E-2</v>
      </c>
      <c r="R178" s="72">
        <f t="shared" ca="1" si="42"/>
        <v>5204</v>
      </c>
      <c r="S178" s="25">
        <f>VLOOKUP($A178,Curve_Fetch,VLOOKUP(Control!$AJ$10,Control!$AI$11:$AM$22,5))</f>
        <v>0.17</v>
      </c>
      <c r="T178" s="74">
        <f ca="1">_xll.EURO(N178,O178,P178,Q178,S178,R178,IF(Control!$C$38="Call",1,0),0)</f>
        <v>0.6124244066042851</v>
      </c>
      <c r="U178" s="27">
        <f t="shared" ca="1" si="32"/>
        <v>0</v>
      </c>
      <c r="V178" s="76"/>
      <c r="W178" s="197"/>
      <c r="X178" s="197"/>
      <c r="Y178" s="197"/>
      <c r="AA178" s="210"/>
      <c r="AB178" s="210"/>
      <c r="AC178" s="211"/>
      <c r="AD178" s="212"/>
      <c r="AE178" s="213"/>
      <c r="AF178" s="214"/>
      <c r="AG178" s="215"/>
      <c r="AH178" s="216"/>
      <c r="AI178" s="27"/>
      <c r="AJ178" s="28">
        <f t="shared" si="33"/>
        <v>0.13</v>
      </c>
      <c r="AL178" s="24">
        <f t="shared" si="43"/>
        <v>5.2888311337741203E-2</v>
      </c>
      <c r="AM178" s="25">
        <f t="shared" ca="1" si="44"/>
        <v>0.47160656732880601</v>
      </c>
      <c r="AO178" s="26">
        <f t="shared" ca="1" si="34"/>
        <v>0</v>
      </c>
      <c r="AP178" s="26"/>
      <c r="AQ178" s="26">
        <f t="shared" ca="1" si="35"/>
        <v>0</v>
      </c>
      <c r="AR178" s="26"/>
      <c r="AS178" s="27">
        <f t="shared" ca="1" si="36"/>
        <v>0</v>
      </c>
      <c r="AT178" s="27">
        <f t="shared" ca="1" si="37"/>
        <v>0</v>
      </c>
      <c r="AU178" s="27">
        <f t="shared" ca="1" si="38"/>
        <v>0</v>
      </c>
      <c r="AV178" s="27"/>
      <c r="AW178" s="27"/>
      <c r="AY178" s="216"/>
      <c r="AZ178" s="216"/>
      <c r="BA178" s="233"/>
      <c r="BC178" s="216"/>
      <c r="BE178" s="69"/>
    </row>
    <row r="179" spans="1:57">
      <c r="A179" s="19">
        <f>[1]!_xludf.edate(A178,1)</f>
        <v>42430</v>
      </c>
      <c r="B179" s="21">
        <f t="shared" si="45"/>
        <v>31</v>
      </c>
      <c r="C179" s="20">
        <f>IF(Control!$F$18="Physical",Model!A180+24,Model!A180)</f>
        <v>42485</v>
      </c>
      <c r="E179" s="22">
        <f>IF($A179&lt;End_Date,IF(Control!$C$20="Flat",Control!$C$21,VLOOKUP(Model!$A179,Euro!$B$29:$D$182,3)),0)</f>
        <v>0</v>
      </c>
      <c r="F179" s="22">
        <f t="shared" si="39"/>
        <v>0</v>
      </c>
      <c r="H179" s="23">
        <f>IF(Control!$C$27="Mid",VLOOKUP($A179,CurveFetch!$D$8:$F$367,3),VLOOKUP($A179,Euro!$B$29:$I$182,8))</f>
        <v>5.157</v>
      </c>
      <c r="I179" s="23"/>
      <c r="J179" s="23">
        <f>IF($J$4="Mid",VLOOKUP($A179,Curve_Fetch,VLOOKUP(Control!$AJ$10,Control!$AI$11:$AK$22,3)),VLOOKUP($A179,Euro!$B$29:$M$182,12))</f>
        <v>-0.13</v>
      </c>
      <c r="K179" s="228">
        <f>IF(Control!$F$18="Physical",IF($K$4="Mid",VLOOKUP($A179,Curve_Fetch,VLOOKUP(Control!$AJ$10,Control!$AI$11:$AL$22,4)),VLOOKUP($A179,Euro!$B$29:$Q$182,16)),0)</f>
        <v>0</v>
      </c>
      <c r="L179" s="23">
        <f t="shared" si="40"/>
        <v>-0.13</v>
      </c>
      <c r="M179" s="23"/>
      <c r="N179" s="69">
        <f t="shared" si="31"/>
        <v>5.0270000000000001</v>
      </c>
      <c r="O179" s="69">
        <f>N179+Control!$C$39</f>
        <v>5.0270000000000001</v>
      </c>
      <c r="P179" s="73">
        <f>VLOOKUP($A179,CurveFetch!$D$8:$E$367,2)</f>
        <v>5.2888311337741203E-2</v>
      </c>
      <c r="Q179" s="24">
        <f t="shared" si="41"/>
        <v>5.2888311337741203E-2</v>
      </c>
      <c r="R179" s="72">
        <f t="shared" ca="1" si="42"/>
        <v>5233</v>
      </c>
      <c r="S179" s="25">
        <f>VLOOKUP($A179,Curve_Fetch,VLOOKUP(Control!$AJ$10,Control!$AI$11:$AM$22,5))</f>
        <v>0.17</v>
      </c>
      <c r="T179" s="74">
        <f ca="1">_xll.EURO(N179,O179,P179,Q179,S179,R179,IF(Control!$C$38="Call",1,0),0)</f>
        <v>0.59459952970371255</v>
      </c>
      <c r="U179" s="27">
        <f t="shared" ca="1" si="32"/>
        <v>0</v>
      </c>
      <c r="V179" s="76"/>
      <c r="W179" s="197"/>
      <c r="X179" s="197"/>
      <c r="Y179" s="197"/>
      <c r="AA179" s="210"/>
      <c r="AB179" s="210"/>
      <c r="AC179" s="211"/>
      <c r="AD179" s="212"/>
      <c r="AE179" s="213"/>
      <c r="AF179" s="214"/>
      <c r="AG179" s="215"/>
      <c r="AH179" s="216"/>
      <c r="AI179" s="27"/>
      <c r="AJ179" s="28">
        <f t="shared" si="33"/>
        <v>0.13</v>
      </c>
      <c r="AL179" s="24">
        <f t="shared" si="43"/>
        <v>5.2944368768944802E-2</v>
      </c>
      <c r="AM179" s="25">
        <f t="shared" ca="1" si="44"/>
        <v>0.46915051521074647</v>
      </c>
      <c r="AO179" s="26">
        <f t="shared" ca="1" si="34"/>
        <v>0</v>
      </c>
      <c r="AP179" s="26"/>
      <c r="AQ179" s="26">
        <f t="shared" ca="1" si="35"/>
        <v>0</v>
      </c>
      <c r="AR179" s="26"/>
      <c r="AS179" s="27">
        <f t="shared" ca="1" si="36"/>
        <v>0</v>
      </c>
      <c r="AT179" s="27">
        <f t="shared" ca="1" si="37"/>
        <v>0</v>
      </c>
      <c r="AU179" s="27">
        <f t="shared" ca="1" si="38"/>
        <v>0</v>
      </c>
      <c r="AV179" s="27"/>
      <c r="AW179" s="27"/>
      <c r="AY179" s="216"/>
      <c r="AZ179" s="216"/>
      <c r="BA179" s="233"/>
      <c r="BC179" s="216"/>
      <c r="BE179" s="69"/>
    </row>
    <row r="180" spans="1:57">
      <c r="A180" s="19">
        <f>[1]!_xludf.edate(A179,1)</f>
        <v>42461</v>
      </c>
      <c r="B180" s="21">
        <f t="shared" si="45"/>
        <v>30</v>
      </c>
      <c r="C180" s="20">
        <f>IF(Control!$F$18="Physical",Model!A181+24,Model!A181)</f>
        <v>42515</v>
      </c>
      <c r="E180" s="22">
        <f>IF($A180&lt;End_Date,IF(Control!$C$20="Flat",Control!$C$21,VLOOKUP(Model!$A180,Euro!$B$29:$D$182,3)),0)</f>
        <v>0</v>
      </c>
      <c r="F180" s="22">
        <f t="shared" si="39"/>
        <v>0</v>
      </c>
      <c r="H180" s="23">
        <f>IF(Control!$C$27="Mid",VLOOKUP($A180,CurveFetch!$D$8:$F$367,3),VLOOKUP($A180,Euro!$B$29:$I$182,8))</f>
        <v>5.0030000000000001</v>
      </c>
      <c r="I180" s="23"/>
      <c r="J180" s="23">
        <f>IF($J$4="Mid",VLOOKUP($A180,Curve_Fetch,VLOOKUP(Control!$AJ$10,Control!$AI$11:$AK$22,3)),VLOOKUP($A180,Euro!$B$29:$M$182,12))</f>
        <v>-0.2</v>
      </c>
      <c r="K180" s="228">
        <f>IF(Control!$F$18="Physical",IF($K$4="Mid",VLOOKUP($A180,Curve_Fetch,VLOOKUP(Control!$AJ$10,Control!$AI$11:$AL$22,4)),VLOOKUP($A180,Euro!$B$29:$Q$182,16)),0)</f>
        <v>0</v>
      </c>
      <c r="L180" s="23">
        <f t="shared" si="40"/>
        <v>-0.2</v>
      </c>
      <c r="M180" s="23"/>
      <c r="N180" s="69">
        <f t="shared" si="31"/>
        <v>4.8029999999999999</v>
      </c>
      <c r="O180" s="69">
        <f>N180+Control!$C$39</f>
        <v>4.8029999999999999</v>
      </c>
      <c r="P180" s="73">
        <f>VLOOKUP($A180,CurveFetch!$D$8:$E$367,2)</f>
        <v>5.2944368768944802E-2</v>
      </c>
      <c r="Q180" s="24">
        <f t="shared" si="41"/>
        <v>5.2944368768944802E-2</v>
      </c>
      <c r="R180" s="72">
        <f t="shared" ca="1" si="42"/>
        <v>5264</v>
      </c>
      <c r="S180" s="25">
        <f>VLOOKUP($A180,Curve_Fetch,VLOOKUP(Control!$AJ$10,Control!$AI$11:$AM$22,5))</f>
        <v>0.17</v>
      </c>
      <c r="T180" s="74">
        <f ca="1">_xll.EURO(N180,O180,P180,Q180,S180,R180,IF(Control!$C$38="Call",1,0),0)</f>
        <v>0.56671763816874809</v>
      </c>
      <c r="U180" s="27">
        <f t="shared" ca="1" si="32"/>
        <v>0</v>
      </c>
      <c r="V180" s="76"/>
      <c r="W180" s="197"/>
      <c r="X180" s="197"/>
      <c r="Y180" s="197"/>
      <c r="AA180" s="210"/>
      <c r="AB180" s="210"/>
      <c r="AC180" s="211"/>
      <c r="AD180" s="212"/>
      <c r="AE180" s="213"/>
      <c r="AF180" s="214"/>
      <c r="AG180" s="215"/>
      <c r="AH180" s="216"/>
      <c r="AI180" s="27"/>
      <c r="AJ180" s="28">
        <f t="shared" si="33"/>
        <v>0.2</v>
      </c>
      <c r="AL180" s="24">
        <f t="shared" si="43"/>
        <v>5.2998617896913701E-2</v>
      </c>
      <c r="AM180" s="25">
        <f t="shared" ca="1" si="44"/>
        <v>0.4667817592962285</v>
      </c>
      <c r="AO180" s="26">
        <f t="shared" ca="1" si="34"/>
        <v>0</v>
      </c>
      <c r="AP180" s="26"/>
      <c r="AQ180" s="26">
        <f t="shared" ca="1" si="35"/>
        <v>0</v>
      </c>
      <c r="AR180" s="26"/>
      <c r="AS180" s="27">
        <f t="shared" ca="1" si="36"/>
        <v>0</v>
      </c>
      <c r="AT180" s="27">
        <f t="shared" ca="1" si="37"/>
        <v>0</v>
      </c>
      <c r="AU180" s="27">
        <f t="shared" ca="1" si="38"/>
        <v>0</v>
      </c>
      <c r="AV180" s="27"/>
      <c r="AW180" s="27"/>
      <c r="AY180" s="216"/>
      <c r="AZ180" s="216"/>
      <c r="BA180" s="233"/>
      <c r="BC180" s="216"/>
      <c r="BE180" s="69"/>
    </row>
    <row r="181" spans="1:57">
      <c r="A181" s="19">
        <f>[1]!_xludf.edate(A180,1)</f>
        <v>42491</v>
      </c>
      <c r="B181" s="21">
        <f t="shared" si="45"/>
        <v>31</v>
      </c>
      <c r="C181" s="20">
        <f>IF(Control!$F$18="Physical",Model!A182+24,Model!A182)</f>
        <v>42546</v>
      </c>
      <c r="E181" s="22">
        <f>IF($A181&lt;End_Date,IF(Control!$C$20="Flat",Control!$C$21,VLOOKUP(Model!$A181,Euro!$B$29:$D$182,3)),0)</f>
        <v>0</v>
      </c>
      <c r="F181" s="22">
        <f t="shared" si="39"/>
        <v>0</v>
      </c>
      <c r="H181" s="23">
        <f>IF(Control!$C$27="Mid",VLOOKUP($A181,CurveFetch!$D$8:$F$367,3),VLOOKUP($A181,Euro!$B$29:$I$182,8))</f>
        <v>5.008</v>
      </c>
      <c r="I181" s="23"/>
      <c r="J181" s="23">
        <f>IF($J$4="Mid",VLOOKUP($A181,Curve_Fetch,VLOOKUP(Control!$AJ$10,Control!$AI$11:$AK$22,3)),VLOOKUP($A181,Euro!$B$29:$M$182,12))</f>
        <v>-0.2</v>
      </c>
      <c r="K181" s="228">
        <f>IF(Control!$F$18="Physical",IF($K$4="Mid",VLOOKUP($A181,Curve_Fetch,VLOOKUP(Control!$AJ$10,Control!$AI$11:$AL$22,4)),VLOOKUP($A181,Euro!$B$29:$Q$182,16)),0)</f>
        <v>0</v>
      </c>
      <c r="L181" s="23">
        <f t="shared" si="40"/>
        <v>-0.2</v>
      </c>
      <c r="M181" s="23"/>
      <c r="N181" s="69">
        <f t="shared" si="31"/>
        <v>4.8079999999999998</v>
      </c>
      <c r="O181" s="69">
        <f>N181+Control!$C$39</f>
        <v>4.8079999999999998</v>
      </c>
      <c r="P181" s="73">
        <f>VLOOKUP($A181,CurveFetch!$D$8:$E$367,2)</f>
        <v>5.2998617896913701E-2</v>
      </c>
      <c r="Q181" s="24">
        <f t="shared" si="41"/>
        <v>5.2998617896913701E-2</v>
      </c>
      <c r="R181" s="72">
        <f t="shared" ca="1" si="42"/>
        <v>5294</v>
      </c>
      <c r="S181" s="25">
        <f>VLOOKUP($A181,Curve_Fetch,VLOOKUP(Control!$AJ$10,Control!$AI$11:$AM$22,5))</f>
        <v>0.17</v>
      </c>
      <c r="T181" s="74">
        <f ca="1">_xll.EURO(N181,O181,P181,Q181,S181,R181,IF(Control!$C$38="Call",1,0),0)</f>
        <v>0.56595279487469019</v>
      </c>
      <c r="U181" s="27">
        <f t="shared" ca="1" si="32"/>
        <v>0</v>
      </c>
      <c r="V181" s="76"/>
      <c r="W181" s="197"/>
      <c r="X181" s="197"/>
      <c r="Y181" s="197"/>
      <c r="AA181" s="210"/>
      <c r="AB181" s="210"/>
      <c r="AC181" s="211"/>
      <c r="AD181" s="212"/>
      <c r="AE181" s="213"/>
      <c r="AF181" s="214"/>
      <c r="AG181" s="215"/>
      <c r="AH181" s="216"/>
      <c r="AI181" s="27"/>
      <c r="AJ181" s="28">
        <f t="shared" si="33"/>
        <v>0.2</v>
      </c>
      <c r="AL181" s="24">
        <f t="shared" si="43"/>
        <v>5.3054675330178797E-2</v>
      </c>
      <c r="AM181" s="25">
        <f t="shared" ca="1" si="44"/>
        <v>0.46434238361762553</v>
      </c>
      <c r="AO181" s="26">
        <f t="shared" ca="1" si="34"/>
        <v>0</v>
      </c>
      <c r="AP181" s="26"/>
      <c r="AQ181" s="26">
        <f t="shared" ca="1" si="35"/>
        <v>0</v>
      </c>
      <c r="AR181" s="26"/>
      <c r="AS181" s="27">
        <f t="shared" ca="1" si="36"/>
        <v>0</v>
      </c>
      <c r="AT181" s="27">
        <f t="shared" ca="1" si="37"/>
        <v>0</v>
      </c>
      <c r="AU181" s="27">
        <f t="shared" ca="1" si="38"/>
        <v>0</v>
      </c>
      <c r="AV181" s="27"/>
      <c r="AW181" s="27"/>
      <c r="AY181" s="216"/>
      <c r="AZ181" s="216"/>
      <c r="BA181" s="233"/>
      <c r="BC181" s="216"/>
      <c r="BE181" s="69"/>
    </row>
    <row r="182" spans="1:57">
      <c r="A182" s="19">
        <f>[1]!_xludf.edate(A181,1)</f>
        <v>42522</v>
      </c>
      <c r="B182" s="21">
        <f t="shared" si="45"/>
        <v>30</v>
      </c>
      <c r="C182" s="20">
        <f>IF(Control!$F$18="Physical",Model!A183+24,Model!A183)</f>
        <v>42576</v>
      </c>
      <c r="E182" s="22">
        <f>IF($A182&lt;End_Date,IF(Control!$C$20="Flat",Control!$C$21,VLOOKUP(Model!$A182,Euro!$B$29:$D$182,3)),0)</f>
        <v>0</v>
      </c>
      <c r="F182" s="22">
        <f t="shared" si="39"/>
        <v>0</v>
      </c>
      <c r="H182" s="23">
        <f>IF(Control!$C$27="Mid",VLOOKUP($A182,CurveFetch!$D$8:$F$367,3),VLOOKUP($A182,Euro!$B$29:$I$182,8))</f>
        <v>5.0460000000000003</v>
      </c>
      <c r="I182" s="23"/>
      <c r="J182" s="23">
        <f>IF($J$4="Mid",VLOOKUP($A182,Curve_Fetch,VLOOKUP(Control!$AJ$10,Control!$AI$11:$AK$22,3)),VLOOKUP($A182,Euro!$B$29:$M$182,12))</f>
        <v>-0.2</v>
      </c>
      <c r="K182" s="228">
        <f>IF(Control!$F$18="Physical",IF($K$4="Mid",VLOOKUP($A182,Curve_Fetch,VLOOKUP(Control!$AJ$10,Control!$AI$11:$AL$22,4)),VLOOKUP($A182,Euro!$B$29:$Q$182,16)),0)</f>
        <v>0</v>
      </c>
      <c r="L182" s="23">
        <f t="shared" si="40"/>
        <v>-0.2</v>
      </c>
      <c r="M182" s="23"/>
      <c r="N182" s="69">
        <f t="shared" si="31"/>
        <v>4.8460000000000001</v>
      </c>
      <c r="O182" s="69">
        <f>N182+Control!$C$39</f>
        <v>4.8460000000000001</v>
      </c>
      <c r="P182" s="73">
        <f>VLOOKUP($A182,CurveFetch!$D$8:$E$367,2)</f>
        <v>5.3054675330178797E-2</v>
      </c>
      <c r="Q182" s="24">
        <f t="shared" si="41"/>
        <v>5.3054675330178797E-2</v>
      </c>
      <c r="R182" s="72">
        <f t="shared" ca="1" si="42"/>
        <v>5325</v>
      </c>
      <c r="S182" s="25">
        <f>VLOOKUP($A182,Curve_Fetch,VLOOKUP(Control!$AJ$10,Control!$AI$11:$AM$22,5))</f>
        <v>0.17</v>
      </c>
      <c r="T182" s="74">
        <f ca="1">_xll.EURO(N182,O182,P182,Q182,S182,R182,IF(Control!$C$38="Call",1,0),0)</f>
        <v>0.5690032755301111</v>
      </c>
      <c r="U182" s="27">
        <f t="shared" ca="1" si="32"/>
        <v>0</v>
      </c>
      <c r="V182" s="76"/>
      <c r="W182" s="197"/>
      <c r="X182" s="197"/>
      <c r="Y182" s="197"/>
      <c r="AA182" s="210"/>
      <c r="AB182" s="210"/>
      <c r="AC182" s="211"/>
      <c r="AD182" s="212"/>
      <c r="AE182" s="213"/>
      <c r="AF182" s="214"/>
      <c r="AG182" s="215"/>
      <c r="AH182" s="216"/>
      <c r="AI182" s="27"/>
      <c r="AJ182" s="28">
        <f t="shared" si="33"/>
        <v>0.2</v>
      </c>
      <c r="AL182" s="24">
        <f t="shared" si="43"/>
        <v>5.3108924460142599E-2</v>
      </c>
      <c r="AM182" s="25">
        <f t="shared" ca="1" si="44"/>
        <v>0.46198976807462905</v>
      </c>
      <c r="AO182" s="26">
        <f t="shared" ca="1" si="34"/>
        <v>0</v>
      </c>
      <c r="AP182" s="26"/>
      <c r="AQ182" s="26">
        <f t="shared" ca="1" si="35"/>
        <v>0</v>
      </c>
      <c r="AR182" s="26"/>
      <c r="AS182" s="27">
        <f t="shared" ca="1" si="36"/>
        <v>0</v>
      </c>
      <c r="AT182" s="27">
        <f t="shared" ca="1" si="37"/>
        <v>0</v>
      </c>
      <c r="AU182" s="27">
        <f t="shared" ca="1" si="38"/>
        <v>0</v>
      </c>
      <c r="AV182" s="27"/>
      <c r="AW182" s="27"/>
      <c r="AY182" s="216"/>
      <c r="AZ182" s="216"/>
      <c r="BA182" s="233"/>
      <c r="BC182" s="216"/>
      <c r="BE182" s="69"/>
    </row>
    <row r="183" spans="1:57">
      <c r="A183" s="19">
        <f>[1]!_xludf.edate(A182,1)</f>
        <v>42552</v>
      </c>
      <c r="B183" s="21">
        <f t="shared" si="45"/>
        <v>31</v>
      </c>
      <c r="C183" s="20">
        <f>IF(Control!$F$18="Physical",Model!A184+24,Model!A184)</f>
        <v>42607</v>
      </c>
      <c r="E183" s="22">
        <f>IF($A183&lt;End_Date,IF(Control!$C$20="Flat",Control!$C$21,VLOOKUP(Model!$A183,Euro!$B$29:$D$182,3)),0)</f>
        <v>0</v>
      </c>
      <c r="F183" s="22">
        <f t="shared" si="39"/>
        <v>0</v>
      </c>
      <c r="H183" s="23">
        <f>IF(Control!$C$27="Mid",VLOOKUP($A183,CurveFetch!$D$8:$F$367,3),VLOOKUP($A183,Euro!$B$29:$I$182,8))</f>
        <v>5.0910000000000002</v>
      </c>
      <c r="I183" s="23"/>
      <c r="J183" s="23">
        <f>IF($J$4="Mid",VLOOKUP($A183,Curve_Fetch,VLOOKUP(Control!$AJ$10,Control!$AI$11:$AK$22,3)),VLOOKUP($A183,Euro!$B$29:$M$182,12))</f>
        <v>-0.2</v>
      </c>
      <c r="K183" s="228">
        <f>IF(Control!$F$18="Physical",IF($K$4="Mid",VLOOKUP($A183,Curve_Fetch,VLOOKUP(Control!$AJ$10,Control!$AI$11:$AL$22,4)),VLOOKUP($A183,Euro!$B$29:$Q$182,16)),0)</f>
        <v>0</v>
      </c>
      <c r="L183" s="23">
        <f t="shared" si="40"/>
        <v>-0.2</v>
      </c>
      <c r="M183" s="23"/>
      <c r="N183" s="69">
        <f t="shared" si="31"/>
        <v>4.891</v>
      </c>
      <c r="O183" s="69">
        <f>N183+Control!$C$39</f>
        <v>4.891</v>
      </c>
      <c r="P183" s="73">
        <f>VLOOKUP($A183,CurveFetch!$D$8:$E$367,2)</f>
        <v>5.3108924460142599E-2</v>
      </c>
      <c r="Q183" s="24">
        <f t="shared" si="41"/>
        <v>5.3108924460142599E-2</v>
      </c>
      <c r="R183" s="72">
        <f t="shared" ca="1" si="42"/>
        <v>5355</v>
      </c>
      <c r="S183" s="25">
        <f>VLOOKUP($A183,Curve_Fetch,VLOOKUP(Control!$AJ$10,Control!$AI$11:$AM$22,5))</f>
        <v>0.17</v>
      </c>
      <c r="T183" s="74">
        <f ca="1">_xll.EURO(N183,O183,P183,Q183,S183,R183,IF(Control!$C$38="Call",1,0),0)</f>
        <v>0.57288660415736059</v>
      </c>
      <c r="U183" s="27">
        <f t="shared" ca="1" si="32"/>
        <v>0</v>
      </c>
      <c r="V183" s="76"/>
      <c r="W183" s="197"/>
      <c r="X183" s="197"/>
      <c r="Y183" s="197"/>
      <c r="AA183" s="210"/>
      <c r="AB183" s="210"/>
      <c r="AC183" s="211"/>
      <c r="AD183" s="212"/>
      <c r="AE183" s="213"/>
      <c r="AF183" s="214"/>
      <c r="AG183" s="215"/>
      <c r="AH183" s="216"/>
      <c r="AI183" s="27"/>
      <c r="AJ183" s="28">
        <f t="shared" si="33"/>
        <v>0.2</v>
      </c>
      <c r="AL183" s="24">
        <f t="shared" si="43"/>
        <v>5.3164981895469102E-2</v>
      </c>
      <c r="AM183" s="25">
        <f t="shared" ca="1" si="44"/>
        <v>0.4595670722598158</v>
      </c>
      <c r="AO183" s="26">
        <f t="shared" ca="1" si="34"/>
        <v>0</v>
      </c>
      <c r="AP183" s="26"/>
      <c r="AQ183" s="26">
        <f t="shared" ca="1" si="35"/>
        <v>0</v>
      </c>
      <c r="AR183" s="26"/>
      <c r="AS183" s="27">
        <f t="shared" ca="1" si="36"/>
        <v>0</v>
      </c>
      <c r="AT183" s="27">
        <f t="shared" ca="1" si="37"/>
        <v>0</v>
      </c>
      <c r="AU183" s="27">
        <f t="shared" ca="1" si="38"/>
        <v>0</v>
      </c>
      <c r="AV183" s="27"/>
      <c r="AW183" s="27"/>
      <c r="AY183" s="216"/>
      <c r="AZ183" s="216"/>
      <c r="BA183" s="233"/>
      <c r="BC183" s="216"/>
      <c r="BE183" s="69"/>
    </row>
    <row r="184" spans="1:57">
      <c r="A184" s="19">
        <f>[1]!_xludf.edate(A183,1)</f>
        <v>42583</v>
      </c>
      <c r="B184" s="21">
        <f t="shared" si="45"/>
        <v>31</v>
      </c>
      <c r="C184" s="20">
        <f>IF(Control!$F$18="Physical",Model!A185+24,Model!A185)</f>
        <v>42638</v>
      </c>
      <c r="E184" s="22">
        <f>IF($A184&lt;End_Date,IF(Control!$C$20="Flat",Control!$C$21,VLOOKUP(Model!$A184,Euro!$B$29:$D$182,3)),0)</f>
        <v>0</v>
      </c>
      <c r="F184" s="22">
        <f t="shared" si="39"/>
        <v>0</v>
      </c>
      <c r="H184" s="23">
        <f>IF(Control!$C$27="Mid",VLOOKUP($A184,CurveFetch!$D$8:$F$367,3),VLOOKUP($A184,Euro!$B$29:$I$182,8))</f>
        <v>5.1289999999999996</v>
      </c>
      <c r="I184" s="23"/>
      <c r="J184" s="23">
        <f>IF($J$4="Mid",VLOOKUP($A184,Curve_Fetch,VLOOKUP(Control!$AJ$10,Control!$AI$11:$AK$22,3)),VLOOKUP($A184,Euro!$B$29:$M$182,12))</f>
        <v>-0.2</v>
      </c>
      <c r="K184" s="228">
        <f>IF(Control!$F$18="Physical",IF($K$4="Mid",VLOOKUP($A184,Curve_Fetch,VLOOKUP(Control!$AJ$10,Control!$AI$11:$AL$22,4)),VLOOKUP($A184,Euro!$B$29:$Q$182,16)),0)</f>
        <v>0</v>
      </c>
      <c r="L184" s="23">
        <f t="shared" si="40"/>
        <v>-0.2</v>
      </c>
      <c r="M184" s="23"/>
      <c r="N184" s="69">
        <f t="shared" si="31"/>
        <v>4.9289999999999994</v>
      </c>
      <c r="O184" s="69">
        <f>N184+Control!$C$39</f>
        <v>4.9289999999999994</v>
      </c>
      <c r="P184" s="73">
        <f>VLOOKUP($A184,CurveFetch!$D$8:$E$367,2)</f>
        <v>5.3164981895469102E-2</v>
      </c>
      <c r="Q184" s="24">
        <f t="shared" si="41"/>
        <v>5.3164981895469102E-2</v>
      </c>
      <c r="R184" s="72">
        <f t="shared" ca="1" si="42"/>
        <v>5386</v>
      </c>
      <c r="S184" s="25">
        <f>VLOOKUP($A184,Curve_Fetch,VLOOKUP(Control!$AJ$10,Control!$AI$11:$AM$22,5))</f>
        <v>0.17</v>
      </c>
      <c r="T184" s="74">
        <f ca="1">_xll.EURO(N184,O184,P184,Q184,S184,R184,IF(Control!$C$38="Call",1,0),0)</f>
        <v>0.57586794393186025</v>
      </c>
      <c r="U184" s="27">
        <f t="shared" ca="1" si="32"/>
        <v>0</v>
      </c>
      <c r="V184" s="76"/>
      <c r="W184" s="197"/>
      <c r="X184" s="197"/>
      <c r="Y184" s="197"/>
      <c r="AA184" s="210"/>
      <c r="AB184" s="210"/>
      <c r="AC184" s="211"/>
      <c r="AD184" s="212"/>
      <c r="AE184" s="213"/>
      <c r="AF184" s="214"/>
      <c r="AG184" s="215"/>
      <c r="AH184" s="216"/>
      <c r="AI184" s="27"/>
      <c r="AJ184" s="28">
        <f t="shared" si="33"/>
        <v>0.2</v>
      </c>
      <c r="AL184" s="24">
        <f t="shared" si="43"/>
        <v>5.3221039331843703E-2</v>
      </c>
      <c r="AM184" s="25">
        <f t="shared" ca="1" si="44"/>
        <v>0.45715285381952131</v>
      </c>
      <c r="AO184" s="26">
        <f t="shared" ca="1" si="34"/>
        <v>0</v>
      </c>
      <c r="AP184" s="26"/>
      <c r="AQ184" s="26">
        <f t="shared" ca="1" si="35"/>
        <v>0</v>
      </c>
      <c r="AR184" s="26"/>
      <c r="AS184" s="27">
        <f t="shared" ca="1" si="36"/>
        <v>0</v>
      </c>
      <c r="AT184" s="27">
        <f t="shared" ca="1" si="37"/>
        <v>0</v>
      </c>
      <c r="AU184" s="27">
        <f t="shared" ca="1" si="38"/>
        <v>0</v>
      </c>
      <c r="AV184" s="27"/>
      <c r="AW184" s="27"/>
      <c r="AY184" s="216"/>
      <c r="AZ184" s="216"/>
      <c r="BA184" s="233"/>
      <c r="BC184" s="216"/>
      <c r="BE184" s="69"/>
    </row>
    <row r="185" spans="1:57">
      <c r="A185" s="19">
        <f>[1]!_xludf.edate(A184,1)</f>
        <v>42614</v>
      </c>
      <c r="B185" s="21">
        <f t="shared" si="45"/>
        <v>30</v>
      </c>
      <c r="C185" s="20">
        <f>IF(Control!$F$18="Physical",Model!A186+24,Model!A186)</f>
        <v>42668</v>
      </c>
      <c r="E185" s="22">
        <f>IF($A185&lt;End_Date,IF(Control!$C$20="Flat",Control!$C$21,VLOOKUP(Model!$A185,Euro!$B$29:$D$182,3)),0)</f>
        <v>0</v>
      </c>
      <c r="F185" s="22">
        <f t="shared" si="39"/>
        <v>0</v>
      </c>
      <c r="H185" s="23">
        <f>IF(Control!$C$27="Mid",VLOOKUP($A185,CurveFetch!$D$8:$F$367,3),VLOOKUP($A185,Euro!$B$29:$I$182,8))</f>
        <v>5.1230000000000002</v>
      </c>
      <c r="I185" s="23"/>
      <c r="J185" s="23">
        <f>IF($J$4="Mid",VLOOKUP($A185,Curve_Fetch,VLOOKUP(Control!$AJ$10,Control!$AI$11:$AK$22,3)),VLOOKUP($A185,Euro!$B$29:$M$182,12))</f>
        <v>-0.2</v>
      </c>
      <c r="K185" s="228">
        <f>IF(Control!$F$18="Physical",IF($K$4="Mid",VLOOKUP($A185,Curve_Fetch,VLOOKUP(Control!$AJ$10,Control!$AI$11:$AL$22,4)),VLOOKUP($A185,Euro!$B$29:$Q$182,16)),0)</f>
        <v>0</v>
      </c>
      <c r="L185" s="23">
        <f t="shared" si="40"/>
        <v>-0.2</v>
      </c>
      <c r="M185" s="23"/>
      <c r="N185" s="69">
        <f t="shared" si="31"/>
        <v>4.923</v>
      </c>
      <c r="O185" s="69">
        <f>N185+Control!$C$39</f>
        <v>4.923</v>
      </c>
      <c r="P185" s="73">
        <f>VLOOKUP($A185,CurveFetch!$D$8:$E$367,2)</f>
        <v>5.3221039331843703E-2</v>
      </c>
      <c r="Q185" s="24">
        <f t="shared" si="41"/>
        <v>5.3221039331843703E-2</v>
      </c>
      <c r="R185" s="72">
        <f t="shared" ca="1" si="42"/>
        <v>5417</v>
      </c>
      <c r="S185" s="25">
        <f>VLOOKUP($A185,Curve_Fetch,VLOOKUP(Control!$AJ$10,Control!$AI$11:$AM$22,5))</f>
        <v>0.17</v>
      </c>
      <c r="T185" s="74">
        <f ca="1">_xll.EURO(N185,O185,P185,Q185,S185,R185,IF(Control!$C$38="Call",1,0),0)</f>
        <v>0.5736878870659291</v>
      </c>
      <c r="U185" s="27">
        <f t="shared" ca="1" si="32"/>
        <v>0</v>
      </c>
      <c r="V185" s="76"/>
      <c r="W185" s="197"/>
      <c r="X185" s="197"/>
      <c r="Y185" s="197"/>
      <c r="AA185" s="210"/>
      <c r="AB185" s="210"/>
      <c r="AC185" s="211"/>
      <c r="AD185" s="212"/>
      <c r="AE185" s="213"/>
      <c r="AF185" s="214"/>
      <c r="AG185" s="215"/>
      <c r="AH185" s="216"/>
      <c r="AI185" s="27"/>
      <c r="AJ185" s="28">
        <f t="shared" si="33"/>
        <v>0.2</v>
      </c>
      <c r="AL185" s="24">
        <f t="shared" si="43"/>
        <v>5.3275288464815801E-2</v>
      </c>
      <c r="AM185" s="25">
        <f t="shared" ca="1" si="44"/>
        <v>0.45482458514482543</v>
      </c>
      <c r="AO185" s="26">
        <f t="shared" ca="1" si="34"/>
        <v>0</v>
      </c>
      <c r="AP185" s="26"/>
      <c r="AQ185" s="26">
        <f t="shared" ca="1" si="35"/>
        <v>0</v>
      </c>
      <c r="AR185" s="26"/>
      <c r="AS185" s="27">
        <f t="shared" ca="1" si="36"/>
        <v>0</v>
      </c>
      <c r="AT185" s="27">
        <f t="shared" ca="1" si="37"/>
        <v>0</v>
      </c>
      <c r="AU185" s="27">
        <f t="shared" ca="1" si="38"/>
        <v>0</v>
      </c>
      <c r="AV185" s="27"/>
      <c r="AW185" s="27"/>
      <c r="AY185" s="216"/>
      <c r="AZ185" s="216"/>
      <c r="BA185" s="233"/>
      <c r="BC185" s="216"/>
      <c r="BE185" s="69"/>
    </row>
    <row r="186" spans="1:57">
      <c r="A186" s="19">
        <f>[1]!_xludf.edate(A185,1)</f>
        <v>42644</v>
      </c>
      <c r="B186" s="21">
        <f t="shared" si="45"/>
        <v>31</v>
      </c>
      <c r="C186" s="20">
        <f>IF(Control!$F$18="Physical",Model!A187+24,Model!A187)</f>
        <v>42699</v>
      </c>
      <c r="E186" s="22">
        <f>IF($A186&lt;End_Date,IF(Control!$C$20="Flat",Control!$C$21,VLOOKUP(Model!$A186,Euro!$B$29:$D$182,3)),0)</f>
        <v>0</v>
      </c>
      <c r="F186" s="22">
        <f t="shared" si="39"/>
        <v>0</v>
      </c>
      <c r="H186" s="23">
        <f>IF(Control!$C$27="Mid",VLOOKUP($A186,CurveFetch!$D$8:$F$367,3),VLOOKUP($A186,Euro!$B$29:$I$182,8))</f>
        <v>5.1230000000000002</v>
      </c>
      <c r="I186" s="23"/>
      <c r="J186" s="23">
        <f>IF($J$4="Mid",VLOOKUP($A186,Curve_Fetch,VLOOKUP(Control!$AJ$10,Control!$AI$11:$AK$22,3)),VLOOKUP($A186,Euro!$B$29:$M$182,12))</f>
        <v>-0.2</v>
      </c>
      <c r="K186" s="228">
        <f>IF(Control!$F$18="Physical",IF($K$4="Mid",VLOOKUP($A186,Curve_Fetch,VLOOKUP(Control!$AJ$10,Control!$AI$11:$AL$22,4)),VLOOKUP($A186,Euro!$B$29:$Q$182,16)),0)</f>
        <v>0</v>
      </c>
      <c r="L186" s="23">
        <f t="shared" si="40"/>
        <v>-0.2</v>
      </c>
      <c r="M186" s="23"/>
      <c r="N186" s="69">
        <f t="shared" si="31"/>
        <v>4.923</v>
      </c>
      <c r="O186" s="69">
        <f>N186+Control!$C$39</f>
        <v>4.923</v>
      </c>
      <c r="P186" s="73">
        <f>VLOOKUP($A186,CurveFetch!$D$8:$E$367,2)</f>
        <v>5.3275288464815801E-2</v>
      </c>
      <c r="Q186" s="24">
        <f t="shared" si="41"/>
        <v>5.3275288464815801E-2</v>
      </c>
      <c r="R186" s="72">
        <f t="shared" ca="1" si="42"/>
        <v>5447</v>
      </c>
      <c r="S186" s="25">
        <f>VLOOKUP($A186,Curve_Fetch,VLOOKUP(Control!$AJ$10,Control!$AI$11:$AM$22,5))</f>
        <v>0.17</v>
      </c>
      <c r="T186" s="74">
        <f ca="1">_xll.EURO(N186,O186,P186,Q186,S186,R186,IF(Control!$C$38="Call",1,0),0)</f>
        <v>0.57224605563943243</v>
      </c>
      <c r="U186" s="27">
        <f t="shared" ca="1" si="32"/>
        <v>0</v>
      </c>
      <c r="V186" s="76"/>
      <c r="W186" s="197"/>
      <c r="X186" s="197"/>
      <c r="Y186" s="197"/>
      <c r="AA186" s="210"/>
      <c r="AB186" s="210"/>
      <c r="AC186" s="211"/>
      <c r="AD186" s="212"/>
      <c r="AE186" s="213"/>
      <c r="AF186" s="214"/>
      <c r="AG186" s="215"/>
      <c r="AH186" s="216"/>
      <c r="AI186" s="27"/>
      <c r="AJ186" s="28">
        <f t="shared" si="33"/>
        <v>0.2</v>
      </c>
      <c r="AL186" s="24">
        <f t="shared" si="43"/>
        <v>5.3331345903251802E-2</v>
      </c>
      <c r="AM186" s="25">
        <f t="shared" ca="1" si="44"/>
        <v>0.45242704826119989</v>
      </c>
      <c r="AO186" s="26">
        <f t="shared" ca="1" si="34"/>
        <v>0</v>
      </c>
      <c r="AP186" s="26"/>
      <c r="AQ186" s="26">
        <f t="shared" ca="1" si="35"/>
        <v>0</v>
      </c>
      <c r="AR186" s="26"/>
      <c r="AS186" s="27">
        <f t="shared" ca="1" si="36"/>
        <v>0</v>
      </c>
      <c r="AT186" s="27">
        <f t="shared" ca="1" si="37"/>
        <v>0</v>
      </c>
      <c r="AU186" s="27">
        <f t="shared" ca="1" si="38"/>
        <v>0</v>
      </c>
      <c r="AV186" s="27"/>
      <c r="AW186" s="27"/>
      <c r="AY186" s="216"/>
      <c r="AZ186" s="216"/>
      <c r="BA186" s="233"/>
      <c r="BC186" s="216"/>
      <c r="BE186" s="69"/>
    </row>
    <row r="187" spans="1:57">
      <c r="A187" s="19">
        <f>[1]!_xludf.edate(A186,1)</f>
        <v>42675</v>
      </c>
      <c r="B187" s="21">
        <f t="shared" si="45"/>
        <v>30</v>
      </c>
      <c r="C187" s="20">
        <f>IF(Control!$F$18="Physical",Model!A188+24,Model!A188)</f>
        <v>42729</v>
      </c>
      <c r="E187" s="22">
        <f>IF($A187&lt;End_Date,IF(Control!$C$20="Flat",Control!$C$21,VLOOKUP(Model!$A187,Euro!$B$29:$D$182,3)),0)</f>
        <v>0</v>
      </c>
      <c r="F187" s="22">
        <f t="shared" si="39"/>
        <v>0</v>
      </c>
      <c r="H187" s="23">
        <f>IF(Control!$C$27="Mid",VLOOKUP($A187,CurveFetch!$D$8:$F$367,3),VLOOKUP($A187,Euro!$B$29:$I$182,8))</f>
        <v>5.2930000000000001</v>
      </c>
      <c r="I187" s="23"/>
      <c r="J187" s="23">
        <f>IF($J$4="Mid",VLOOKUP($A187,Curve_Fetch,VLOOKUP(Control!$AJ$10,Control!$AI$11:$AK$22,3)),VLOOKUP($A187,Euro!$B$29:$M$182,12))</f>
        <v>-0.13</v>
      </c>
      <c r="K187" s="228">
        <f>IF(Control!$F$18="Physical",IF($K$4="Mid",VLOOKUP($A187,Curve_Fetch,VLOOKUP(Control!$AJ$10,Control!$AI$11:$AL$22,4)),VLOOKUP($A187,Euro!$B$29:$Q$182,16)),0)</f>
        <v>0</v>
      </c>
      <c r="L187" s="23">
        <f t="shared" si="40"/>
        <v>-0.13</v>
      </c>
      <c r="M187" s="23"/>
      <c r="N187" s="69">
        <f t="shared" si="31"/>
        <v>5.1630000000000003</v>
      </c>
      <c r="O187" s="69">
        <f>N187+Control!$C$39</f>
        <v>5.1630000000000003</v>
      </c>
      <c r="P187" s="73">
        <f>VLOOKUP($A187,CurveFetch!$D$8:$E$367,2)</f>
        <v>5.3331345903251802E-2</v>
      </c>
      <c r="Q187" s="24">
        <f t="shared" si="41"/>
        <v>5.3331345903251802E-2</v>
      </c>
      <c r="R187" s="72">
        <f t="shared" ca="1" si="42"/>
        <v>5478</v>
      </c>
      <c r="S187" s="25">
        <f>VLOOKUP($A187,Curve_Fetch,VLOOKUP(Control!$AJ$10,Control!$AI$11:$AM$22,5))</f>
        <v>0.17</v>
      </c>
      <c r="T187" s="74">
        <f ca="1">_xll.EURO(N187,O187,P187,Q187,S187,R187,IF(Control!$C$38="Call",1,0),0)</f>
        <v>0.59856981766782025</v>
      </c>
      <c r="U187" s="27">
        <f t="shared" ca="1" si="32"/>
        <v>0</v>
      </c>
      <c r="V187" s="76"/>
      <c r="W187" s="197"/>
      <c r="X187" s="197"/>
      <c r="Y187" s="197"/>
      <c r="AA187" s="210"/>
      <c r="AB187" s="210"/>
      <c r="AC187" s="211"/>
      <c r="AD187" s="212"/>
      <c r="AE187" s="213"/>
      <c r="AF187" s="214"/>
      <c r="AG187" s="215"/>
      <c r="AH187" s="216"/>
      <c r="AI187" s="27"/>
      <c r="AJ187" s="28">
        <f t="shared" si="33"/>
        <v>0.13</v>
      </c>
      <c r="AL187" s="24">
        <f t="shared" si="43"/>
        <v>5.33855950382187E-2</v>
      </c>
      <c r="AM187" s="25">
        <f t="shared" ca="1" si="44"/>
        <v>0.45011492269023612</v>
      </c>
      <c r="AO187" s="26">
        <f t="shared" ca="1" si="34"/>
        <v>0</v>
      </c>
      <c r="AP187" s="26"/>
      <c r="AQ187" s="26">
        <f t="shared" ca="1" si="35"/>
        <v>0</v>
      </c>
      <c r="AR187" s="26"/>
      <c r="AS187" s="27">
        <f t="shared" ca="1" si="36"/>
        <v>0</v>
      </c>
      <c r="AT187" s="27">
        <f t="shared" ca="1" si="37"/>
        <v>0</v>
      </c>
      <c r="AU187" s="27">
        <f t="shared" ca="1" si="38"/>
        <v>0</v>
      </c>
      <c r="AV187" s="27"/>
      <c r="AW187" s="27"/>
      <c r="AY187" s="216"/>
      <c r="AZ187" s="216"/>
      <c r="BA187" s="233"/>
      <c r="BC187" s="216"/>
      <c r="BE187" s="69"/>
    </row>
    <row r="188" spans="1:57">
      <c r="A188" s="19">
        <f>[1]!_xludf.edate(A187,1)</f>
        <v>42705</v>
      </c>
      <c r="B188" s="21">
        <f t="shared" si="45"/>
        <v>31</v>
      </c>
      <c r="C188" s="20">
        <f>IF(Control!$F$18="Physical",Model!A189+24,Model!A189)</f>
        <v>42760</v>
      </c>
      <c r="E188" s="22">
        <f>IF($A188&lt;End_Date,IF(Control!$C$20="Flat",Control!$C$21,VLOOKUP(Model!$A188,Euro!$B$29:$D$182,3)),0)</f>
        <v>0</v>
      </c>
      <c r="F188" s="22">
        <f t="shared" si="39"/>
        <v>0</v>
      </c>
      <c r="H188" s="23">
        <f>IF(Control!$C$27="Mid",VLOOKUP($A188,CurveFetch!$D$8:$F$367,3),VLOOKUP($A188,Euro!$B$29:$I$182,8))</f>
        <v>5.4240000000000004</v>
      </c>
      <c r="I188" s="23"/>
      <c r="J188" s="23">
        <f>IF($J$4="Mid",VLOOKUP($A188,Curve_Fetch,VLOOKUP(Control!$AJ$10,Control!$AI$11:$AK$22,3)),VLOOKUP($A188,Euro!$B$29:$M$182,12))</f>
        <v>-0.13</v>
      </c>
      <c r="K188" s="228">
        <f>IF(Control!$F$18="Physical",IF($K$4="Mid",VLOOKUP($A188,Curve_Fetch,VLOOKUP(Control!$AJ$10,Control!$AI$11:$AL$22,4)),VLOOKUP($A188,Euro!$B$29:$Q$182,16)),0)</f>
        <v>0</v>
      </c>
      <c r="L188" s="23">
        <f t="shared" si="40"/>
        <v>-0.13</v>
      </c>
      <c r="M188" s="23"/>
      <c r="N188" s="69">
        <f t="shared" si="31"/>
        <v>5.2940000000000005</v>
      </c>
      <c r="O188" s="69">
        <f>N188+Control!$C$39</f>
        <v>5.2940000000000005</v>
      </c>
      <c r="P188" s="73">
        <f>VLOOKUP($A188,CurveFetch!$D$8:$E$367,2)</f>
        <v>5.33855950382187E-2</v>
      </c>
      <c r="Q188" s="24">
        <f t="shared" si="41"/>
        <v>5.33855950382187E-2</v>
      </c>
      <c r="R188" s="72">
        <f t="shared" ca="1" si="42"/>
        <v>5508</v>
      </c>
      <c r="S188" s="25">
        <f>VLOOKUP($A188,Curve_Fetch,VLOOKUP(Control!$AJ$10,Control!$AI$11:$AM$22,5))</f>
        <v>0.17</v>
      </c>
      <c r="T188" s="74">
        <f ca="1">_xll.EURO(N188,O188,P188,Q188,S188,R188,IF(Control!$C$38="Call",1,0),0)</f>
        <v>0.61218484343073432</v>
      </c>
      <c r="U188" s="27">
        <f t="shared" ca="1" si="32"/>
        <v>0</v>
      </c>
      <c r="V188" s="76"/>
      <c r="W188" s="197"/>
      <c r="X188" s="197"/>
      <c r="Y188" s="197"/>
      <c r="AA188" s="210"/>
      <c r="AB188" s="210"/>
      <c r="AC188" s="211"/>
      <c r="AD188" s="212"/>
      <c r="AE188" s="213"/>
      <c r="AF188" s="214"/>
      <c r="AG188" s="215"/>
      <c r="AH188" s="216"/>
      <c r="AI188" s="27"/>
      <c r="AJ188" s="28">
        <f t="shared" si="33"/>
        <v>0.13</v>
      </c>
      <c r="AL188" s="24">
        <f t="shared" si="43"/>
        <v>5.3441652478715802E-2</v>
      </c>
      <c r="AM188" s="25">
        <f t="shared" ca="1" si="44"/>
        <v>0.44773406621175227</v>
      </c>
      <c r="AO188" s="26">
        <f t="shared" ca="1" si="34"/>
        <v>0</v>
      </c>
      <c r="AP188" s="26"/>
      <c r="AQ188" s="26">
        <f t="shared" ca="1" si="35"/>
        <v>0</v>
      </c>
      <c r="AR188" s="26"/>
      <c r="AS188" s="27">
        <f t="shared" ca="1" si="36"/>
        <v>0</v>
      </c>
      <c r="AT188" s="27">
        <f t="shared" ca="1" si="37"/>
        <v>0</v>
      </c>
      <c r="AU188" s="27">
        <f t="shared" ca="1" si="38"/>
        <v>0</v>
      </c>
      <c r="AV188" s="27"/>
      <c r="AW188" s="27"/>
      <c r="AY188" s="216"/>
      <c r="AZ188" s="216"/>
      <c r="BA188" s="233"/>
      <c r="BC188" s="216"/>
      <c r="BE188" s="69"/>
    </row>
    <row r="189" spans="1:57">
      <c r="A189" s="19">
        <f>[1]!_xludf.edate(A188,1)</f>
        <v>42736</v>
      </c>
      <c r="B189" s="21">
        <f t="shared" si="45"/>
        <v>31</v>
      </c>
      <c r="C189" s="20">
        <f>IF(Control!$F$18="Physical",Model!A190+24,Model!A190)</f>
        <v>42791</v>
      </c>
      <c r="E189" s="22">
        <f>IF($A189&lt;End_Date,IF(Control!$C$20="Flat",Control!$C$21,VLOOKUP(Model!$A189,Euro!$B$29:$D$182,3)),0)</f>
        <v>0</v>
      </c>
      <c r="F189" s="22">
        <f t="shared" si="39"/>
        <v>0</v>
      </c>
      <c r="H189" s="23">
        <f>IF(Control!$C$27="Mid",VLOOKUP($A189,CurveFetch!$D$8:$F$367,3),VLOOKUP($A189,Euro!$B$29:$I$182,8))</f>
        <v>5.4965000000000002</v>
      </c>
      <c r="I189" s="23"/>
      <c r="J189" s="23">
        <f>IF($J$4="Mid",VLOOKUP($A189,Curve_Fetch,VLOOKUP(Control!$AJ$10,Control!$AI$11:$AK$22,3)),VLOOKUP($A189,Euro!$B$29:$M$182,12))</f>
        <v>-0.13</v>
      </c>
      <c r="K189" s="228">
        <f>IF(Control!$F$18="Physical",IF($K$4="Mid",VLOOKUP($A189,Curve_Fetch,VLOOKUP(Control!$AJ$10,Control!$AI$11:$AL$22,4)),VLOOKUP($A189,Euro!$B$29:$Q$182,16)),0)</f>
        <v>0</v>
      </c>
      <c r="L189" s="23">
        <f t="shared" si="40"/>
        <v>-0.13</v>
      </c>
      <c r="M189" s="23"/>
      <c r="N189" s="69">
        <f t="shared" si="31"/>
        <v>5.3665000000000003</v>
      </c>
      <c r="O189" s="69">
        <f>N189+Control!$C$39</f>
        <v>5.3665000000000003</v>
      </c>
      <c r="P189" s="73">
        <f>VLOOKUP($A189,CurveFetch!$D$8:$E$367,2)</f>
        <v>5.3441652478715802E-2</v>
      </c>
      <c r="Q189" s="24">
        <f t="shared" si="41"/>
        <v>5.3441652478715802E-2</v>
      </c>
      <c r="R189" s="72">
        <f t="shared" ca="1" si="42"/>
        <v>5539</v>
      </c>
      <c r="S189" s="25">
        <f>VLOOKUP($A189,Curve_Fetch,VLOOKUP(Control!$AJ$10,Control!$AI$11:$AM$22,5))</f>
        <v>0.17</v>
      </c>
      <c r="T189" s="74">
        <f ca="1">_xll.EURO(N189,O189,P189,Q189,S189,R189,IF(Control!$C$38="Call",1,0),0)</f>
        <v>0.61891036011604916</v>
      </c>
      <c r="U189" s="27">
        <f t="shared" ca="1" si="32"/>
        <v>0</v>
      </c>
      <c r="V189" s="76"/>
      <c r="W189" s="197"/>
      <c r="X189" s="197"/>
      <c r="Y189" s="197"/>
      <c r="AA189" s="210"/>
      <c r="AB189" s="210"/>
      <c r="AC189" s="211"/>
      <c r="AD189" s="212"/>
      <c r="AE189" s="213"/>
      <c r="AF189" s="214"/>
      <c r="AG189" s="215"/>
      <c r="AH189" s="216"/>
      <c r="AI189" s="27"/>
      <c r="AJ189" s="28">
        <f t="shared" si="33"/>
        <v>0.13</v>
      </c>
      <c r="AL189" s="24">
        <f t="shared" si="43"/>
        <v>5.3497709920259602E-2</v>
      </c>
      <c r="AM189" s="25">
        <f t="shared" ca="1" si="44"/>
        <v>0.44536168564462375</v>
      </c>
      <c r="AO189" s="26">
        <f t="shared" ca="1" si="34"/>
        <v>0</v>
      </c>
      <c r="AP189" s="26"/>
      <c r="AQ189" s="26">
        <f t="shared" ca="1" si="35"/>
        <v>0</v>
      </c>
      <c r="AR189" s="26"/>
      <c r="AS189" s="27">
        <f t="shared" ca="1" si="36"/>
        <v>0</v>
      </c>
      <c r="AT189" s="27">
        <f t="shared" ca="1" si="37"/>
        <v>0</v>
      </c>
      <c r="AU189" s="27">
        <f t="shared" ca="1" si="38"/>
        <v>0</v>
      </c>
      <c r="AV189" s="27"/>
      <c r="AW189" s="27"/>
      <c r="AY189" s="216"/>
      <c r="AZ189" s="216"/>
      <c r="BA189" s="233"/>
      <c r="BC189" s="216"/>
      <c r="BE189" s="69"/>
    </row>
    <row r="190" spans="1:57">
      <c r="A190" s="19">
        <f>[1]!_xludf.edate(A189,1)</f>
        <v>42767</v>
      </c>
      <c r="B190" s="21">
        <f t="shared" si="45"/>
        <v>28</v>
      </c>
      <c r="C190" s="20">
        <f>IF(Control!$F$18="Physical",Model!A191+24,Model!A191)</f>
        <v>42819</v>
      </c>
      <c r="E190" s="22">
        <f>IF($A190&lt;End_Date,IF(Control!$C$20="Flat",Control!$C$21,VLOOKUP(Model!$A190,Euro!$B$29:$D$182,3)),0)</f>
        <v>0</v>
      </c>
      <c r="F190" s="22">
        <f t="shared" si="39"/>
        <v>0</v>
      </c>
      <c r="H190" s="23">
        <f>IF(Control!$C$27="Mid",VLOOKUP($A190,CurveFetch!$D$8:$F$367,3),VLOOKUP($A190,Euro!$B$29:$I$182,8))</f>
        <v>5.4085000000000001</v>
      </c>
      <c r="I190" s="23"/>
      <c r="J190" s="23">
        <f>IF($J$4="Mid",VLOOKUP($A190,Curve_Fetch,VLOOKUP(Control!$AJ$10,Control!$AI$11:$AK$22,3)),VLOOKUP($A190,Euro!$B$29:$M$182,12))</f>
        <v>-0.13</v>
      </c>
      <c r="K190" s="228">
        <f>IF(Control!$F$18="Physical",IF($K$4="Mid",VLOOKUP($A190,Curve_Fetch,VLOOKUP(Control!$AJ$10,Control!$AI$11:$AL$22,4)),VLOOKUP($A190,Euro!$B$29:$Q$182,16)),0)</f>
        <v>0</v>
      </c>
      <c r="L190" s="23">
        <f t="shared" si="40"/>
        <v>-0.13</v>
      </c>
      <c r="M190" s="23"/>
      <c r="N190" s="69">
        <f t="shared" si="31"/>
        <v>5.2785000000000002</v>
      </c>
      <c r="O190" s="69">
        <f>N190+Control!$C$39</f>
        <v>5.2785000000000002</v>
      </c>
      <c r="P190" s="73">
        <f>VLOOKUP($A190,CurveFetch!$D$8:$E$367,2)</f>
        <v>5.3497709920259602E-2</v>
      </c>
      <c r="Q190" s="24">
        <f t="shared" si="41"/>
        <v>5.3497709920259602E-2</v>
      </c>
      <c r="R190" s="72">
        <f t="shared" ca="1" si="42"/>
        <v>5570</v>
      </c>
      <c r="S190" s="25">
        <f>VLOOKUP($A190,Curve_Fetch,VLOOKUP(Control!$AJ$10,Control!$AI$11:$AM$22,5))</f>
        <v>0.17</v>
      </c>
      <c r="T190" s="74">
        <f ca="1">_xll.EURO(N190,O190,P190,Q190,S190,R190,IF(Control!$C$38="Call",1,0),0)</f>
        <v>0.60711952038322092</v>
      </c>
      <c r="U190" s="27">
        <f t="shared" ca="1" si="32"/>
        <v>0</v>
      </c>
      <c r="V190" s="76"/>
      <c r="W190" s="197"/>
      <c r="X190" s="197"/>
      <c r="Y190" s="197"/>
      <c r="AA190" s="210"/>
      <c r="AB190" s="210"/>
      <c r="AC190" s="211"/>
      <c r="AD190" s="212"/>
      <c r="AE190" s="213"/>
      <c r="AF190" s="214"/>
      <c r="AG190" s="215"/>
      <c r="AH190" s="216"/>
      <c r="AI190" s="27"/>
      <c r="AJ190" s="28">
        <f t="shared" si="33"/>
        <v>0.13</v>
      </c>
      <c r="AL190" s="24">
        <f t="shared" si="43"/>
        <v>5.3548342449006602E-2</v>
      </c>
      <c r="AM190" s="25">
        <f t="shared" ca="1" si="44"/>
        <v>0.44322617469868569</v>
      </c>
      <c r="AO190" s="26">
        <f t="shared" ca="1" si="34"/>
        <v>0</v>
      </c>
      <c r="AP190" s="26"/>
      <c r="AQ190" s="26">
        <f t="shared" ca="1" si="35"/>
        <v>0</v>
      </c>
      <c r="AR190" s="26"/>
      <c r="AS190" s="27">
        <f t="shared" ca="1" si="36"/>
        <v>0</v>
      </c>
      <c r="AT190" s="27">
        <f t="shared" ca="1" si="37"/>
        <v>0</v>
      </c>
      <c r="AU190" s="27">
        <f t="shared" ca="1" si="38"/>
        <v>0</v>
      </c>
      <c r="AV190" s="27"/>
      <c r="AW190" s="27"/>
      <c r="AY190" s="216"/>
      <c r="AZ190" s="216"/>
      <c r="BA190" s="233"/>
      <c r="BC190" s="216"/>
      <c r="BE190" s="69"/>
    </row>
    <row r="191" spans="1:57">
      <c r="A191" s="19">
        <f>[1]!_xludf.edate(A190,1)</f>
        <v>42795</v>
      </c>
      <c r="B191" s="21">
        <f t="shared" si="45"/>
        <v>31</v>
      </c>
      <c r="C191" s="20">
        <f>IF(Control!$F$18="Physical",Model!A192+24,Model!A192)</f>
        <v>42850</v>
      </c>
      <c r="E191" s="22">
        <f>IF($A191&lt;End_Date,IF(Control!$C$20="Flat",Control!$C$21,VLOOKUP(Model!$A191,Euro!$B$29:$D$182,3)),0)</f>
        <v>0</v>
      </c>
      <c r="F191" s="22">
        <f t="shared" si="39"/>
        <v>0</v>
      </c>
      <c r="H191" s="23">
        <f>IF(Control!$C$27="Mid",VLOOKUP($A191,CurveFetch!$D$8:$F$367,3),VLOOKUP($A191,Euro!$B$29:$I$182,8))</f>
        <v>5.2694999999999999</v>
      </c>
      <c r="I191" s="23"/>
      <c r="J191" s="23">
        <f>IF($J$4="Mid",VLOOKUP($A191,Curve_Fetch,VLOOKUP(Control!$AJ$10,Control!$AI$11:$AK$22,3)),VLOOKUP($A191,Euro!$B$29:$M$182,12))</f>
        <v>-0.13</v>
      </c>
      <c r="K191" s="228">
        <f>IF(Control!$F$18="Physical",IF($K$4="Mid",VLOOKUP($A191,Curve_Fetch,VLOOKUP(Control!$AJ$10,Control!$AI$11:$AL$22,4)),VLOOKUP($A191,Euro!$B$29:$Q$182,16)),0)</f>
        <v>0</v>
      </c>
      <c r="L191" s="23">
        <f t="shared" si="40"/>
        <v>-0.13</v>
      </c>
      <c r="M191" s="23"/>
      <c r="N191" s="69">
        <f t="shared" si="31"/>
        <v>5.1395</v>
      </c>
      <c r="O191" s="69">
        <f>N191+Control!$C$39</f>
        <v>5.1395</v>
      </c>
      <c r="P191" s="73">
        <f>VLOOKUP($A191,CurveFetch!$D$8:$E$367,2)</f>
        <v>5.3548342449006602E-2</v>
      </c>
      <c r="Q191" s="24">
        <f t="shared" si="41"/>
        <v>5.3548342449006602E-2</v>
      </c>
      <c r="R191" s="72">
        <f t="shared" ca="1" si="42"/>
        <v>5598</v>
      </c>
      <c r="S191" s="25">
        <f>VLOOKUP($A191,Curve_Fetch,VLOOKUP(Control!$AJ$10,Control!$AI$11:$AM$22,5))</f>
        <v>0.17</v>
      </c>
      <c r="T191" s="74">
        <f ca="1">_xll.EURO(N191,O191,P191,Q191,S191,R191,IF(Control!$C$38="Call",1,0),0)</f>
        <v>0.58967914971718738</v>
      </c>
      <c r="U191" s="27">
        <f t="shared" ca="1" si="32"/>
        <v>0</v>
      </c>
      <c r="V191" s="76"/>
      <c r="W191" s="197"/>
      <c r="X191" s="197"/>
      <c r="Y191" s="197"/>
      <c r="AA191" s="210"/>
      <c r="AB191" s="210"/>
      <c r="AC191" s="211"/>
      <c r="AD191" s="212"/>
      <c r="AE191" s="213"/>
      <c r="AF191" s="214"/>
      <c r="AG191" s="215"/>
      <c r="AH191" s="216"/>
      <c r="AI191" s="27"/>
      <c r="AJ191" s="28">
        <f t="shared" si="33"/>
        <v>0.13</v>
      </c>
      <c r="AL191" s="24">
        <f t="shared" si="43"/>
        <v>5.3604399892544403E-2</v>
      </c>
      <c r="AM191" s="25">
        <f t="shared" ca="1" si="44"/>
        <v>0.44086992276752063</v>
      </c>
      <c r="AO191" s="26">
        <f t="shared" ca="1" si="34"/>
        <v>0</v>
      </c>
      <c r="AP191" s="26"/>
      <c r="AQ191" s="26">
        <f t="shared" ca="1" si="35"/>
        <v>0</v>
      </c>
      <c r="AR191" s="26"/>
      <c r="AS191" s="27">
        <f t="shared" ca="1" si="36"/>
        <v>0</v>
      </c>
      <c r="AT191" s="27">
        <f t="shared" ca="1" si="37"/>
        <v>0</v>
      </c>
      <c r="AU191" s="27">
        <f t="shared" ca="1" si="38"/>
        <v>0</v>
      </c>
      <c r="AV191" s="27"/>
      <c r="AW191" s="27"/>
      <c r="AY191" s="216"/>
      <c r="AZ191" s="216"/>
      <c r="BA191" s="233"/>
      <c r="BC191" s="216"/>
      <c r="BE191" s="69"/>
    </row>
    <row r="192" spans="1:57">
      <c r="A192" s="19">
        <f>[1]!_xludf.edate(A191,1)</f>
        <v>42826</v>
      </c>
      <c r="B192" s="21">
        <f t="shared" si="45"/>
        <v>30</v>
      </c>
      <c r="C192" s="20">
        <f>IF(Control!$F$18="Physical",Model!A193+24,Model!A193)</f>
        <v>42880</v>
      </c>
      <c r="E192" s="22">
        <f>IF($A192&lt;End_Date,IF(Control!$C$20="Flat",Control!$C$21,VLOOKUP(Model!$A192,Euro!$B$29:$D$182,3)),0)</f>
        <v>0</v>
      </c>
      <c r="F192" s="22">
        <f t="shared" si="39"/>
        <v>0</v>
      </c>
      <c r="H192" s="23">
        <f>IF(Control!$C$27="Mid",VLOOKUP($A192,CurveFetch!$D$8:$F$367,3),VLOOKUP($A192,Euro!$B$29:$I$182,8))</f>
        <v>5.1154999999999999</v>
      </c>
      <c r="I192" s="23"/>
      <c r="J192" s="23">
        <f>IF($J$4="Mid",VLOOKUP($A192,Curve_Fetch,VLOOKUP(Control!$AJ$10,Control!$AI$11:$AK$22,3)),VLOOKUP($A192,Euro!$B$29:$M$182,12))</f>
        <v>-0.2</v>
      </c>
      <c r="K192" s="228">
        <f>IF(Control!$F$18="Physical",IF($K$4="Mid",VLOOKUP($A192,Curve_Fetch,VLOOKUP(Control!$AJ$10,Control!$AI$11:$AL$22,4)),VLOOKUP($A192,Euro!$B$29:$Q$182,16)),0)</f>
        <v>0</v>
      </c>
      <c r="L192" s="23">
        <f t="shared" si="40"/>
        <v>-0.2</v>
      </c>
      <c r="M192" s="23"/>
      <c r="N192" s="69">
        <f t="shared" si="31"/>
        <v>4.9154999999999998</v>
      </c>
      <c r="O192" s="69">
        <f>N192+Control!$C$39</f>
        <v>4.9154999999999998</v>
      </c>
      <c r="P192" s="73">
        <f>VLOOKUP($A192,CurveFetch!$D$8:$E$367,2)</f>
        <v>5.3604399892544403E-2</v>
      </c>
      <c r="Q192" s="24">
        <f t="shared" si="41"/>
        <v>5.3604399892544403E-2</v>
      </c>
      <c r="R192" s="72">
        <f t="shared" ca="1" si="42"/>
        <v>5629</v>
      </c>
      <c r="S192" s="25">
        <f>VLOOKUP($A192,Curve_Fetch,VLOOKUP(Control!$AJ$10,Control!$AI$11:$AM$22,5))</f>
        <v>0.17</v>
      </c>
      <c r="T192" s="74">
        <f ca="1">_xll.EURO(N192,O192,P192,Q192,S192,R192,IF(Control!$C$38="Call",1,0),0)</f>
        <v>0.5624307511550356</v>
      </c>
      <c r="U192" s="27">
        <f t="shared" ca="1" si="32"/>
        <v>0</v>
      </c>
      <c r="V192" s="76"/>
      <c r="W192" s="197"/>
      <c r="X192" s="197"/>
      <c r="Y192" s="197"/>
      <c r="AA192" s="210"/>
      <c r="AB192" s="210"/>
      <c r="AC192" s="211"/>
      <c r="AD192" s="212"/>
      <c r="AE192" s="213"/>
      <c r="AF192" s="214"/>
      <c r="AG192" s="215"/>
      <c r="AH192" s="216"/>
      <c r="AI192" s="27"/>
      <c r="AJ192" s="28">
        <f t="shared" si="33"/>
        <v>0.2</v>
      </c>
      <c r="AL192" s="24">
        <f t="shared" si="43"/>
        <v>5.3658649032449102E-2</v>
      </c>
      <c r="AM192" s="25">
        <f t="shared" ca="1" si="44"/>
        <v>0.43859774582141947</v>
      </c>
      <c r="AO192" s="26">
        <f t="shared" ca="1" si="34"/>
        <v>0</v>
      </c>
      <c r="AP192" s="26"/>
      <c r="AQ192" s="26">
        <f t="shared" ca="1" si="35"/>
        <v>0</v>
      </c>
      <c r="AR192" s="26"/>
      <c r="AS192" s="27">
        <f t="shared" ca="1" si="36"/>
        <v>0</v>
      </c>
      <c r="AT192" s="27">
        <f t="shared" ca="1" si="37"/>
        <v>0</v>
      </c>
      <c r="AU192" s="27">
        <f t="shared" ca="1" si="38"/>
        <v>0</v>
      </c>
      <c r="AV192" s="27"/>
      <c r="AW192" s="27"/>
      <c r="AY192" s="216"/>
      <c r="AZ192" s="216"/>
      <c r="BA192" s="233"/>
      <c r="BC192" s="216"/>
      <c r="BE192" s="69"/>
    </row>
    <row r="193" spans="1:57">
      <c r="A193" s="19">
        <f>[1]!_xludf.edate(A192,1)</f>
        <v>42856</v>
      </c>
      <c r="B193" s="21">
        <f t="shared" si="45"/>
        <v>31</v>
      </c>
      <c r="C193" s="20">
        <f>IF(Control!$F$18="Physical",Model!A194+24,Model!A194)</f>
        <v>42911</v>
      </c>
      <c r="E193" s="22">
        <f>IF($A193&lt;End_Date,IF(Control!$C$20="Flat",Control!$C$21,VLOOKUP(Model!$A193,Euro!$B$29:$D$182,3)),0)</f>
        <v>0</v>
      </c>
      <c r="F193" s="22">
        <f t="shared" si="39"/>
        <v>0</v>
      </c>
      <c r="H193" s="23">
        <f>IF(Control!$C$27="Mid",VLOOKUP($A193,CurveFetch!$D$8:$F$367,3),VLOOKUP($A193,Euro!$B$29:$I$182,8))</f>
        <v>5.1204999999999998</v>
      </c>
      <c r="I193" s="23"/>
      <c r="J193" s="23">
        <f>IF($J$4="Mid",VLOOKUP($A193,Curve_Fetch,VLOOKUP(Control!$AJ$10,Control!$AI$11:$AK$22,3)),VLOOKUP($A193,Euro!$B$29:$M$182,12))</f>
        <v>-0.2</v>
      </c>
      <c r="K193" s="228">
        <f>IF(Control!$F$18="Physical",IF($K$4="Mid",VLOOKUP($A193,Curve_Fetch,VLOOKUP(Control!$AJ$10,Control!$AI$11:$AL$22,4)),VLOOKUP($A193,Euro!$B$29:$Q$182,16)),0)</f>
        <v>0</v>
      </c>
      <c r="L193" s="23">
        <f t="shared" si="40"/>
        <v>-0.2</v>
      </c>
      <c r="M193" s="23"/>
      <c r="N193" s="69">
        <f t="shared" si="31"/>
        <v>4.9204999999999997</v>
      </c>
      <c r="O193" s="69">
        <f>N193+Control!$C$39</f>
        <v>4.9204999999999997</v>
      </c>
      <c r="P193" s="73">
        <f>VLOOKUP($A193,CurveFetch!$D$8:$E$367,2)</f>
        <v>5.3658649032449102E-2</v>
      </c>
      <c r="Q193" s="24">
        <f t="shared" si="41"/>
        <v>5.3658649032449102E-2</v>
      </c>
      <c r="R193" s="72">
        <f t="shared" ca="1" si="42"/>
        <v>5659</v>
      </c>
      <c r="S193" s="25">
        <f>VLOOKUP($A193,Curve_Fetch,VLOOKUP(Control!$AJ$10,Control!$AI$11:$AM$22,5))</f>
        <v>0.17</v>
      </c>
      <c r="T193" s="74">
        <f ca="1">_xll.EURO(N193,O193,P193,Q193,S193,R193,IF(Control!$C$38="Call",1,0),0)</f>
        <v>0.56149429512769267</v>
      </c>
      <c r="U193" s="27">
        <f t="shared" ca="1" si="32"/>
        <v>0</v>
      </c>
      <c r="V193" s="76"/>
      <c r="W193" s="197"/>
      <c r="X193" s="197"/>
      <c r="Y193" s="197"/>
      <c r="AA193" s="210"/>
      <c r="AB193" s="210"/>
      <c r="AC193" s="211"/>
      <c r="AD193" s="212"/>
      <c r="AE193" s="213"/>
      <c r="AF193" s="214"/>
      <c r="AG193" s="215"/>
      <c r="AH193" s="216"/>
      <c r="AI193" s="27"/>
      <c r="AJ193" s="28">
        <f t="shared" si="33"/>
        <v>0.2</v>
      </c>
      <c r="AL193" s="24">
        <f t="shared" si="43"/>
        <v>5.3714706478047901E-2</v>
      </c>
      <c r="AM193" s="25">
        <f t="shared" ca="1" si="44"/>
        <v>0.43625816378243853</v>
      </c>
      <c r="AO193" s="26">
        <f t="shared" ca="1" si="34"/>
        <v>0</v>
      </c>
      <c r="AP193" s="26"/>
      <c r="AQ193" s="26">
        <f t="shared" ca="1" si="35"/>
        <v>0</v>
      </c>
      <c r="AR193" s="26"/>
      <c r="AS193" s="27">
        <f t="shared" ca="1" si="36"/>
        <v>0</v>
      </c>
      <c r="AT193" s="27">
        <f t="shared" ca="1" si="37"/>
        <v>0</v>
      </c>
      <c r="AU193" s="27">
        <f t="shared" ca="1" si="38"/>
        <v>0</v>
      </c>
      <c r="AV193" s="27"/>
      <c r="AW193" s="27"/>
      <c r="AY193" s="216"/>
      <c r="AZ193" s="216"/>
      <c r="BA193" s="233"/>
      <c r="BC193" s="216"/>
      <c r="BE193" s="69"/>
    </row>
    <row r="194" spans="1:57">
      <c r="A194" s="19">
        <f>[1]!_xludf.edate(A193,1)</f>
        <v>42887</v>
      </c>
      <c r="B194" s="21">
        <f t="shared" si="45"/>
        <v>30</v>
      </c>
      <c r="C194" s="20">
        <f>IF(Control!$F$18="Physical",Model!A195+24,Model!A195)</f>
        <v>42941</v>
      </c>
      <c r="E194" s="22">
        <f>IF($A194&lt;End_Date,IF(Control!$C$20="Flat",Control!$C$21,VLOOKUP(Model!$A194,Euro!$B$29:$D$182,3)),0)</f>
        <v>0</v>
      </c>
      <c r="F194" s="22">
        <f t="shared" si="39"/>
        <v>0</v>
      </c>
      <c r="H194" s="23">
        <f>IF(Control!$C$27="Mid",VLOOKUP($A194,CurveFetch!$D$8:$F$367,3),VLOOKUP($A194,Euro!$B$29:$I$182,8))</f>
        <v>5.1585000000000001</v>
      </c>
      <c r="I194" s="23"/>
      <c r="J194" s="23">
        <f>IF($J$4="Mid",VLOOKUP($A194,Curve_Fetch,VLOOKUP(Control!$AJ$10,Control!$AI$11:$AK$22,3)),VLOOKUP($A194,Euro!$B$29:$M$182,12))</f>
        <v>-0.2</v>
      </c>
      <c r="K194" s="228">
        <f>IF(Control!$F$18="Physical",IF($K$4="Mid",VLOOKUP($A194,Curve_Fetch,VLOOKUP(Control!$AJ$10,Control!$AI$11:$AL$22,4)),VLOOKUP($A194,Euro!$B$29:$Q$182,16)),0)</f>
        <v>0</v>
      </c>
      <c r="L194" s="23">
        <f t="shared" si="40"/>
        <v>-0.2</v>
      </c>
      <c r="M194" s="23"/>
      <c r="N194" s="69">
        <f t="shared" si="31"/>
        <v>4.9584999999999999</v>
      </c>
      <c r="O194" s="69">
        <f>N194+Control!$C$39</f>
        <v>4.9584999999999999</v>
      </c>
      <c r="P194" s="73">
        <f>VLOOKUP($A194,CurveFetch!$D$8:$E$367,2)</f>
        <v>5.3714706478047901E-2</v>
      </c>
      <c r="Q194" s="24">
        <f t="shared" si="41"/>
        <v>5.3714706478047901E-2</v>
      </c>
      <c r="R194" s="72">
        <f t="shared" ca="1" si="42"/>
        <v>5690</v>
      </c>
      <c r="S194" s="25">
        <f>VLOOKUP($A194,Curve_Fetch,VLOOKUP(Control!$AJ$10,Control!$AI$11:$AM$22,5))</f>
        <v>0.17</v>
      </c>
      <c r="T194" s="74">
        <f ca="1">_xll.EURO(N194,O194,P194,Q194,S194,R194,IF(Control!$C$38="Call",1,0),0)</f>
        <v>0.56425039226011053</v>
      </c>
      <c r="U194" s="27">
        <f t="shared" ca="1" si="32"/>
        <v>0</v>
      </c>
      <c r="V194" s="76"/>
      <c r="W194" s="197"/>
      <c r="X194" s="197"/>
      <c r="Y194" s="197"/>
      <c r="AA194" s="210"/>
      <c r="AB194" s="210"/>
      <c r="AC194" s="211"/>
      <c r="AD194" s="212"/>
      <c r="AE194" s="213"/>
      <c r="AF194" s="214"/>
      <c r="AG194" s="215"/>
      <c r="AH194" s="216"/>
      <c r="AI194" s="27"/>
      <c r="AJ194" s="28">
        <f t="shared" si="33"/>
        <v>0.2</v>
      </c>
      <c r="AL194" s="24">
        <f t="shared" si="43"/>
        <v>5.3768955619946497E-2</v>
      </c>
      <c r="AM194" s="25">
        <f t="shared" ca="1" si="44"/>
        <v>0.43400211567240948</v>
      </c>
      <c r="AO194" s="26">
        <f t="shared" ca="1" si="34"/>
        <v>0</v>
      </c>
      <c r="AP194" s="26"/>
      <c r="AQ194" s="26">
        <f t="shared" ca="1" si="35"/>
        <v>0</v>
      </c>
      <c r="AR194" s="26"/>
      <c r="AS194" s="27">
        <f t="shared" ca="1" si="36"/>
        <v>0</v>
      </c>
      <c r="AT194" s="27">
        <f t="shared" ca="1" si="37"/>
        <v>0</v>
      </c>
      <c r="AU194" s="27">
        <f t="shared" ca="1" si="38"/>
        <v>0</v>
      </c>
      <c r="AV194" s="27"/>
      <c r="AW194" s="27"/>
      <c r="AY194" s="216"/>
      <c r="AZ194" s="216"/>
      <c r="BA194" s="233"/>
      <c r="BC194" s="216"/>
      <c r="BE194" s="69"/>
    </row>
    <row r="195" spans="1:57">
      <c r="A195" s="19">
        <f>[1]!_xludf.edate(A194,1)</f>
        <v>42917</v>
      </c>
      <c r="B195" s="21">
        <f t="shared" si="45"/>
        <v>31</v>
      </c>
      <c r="C195" s="20">
        <f>IF(Control!$F$18="Physical",Model!A196+24,Model!A196)</f>
        <v>42972</v>
      </c>
      <c r="E195" s="22">
        <f>IF($A195&lt;End_Date,IF(Control!$C$20="Flat",Control!$C$21,VLOOKUP(Model!$A195,Euro!$B$29:$D$182,3)),0)</f>
        <v>0</v>
      </c>
      <c r="F195" s="22">
        <f t="shared" si="39"/>
        <v>0</v>
      </c>
      <c r="H195" s="23">
        <f>IF(Control!$C$27="Mid",VLOOKUP($A195,CurveFetch!$D$8:$F$367,3),VLOOKUP($A195,Euro!$B$29:$I$182,8))</f>
        <v>5.2035</v>
      </c>
      <c r="I195" s="23"/>
      <c r="J195" s="23">
        <f>IF($J$4="Mid",VLOOKUP($A195,Curve_Fetch,VLOOKUP(Control!$AJ$10,Control!$AI$11:$AK$22,3)),VLOOKUP($A195,Euro!$B$29:$M$182,12))</f>
        <v>-0.2</v>
      </c>
      <c r="K195" s="228">
        <f>IF(Control!$F$18="Physical",IF($K$4="Mid",VLOOKUP($A195,Curve_Fetch,VLOOKUP(Control!$AJ$10,Control!$AI$11:$AL$22,4)),VLOOKUP($A195,Euro!$B$29:$Q$182,16)),0)</f>
        <v>0</v>
      </c>
      <c r="L195" s="23">
        <f t="shared" si="40"/>
        <v>-0.2</v>
      </c>
      <c r="M195" s="23"/>
      <c r="N195" s="69">
        <f t="shared" si="31"/>
        <v>5.0034999999999998</v>
      </c>
      <c r="O195" s="69">
        <f>N195+Control!$C$39</f>
        <v>5.0034999999999998</v>
      </c>
      <c r="P195" s="73">
        <f>VLOOKUP($A195,CurveFetch!$D$8:$E$367,2)</f>
        <v>5.3768955619946497E-2</v>
      </c>
      <c r="Q195" s="24">
        <f t="shared" si="41"/>
        <v>5.3768955619946497E-2</v>
      </c>
      <c r="R195" s="72">
        <f t="shared" ca="1" si="42"/>
        <v>5720</v>
      </c>
      <c r="S195" s="25">
        <f>VLOOKUP($A195,Curve_Fetch,VLOOKUP(Control!$AJ$10,Control!$AI$11:$AM$22,5))</f>
        <v>0.17</v>
      </c>
      <c r="T195" s="74">
        <f ca="1">_xll.EURO(N195,O195,P195,Q195,S195,R195,IF(Control!$C$38="Call",1,0),0)</f>
        <v>0.56781911258297002</v>
      </c>
      <c r="U195" s="27">
        <f t="shared" ca="1" si="32"/>
        <v>0</v>
      </c>
      <c r="V195" s="76"/>
      <c r="W195" s="197"/>
      <c r="X195" s="197"/>
      <c r="Y195" s="197"/>
      <c r="AA195" s="210"/>
      <c r="AB195" s="210"/>
      <c r="AC195" s="211"/>
      <c r="AD195" s="212"/>
      <c r="AE195" s="213"/>
      <c r="AF195" s="214"/>
      <c r="AG195" s="215"/>
      <c r="AH195" s="216"/>
      <c r="AI195" s="27"/>
      <c r="AJ195" s="28">
        <f t="shared" si="33"/>
        <v>0.2</v>
      </c>
      <c r="AL195" s="24">
        <f t="shared" si="43"/>
        <v>5.38250130676063E-2</v>
      </c>
      <c r="AM195" s="25">
        <f t="shared" ca="1" si="44"/>
        <v>0.43167919623348239</v>
      </c>
      <c r="AO195" s="26">
        <f t="shared" ca="1" si="34"/>
        <v>0</v>
      </c>
      <c r="AP195" s="26"/>
      <c r="AQ195" s="26">
        <f t="shared" ca="1" si="35"/>
        <v>0</v>
      </c>
      <c r="AR195" s="26"/>
      <c r="AS195" s="27">
        <f t="shared" ca="1" si="36"/>
        <v>0</v>
      </c>
      <c r="AT195" s="27">
        <f t="shared" ca="1" si="37"/>
        <v>0</v>
      </c>
      <c r="AU195" s="27">
        <f t="shared" ca="1" si="38"/>
        <v>0</v>
      </c>
      <c r="AV195" s="27"/>
      <c r="AW195" s="27"/>
      <c r="AY195" s="216"/>
      <c r="AZ195" s="216"/>
      <c r="BA195" s="233"/>
      <c r="BC195" s="216"/>
      <c r="BE195" s="69"/>
    </row>
    <row r="196" spans="1:57">
      <c r="A196" s="19">
        <f>[1]!_xludf.edate(A195,1)</f>
        <v>42948</v>
      </c>
      <c r="B196" s="21">
        <f t="shared" si="45"/>
        <v>31</v>
      </c>
      <c r="C196" s="20">
        <f>IF(Control!$F$18="Physical",Model!A197+24,Model!A197)</f>
        <v>43003</v>
      </c>
      <c r="E196" s="22">
        <f>IF($A196&lt;End_Date,IF(Control!$C$20="Flat",Control!$C$21,VLOOKUP(Model!$A196,Euro!$B$29:$D$182,3)),0)</f>
        <v>0</v>
      </c>
      <c r="F196" s="22">
        <f t="shared" si="39"/>
        <v>0</v>
      </c>
      <c r="H196" s="23">
        <f>IF(Control!$C$27="Mid",VLOOKUP($A196,CurveFetch!$D$8:$F$367,3),VLOOKUP($A196,Euro!$B$29:$I$182,8))</f>
        <v>5.2415000000000003</v>
      </c>
      <c r="I196" s="23"/>
      <c r="J196" s="23">
        <f>IF($J$4="Mid",VLOOKUP($A196,Curve_Fetch,VLOOKUP(Control!$AJ$10,Control!$AI$11:$AK$22,3)),VLOOKUP($A196,Euro!$B$29:$M$182,12))</f>
        <v>-0.2</v>
      </c>
      <c r="K196" s="228">
        <f>IF(Control!$F$18="Physical",IF($K$4="Mid",VLOOKUP($A196,Curve_Fetch,VLOOKUP(Control!$AJ$10,Control!$AI$11:$AL$22,4)),VLOOKUP($A196,Euro!$B$29:$Q$182,16)),0)</f>
        <v>0</v>
      </c>
      <c r="L196" s="23">
        <f t="shared" si="40"/>
        <v>-0.2</v>
      </c>
      <c r="M196" s="23"/>
      <c r="N196" s="69">
        <f t="shared" si="31"/>
        <v>5.0415000000000001</v>
      </c>
      <c r="O196" s="69">
        <f>N196+Control!$C$39</f>
        <v>5.0415000000000001</v>
      </c>
      <c r="P196" s="73">
        <f>VLOOKUP($A196,CurveFetch!$D$8:$E$367,2)</f>
        <v>5.38250130676063E-2</v>
      </c>
      <c r="Q196" s="24">
        <f t="shared" si="41"/>
        <v>5.38250130676063E-2</v>
      </c>
      <c r="R196" s="72">
        <f t="shared" ca="1" si="42"/>
        <v>5751</v>
      </c>
      <c r="S196" s="25">
        <f>VLOOKUP($A196,Curve_Fetch,VLOOKUP(Control!$AJ$10,Control!$AI$11:$AM$22,5))</f>
        <v>0.17</v>
      </c>
      <c r="T196" s="74">
        <f ca="1">_xll.EURO(N196,O196,P196,Q196,S196,R196,IF(Control!$C$38="Call",1,0),0)</f>
        <v>0.5705064680984322</v>
      </c>
      <c r="U196" s="27">
        <f t="shared" ca="1" si="32"/>
        <v>0</v>
      </c>
      <c r="V196" s="76"/>
      <c r="W196" s="197"/>
      <c r="X196" s="197"/>
      <c r="Y196" s="197"/>
      <c r="AA196" s="210"/>
      <c r="AB196" s="210"/>
      <c r="AC196" s="211"/>
      <c r="AD196" s="212"/>
      <c r="AE196" s="213"/>
      <c r="AF196" s="214"/>
      <c r="AG196" s="215"/>
      <c r="AH196" s="216"/>
      <c r="AI196" s="27"/>
      <c r="AJ196" s="28">
        <f t="shared" si="33"/>
        <v>0.2</v>
      </c>
      <c r="AL196" s="24">
        <f t="shared" si="43"/>
        <v>5.3881070516312898E-2</v>
      </c>
      <c r="AM196" s="25">
        <f t="shared" ca="1" si="44"/>
        <v>0.42936474132579178</v>
      </c>
      <c r="AO196" s="26">
        <f t="shared" ca="1" si="34"/>
        <v>0</v>
      </c>
      <c r="AP196" s="26"/>
      <c r="AQ196" s="26">
        <f t="shared" ca="1" si="35"/>
        <v>0</v>
      </c>
      <c r="AR196" s="26"/>
      <c r="AS196" s="27">
        <f t="shared" ca="1" si="36"/>
        <v>0</v>
      </c>
      <c r="AT196" s="27">
        <f t="shared" ca="1" si="37"/>
        <v>0</v>
      </c>
      <c r="AU196" s="27">
        <f t="shared" ca="1" si="38"/>
        <v>0</v>
      </c>
      <c r="AV196" s="27"/>
      <c r="AW196" s="27"/>
      <c r="AY196" s="216"/>
      <c r="AZ196" s="216"/>
      <c r="BA196" s="233"/>
      <c r="BC196" s="216"/>
      <c r="BE196" s="69"/>
    </row>
    <row r="197" spans="1:57">
      <c r="A197" s="19">
        <f>[1]!_xludf.edate(A196,1)</f>
        <v>42979</v>
      </c>
      <c r="B197" s="21">
        <f t="shared" si="45"/>
        <v>30</v>
      </c>
      <c r="C197" s="20">
        <f>IF(Control!$F$18="Physical",Model!A198+24,Model!A198)</f>
        <v>43033</v>
      </c>
      <c r="E197" s="22">
        <f>IF($A197&lt;End_Date,IF(Control!$C$20="Flat",Control!$C$21,VLOOKUP(Model!$A197,Euro!$B$29:$D$182,3)),0)</f>
        <v>0</v>
      </c>
      <c r="F197" s="22">
        <f t="shared" si="39"/>
        <v>0</v>
      </c>
      <c r="H197" s="23">
        <f>IF(Control!$C$27="Mid",VLOOKUP($A197,CurveFetch!$D$8:$F$367,3),VLOOKUP($A197,Euro!$B$29:$I$182,8))</f>
        <v>5.2355</v>
      </c>
      <c r="I197" s="23"/>
      <c r="J197" s="23">
        <f>IF($J$4="Mid",VLOOKUP($A197,Curve_Fetch,VLOOKUP(Control!$AJ$10,Control!$AI$11:$AK$22,3)),VLOOKUP($A197,Euro!$B$29:$M$182,12))</f>
        <v>-0.2</v>
      </c>
      <c r="K197" s="228">
        <f>IF(Control!$F$18="Physical",IF($K$4="Mid",VLOOKUP($A197,Curve_Fetch,VLOOKUP(Control!$AJ$10,Control!$AI$11:$AL$22,4)),VLOOKUP($A197,Euro!$B$29:$Q$182,16)),0)</f>
        <v>0</v>
      </c>
      <c r="L197" s="23">
        <f t="shared" si="40"/>
        <v>-0.2</v>
      </c>
      <c r="M197" s="23"/>
      <c r="N197" s="69">
        <f t="shared" si="31"/>
        <v>5.0354999999999999</v>
      </c>
      <c r="O197" s="69">
        <f>N197+Control!$C$39</f>
        <v>5.0354999999999999</v>
      </c>
      <c r="P197" s="73">
        <f>VLOOKUP($A197,CurveFetch!$D$8:$E$367,2)</f>
        <v>5.3881070516312898E-2</v>
      </c>
      <c r="Q197" s="24">
        <f t="shared" si="41"/>
        <v>5.3881070516312898E-2</v>
      </c>
      <c r="R197" s="72">
        <f t="shared" ca="1" si="42"/>
        <v>5782</v>
      </c>
      <c r="S197" s="25">
        <f>VLOOKUP($A197,Curve_Fetch,VLOOKUP(Control!$AJ$10,Control!$AI$11:$AM$22,5))</f>
        <v>0.17</v>
      </c>
      <c r="T197" s="74">
        <f ca="1">_xll.EURO(N197,O197,P197,Q197,S197,R197,IF(Control!$C$38="Call",1,0),0)</f>
        <v>0.5681953319254599</v>
      </c>
      <c r="U197" s="27">
        <f t="shared" ca="1" si="32"/>
        <v>0</v>
      </c>
      <c r="V197" s="76"/>
      <c r="W197" s="197"/>
      <c r="X197" s="197"/>
      <c r="Y197" s="197"/>
      <c r="AA197" s="210"/>
      <c r="AB197" s="210"/>
      <c r="AC197" s="211"/>
      <c r="AD197" s="212"/>
      <c r="AE197" s="213"/>
      <c r="AF197" s="214"/>
      <c r="AG197" s="215"/>
      <c r="AH197" s="216"/>
      <c r="AI197" s="27"/>
      <c r="AJ197" s="28">
        <f t="shared" si="33"/>
        <v>0.2</v>
      </c>
      <c r="AL197" s="24">
        <f t="shared" si="43"/>
        <v>5.3935319661219797E-2</v>
      </c>
      <c r="AM197" s="25">
        <f t="shared" ca="1" si="44"/>
        <v>0.42713300321212777</v>
      </c>
      <c r="AO197" s="26">
        <f t="shared" ca="1" si="34"/>
        <v>0</v>
      </c>
      <c r="AP197" s="26"/>
      <c r="AQ197" s="26">
        <f t="shared" ca="1" si="35"/>
        <v>0</v>
      </c>
      <c r="AR197" s="26"/>
      <c r="AS197" s="27">
        <f t="shared" ca="1" si="36"/>
        <v>0</v>
      </c>
      <c r="AT197" s="27">
        <f t="shared" ca="1" si="37"/>
        <v>0</v>
      </c>
      <c r="AU197" s="27">
        <f t="shared" ca="1" si="38"/>
        <v>0</v>
      </c>
      <c r="AV197" s="27"/>
      <c r="AW197" s="27"/>
      <c r="AY197" s="216"/>
      <c r="AZ197" s="216"/>
      <c r="BA197" s="233"/>
      <c r="BC197" s="216"/>
      <c r="BE197" s="69"/>
    </row>
    <row r="198" spans="1:57">
      <c r="A198" s="19">
        <f>[1]!_xludf.edate(A197,1)</f>
        <v>43009</v>
      </c>
      <c r="B198" s="21">
        <f t="shared" si="45"/>
        <v>31</v>
      </c>
      <c r="C198" s="20">
        <f>IF(Control!$F$18="Physical",Model!A199+24,Model!A199)</f>
        <v>43064</v>
      </c>
      <c r="E198" s="22">
        <f>IF($A198&lt;End_Date,IF(Control!$C$20="Flat",Control!$C$21,VLOOKUP(Model!$A198,Euro!$B$29:$D$182,3)),0)</f>
        <v>0</v>
      </c>
      <c r="F198" s="22">
        <f t="shared" si="39"/>
        <v>0</v>
      </c>
      <c r="H198" s="23">
        <f>IF(Control!$C$27="Mid",VLOOKUP($A198,CurveFetch!$D$8:$F$367,3),VLOOKUP($A198,Euro!$B$29:$I$182,8))</f>
        <v>5.2355</v>
      </c>
      <c r="I198" s="23"/>
      <c r="J198" s="23">
        <f>IF($J$4="Mid",VLOOKUP($A198,Curve_Fetch,VLOOKUP(Control!$AJ$10,Control!$AI$11:$AK$22,3)),VLOOKUP($A198,Euro!$B$29:$M$182,12))</f>
        <v>-0.2</v>
      </c>
      <c r="K198" s="228">
        <f>IF(Control!$F$18="Physical",IF($K$4="Mid",VLOOKUP($A198,Curve_Fetch,VLOOKUP(Control!$AJ$10,Control!$AI$11:$AL$22,4)),VLOOKUP($A198,Euro!$B$29:$Q$182,16)),0)</f>
        <v>0</v>
      </c>
      <c r="L198" s="23">
        <f t="shared" si="40"/>
        <v>-0.2</v>
      </c>
      <c r="M198" s="23"/>
      <c r="N198" s="69">
        <f t="shared" si="31"/>
        <v>5.0354999999999999</v>
      </c>
      <c r="O198" s="69">
        <f>N198+Control!$C$39</f>
        <v>5.0354999999999999</v>
      </c>
      <c r="P198" s="73">
        <f>VLOOKUP($A198,CurveFetch!$D$8:$E$367,2)</f>
        <v>5.3935319661219797E-2</v>
      </c>
      <c r="Q198" s="24">
        <f t="shared" si="41"/>
        <v>5.3935319661219797E-2</v>
      </c>
      <c r="R198" s="72">
        <f t="shared" ca="1" si="42"/>
        <v>5812</v>
      </c>
      <c r="S198" s="25">
        <f>VLOOKUP($A198,Curve_Fetch,VLOOKUP(Control!$AJ$10,Control!$AI$11:$AM$22,5))</f>
        <v>0.17</v>
      </c>
      <c r="T198" s="74">
        <f ca="1">_xll.EURO(N198,O198,P198,Q198,S198,R198,IF(Control!$C$38="Call",1,0),0)</f>
        <v>0.56660738582788406</v>
      </c>
      <c r="U198" s="27">
        <f t="shared" ca="1" si="32"/>
        <v>0</v>
      </c>
      <c r="V198" s="76"/>
      <c r="W198" s="197"/>
      <c r="X198" s="197"/>
      <c r="Y198" s="197"/>
      <c r="AA198" s="210"/>
      <c r="AB198" s="210"/>
      <c r="AC198" s="211"/>
      <c r="AD198" s="212"/>
      <c r="AE198" s="213"/>
      <c r="AF198" s="214"/>
      <c r="AG198" s="215"/>
      <c r="AH198" s="216"/>
      <c r="AI198" s="27"/>
      <c r="AJ198" s="28">
        <f t="shared" si="33"/>
        <v>0.2</v>
      </c>
      <c r="AL198" s="24">
        <f t="shared" si="43"/>
        <v>5.3991377111986899E-2</v>
      </c>
      <c r="AM198" s="25">
        <f t="shared" ca="1" si="44"/>
        <v>0.42483519665339214</v>
      </c>
      <c r="AO198" s="26">
        <f t="shared" ca="1" si="34"/>
        <v>0</v>
      </c>
      <c r="AP198" s="26"/>
      <c r="AQ198" s="26">
        <f t="shared" ca="1" si="35"/>
        <v>0</v>
      </c>
      <c r="AR198" s="26"/>
      <c r="AS198" s="27">
        <f t="shared" ca="1" si="36"/>
        <v>0</v>
      </c>
      <c r="AT198" s="27">
        <f t="shared" ca="1" si="37"/>
        <v>0</v>
      </c>
      <c r="AU198" s="27">
        <f t="shared" ca="1" si="38"/>
        <v>0</v>
      </c>
      <c r="AV198" s="27"/>
      <c r="AW198" s="27"/>
      <c r="AY198" s="216"/>
      <c r="AZ198" s="216"/>
      <c r="BA198" s="233"/>
      <c r="BC198" s="216"/>
      <c r="BE198" s="69"/>
    </row>
    <row r="199" spans="1:57">
      <c r="A199" s="19">
        <f>[1]!_xludf.edate(A198,1)</f>
        <v>43040</v>
      </c>
      <c r="B199" s="21">
        <f t="shared" si="45"/>
        <v>30</v>
      </c>
      <c r="C199" s="20">
        <f>IF(Control!$F$18="Physical",Model!A200+24,Model!A200)</f>
        <v>43094</v>
      </c>
      <c r="E199" s="22">
        <f>IF($A199&lt;End_Date,IF(Control!$C$20="Flat",Control!$C$21,VLOOKUP(Model!$A199,Euro!$B$29:$D$182,3)),0)</f>
        <v>0</v>
      </c>
      <c r="F199" s="22">
        <f t="shared" si="39"/>
        <v>0</v>
      </c>
      <c r="H199" s="23">
        <f>IF(Control!$C$27="Mid",VLOOKUP($A199,CurveFetch!$D$8:$F$367,3),VLOOKUP($A199,Euro!$B$29:$I$182,8))</f>
        <v>5.4055</v>
      </c>
      <c r="I199" s="23"/>
      <c r="J199" s="23">
        <f>IF($J$4="Mid",VLOOKUP($A199,Curve_Fetch,VLOOKUP(Control!$AJ$10,Control!$AI$11:$AK$22,3)),VLOOKUP($A199,Euro!$B$29:$M$182,12))</f>
        <v>-0.13</v>
      </c>
      <c r="K199" s="228">
        <f>IF(Control!$F$18="Physical",IF($K$4="Mid",VLOOKUP($A199,Curve_Fetch,VLOOKUP(Control!$AJ$10,Control!$AI$11:$AL$22,4)),VLOOKUP($A199,Euro!$B$29:$Q$182,16)),0)</f>
        <v>0</v>
      </c>
      <c r="L199" s="23">
        <f t="shared" si="40"/>
        <v>-0.13</v>
      </c>
      <c r="M199" s="23"/>
      <c r="N199" s="69">
        <f t="shared" si="31"/>
        <v>5.2755000000000001</v>
      </c>
      <c r="O199" s="69">
        <f>N199+Control!$C$39</f>
        <v>5.2755000000000001</v>
      </c>
      <c r="P199" s="73">
        <f>VLOOKUP($A199,CurveFetch!$D$8:$E$367,2)</f>
        <v>5.3991377111986899E-2</v>
      </c>
      <c r="Q199" s="24">
        <f t="shared" si="41"/>
        <v>5.3991377111986899E-2</v>
      </c>
      <c r="R199" s="72">
        <f t="shared" ca="1" si="42"/>
        <v>5843</v>
      </c>
      <c r="S199" s="25">
        <f>VLOOKUP($A199,Curve_Fetch,VLOOKUP(Control!$AJ$10,Control!$AI$11:$AM$22,5))</f>
        <v>0.17</v>
      </c>
      <c r="T199" s="74">
        <f ca="1">_xll.EURO(N199,O199,P199,Q199,S199,R199,IF(Control!$C$38="Call",1,0),0)</f>
        <v>0.59188478231709241</v>
      </c>
      <c r="U199" s="27">
        <f t="shared" ca="1" si="32"/>
        <v>0</v>
      </c>
      <c r="V199" s="76"/>
      <c r="W199" s="197"/>
      <c r="X199" s="197"/>
      <c r="Y199" s="197"/>
      <c r="AA199" s="210"/>
      <c r="AB199" s="210"/>
      <c r="AC199" s="211"/>
      <c r="AD199" s="212"/>
      <c r="AE199" s="213"/>
      <c r="AF199" s="214"/>
      <c r="AG199" s="215"/>
      <c r="AH199" s="216"/>
      <c r="AI199" s="27"/>
      <c r="AJ199" s="28">
        <f t="shared" si="33"/>
        <v>0.13</v>
      </c>
      <c r="AL199" s="24">
        <f t="shared" si="43"/>
        <v>5.4045626258887799E-2</v>
      </c>
      <c r="AM199" s="25">
        <f t="shared" ca="1" si="44"/>
        <v>0.4226195644480904</v>
      </c>
      <c r="AO199" s="26">
        <f t="shared" ca="1" si="34"/>
        <v>0</v>
      </c>
      <c r="AP199" s="26"/>
      <c r="AQ199" s="26">
        <f t="shared" ca="1" si="35"/>
        <v>0</v>
      </c>
      <c r="AR199" s="26"/>
      <c r="AS199" s="27">
        <f t="shared" ca="1" si="36"/>
        <v>0</v>
      </c>
      <c r="AT199" s="27">
        <f t="shared" ca="1" si="37"/>
        <v>0</v>
      </c>
      <c r="AU199" s="27">
        <f t="shared" ca="1" si="38"/>
        <v>0</v>
      </c>
      <c r="AV199" s="27"/>
      <c r="AW199" s="27"/>
      <c r="AY199" s="216"/>
      <c r="AZ199" s="216"/>
      <c r="BA199" s="233"/>
      <c r="BC199" s="216"/>
      <c r="BE199" s="69"/>
    </row>
    <row r="200" spans="1:57">
      <c r="A200" s="19">
        <f>[1]!_xludf.edate(A199,1)</f>
        <v>43070</v>
      </c>
      <c r="B200" s="21">
        <f t="shared" si="45"/>
        <v>31</v>
      </c>
      <c r="C200" s="20">
        <f>IF(Control!$F$18="Physical",Model!A201+24,Model!A201)</f>
        <v>43125</v>
      </c>
      <c r="E200" s="22">
        <f>IF($A200&lt;End_Date,IF(Control!$C$20="Flat",Control!$C$21,VLOOKUP(Model!$A200,Euro!$B$29:$D$182,3)),0)</f>
        <v>0</v>
      </c>
      <c r="F200" s="22">
        <f t="shared" si="39"/>
        <v>0</v>
      </c>
      <c r="H200" s="23">
        <f>IF(Control!$C$27="Mid",VLOOKUP($A200,CurveFetch!$D$8:$F$367,3),VLOOKUP($A200,Euro!$B$29:$I$182,8))</f>
        <v>5.5365000000000002</v>
      </c>
      <c r="I200" s="23"/>
      <c r="J200" s="23">
        <f>IF($J$4="Mid",VLOOKUP($A200,Curve_Fetch,VLOOKUP(Control!$AJ$10,Control!$AI$11:$AK$22,3)),VLOOKUP($A200,Euro!$B$29:$M$182,12))</f>
        <v>-0.13</v>
      </c>
      <c r="K200" s="228">
        <f>IF(Control!$F$18="Physical",IF($K$4="Mid",VLOOKUP($A200,Curve_Fetch,VLOOKUP(Control!$AJ$10,Control!$AI$11:$AL$22,4)),VLOOKUP($A200,Euro!$B$29:$Q$182,16)),0)</f>
        <v>0</v>
      </c>
      <c r="L200" s="23">
        <f t="shared" si="40"/>
        <v>-0.13</v>
      </c>
      <c r="M200" s="23"/>
      <c r="N200" s="69">
        <f t="shared" ref="N200:N263" si="46">L200+H200</f>
        <v>5.4065000000000003</v>
      </c>
      <c r="O200" s="69">
        <f>N200+Control!$C$39</f>
        <v>5.4065000000000003</v>
      </c>
      <c r="P200" s="73">
        <f>VLOOKUP($A200,CurveFetch!$D$8:$E$367,2)</f>
        <v>5.4045626258887799E-2</v>
      </c>
      <c r="Q200" s="24">
        <f t="shared" si="41"/>
        <v>5.4045626258887799E-2</v>
      </c>
      <c r="R200" s="72">
        <f t="shared" ca="1" si="42"/>
        <v>5873</v>
      </c>
      <c r="S200" s="25">
        <f>VLOOKUP($A200,Curve_Fetch,VLOOKUP(Control!$AJ$10,Control!$AI$11:$AM$22,5))</f>
        <v>0.17</v>
      </c>
      <c r="T200" s="74">
        <f ca="1">_xll.EURO(N200,O200,P200,Q200,S200,R200,IF(Control!$C$38="Call",1,0),0)</f>
        <v>0.60485985289151178</v>
      </c>
      <c r="U200" s="27">
        <f t="shared" ref="U200:U263" ca="1" si="47">T200*B200*E200</f>
        <v>0</v>
      </c>
      <c r="V200" s="76"/>
      <c r="W200" s="197"/>
      <c r="X200" s="197"/>
      <c r="Y200" s="197"/>
      <c r="AA200" s="210"/>
      <c r="AB200" s="210"/>
      <c r="AC200" s="211"/>
      <c r="AD200" s="212"/>
      <c r="AE200" s="213"/>
      <c r="AF200" s="214"/>
      <c r="AG200" s="215"/>
      <c r="AH200" s="216"/>
      <c r="AI200" s="27"/>
      <c r="AJ200" s="28">
        <f t="shared" ref="AJ200:AJ263" si="48">Y200-L200</f>
        <v>0.13</v>
      </c>
      <c r="AL200" s="24">
        <f t="shared" si="43"/>
        <v>5.41016837117154E-2</v>
      </c>
      <c r="AM200" s="25">
        <f t="shared" ca="1" si="44"/>
        <v>0.42033839466113082</v>
      </c>
      <c r="AO200" s="26">
        <f t="shared" ref="AO200:AO263" ca="1" si="49">$B200*$E200*$AM200</f>
        <v>0</v>
      </c>
      <c r="AP200" s="26"/>
      <c r="AQ200" s="26">
        <f t="shared" ref="AQ200:AQ263" ca="1" si="50">H200*AO200</f>
        <v>0</v>
      </c>
      <c r="AR200" s="26"/>
      <c r="AS200" s="27">
        <f t="shared" ref="AS200:AS263" ca="1" si="51">J200*$AO200</f>
        <v>0</v>
      </c>
      <c r="AT200" s="27">
        <f t="shared" ref="AT200:AT263" ca="1" si="52">K200*$AO200</f>
        <v>0</v>
      </c>
      <c r="AU200" s="27">
        <f t="shared" ref="AU200:AU263" ca="1" si="53">L200*$AO200</f>
        <v>0</v>
      </c>
      <c r="AV200" s="27"/>
      <c r="AW200" s="27"/>
      <c r="AY200" s="216"/>
      <c r="AZ200" s="216"/>
      <c r="BA200" s="233"/>
      <c r="BC200" s="216"/>
      <c r="BE200" s="69"/>
    </row>
    <row r="201" spans="1:57">
      <c r="A201" s="19">
        <f>[1]!_xludf.edate(A200,1)</f>
        <v>43101</v>
      </c>
      <c r="B201" s="21">
        <f t="shared" si="45"/>
        <v>31</v>
      </c>
      <c r="C201" s="20">
        <f>IF(Control!$F$18="Physical",Model!A202+24,Model!A202)</f>
        <v>43156</v>
      </c>
      <c r="E201" s="22">
        <f>IF($A201&lt;End_Date,IF(Control!$C$20="Flat",Control!$C$21,VLOOKUP(Model!$A201,Euro!$B$29:$D$182,3)),0)</f>
        <v>0</v>
      </c>
      <c r="F201" s="22">
        <f t="shared" ref="F201:F264" si="54">E201*B201</f>
        <v>0</v>
      </c>
      <c r="H201" s="23">
        <f>IF(Control!$C$27="Mid",VLOOKUP($A201,CurveFetch!$D$8:$F$367,3),VLOOKUP($A201,Euro!$B$29:$I$182,8))</f>
        <v>5.609</v>
      </c>
      <c r="I201" s="23"/>
      <c r="J201" s="23">
        <f>IF($J$4="Mid",VLOOKUP($A201,Curve_Fetch,VLOOKUP(Control!$AJ$10,Control!$AI$11:$AK$22,3)),VLOOKUP($A201,Euro!$B$29:$M$182,12))</f>
        <v>-0.13</v>
      </c>
      <c r="K201" s="228">
        <f>IF(Control!$F$18="Physical",IF($K$4="Mid",VLOOKUP($A201,Curve_Fetch,VLOOKUP(Control!$AJ$10,Control!$AI$11:$AL$22,4)),VLOOKUP($A201,Euro!$B$29:$Q$182,16)),0)</f>
        <v>0</v>
      </c>
      <c r="L201" s="23">
        <f t="shared" ref="L201:L264" si="55">SUM(J201:K201)</f>
        <v>-0.13</v>
      </c>
      <c r="M201" s="23"/>
      <c r="N201" s="69">
        <f t="shared" si="46"/>
        <v>5.4790000000000001</v>
      </c>
      <c r="O201" s="69">
        <f>N201+Control!$C$39</f>
        <v>5.4790000000000001</v>
      </c>
      <c r="P201" s="73">
        <f>VLOOKUP($A201,CurveFetch!$D$8:$E$367,2)</f>
        <v>5.41016837117154E-2</v>
      </c>
      <c r="Q201" s="24">
        <f t="shared" ref="Q201:Q264" si="56">P201</f>
        <v>5.41016837117154E-2</v>
      </c>
      <c r="R201" s="72">
        <f t="shared" ref="R201:R264" ca="1" si="57">A201-1-TODAY()</f>
        <v>5904</v>
      </c>
      <c r="S201" s="25">
        <f>VLOOKUP($A201,Curve_Fetch,VLOOKUP(Control!$AJ$10,Control!$AI$11:$AM$22,5))</f>
        <v>0.17</v>
      </c>
      <c r="T201" s="74">
        <f ca="1">_xll.EURO(N201,O201,P201,Q201,S201,R201,IF(Control!$C$38="Call",1,0),0)</f>
        <v>0.61115824804694474</v>
      </c>
      <c r="U201" s="27">
        <f t="shared" ca="1" si="47"/>
        <v>0</v>
      </c>
      <c r="V201" s="76"/>
      <c r="W201" s="197"/>
      <c r="X201" s="197"/>
      <c r="Y201" s="197"/>
      <c r="AA201" s="210"/>
      <c r="AB201" s="210"/>
      <c r="AC201" s="211"/>
      <c r="AD201" s="212"/>
      <c r="AE201" s="213"/>
      <c r="AF201" s="214"/>
      <c r="AG201" s="215"/>
      <c r="AH201" s="216"/>
      <c r="AI201" s="27"/>
      <c r="AJ201" s="28">
        <f t="shared" si="48"/>
        <v>0.13</v>
      </c>
      <c r="AL201" s="24">
        <f t="shared" ref="AL201:AL264" si="58">VLOOKUP($C201,Curve_Fetch,2)+Cost_of_Funds</f>
        <v>5.4157741165590197E-2</v>
      </c>
      <c r="AM201" s="25">
        <f t="shared" ref="AM201:AM264" ca="1" si="59">1/(1+AL201/2)^(2*(C201-Val_Date)/365.25)</f>
        <v>0.41806567465325728</v>
      </c>
      <c r="AO201" s="26">
        <f t="shared" ca="1" si="49"/>
        <v>0</v>
      </c>
      <c r="AP201" s="26"/>
      <c r="AQ201" s="26">
        <f t="shared" ca="1" si="50"/>
        <v>0</v>
      </c>
      <c r="AR201" s="26"/>
      <c r="AS201" s="27">
        <f t="shared" ca="1" si="51"/>
        <v>0</v>
      </c>
      <c r="AT201" s="27">
        <f t="shared" ca="1" si="52"/>
        <v>0</v>
      </c>
      <c r="AU201" s="27">
        <f t="shared" ca="1" si="53"/>
        <v>0</v>
      </c>
      <c r="AV201" s="27"/>
      <c r="AW201" s="27"/>
      <c r="AY201" s="216"/>
      <c r="AZ201" s="216"/>
      <c r="BA201" s="233"/>
      <c r="BC201" s="216"/>
      <c r="BE201" s="69"/>
    </row>
    <row r="202" spans="1:57">
      <c r="A202" s="19">
        <f>[1]!_xludf.edate(A201,1)</f>
        <v>43132</v>
      </c>
      <c r="B202" s="21">
        <f t="shared" ref="B202:B265" si="60">A203-A202</f>
        <v>28</v>
      </c>
      <c r="C202" s="20">
        <f>IF(Control!$F$18="Physical",Model!A203+24,Model!A203)</f>
        <v>43184</v>
      </c>
      <c r="E202" s="22">
        <f>IF($A202&lt;End_Date,IF(Control!$C$20="Flat",Control!$C$21,VLOOKUP(Model!$A202,Euro!$B$29:$D$182,3)),0)</f>
        <v>0</v>
      </c>
      <c r="F202" s="22">
        <f t="shared" si="54"/>
        <v>0</v>
      </c>
      <c r="H202" s="23">
        <f>IF(Control!$C$27="Mid",VLOOKUP($A202,CurveFetch!$D$8:$F$367,3),VLOOKUP($A202,Euro!$B$29:$I$182,8))</f>
        <v>5.5209999999999999</v>
      </c>
      <c r="I202" s="23"/>
      <c r="J202" s="23">
        <f>IF($J$4="Mid",VLOOKUP($A202,Curve_Fetch,VLOOKUP(Control!$AJ$10,Control!$AI$11:$AK$22,3)),VLOOKUP($A202,Euro!$B$29:$M$182,12))</f>
        <v>-0.13</v>
      </c>
      <c r="K202" s="228">
        <f>IF(Control!$F$18="Physical",IF($K$4="Mid",VLOOKUP($A202,Curve_Fetch,VLOOKUP(Control!$AJ$10,Control!$AI$11:$AL$22,4)),VLOOKUP($A202,Euro!$B$29:$Q$182,16)),0)</f>
        <v>0</v>
      </c>
      <c r="L202" s="23">
        <f t="shared" si="55"/>
        <v>-0.13</v>
      </c>
      <c r="M202" s="23"/>
      <c r="N202" s="69">
        <f t="shared" si="46"/>
        <v>5.391</v>
      </c>
      <c r="O202" s="69">
        <f>N202+Control!$C$39</f>
        <v>5.391</v>
      </c>
      <c r="P202" s="73">
        <f>VLOOKUP($A202,CurveFetch!$D$8:$E$367,2)</f>
        <v>5.4157741165590197E-2</v>
      </c>
      <c r="Q202" s="24">
        <f t="shared" si="56"/>
        <v>5.4157741165590197E-2</v>
      </c>
      <c r="R202" s="72">
        <f t="shared" ca="1" si="57"/>
        <v>5935</v>
      </c>
      <c r="S202" s="25">
        <f>VLOOKUP($A202,Curve_Fetch,VLOOKUP(Control!$AJ$10,Control!$AI$11:$AM$22,5))</f>
        <v>0.17</v>
      </c>
      <c r="T202" s="74">
        <f ca="1">_xll.EURO(N202,O202,P202,Q202,S202,R202,IF(Control!$C$38="Call",1,0),0)</f>
        <v>0.59955001420878717</v>
      </c>
      <c r="U202" s="27">
        <f t="shared" ca="1" si="47"/>
        <v>0</v>
      </c>
      <c r="V202" s="76"/>
      <c r="W202" s="197"/>
      <c r="X202" s="197"/>
      <c r="Y202" s="197"/>
      <c r="AA202" s="210"/>
      <c r="AB202" s="210"/>
      <c r="AC202" s="211"/>
      <c r="AD202" s="212"/>
      <c r="AE202" s="213"/>
      <c r="AF202" s="214"/>
      <c r="AG202" s="215"/>
      <c r="AH202" s="216"/>
      <c r="AI202" s="27"/>
      <c r="AJ202" s="28">
        <f t="shared" si="48"/>
        <v>0.13</v>
      </c>
      <c r="AL202" s="24">
        <f t="shared" si="58"/>
        <v>5.4208373705474197E-2</v>
      </c>
      <c r="AM202" s="25">
        <f t="shared" ca="1" si="59"/>
        <v>0.41602015503309209</v>
      </c>
      <c r="AO202" s="26">
        <f t="shared" ca="1" si="49"/>
        <v>0</v>
      </c>
      <c r="AP202" s="26"/>
      <c r="AQ202" s="26">
        <f t="shared" ca="1" si="50"/>
        <v>0</v>
      </c>
      <c r="AR202" s="26"/>
      <c r="AS202" s="27">
        <f t="shared" ca="1" si="51"/>
        <v>0</v>
      </c>
      <c r="AT202" s="27">
        <f t="shared" ca="1" si="52"/>
        <v>0</v>
      </c>
      <c r="AU202" s="27">
        <f t="shared" ca="1" si="53"/>
        <v>0</v>
      </c>
      <c r="AV202" s="27"/>
      <c r="AW202" s="27"/>
      <c r="AY202" s="216"/>
      <c r="AZ202" s="216"/>
      <c r="BA202" s="233"/>
      <c r="BC202" s="216"/>
      <c r="BE202" s="69"/>
    </row>
    <row r="203" spans="1:57">
      <c r="A203" s="19">
        <f>[1]!_xludf.edate(A202,1)</f>
        <v>43160</v>
      </c>
      <c r="B203" s="21">
        <f t="shared" si="60"/>
        <v>31</v>
      </c>
      <c r="C203" s="20">
        <f>IF(Control!$F$18="Physical",Model!A204+24,Model!A204)</f>
        <v>43215</v>
      </c>
      <c r="E203" s="22">
        <f>IF($A203&lt;End_Date,IF(Control!$C$20="Flat",Control!$C$21,VLOOKUP(Model!$A203,Euro!$B$29:$D$182,3)),0)</f>
        <v>0</v>
      </c>
      <c r="F203" s="22">
        <f t="shared" si="54"/>
        <v>0</v>
      </c>
      <c r="H203" s="23">
        <f>IF(Control!$C$27="Mid",VLOOKUP($A203,CurveFetch!$D$8:$F$367,3),VLOOKUP($A203,Euro!$B$29:$I$182,8))</f>
        <v>5.3819999999999997</v>
      </c>
      <c r="I203" s="23"/>
      <c r="J203" s="23">
        <f>IF($J$4="Mid",VLOOKUP($A203,Curve_Fetch,VLOOKUP(Control!$AJ$10,Control!$AI$11:$AK$22,3)),VLOOKUP($A203,Euro!$B$29:$M$182,12))</f>
        <v>-0.13</v>
      </c>
      <c r="K203" s="228">
        <f>IF(Control!$F$18="Physical",IF($K$4="Mid",VLOOKUP($A203,Curve_Fetch,VLOOKUP(Control!$AJ$10,Control!$AI$11:$AL$22,4)),VLOOKUP($A203,Euro!$B$29:$Q$182,16)),0)</f>
        <v>0</v>
      </c>
      <c r="L203" s="23">
        <f t="shared" si="55"/>
        <v>-0.13</v>
      </c>
      <c r="M203" s="23"/>
      <c r="N203" s="69">
        <f t="shared" si="46"/>
        <v>5.2519999999999998</v>
      </c>
      <c r="O203" s="69">
        <f>N203+Control!$C$39</f>
        <v>5.2519999999999998</v>
      </c>
      <c r="P203" s="73">
        <f>VLOOKUP($A203,CurveFetch!$D$8:$E$367,2)</f>
        <v>5.4208373705474197E-2</v>
      </c>
      <c r="Q203" s="24">
        <f t="shared" si="56"/>
        <v>5.4208373705474197E-2</v>
      </c>
      <c r="R203" s="72">
        <f t="shared" ca="1" si="57"/>
        <v>5963</v>
      </c>
      <c r="S203" s="25">
        <f>VLOOKUP($A203,Curve_Fetch,VLOOKUP(Control!$AJ$10,Control!$AI$11:$AM$22,5))</f>
        <v>0.17</v>
      </c>
      <c r="T203" s="74">
        <f ca="1">_xll.EURO(N203,O203,P203,Q203,S203,R203,IF(Control!$C$38="Call",1,0),0)</f>
        <v>0.58250722564462465</v>
      </c>
      <c r="U203" s="27">
        <f t="shared" ca="1" si="47"/>
        <v>0</v>
      </c>
      <c r="V203" s="76"/>
      <c r="W203" s="197"/>
      <c r="X203" s="197"/>
      <c r="Y203" s="197"/>
      <c r="AA203" s="210"/>
      <c r="AB203" s="210"/>
      <c r="AC203" s="211"/>
      <c r="AD203" s="212"/>
      <c r="AE203" s="213"/>
      <c r="AF203" s="214"/>
      <c r="AG203" s="215"/>
      <c r="AH203" s="216"/>
      <c r="AI203" s="27"/>
      <c r="AJ203" s="28">
        <f t="shared" si="48"/>
        <v>0.13</v>
      </c>
      <c r="AL203" s="24">
        <f t="shared" si="58"/>
        <v>5.4264431161342497E-2</v>
      </c>
      <c r="AM203" s="25">
        <f t="shared" ca="1" si="59"/>
        <v>0.41376350662570638</v>
      </c>
      <c r="AO203" s="26">
        <f t="shared" ca="1" si="49"/>
        <v>0</v>
      </c>
      <c r="AP203" s="26"/>
      <c r="AQ203" s="26">
        <f t="shared" ca="1" si="50"/>
        <v>0</v>
      </c>
      <c r="AR203" s="26"/>
      <c r="AS203" s="27">
        <f t="shared" ca="1" si="51"/>
        <v>0</v>
      </c>
      <c r="AT203" s="27">
        <f t="shared" ca="1" si="52"/>
        <v>0</v>
      </c>
      <c r="AU203" s="27">
        <f t="shared" ca="1" si="53"/>
        <v>0</v>
      </c>
      <c r="AV203" s="27"/>
      <c r="AW203" s="27"/>
      <c r="AY203" s="216"/>
      <c r="AZ203" s="216"/>
      <c r="BA203" s="233"/>
      <c r="BC203" s="216"/>
      <c r="BE203" s="69"/>
    </row>
    <row r="204" spans="1:57">
      <c r="A204" s="19">
        <f>[1]!_xludf.edate(A203,1)</f>
        <v>43191</v>
      </c>
      <c r="B204" s="21">
        <f t="shared" si="60"/>
        <v>30</v>
      </c>
      <c r="C204" s="20">
        <f>IF(Control!$F$18="Physical",Model!A205+24,Model!A205)</f>
        <v>43245</v>
      </c>
      <c r="E204" s="22">
        <f>IF($A204&lt;End_Date,IF(Control!$C$20="Flat",Control!$C$21,VLOOKUP(Model!$A204,Euro!$B$29:$D$182,3)),0)</f>
        <v>0</v>
      </c>
      <c r="F204" s="22">
        <f t="shared" si="54"/>
        <v>0</v>
      </c>
      <c r="H204" s="23">
        <f>IF(Control!$C$27="Mid",VLOOKUP($A204,CurveFetch!$D$8:$F$367,3),VLOOKUP($A204,Euro!$B$29:$I$182,8))</f>
        <v>5.2279999999999998</v>
      </c>
      <c r="I204" s="23"/>
      <c r="J204" s="23">
        <f>IF($J$4="Mid",VLOOKUP($A204,Curve_Fetch,VLOOKUP(Control!$AJ$10,Control!$AI$11:$AK$22,3)),VLOOKUP($A204,Euro!$B$29:$M$182,12))</f>
        <v>-0.2</v>
      </c>
      <c r="K204" s="228">
        <f>IF(Control!$F$18="Physical",IF($K$4="Mid",VLOOKUP($A204,Curve_Fetch,VLOOKUP(Control!$AJ$10,Control!$AI$11:$AL$22,4)),VLOOKUP($A204,Euro!$B$29:$Q$182,16)),0)</f>
        <v>0</v>
      </c>
      <c r="L204" s="23">
        <f t="shared" si="55"/>
        <v>-0.2</v>
      </c>
      <c r="M204" s="23"/>
      <c r="N204" s="69">
        <f t="shared" si="46"/>
        <v>5.0279999999999996</v>
      </c>
      <c r="O204" s="69">
        <f>N204+Control!$C$39</f>
        <v>5.0279999999999996</v>
      </c>
      <c r="P204" s="73">
        <f>VLOOKUP($A204,CurveFetch!$D$8:$E$367,2)</f>
        <v>5.4264431161342497E-2</v>
      </c>
      <c r="Q204" s="24">
        <f t="shared" si="56"/>
        <v>5.4264431161342497E-2</v>
      </c>
      <c r="R204" s="72">
        <f t="shared" ca="1" si="57"/>
        <v>5994</v>
      </c>
      <c r="S204" s="25">
        <f>VLOOKUP($A204,Curve_Fetch,VLOOKUP(Control!$AJ$10,Control!$AI$11:$AM$22,5))</f>
        <v>0.17</v>
      </c>
      <c r="T204" s="74">
        <f ca="1">_xll.EURO(N204,O204,P204,Q204,S204,R204,IF(Control!$C$38="Call",1,0),0)</f>
        <v>0.55597657838536563</v>
      </c>
      <c r="U204" s="27">
        <f t="shared" ca="1" si="47"/>
        <v>0</v>
      </c>
      <c r="V204" s="76"/>
      <c r="W204" s="197"/>
      <c r="X204" s="197"/>
      <c r="Y204" s="197"/>
      <c r="AA204" s="210"/>
      <c r="AB204" s="210"/>
      <c r="AC204" s="211"/>
      <c r="AD204" s="212"/>
      <c r="AE204" s="213"/>
      <c r="AF204" s="214"/>
      <c r="AG204" s="215"/>
      <c r="AH204" s="216"/>
      <c r="AI204" s="27"/>
      <c r="AJ204" s="28">
        <f t="shared" si="48"/>
        <v>0.2</v>
      </c>
      <c r="AL204" s="24">
        <f t="shared" si="58"/>
        <v>5.4318680313178602E-2</v>
      </c>
      <c r="AM204" s="25">
        <f t="shared" ca="1" si="59"/>
        <v>0.41158768805576029</v>
      </c>
      <c r="AO204" s="26">
        <f t="shared" ca="1" si="49"/>
        <v>0</v>
      </c>
      <c r="AP204" s="26"/>
      <c r="AQ204" s="26">
        <f t="shared" ca="1" si="50"/>
        <v>0</v>
      </c>
      <c r="AR204" s="26"/>
      <c r="AS204" s="27">
        <f t="shared" ca="1" si="51"/>
        <v>0</v>
      </c>
      <c r="AT204" s="27">
        <f t="shared" ca="1" si="52"/>
        <v>0</v>
      </c>
      <c r="AU204" s="27">
        <f t="shared" ca="1" si="53"/>
        <v>0</v>
      </c>
      <c r="AV204" s="27"/>
      <c r="AW204" s="27"/>
      <c r="AY204" s="216"/>
      <c r="AZ204" s="216"/>
      <c r="BA204" s="233"/>
      <c r="BC204" s="216"/>
      <c r="BE204" s="69"/>
    </row>
    <row r="205" spans="1:57">
      <c r="A205" s="19">
        <f>[1]!_xludf.edate(A204,1)</f>
        <v>43221</v>
      </c>
      <c r="B205" s="21">
        <f t="shared" si="60"/>
        <v>31</v>
      </c>
      <c r="C205" s="20">
        <f>IF(Control!$F$18="Physical",Model!A206+24,Model!A206)</f>
        <v>43276</v>
      </c>
      <c r="E205" s="22">
        <f>IF($A205&lt;End_Date,IF(Control!$C$20="Flat",Control!$C$21,VLOOKUP(Model!$A205,Euro!$B$29:$D$182,3)),0)</f>
        <v>0</v>
      </c>
      <c r="F205" s="22">
        <f t="shared" si="54"/>
        <v>0</v>
      </c>
      <c r="H205" s="23">
        <f>IF(Control!$C$27="Mid",VLOOKUP($A205,CurveFetch!$D$8:$F$367,3),VLOOKUP($A205,Euro!$B$29:$I$182,8))</f>
        <v>5.2329999999999997</v>
      </c>
      <c r="I205" s="23"/>
      <c r="J205" s="23">
        <f>IF($J$4="Mid",VLOOKUP($A205,Curve_Fetch,VLOOKUP(Control!$AJ$10,Control!$AI$11:$AK$22,3)),VLOOKUP($A205,Euro!$B$29:$M$182,12))</f>
        <v>-0.2</v>
      </c>
      <c r="K205" s="228">
        <f>IF(Control!$F$18="Physical",IF($K$4="Mid",VLOOKUP($A205,Curve_Fetch,VLOOKUP(Control!$AJ$10,Control!$AI$11:$AL$22,4)),VLOOKUP($A205,Euro!$B$29:$Q$182,16)),0)</f>
        <v>0</v>
      </c>
      <c r="L205" s="23">
        <f t="shared" si="55"/>
        <v>-0.2</v>
      </c>
      <c r="M205" s="23"/>
      <c r="N205" s="69">
        <f t="shared" si="46"/>
        <v>5.0329999999999995</v>
      </c>
      <c r="O205" s="69">
        <f>N205+Control!$C$39</f>
        <v>5.0329999999999995</v>
      </c>
      <c r="P205" s="73">
        <f>VLOOKUP($A205,CurveFetch!$D$8:$E$367,2)</f>
        <v>5.4318680313178602E-2</v>
      </c>
      <c r="Q205" s="24">
        <f t="shared" si="56"/>
        <v>5.4318680313178602E-2</v>
      </c>
      <c r="R205" s="72">
        <f t="shared" ca="1" si="57"/>
        <v>6024</v>
      </c>
      <c r="S205" s="25">
        <f>VLOOKUP($A205,Curve_Fetch,VLOOKUP(Control!$AJ$10,Control!$AI$11:$AM$22,5))</f>
        <v>0.17</v>
      </c>
      <c r="T205" s="74">
        <f ca="1">_xll.EURO(N205,O205,P205,Q205,S205,R205,IF(Control!$C$38="Call",1,0),0)</f>
        <v>0.55488853925083836</v>
      </c>
      <c r="U205" s="27">
        <f t="shared" ca="1" si="47"/>
        <v>0</v>
      </c>
      <c r="V205" s="76"/>
      <c r="W205" s="197"/>
      <c r="X205" s="197"/>
      <c r="Y205" s="197"/>
      <c r="AA205" s="210"/>
      <c r="AB205" s="210"/>
      <c r="AC205" s="211"/>
      <c r="AD205" s="212"/>
      <c r="AE205" s="213"/>
      <c r="AF205" s="214"/>
      <c r="AG205" s="215"/>
      <c r="AH205" s="216"/>
      <c r="AI205" s="27"/>
      <c r="AJ205" s="28">
        <f t="shared" si="48"/>
        <v>0.2</v>
      </c>
      <c r="AL205" s="24">
        <f t="shared" si="58"/>
        <v>5.4374737771106997E-2</v>
      </c>
      <c r="AM205" s="25">
        <f t="shared" ca="1" si="59"/>
        <v>0.40934764060439022</v>
      </c>
      <c r="AO205" s="26">
        <f t="shared" ca="1" si="49"/>
        <v>0</v>
      </c>
      <c r="AP205" s="26"/>
      <c r="AQ205" s="26">
        <f t="shared" ca="1" si="50"/>
        <v>0</v>
      </c>
      <c r="AR205" s="26"/>
      <c r="AS205" s="27">
        <f t="shared" ca="1" si="51"/>
        <v>0</v>
      </c>
      <c r="AT205" s="27">
        <f t="shared" ca="1" si="52"/>
        <v>0</v>
      </c>
      <c r="AU205" s="27">
        <f t="shared" ca="1" si="53"/>
        <v>0</v>
      </c>
      <c r="AV205" s="27"/>
      <c r="AW205" s="27"/>
      <c r="AY205" s="216"/>
      <c r="AZ205" s="216"/>
      <c r="BA205" s="233"/>
      <c r="BC205" s="216"/>
      <c r="BE205" s="69"/>
    </row>
    <row r="206" spans="1:57">
      <c r="A206" s="19">
        <f>[1]!_xludf.edate(A205,1)</f>
        <v>43252</v>
      </c>
      <c r="B206" s="21">
        <f t="shared" si="60"/>
        <v>30</v>
      </c>
      <c r="C206" s="20">
        <f>IF(Control!$F$18="Physical",Model!A207+24,Model!A207)</f>
        <v>43306</v>
      </c>
      <c r="E206" s="22">
        <f>IF($A206&lt;End_Date,IF(Control!$C$20="Flat",Control!$C$21,VLOOKUP(Model!$A206,Euro!$B$29:$D$182,3)),0)</f>
        <v>0</v>
      </c>
      <c r="F206" s="22">
        <f t="shared" si="54"/>
        <v>0</v>
      </c>
      <c r="H206" s="23">
        <f>IF(Control!$C$27="Mid",VLOOKUP($A206,CurveFetch!$D$8:$F$367,3),VLOOKUP($A206,Euro!$B$29:$I$182,8))</f>
        <v>5.2709999999999999</v>
      </c>
      <c r="I206" s="23"/>
      <c r="J206" s="23">
        <f>IF($J$4="Mid",VLOOKUP($A206,Curve_Fetch,VLOOKUP(Control!$AJ$10,Control!$AI$11:$AK$22,3)),VLOOKUP($A206,Euro!$B$29:$M$182,12))</f>
        <v>-0.2</v>
      </c>
      <c r="K206" s="228">
        <f>IF(Control!$F$18="Physical",IF($K$4="Mid",VLOOKUP($A206,Curve_Fetch,VLOOKUP(Control!$AJ$10,Control!$AI$11:$AL$22,4)),VLOOKUP($A206,Euro!$B$29:$Q$182,16)),0)</f>
        <v>0</v>
      </c>
      <c r="L206" s="23">
        <f t="shared" si="55"/>
        <v>-0.2</v>
      </c>
      <c r="M206" s="23"/>
      <c r="N206" s="69">
        <f t="shared" si="46"/>
        <v>5.0709999999999997</v>
      </c>
      <c r="O206" s="69">
        <f>N206+Control!$C$39</f>
        <v>5.0709999999999997</v>
      </c>
      <c r="P206" s="73">
        <f>VLOOKUP($A206,CurveFetch!$D$8:$E$367,2)</f>
        <v>5.4374737771106997E-2</v>
      </c>
      <c r="Q206" s="24">
        <f t="shared" si="56"/>
        <v>5.4374737771106997E-2</v>
      </c>
      <c r="R206" s="72">
        <f t="shared" ca="1" si="57"/>
        <v>6055</v>
      </c>
      <c r="S206" s="25">
        <f>VLOOKUP($A206,Curve_Fetch,VLOOKUP(Control!$AJ$10,Control!$AI$11:$AM$22,5))</f>
        <v>0.17</v>
      </c>
      <c r="T206" s="74">
        <f ca="1">_xll.EURO(N206,O206,P206,Q206,S206,R206,IF(Control!$C$38="Call",1,0),0)</f>
        <v>0.55736226935009847</v>
      </c>
      <c r="U206" s="27">
        <f t="shared" ca="1" si="47"/>
        <v>0</v>
      </c>
      <c r="V206" s="76"/>
      <c r="W206" s="197"/>
      <c r="X206" s="197"/>
      <c r="Y206" s="197"/>
      <c r="AA206" s="210"/>
      <c r="AB206" s="210"/>
      <c r="AC206" s="211"/>
      <c r="AD206" s="212"/>
      <c r="AE206" s="213"/>
      <c r="AF206" s="214"/>
      <c r="AG206" s="215"/>
      <c r="AH206" s="216"/>
      <c r="AI206" s="27"/>
      <c r="AJ206" s="28">
        <f t="shared" si="48"/>
        <v>0.2</v>
      </c>
      <c r="AL206" s="24">
        <f t="shared" si="58"/>
        <v>5.44289869249375E-2</v>
      </c>
      <c r="AM206" s="25">
        <f t="shared" ca="1" si="59"/>
        <v>0.40718787929710282</v>
      </c>
      <c r="AO206" s="26">
        <f t="shared" ca="1" si="49"/>
        <v>0</v>
      </c>
      <c r="AP206" s="26"/>
      <c r="AQ206" s="26">
        <f t="shared" ca="1" si="50"/>
        <v>0</v>
      </c>
      <c r="AR206" s="26"/>
      <c r="AS206" s="27">
        <f t="shared" ca="1" si="51"/>
        <v>0</v>
      </c>
      <c r="AT206" s="27">
        <f t="shared" ca="1" si="52"/>
        <v>0</v>
      </c>
      <c r="AU206" s="27">
        <f t="shared" ca="1" si="53"/>
        <v>0</v>
      </c>
      <c r="AV206" s="27"/>
      <c r="AW206" s="27"/>
      <c r="AY206" s="216"/>
      <c r="AZ206" s="216"/>
      <c r="BA206" s="233"/>
      <c r="BC206" s="216"/>
      <c r="BE206" s="69"/>
    </row>
    <row r="207" spans="1:57">
      <c r="A207" s="19">
        <f>[1]!_xludf.edate(A206,1)</f>
        <v>43282</v>
      </c>
      <c r="B207" s="21">
        <f t="shared" si="60"/>
        <v>31</v>
      </c>
      <c r="C207" s="20">
        <f>IF(Control!$F$18="Physical",Model!A208+24,Model!A208)</f>
        <v>43337</v>
      </c>
      <c r="E207" s="22">
        <f>IF($A207&lt;End_Date,IF(Control!$C$20="Flat",Control!$C$21,VLOOKUP(Model!$A207,Euro!$B$29:$D$182,3)),0)</f>
        <v>0</v>
      </c>
      <c r="F207" s="22">
        <f t="shared" si="54"/>
        <v>0</v>
      </c>
      <c r="H207" s="23">
        <f>IF(Control!$C$27="Mid",VLOOKUP($A207,CurveFetch!$D$8:$F$367,3),VLOOKUP($A207,Euro!$B$29:$I$182,8))</f>
        <v>5.3159999999999998</v>
      </c>
      <c r="I207" s="23"/>
      <c r="J207" s="23">
        <f>IF($J$4="Mid",VLOOKUP($A207,Curve_Fetch,VLOOKUP(Control!$AJ$10,Control!$AI$11:$AK$22,3)),VLOOKUP($A207,Euro!$B$29:$M$182,12))</f>
        <v>-0.2</v>
      </c>
      <c r="K207" s="228">
        <f>IF(Control!$F$18="Physical",IF($K$4="Mid",VLOOKUP($A207,Curve_Fetch,VLOOKUP(Control!$AJ$10,Control!$AI$11:$AL$22,4)),VLOOKUP($A207,Euro!$B$29:$Q$182,16)),0)</f>
        <v>0</v>
      </c>
      <c r="L207" s="23">
        <f t="shared" si="55"/>
        <v>-0.2</v>
      </c>
      <c r="M207" s="23"/>
      <c r="N207" s="69">
        <f t="shared" si="46"/>
        <v>5.1159999999999997</v>
      </c>
      <c r="O207" s="69">
        <f>N207+Control!$C$39</f>
        <v>5.1159999999999997</v>
      </c>
      <c r="P207" s="73">
        <f>VLOOKUP($A207,CurveFetch!$D$8:$E$367,2)</f>
        <v>5.44289869249375E-2</v>
      </c>
      <c r="Q207" s="24">
        <f t="shared" si="56"/>
        <v>5.44289869249375E-2</v>
      </c>
      <c r="R207" s="72">
        <f t="shared" ca="1" si="57"/>
        <v>6085</v>
      </c>
      <c r="S207" s="25">
        <f>VLOOKUP($A207,Curve_Fetch,VLOOKUP(Control!$AJ$10,Control!$AI$11:$AM$22,5))</f>
        <v>0</v>
      </c>
      <c r="T207" s="74">
        <f ca="1">_xll.EURO(N207,O207,P207,Q207,S207,R207,IF(Control!$C$38="Call",1,0),0)</f>
        <v>3.3643575059638664E-5</v>
      </c>
      <c r="U207" s="27">
        <f t="shared" ca="1" si="47"/>
        <v>0</v>
      </c>
      <c r="V207" s="76"/>
      <c r="W207" s="197"/>
      <c r="X207" s="197"/>
      <c r="Y207" s="197"/>
      <c r="AA207" s="210"/>
      <c r="AB207" s="210"/>
      <c r="AC207" s="211"/>
      <c r="AD207" s="212"/>
      <c r="AE207" s="213"/>
      <c r="AF207" s="214"/>
      <c r="AG207" s="215"/>
      <c r="AH207" s="216"/>
      <c r="AI207" s="27"/>
      <c r="AJ207" s="28">
        <f t="shared" si="48"/>
        <v>0.2</v>
      </c>
      <c r="AL207" s="24">
        <f t="shared" si="58"/>
        <v>5.4485044384925602E-2</v>
      </c>
      <c r="AM207" s="25">
        <f t="shared" ca="1" si="59"/>
        <v>0.40496441549345108</v>
      </c>
      <c r="AO207" s="26">
        <f t="shared" ca="1" si="49"/>
        <v>0</v>
      </c>
      <c r="AP207" s="26"/>
      <c r="AQ207" s="26">
        <f t="shared" ca="1" si="50"/>
        <v>0</v>
      </c>
      <c r="AR207" s="26"/>
      <c r="AS207" s="27">
        <f t="shared" ca="1" si="51"/>
        <v>0</v>
      </c>
      <c r="AT207" s="27">
        <f t="shared" ca="1" si="52"/>
        <v>0</v>
      </c>
      <c r="AU207" s="27">
        <f t="shared" ca="1" si="53"/>
        <v>0</v>
      </c>
      <c r="AV207" s="27"/>
      <c r="AW207" s="27"/>
      <c r="AY207" s="216"/>
      <c r="AZ207" s="216"/>
      <c r="BA207" s="233"/>
      <c r="BC207" s="216"/>
      <c r="BE207" s="69"/>
    </row>
    <row r="208" spans="1:57">
      <c r="A208" s="19">
        <f>[1]!_xludf.edate(A207,1)</f>
        <v>43313</v>
      </c>
      <c r="B208" s="21">
        <f t="shared" si="60"/>
        <v>31</v>
      </c>
      <c r="C208" s="20">
        <f>IF(Control!$F$18="Physical",Model!A209+24,Model!A209)</f>
        <v>43368</v>
      </c>
      <c r="E208" s="22">
        <f>IF($A208&lt;End_Date,IF(Control!$C$20="Flat",Control!$C$21,VLOOKUP(Model!$A208,Euro!$B$29:$D$182,3)),0)</f>
        <v>0</v>
      </c>
      <c r="F208" s="22">
        <f t="shared" si="54"/>
        <v>0</v>
      </c>
      <c r="H208" s="23">
        <f>IF(Control!$C$27="Mid",VLOOKUP($A208,CurveFetch!$D$8:$F$367,3),VLOOKUP($A208,Euro!$B$29:$I$182,8))</f>
        <v>5.3540000000000001</v>
      </c>
      <c r="I208" s="23"/>
      <c r="J208" s="23">
        <f>IF($J$4="Mid",VLOOKUP($A208,Curve_Fetch,VLOOKUP(Control!$AJ$10,Control!$AI$11:$AK$22,3)),VLOOKUP($A208,Euro!$B$29:$M$182,12))</f>
        <v>-0.2</v>
      </c>
      <c r="K208" s="228">
        <f>IF(Control!$F$18="Physical",IF($K$4="Mid",VLOOKUP($A208,Curve_Fetch,VLOOKUP(Control!$AJ$10,Control!$AI$11:$AL$22,4)),VLOOKUP($A208,Euro!$B$29:$Q$182,16)),0)</f>
        <v>0</v>
      </c>
      <c r="L208" s="23">
        <f t="shared" si="55"/>
        <v>-0.2</v>
      </c>
      <c r="M208" s="23"/>
      <c r="N208" s="69">
        <f t="shared" si="46"/>
        <v>5.1539999999999999</v>
      </c>
      <c r="O208" s="69">
        <f>N208+Control!$C$39</f>
        <v>5.1539999999999999</v>
      </c>
      <c r="P208" s="73">
        <f>VLOOKUP($A208,CurveFetch!$D$8:$E$367,2)</f>
        <v>5.4485044384925602E-2</v>
      </c>
      <c r="Q208" s="24">
        <f t="shared" si="56"/>
        <v>5.4485044384925602E-2</v>
      </c>
      <c r="R208" s="72">
        <f t="shared" ca="1" si="57"/>
        <v>6116</v>
      </c>
      <c r="S208" s="25">
        <f>VLOOKUP($A208,Curve_Fetch,VLOOKUP(Control!$AJ$10,Control!$AI$11:$AM$22,5))</f>
        <v>0</v>
      </c>
      <c r="T208" s="74">
        <f ca="1">_xll.EURO(N208,O208,P208,Q208,S208,R208,IF(Control!$C$38="Call",1,0),0)</f>
        <v>3.3791344488331987E-5</v>
      </c>
      <c r="U208" s="27">
        <f t="shared" ca="1" si="47"/>
        <v>0</v>
      </c>
      <c r="V208" s="76"/>
      <c r="W208" s="197"/>
      <c r="X208" s="197"/>
      <c r="Y208" s="197"/>
      <c r="AA208" s="210"/>
      <c r="AB208" s="210"/>
      <c r="AC208" s="211"/>
      <c r="AD208" s="212"/>
      <c r="AE208" s="213"/>
      <c r="AF208" s="214"/>
      <c r="AG208" s="215"/>
      <c r="AH208" s="216"/>
      <c r="AI208" s="27"/>
      <c r="AJ208" s="28">
        <f t="shared" si="48"/>
        <v>0.2</v>
      </c>
      <c r="AL208" s="24">
        <f t="shared" si="58"/>
        <v>5.4541101845960498E-2</v>
      </c>
      <c r="AM208" s="25">
        <f t="shared" ca="1" si="59"/>
        <v>0.40274937229733992</v>
      </c>
      <c r="AO208" s="26">
        <f t="shared" ca="1" si="49"/>
        <v>0</v>
      </c>
      <c r="AP208" s="26"/>
      <c r="AQ208" s="26">
        <f t="shared" ca="1" si="50"/>
        <v>0</v>
      </c>
      <c r="AR208" s="26"/>
      <c r="AS208" s="27">
        <f t="shared" ca="1" si="51"/>
        <v>0</v>
      </c>
      <c r="AT208" s="27">
        <f t="shared" ca="1" si="52"/>
        <v>0</v>
      </c>
      <c r="AU208" s="27">
        <f t="shared" ca="1" si="53"/>
        <v>0</v>
      </c>
      <c r="AV208" s="27"/>
      <c r="AW208" s="27"/>
      <c r="AY208" s="216"/>
      <c r="AZ208" s="216"/>
      <c r="BA208" s="233"/>
      <c r="BC208" s="216"/>
      <c r="BE208" s="69"/>
    </row>
    <row r="209" spans="1:57">
      <c r="A209" s="19">
        <f>[1]!_xludf.edate(A208,1)</f>
        <v>43344</v>
      </c>
      <c r="B209" s="21">
        <f t="shared" si="60"/>
        <v>30</v>
      </c>
      <c r="C209" s="20">
        <f>IF(Control!$F$18="Physical",Model!A210+24,Model!A210)</f>
        <v>43398</v>
      </c>
      <c r="E209" s="22">
        <f>IF($A209&lt;End_Date,IF(Control!$C$20="Flat",Control!$C$21,VLOOKUP(Model!$A209,Euro!$B$29:$D$182,3)),0)</f>
        <v>0</v>
      </c>
      <c r="F209" s="22">
        <f t="shared" si="54"/>
        <v>0</v>
      </c>
      <c r="H209" s="23">
        <f>IF(Control!$C$27="Mid",VLOOKUP($A209,CurveFetch!$D$8:$F$367,3),VLOOKUP($A209,Euro!$B$29:$I$182,8))</f>
        <v>5.3479999999999999</v>
      </c>
      <c r="I209" s="23"/>
      <c r="J209" s="23">
        <f>IF($J$4="Mid",VLOOKUP($A209,Curve_Fetch,VLOOKUP(Control!$AJ$10,Control!$AI$11:$AK$22,3)),VLOOKUP($A209,Euro!$B$29:$M$182,12))</f>
        <v>-0.2</v>
      </c>
      <c r="K209" s="228">
        <f>IF(Control!$F$18="Physical",IF($K$4="Mid",VLOOKUP($A209,Curve_Fetch,VLOOKUP(Control!$AJ$10,Control!$AI$11:$AL$22,4)),VLOOKUP($A209,Euro!$B$29:$Q$182,16)),0)</f>
        <v>0</v>
      </c>
      <c r="L209" s="23">
        <f t="shared" si="55"/>
        <v>-0.2</v>
      </c>
      <c r="M209" s="23"/>
      <c r="N209" s="69">
        <f t="shared" si="46"/>
        <v>5.1479999999999997</v>
      </c>
      <c r="O209" s="69">
        <f>N209+Control!$C$39</f>
        <v>5.1479999999999997</v>
      </c>
      <c r="P209" s="73">
        <f>VLOOKUP($A209,CurveFetch!$D$8:$E$367,2)</f>
        <v>5.4541101845960498E-2</v>
      </c>
      <c r="Q209" s="24">
        <f t="shared" si="56"/>
        <v>5.4541101845960498E-2</v>
      </c>
      <c r="R209" s="72">
        <f t="shared" ca="1" si="57"/>
        <v>6147</v>
      </c>
      <c r="S209" s="25">
        <f>VLOOKUP($A209,Curve_Fetch,VLOOKUP(Control!$AJ$10,Control!$AI$11:$AM$22,5))</f>
        <v>0</v>
      </c>
      <c r="T209" s="74">
        <f ca="1">_xll.EURO(N209,O209,P209,Q209,S209,R209,IF(Control!$C$38="Call",1,0),0)</f>
        <v>3.3649556101078559E-5</v>
      </c>
      <c r="U209" s="27">
        <f t="shared" ca="1" si="47"/>
        <v>0</v>
      </c>
      <c r="V209" s="76"/>
      <c r="W209" s="197"/>
      <c r="X209" s="197"/>
      <c r="Y209" s="197"/>
      <c r="AA209" s="210"/>
      <c r="AB209" s="210"/>
      <c r="AC209" s="211"/>
      <c r="AD209" s="212"/>
      <c r="AE209" s="213"/>
      <c r="AF209" s="214"/>
      <c r="AG209" s="215"/>
      <c r="AH209" s="216"/>
      <c r="AI209" s="27"/>
      <c r="AJ209" s="28">
        <f t="shared" si="48"/>
        <v>0.2</v>
      </c>
      <c r="AL209" s="24">
        <f t="shared" si="58"/>
        <v>5.4595351002797901E-2</v>
      </c>
      <c r="AM209" s="25">
        <f t="shared" ca="1" si="59"/>
        <v>0.40061379485173326</v>
      </c>
      <c r="AO209" s="26">
        <f t="shared" ca="1" si="49"/>
        <v>0</v>
      </c>
      <c r="AP209" s="26"/>
      <c r="AQ209" s="26">
        <f t="shared" ca="1" si="50"/>
        <v>0</v>
      </c>
      <c r="AR209" s="26"/>
      <c r="AS209" s="27">
        <f t="shared" ca="1" si="51"/>
        <v>0</v>
      </c>
      <c r="AT209" s="27">
        <f t="shared" ca="1" si="52"/>
        <v>0</v>
      </c>
      <c r="AU209" s="27">
        <f t="shared" ca="1" si="53"/>
        <v>0</v>
      </c>
      <c r="AV209" s="27"/>
      <c r="AW209" s="27"/>
      <c r="AY209" s="216"/>
      <c r="AZ209" s="216"/>
      <c r="BA209" s="233"/>
      <c r="BC209" s="216"/>
      <c r="BE209" s="69"/>
    </row>
    <row r="210" spans="1:57">
      <c r="A210" s="19">
        <f>[1]!_xludf.edate(A209,1)</f>
        <v>43374</v>
      </c>
      <c r="B210" s="21">
        <f t="shared" si="60"/>
        <v>31</v>
      </c>
      <c r="C210" s="20">
        <f>IF(Control!$F$18="Physical",Model!A211+24,Model!A211)</f>
        <v>43429</v>
      </c>
      <c r="E210" s="22">
        <f>IF($A210&lt;End_Date,IF(Control!$C$20="Flat",Control!$C$21,VLOOKUP(Model!$A210,Euro!$B$29:$D$182,3)),0)</f>
        <v>0</v>
      </c>
      <c r="F210" s="22">
        <f t="shared" si="54"/>
        <v>0</v>
      </c>
      <c r="H210" s="23">
        <f>IF(Control!$C$27="Mid",VLOOKUP($A210,CurveFetch!$D$8:$F$367,3),VLOOKUP($A210,Euro!$B$29:$I$182,8))</f>
        <v>5.3479999999999999</v>
      </c>
      <c r="I210" s="23"/>
      <c r="J210" s="23">
        <f>IF($J$4="Mid",VLOOKUP($A210,Curve_Fetch,VLOOKUP(Control!$AJ$10,Control!$AI$11:$AK$22,3)),VLOOKUP($A210,Euro!$B$29:$M$182,12))</f>
        <v>-0.2</v>
      </c>
      <c r="K210" s="228">
        <f>IF(Control!$F$18="Physical",IF($K$4="Mid",VLOOKUP($A210,Curve_Fetch,VLOOKUP(Control!$AJ$10,Control!$AI$11:$AL$22,4)),VLOOKUP($A210,Euro!$B$29:$Q$182,16)),0)</f>
        <v>0</v>
      </c>
      <c r="L210" s="23">
        <f t="shared" si="55"/>
        <v>-0.2</v>
      </c>
      <c r="M210" s="23"/>
      <c r="N210" s="69">
        <f t="shared" si="46"/>
        <v>5.1479999999999997</v>
      </c>
      <c r="O210" s="69">
        <f>N210+Control!$C$39</f>
        <v>5.1479999999999997</v>
      </c>
      <c r="P210" s="73">
        <f>VLOOKUP($A210,CurveFetch!$D$8:$E$367,2)</f>
        <v>5.4595351002797901E-2</v>
      </c>
      <c r="Q210" s="24">
        <f t="shared" si="56"/>
        <v>5.4595351002797901E-2</v>
      </c>
      <c r="R210" s="72">
        <f t="shared" ca="1" si="57"/>
        <v>6177</v>
      </c>
      <c r="S210" s="25">
        <f>VLOOKUP($A210,Curve_Fetch,VLOOKUP(Control!$AJ$10,Control!$AI$11:$AM$22,5))</f>
        <v>0</v>
      </c>
      <c r="T210" s="74">
        <f ca="1">_xll.EURO(N210,O210,P210,Q210,S210,R210,IF(Control!$C$38="Call",1,0),0)</f>
        <v>3.3549996473203336E-5</v>
      </c>
      <c r="U210" s="27">
        <f t="shared" ca="1" si="47"/>
        <v>0</v>
      </c>
      <c r="V210" s="76"/>
      <c r="W210" s="197"/>
      <c r="X210" s="197"/>
      <c r="Y210" s="197"/>
      <c r="AA210" s="210"/>
      <c r="AB210" s="210"/>
      <c r="AC210" s="211"/>
      <c r="AD210" s="212"/>
      <c r="AE210" s="213"/>
      <c r="AF210" s="214"/>
      <c r="AG210" s="215"/>
      <c r="AH210" s="216"/>
      <c r="AI210" s="27"/>
      <c r="AJ210" s="28">
        <f t="shared" si="48"/>
        <v>0.2</v>
      </c>
      <c r="AL210" s="24">
        <f t="shared" si="58"/>
        <v>5.4651408465892899E-2</v>
      </c>
      <c r="AM210" s="25">
        <f t="shared" ca="1" si="59"/>
        <v>0.39841530617122933</v>
      </c>
      <c r="AO210" s="26">
        <f t="shared" ca="1" si="49"/>
        <v>0</v>
      </c>
      <c r="AP210" s="26"/>
      <c r="AQ210" s="26">
        <f t="shared" ca="1" si="50"/>
        <v>0</v>
      </c>
      <c r="AR210" s="26"/>
      <c r="AS210" s="27">
        <f t="shared" ca="1" si="51"/>
        <v>0</v>
      </c>
      <c r="AT210" s="27">
        <f t="shared" ca="1" si="52"/>
        <v>0</v>
      </c>
      <c r="AU210" s="27">
        <f t="shared" ca="1" si="53"/>
        <v>0</v>
      </c>
      <c r="AV210" s="27"/>
      <c r="AW210" s="27"/>
      <c r="AY210" s="216"/>
      <c r="AZ210" s="216"/>
      <c r="BA210" s="233"/>
      <c r="BC210" s="216"/>
      <c r="BE210" s="69"/>
    </row>
    <row r="211" spans="1:57">
      <c r="A211" s="19">
        <f>[1]!_xludf.edate(A210,1)</f>
        <v>43405</v>
      </c>
      <c r="B211" s="21">
        <f t="shared" si="60"/>
        <v>30</v>
      </c>
      <c r="C211" s="20">
        <f>IF(Control!$F$18="Physical",Model!A212+24,Model!A212)</f>
        <v>43459</v>
      </c>
      <c r="E211" s="22">
        <f>IF($A211&lt;End_Date,IF(Control!$C$20="Flat",Control!$C$21,VLOOKUP(Model!$A211,Euro!$B$29:$D$182,3)),0)</f>
        <v>0</v>
      </c>
      <c r="F211" s="22">
        <f t="shared" si="54"/>
        <v>0</v>
      </c>
      <c r="H211" s="23">
        <f>IF(Control!$C$27="Mid",VLOOKUP($A211,CurveFetch!$D$8:$F$367,3),VLOOKUP($A211,Euro!$B$29:$I$182,8))</f>
        <v>5.5179999999999998</v>
      </c>
      <c r="I211" s="23"/>
      <c r="J211" s="23">
        <f>IF($J$4="Mid",VLOOKUP($A211,Curve_Fetch,VLOOKUP(Control!$AJ$10,Control!$AI$11:$AK$22,3)),VLOOKUP($A211,Euro!$B$29:$M$182,12))</f>
        <v>-0.13</v>
      </c>
      <c r="K211" s="228">
        <f>IF(Control!$F$18="Physical",IF($K$4="Mid",VLOOKUP($A211,Curve_Fetch,VLOOKUP(Control!$AJ$10,Control!$AI$11:$AL$22,4)),VLOOKUP($A211,Euro!$B$29:$Q$182,16)),0)</f>
        <v>0</v>
      </c>
      <c r="L211" s="23">
        <f t="shared" si="55"/>
        <v>-0.13</v>
      </c>
      <c r="M211" s="23"/>
      <c r="N211" s="69">
        <f t="shared" si="46"/>
        <v>5.3879999999999999</v>
      </c>
      <c r="O211" s="69">
        <f>N211+Control!$C$39</f>
        <v>5.3879999999999999</v>
      </c>
      <c r="P211" s="73">
        <f>VLOOKUP($A211,CurveFetch!$D$8:$E$367,2)</f>
        <v>5.4651408465892899E-2</v>
      </c>
      <c r="Q211" s="24">
        <f t="shared" si="56"/>
        <v>5.4651408465892899E-2</v>
      </c>
      <c r="R211" s="72">
        <f t="shared" ca="1" si="57"/>
        <v>6208</v>
      </c>
      <c r="S211" s="25">
        <f>VLOOKUP($A211,Curve_Fetch,VLOOKUP(Control!$AJ$10,Control!$AI$11:$AM$22,5))</f>
        <v>0</v>
      </c>
      <c r="T211" s="74">
        <f ca="1">_xll.EURO(N211,O211,P211,Q211,S211,R211,IF(Control!$C$38="Call",1,0),0)</f>
        <v>3.5005986900316088E-5</v>
      </c>
      <c r="U211" s="27">
        <f t="shared" ca="1" si="47"/>
        <v>0</v>
      </c>
      <c r="V211" s="76"/>
      <c r="W211" s="197"/>
      <c r="X211" s="197"/>
      <c r="Y211" s="197"/>
      <c r="AA211" s="210"/>
      <c r="AB211" s="210"/>
      <c r="AC211" s="211"/>
      <c r="AD211" s="212"/>
      <c r="AE211" s="213"/>
      <c r="AF211" s="214"/>
      <c r="AG211" s="215"/>
      <c r="AH211" s="216"/>
      <c r="AI211" s="27"/>
      <c r="AJ211" s="28">
        <f t="shared" si="48"/>
        <v>0.13</v>
      </c>
      <c r="AL211" s="24">
        <f t="shared" si="58"/>
        <v>5.4705657624723798E-2</v>
      </c>
      <c r="AM211" s="25">
        <f t="shared" ca="1" si="59"/>
        <v>0.39629573911132954</v>
      </c>
      <c r="AO211" s="26">
        <f t="shared" ca="1" si="49"/>
        <v>0</v>
      </c>
      <c r="AP211" s="26"/>
      <c r="AQ211" s="26">
        <f t="shared" ca="1" si="50"/>
        <v>0</v>
      </c>
      <c r="AR211" s="26"/>
      <c r="AS211" s="27">
        <f t="shared" ca="1" si="51"/>
        <v>0</v>
      </c>
      <c r="AT211" s="27">
        <f t="shared" ca="1" si="52"/>
        <v>0</v>
      </c>
      <c r="AU211" s="27">
        <f t="shared" ca="1" si="53"/>
        <v>0</v>
      </c>
      <c r="AV211" s="27"/>
      <c r="AW211" s="27"/>
      <c r="AY211" s="216"/>
      <c r="AZ211" s="216"/>
      <c r="BA211" s="233"/>
      <c r="BC211" s="216"/>
      <c r="BE211" s="69"/>
    </row>
    <row r="212" spans="1:57">
      <c r="A212" s="19">
        <f>[1]!_xludf.edate(A211,1)</f>
        <v>43435</v>
      </c>
      <c r="B212" s="21">
        <f t="shared" si="60"/>
        <v>31</v>
      </c>
      <c r="C212" s="20">
        <f>IF(Control!$F$18="Physical",Model!A213+24,Model!A213)</f>
        <v>43490</v>
      </c>
      <c r="E212" s="22">
        <f>IF($A212&lt;End_Date,IF(Control!$C$20="Flat",Control!$C$21,VLOOKUP(Model!$A212,Euro!$B$29:$D$182,3)),0)</f>
        <v>0</v>
      </c>
      <c r="F212" s="22">
        <f t="shared" si="54"/>
        <v>0</v>
      </c>
      <c r="H212" s="23">
        <f>IF(Control!$C$27="Mid",VLOOKUP($A212,CurveFetch!$D$8:$F$367,3),VLOOKUP($A212,Euro!$B$29:$I$182,8))</f>
        <v>5.649</v>
      </c>
      <c r="I212" s="23"/>
      <c r="J212" s="23">
        <f>IF($J$4="Mid",VLOOKUP($A212,Curve_Fetch,VLOOKUP(Control!$AJ$10,Control!$AI$11:$AK$22,3)),VLOOKUP($A212,Euro!$B$29:$M$182,12))</f>
        <v>-0.13</v>
      </c>
      <c r="K212" s="228">
        <f>IF(Control!$F$18="Physical",IF($K$4="Mid",VLOOKUP($A212,Curve_Fetch,VLOOKUP(Control!$AJ$10,Control!$AI$11:$AL$22,4)),VLOOKUP($A212,Euro!$B$29:$Q$182,16)),0)</f>
        <v>0</v>
      </c>
      <c r="L212" s="23">
        <f t="shared" si="55"/>
        <v>-0.13</v>
      </c>
      <c r="M212" s="23"/>
      <c r="N212" s="69">
        <f t="shared" si="46"/>
        <v>5.5190000000000001</v>
      </c>
      <c r="O212" s="69">
        <f>N212+Control!$C$39</f>
        <v>5.5190000000000001</v>
      </c>
      <c r="P212" s="73">
        <f>VLOOKUP($A212,CurveFetch!$D$8:$E$367,2)</f>
        <v>5.4705657624723798E-2</v>
      </c>
      <c r="Q212" s="24">
        <f t="shared" si="56"/>
        <v>5.4705657624723798E-2</v>
      </c>
      <c r="R212" s="72">
        <f t="shared" ca="1" si="57"/>
        <v>6238</v>
      </c>
      <c r="S212" s="25">
        <f>VLOOKUP($A212,Curve_Fetch,VLOOKUP(Control!$AJ$10,Control!$AI$11:$AM$22,5))</f>
        <v>0</v>
      </c>
      <c r="T212" s="74">
        <f ca="1">_xll.EURO(N212,O212,P212,Q212,S212,R212,IF(Control!$C$38="Call",1,0),0)</f>
        <v>3.5749505671756054E-5</v>
      </c>
      <c r="U212" s="27">
        <f t="shared" ca="1" si="47"/>
        <v>0</v>
      </c>
      <c r="V212" s="76"/>
      <c r="W212" s="197"/>
      <c r="X212" s="197"/>
      <c r="Y212" s="197"/>
      <c r="AA212" s="210"/>
      <c r="AB212" s="210"/>
      <c r="AC212" s="211"/>
      <c r="AD212" s="212"/>
      <c r="AE212" s="213"/>
      <c r="AF212" s="214"/>
      <c r="AG212" s="215"/>
      <c r="AH212" s="216"/>
      <c r="AI212" s="27"/>
      <c r="AJ212" s="28">
        <f t="shared" si="48"/>
        <v>0.13</v>
      </c>
      <c r="AL212" s="24">
        <f t="shared" si="58"/>
        <v>5.4761715089878503E-2</v>
      </c>
      <c r="AM212" s="25">
        <f t="shared" ca="1" si="59"/>
        <v>0.39411378365263361</v>
      </c>
      <c r="AO212" s="26">
        <f t="shared" ca="1" si="49"/>
        <v>0</v>
      </c>
      <c r="AP212" s="26"/>
      <c r="AQ212" s="26">
        <f t="shared" ca="1" si="50"/>
        <v>0</v>
      </c>
      <c r="AR212" s="26"/>
      <c r="AS212" s="27">
        <f t="shared" ca="1" si="51"/>
        <v>0</v>
      </c>
      <c r="AT212" s="27">
        <f t="shared" ca="1" si="52"/>
        <v>0</v>
      </c>
      <c r="AU212" s="27">
        <f t="shared" ca="1" si="53"/>
        <v>0</v>
      </c>
      <c r="AV212" s="27"/>
      <c r="AW212" s="27"/>
      <c r="AY212" s="216"/>
      <c r="AZ212" s="216"/>
      <c r="BA212" s="233"/>
      <c r="BC212" s="216"/>
      <c r="BE212" s="69"/>
    </row>
    <row r="213" spans="1:57">
      <c r="A213" s="19">
        <f>[1]!_xludf.edate(A212,1)</f>
        <v>43466</v>
      </c>
      <c r="B213" s="21">
        <f t="shared" si="60"/>
        <v>31</v>
      </c>
      <c r="C213" s="20">
        <f>IF(Control!$F$18="Physical",Model!A214+24,Model!A214)</f>
        <v>43521</v>
      </c>
      <c r="E213" s="22">
        <f>IF($A213&lt;End_Date,IF(Control!$C$20="Flat",Control!$C$21,VLOOKUP(Model!$A213,Euro!$B$29:$D$182,3)),0)</f>
        <v>0</v>
      </c>
      <c r="F213" s="22">
        <f t="shared" si="54"/>
        <v>0</v>
      </c>
      <c r="H213" s="23">
        <f>IF(Control!$C$27="Mid",VLOOKUP($A213,CurveFetch!$D$8:$F$367,3),VLOOKUP($A213,Euro!$B$29:$I$182,8))</f>
        <v>5.7214999999999998</v>
      </c>
      <c r="I213" s="23"/>
      <c r="J213" s="23">
        <f>IF($J$4="Mid",VLOOKUP($A213,Curve_Fetch,VLOOKUP(Control!$AJ$10,Control!$AI$11:$AK$22,3)),VLOOKUP($A213,Euro!$B$29:$M$182,12))</f>
        <v>-0.13</v>
      </c>
      <c r="K213" s="228">
        <f>IF(Control!$F$18="Physical",IF($K$4="Mid",VLOOKUP($A213,Curve_Fetch,VLOOKUP(Control!$AJ$10,Control!$AI$11:$AL$22,4)),VLOOKUP($A213,Euro!$B$29:$Q$182,16)),0)</f>
        <v>0</v>
      </c>
      <c r="L213" s="23">
        <f t="shared" si="55"/>
        <v>-0.13</v>
      </c>
      <c r="M213" s="23"/>
      <c r="N213" s="69">
        <f t="shared" si="46"/>
        <v>5.5914999999999999</v>
      </c>
      <c r="O213" s="69">
        <f>N213+Control!$C$39</f>
        <v>5.5914999999999999</v>
      </c>
      <c r="P213" s="73">
        <f>VLOOKUP($A213,CurveFetch!$D$8:$E$367,2)</f>
        <v>5.4761715089878503E-2</v>
      </c>
      <c r="Q213" s="24">
        <f t="shared" si="56"/>
        <v>5.4761715089878503E-2</v>
      </c>
      <c r="R213" s="72">
        <f t="shared" ca="1" si="57"/>
        <v>6269</v>
      </c>
      <c r="S213" s="25">
        <f>VLOOKUP($A213,Curve_Fetch,VLOOKUP(Control!$AJ$10,Control!$AI$11:$AM$22,5))</f>
        <v>0</v>
      </c>
      <c r="T213" s="74">
        <f ca="1">_xll.EURO(N213,O213,P213,Q213,S213,R213,IF(Control!$C$38="Call",1,0),0)</f>
        <v>3.6106055048223951E-5</v>
      </c>
      <c r="U213" s="27">
        <f t="shared" ca="1" si="47"/>
        <v>0</v>
      </c>
      <c r="V213" s="76"/>
      <c r="W213" s="197"/>
      <c r="X213" s="197"/>
      <c r="Y213" s="197"/>
      <c r="AA213" s="210"/>
      <c r="AB213" s="210"/>
      <c r="AC213" s="211"/>
      <c r="AD213" s="212"/>
      <c r="AE213" s="213"/>
      <c r="AF213" s="214"/>
      <c r="AG213" s="215"/>
      <c r="AH213" s="216"/>
      <c r="AI213" s="27"/>
      <c r="AJ213" s="28">
        <f t="shared" si="48"/>
        <v>0.13</v>
      </c>
      <c r="AL213" s="24">
        <f t="shared" si="58"/>
        <v>5.48177725560808E-2</v>
      </c>
      <c r="AM213" s="25">
        <f t="shared" ca="1" si="59"/>
        <v>0.39194022166406772</v>
      </c>
      <c r="AO213" s="26">
        <f t="shared" ca="1" si="49"/>
        <v>0</v>
      </c>
      <c r="AP213" s="26"/>
      <c r="AQ213" s="26">
        <f t="shared" ca="1" si="50"/>
        <v>0</v>
      </c>
      <c r="AR213" s="26"/>
      <c r="AS213" s="27">
        <f t="shared" ca="1" si="51"/>
        <v>0</v>
      </c>
      <c r="AT213" s="27">
        <f t="shared" ca="1" si="52"/>
        <v>0</v>
      </c>
      <c r="AU213" s="27">
        <f t="shared" ca="1" si="53"/>
        <v>0</v>
      </c>
      <c r="AV213" s="27"/>
      <c r="AW213" s="27"/>
      <c r="AY213" s="216"/>
      <c r="AZ213" s="216"/>
      <c r="BA213" s="233"/>
      <c r="BC213" s="216"/>
      <c r="BE213" s="69"/>
    </row>
    <row r="214" spans="1:57">
      <c r="A214" s="19">
        <f>[1]!_xludf.edate(A213,1)</f>
        <v>43497</v>
      </c>
      <c r="B214" s="21">
        <f t="shared" si="60"/>
        <v>28</v>
      </c>
      <c r="C214" s="20">
        <f>IF(Control!$F$18="Physical",Model!A215+24,Model!A215)</f>
        <v>43549</v>
      </c>
      <c r="E214" s="22">
        <f>IF($A214&lt;End_Date,IF(Control!$C$20="Flat",Control!$C$21,VLOOKUP(Model!$A214,Euro!$B$29:$D$182,3)),0)</f>
        <v>0</v>
      </c>
      <c r="F214" s="22">
        <f t="shared" si="54"/>
        <v>0</v>
      </c>
      <c r="H214" s="23">
        <f>IF(Control!$C$27="Mid",VLOOKUP($A214,CurveFetch!$D$8:$F$367,3),VLOOKUP($A214,Euro!$B$29:$I$182,8))</f>
        <v>5.6334999999999997</v>
      </c>
      <c r="I214" s="23"/>
      <c r="J214" s="23">
        <f>IF($J$4="Mid",VLOOKUP($A214,Curve_Fetch,VLOOKUP(Control!$AJ$10,Control!$AI$11:$AK$22,3)),VLOOKUP($A214,Euro!$B$29:$M$182,12))</f>
        <v>-0.13</v>
      </c>
      <c r="K214" s="228">
        <f>IF(Control!$F$18="Physical",IF($K$4="Mid",VLOOKUP($A214,Curve_Fetch,VLOOKUP(Control!$AJ$10,Control!$AI$11:$AL$22,4)),VLOOKUP($A214,Euro!$B$29:$Q$182,16)),0)</f>
        <v>0</v>
      </c>
      <c r="L214" s="23">
        <f t="shared" si="55"/>
        <v>-0.13</v>
      </c>
      <c r="M214" s="23"/>
      <c r="N214" s="69">
        <f t="shared" si="46"/>
        <v>5.5034999999999998</v>
      </c>
      <c r="O214" s="69">
        <f>N214+Control!$C$39</f>
        <v>5.5034999999999998</v>
      </c>
      <c r="P214" s="73">
        <f>VLOOKUP($A214,CurveFetch!$D$8:$E$367,2)</f>
        <v>5.48177725560808E-2</v>
      </c>
      <c r="Q214" s="24">
        <f t="shared" si="56"/>
        <v>5.48177725560808E-2</v>
      </c>
      <c r="R214" s="72">
        <f t="shared" ca="1" si="57"/>
        <v>6300</v>
      </c>
      <c r="S214" s="25">
        <f>VLOOKUP($A214,Curve_Fetch,VLOOKUP(Control!$AJ$10,Control!$AI$11:$AM$22,5))</f>
        <v>0</v>
      </c>
      <c r="T214" s="74">
        <f ca="1">_xll.EURO(N214,O214,P214,Q214,S214,R214,IF(Control!$C$38="Call",1,0),0)</f>
        <v>3.5426096676172136E-5</v>
      </c>
      <c r="U214" s="27">
        <f t="shared" ca="1" si="47"/>
        <v>0</v>
      </c>
      <c r="V214" s="76"/>
      <c r="W214" s="197"/>
      <c r="X214" s="197"/>
      <c r="Y214" s="197"/>
      <c r="AA214" s="210"/>
      <c r="AB214" s="210"/>
      <c r="AC214" s="211"/>
      <c r="AD214" s="212"/>
      <c r="AE214" s="213"/>
      <c r="AF214" s="214"/>
      <c r="AG214" s="215"/>
      <c r="AH214" s="216"/>
      <c r="AI214" s="27"/>
      <c r="AJ214" s="28">
        <f t="shared" si="48"/>
        <v>0.13</v>
      </c>
      <c r="AL214" s="24">
        <f t="shared" si="58"/>
        <v>5.4868405107097597E-2</v>
      </c>
      <c r="AM214" s="25">
        <f t="shared" ca="1" si="59"/>
        <v>0.38998421367844033</v>
      </c>
      <c r="AO214" s="26">
        <f t="shared" ca="1" si="49"/>
        <v>0</v>
      </c>
      <c r="AP214" s="26"/>
      <c r="AQ214" s="26">
        <f t="shared" ca="1" si="50"/>
        <v>0</v>
      </c>
      <c r="AR214" s="26"/>
      <c r="AS214" s="27">
        <f t="shared" ca="1" si="51"/>
        <v>0</v>
      </c>
      <c r="AT214" s="27">
        <f t="shared" ca="1" si="52"/>
        <v>0</v>
      </c>
      <c r="AU214" s="27">
        <f t="shared" ca="1" si="53"/>
        <v>0</v>
      </c>
      <c r="AV214" s="27"/>
      <c r="AW214" s="27"/>
      <c r="AY214" s="216"/>
      <c r="AZ214" s="216"/>
      <c r="BA214" s="233"/>
      <c r="BC214" s="216"/>
      <c r="BE214" s="69"/>
    </row>
    <row r="215" spans="1:57">
      <c r="A215" s="19">
        <f>[1]!_xludf.edate(A214,1)</f>
        <v>43525</v>
      </c>
      <c r="B215" s="21">
        <f t="shared" si="60"/>
        <v>31</v>
      </c>
      <c r="C215" s="20">
        <f>IF(Control!$F$18="Physical",Model!A216+24,Model!A216)</f>
        <v>43580</v>
      </c>
      <c r="E215" s="22">
        <f>IF($A215&lt;End_Date,IF(Control!$C$20="Flat",Control!$C$21,VLOOKUP(Model!$A215,Euro!$B$29:$D$182,3)),0)</f>
        <v>0</v>
      </c>
      <c r="F215" s="22">
        <f t="shared" si="54"/>
        <v>0</v>
      </c>
      <c r="H215" s="23">
        <f>IF(Control!$C$27="Mid",VLOOKUP($A215,CurveFetch!$D$8:$F$367,3),VLOOKUP($A215,Euro!$B$29:$I$182,8))</f>
        <v>5.4945000000000004</v>
      </c>
      <c r="I215" s="23"/>
      <c r="J215" s="23">
        <f>IF($J$4="Mid",VLOOKUP($A215,Curve_Fetch,VLOOKUP(Control!$AJ$10,Control!$AI$11:$AK$22,3)),VLOOKUP($A215,Euro!$B$29:$M$182,12))</f>
        <v>-0.13</v>
      </c>
      <c r="K215" s="228">
        <f>IF(Control!$F$18="Physical",IF($K$4="Mid",VLOOKUP($A215,Curve_Fetch,VLOOKUP(Control!$AJ$10,Control!$AI$11:$AL$22,4)),VLOOKUP($A215,Euro!$B$29:$Q$182,16)),0)</f>
        <v>0</v>
      </c>
      <c r="L215" s="23">
        <f t="shared" si="55"/>
        <v>-0.13</v>
      </c>
      <c r="M215" s="23"/>
      <c r="N215" s="69">
        <f t="shared" si="46"/>
        <v>5.3645000000000005</v>
      </c>
      <c r="O215" s="69">
        <f>N215+Control!$C$39</f>
        <v>5.3645000000000005</v>
      </c>
      <c r="P215" s="73">
        <f>VLOOKUP($A215,CurveFetch!$D$8:$E$367,2)</f>
        <v>5.4868405107097597E-2</v>
      </c>
      <c r="Q215" s="24">
        <f t="shared" si="56"/>
        <v>5.4868405107097597E-2</v>
      </c>
      <c r="R215" s="72">
        <f t="shared" ca="1" si="57"/>
        <v>6328</v>
      </c>
      <c r="S215" s="25">
        <f>VLOOKUP($A215,Curve_Fetch,VLOOKUP(Control!$AJ$10,Control!$AI$11:$AM$22,5))</f>
        <v>0</v>
      </c>
      <c r="T215" s="74">
        <f ca="1">_xll.EURO(N215,O215,P215,Q215,S215,R215,IF(Control!$C$38="Call",1,0),0)</f>
        <v>3.4432650865889869E-5</v>
      </c>
      <c r="U215" s="27">
        <f t="shared" ca="1" si="47"/>
        <v>0</v>
      </c>
      <c r="V215" s="76"/>
      <c r="W215" s="197"/>
      <c r="X215" s="197"/>
      <c r="Y215" s="197"/>
      <c r="AA215" s="210"/>
      <c r="AB215" s="210"/>
      <c r="AC215" s="211"/>
      <c r="AD215" s="212"/>
      <c r="AE215" s="213"/>
      <c r="AF215" s="214"/>
      <c r="AG215" s="215"/>
      <c r="AH215" s="216"/>
      <c r="AI215" s="27"/>
      <c r="AJ215" s="28">
        <f t="shared" si="48"/>
        <v>0.13</v>
      </c>
      <c r="AL215" s="24">
        <f t="shared" si="58"/>
        <v>5.4924462575292002E-2</v>
      </c>
      <c r="AM215" s="25">
        <f t="shared" ca="1" si="59"/>
        <v>0.38782660933140978</v>
      </c>
      <c r="AO215" s="26">
        <f t="shared" ca="1" si="49"/>
        <v>0</v>
      </c>
      <c r="AP215" s="26"/>
      <c r="AQ215" s="26">
        <f t="shared" ca="1" si="50"/>
        <v>0</v>
      </c>
      <c r="AR215" s="26"/>
      <c r="AS215" s="27">
        <f t="shared" ca="1" si="51"/>
        <v>0</v>
      </c>
      <c r="AT215" s="27">
        <f t="shared" ca="1" si="52"/>
        <v>0</v>
      </c>
      <c r="AU215" s="27">
        <f t="shared" ca="1" si="53"/>
        <v>0</v>
      </c>
      <c r="AV215" s="27"/>
      <c r="AW215" s="27"/>
      <c r="AY215" s="216"/>
      <c r="AZ215" s="216"/>
      <c r="BA215" s="233"/>
      <c r="BC215" s="216"/>
      <c r="BE215" s="69"/>
    </row>
    <row r="216" spans="1:57">
      <c r="A216" s="19">
        <f>[1]!_xludf.edate(A215,1)</f>
        <v>43556</v>
      </c>
      <c r="B216" s="21">
        <f t="shared" si="60"/>
        <v>30</v>
      </c>
      <c r="C216" s="20">
        <f>IF(Control!$F$18="Physical",Model!A217+24,Model!A217)</f>
        <v>43610</v>
      </c>
      <c r="E216" s="22">
        <f>IF($A216&lt;End_Date,IF(Control!$C$20="Flat",Control!$C$21,VLOOKUP(Model!$A216,Euro!$B$29:$D$182,3)),0)</f>
        <v>0</v>
      </c>
      <c r="F216" s="22">
        <f t="shared" si="54"/>
        <v>0</v>
      </c>
      <c r="H216" s="23">
        <f>IF(Control!$C$27="Mid",VLOOKUP($A216,CurveFetch!$D$8:$F$367,3),VLOOKUP($A216,Euro!$B$29:$I$182,8))</f>
        <v>5.3404999999999996</v>
      </c>
      <c r="I216" s="23"/>
      <c r="J216" s="23">
        <f>IF($J$4="Mid",VLOOKUP($A216,Curve_Fetch,VLOOKUP(Control!$AJ$10,Control!$AI$11:$AK$22,3)),VLOOKUP($A216,Euro!$B$29:$M$182,12))</f>
        <v>-0.2</v>
      </c>
      <c r="K216" s="228">
        <f>IF(Control!$F$18="Physical",IF($K$4="Mid",VLOOKUP($A216,Curve_Fetch,VLOOKUP(Control!$AJ$10,Control!$AI$11:$AL$22,4)),VLOOKUP($A216,Euro!$B$29:$Q$182,16)),0)</f>
        <v>0</v>
      </c>
      <c r="L216" s="23">
        <f t="shared" si="55"/>
        <v>-0.2</v>
      </c>
      <c r="M216" s="23"/>
      <c r="N216" s="69">
        <f t="shared" si="46"/>
        <v>5.1404999999999994</v>
      </c>
      <c r="O216" s="69">
        <f>N216+Control!$C$39</f>
        <v>5.1404999999999994</v>
      </c>
      <c r="P216" s="73">
        <f>VLOOKUP($A216,CurveFetch!$D$8:$E$367,2)</f>
        <v>5.4924462575292002E-2</v>
      </c>
      <c r="Q216" s="24">
        <f t="shared" si="56"/>
        <v>5.4924462575292002E-2</v>
      </c>
      <c r="R216" s="72">
        <f t="shared" ca="1" si="57"/>
        <v>6359</v>
      </c>
      <c r="S216" s="25">
        <f>VLOOKUP($A216,Curve_Fetch,VLOOKUP(Control!$AJ$10,Control!$AI$11:$AM$22,5))</f>
        <v>0</v>
      </c>
      <c r="T216" s="74">
        <f ca="1">_xll.EURO(N216,O216,P216,Q216,S216,R216,IF(Control!$C$38="Call",1,0),0)</f>
        <v>3.2889810263281305E-5</v>
      </c>
      <c r="U216" s="27">
        <f t="shared" ca="1" si="47"/>
        <v>0</v>
      </c>
      <c r="V216" s="76"/>
      <c r="W216" s="197"/>
      <c r="X216" s="197"/>
      <c r="Y216" s="197"/>
      <c r="AA216" s="210"/>
      <c r="AB216" s="210"/>
      <c r="AC216" s="211"/>
      <c r="AD216" s="212"/>
      <c r="AE216" s="213"/>
      <c r="AF216" s="214"/>
      <c r="AG216" s="215"/>
      <c r="AH216" s="216"/>
      <c r="AI216" s="27"/>
      <c r="AJ216" s="28">
        <f t="shared" si="48"/>
        <v>0.2</v>
      </c>
      <c r="AL216" s="24">
        <f t="shared" si="58"/>
        <v>5.4978711739056801E-2</v>
      </c>
      <c r="AM216" s="25">
        <f t="shared" ca="1" si="59"/>
        <v>0.38574657949778973</v>
      </c>
      <c r="AO216" s="26">
        <f t="shared" ca="1" si="49"/>
        <v>0</v>
      </c>
      <c r="AP216" s="26"/>
      <c r="AQ216" s="26">
        <f t="shared" ca="1" si="50"/>
        <v>0</v>
      </c>
      <c r="AR216" s="26"/>
      <c r="AS216" s="27">
        <f t="shared" ca="1" si="51"/>
        <v>0</v>
      </c>
      <c r="AT216" s="27">
        <f t="shared" ca="1" si="52"/>
        <v>0</v>
      </c>
      <c r="AU216" s="27">
        <f t="shared" ca="1" si="53"/>
        <v>0</v>
      </c>
      <c r="AV216" s="27"/>
      <c r="AW216" s="27"/>
      <c r="AY216" s="216"/>
      <c r="AZ216" s="216"/>
      <c r="BA216" s="233"/>
      <c r="BC216" s="216"/>
      <c r="BE216" s="69"/>
    </row>
    <row r="217" spans="1:57">
      <c r="A217" s="19">
        <f>[1]!_xludf.edate(A216,1)</f>
        <v>43586</v>
      </c>
      <c r="B217" s="21">
        <f t="shared" si="60"/>
        <v>31</v>
      </c>
      <c r="C217" s="20">
        <f>IF(Control!$F$18="Physical",Model!A218+24,Model!A218)</f>
        <v>43641</v>
      </c>
      <c r="E217" s="22">
        <f>IF($A217&lt;End_Date,IF(Control!$C$20="Flat",Control!$C$21,VLOOKUP(Model!$A217,Euro!$B$29:$D$182,3)),0)</f>
        <v>0</v>
      </c>
      <c r="F217" s="22">
        <f t="shared" si="54"/>
        <v>0</v>
      </c>
      <c r="H217" s="23">
        <f>IF(Control!$C$27="Mid",VLOOKUP($A217,CurveFetch!$D$8:$F$367,3),VLOOKUP($A217,Euro!$B$29:$I$182,8))</f>
        <v>5.3455000000000004</v>
      </c>
      <c r="I217" s="23"/>
      <c r="J217" s="23">
        <f>IF($J$4="Mid",VLOOKUP($A217,Curve_Fetch,VLOOKUP(Control!$AJ$10,Control!$AI$11:$AK$22,3)),VLOOKUP($A217,Euro!$B$29:$M$182,12))</f>
        <v>-0.2</v>
      </c>
      <c r="K217" s="228">
        <f>IF(Control!$F$18="Physical",IF($K$4="Mid",VLOOKUP($A217,Curve_Fetch,VLOOKUP(Control!$AJ$10,Control!$AI$11:$AL$22,4)),VLOOKUP($A217,Euro!$B$29:$Q$182,16)),0)</f>
        <v>0</v>
      </c>
      <c r="L217" s="23">
        <f t="shared" si="55"/>
        <v>-0.2</v>
      </c>
      <c r="M217" s="23"/>
      <c r="N217" s="69">
        <f t="shared" si="46"/>
        <v>5.1455000000000002</v>
      </c>
      <c r="O217" s="69">
        <f>N217+Control!$C$39</f>
        <v>5.1455000000000002</v>
      </c>
      <c r="P217" s="73">
        <f>VLOOKUP($A217,CurveFetch!$D$8:$E$367,2)</f>
        <v>5.4978711739056801E-2</v>
      </c>
      <c r="Q217" s="24">
        <f t="shared" si="56"/>
        <v>5.4978711739056801E-2</v>
      </c>
      <c r="R217" s="72">
        <f t="shared" ca="1" si="57"/>
        <v>6389</v>
      </c>
      <c r="S217" s="25">
        <f>VLOOKUP($A217,Curve_Fetch,VLOOKUP(Control!$AJ$10,Control!$AI$11:$AM$22,5))</f>
        <v>0</v>
      </c>
      <c r="T217" s="74">
        <f ca="1">_xll.EURO(N217,O217,P217,Q217,S217,R217,IF(Control!$C$38="Call",1,0),0)</f>
        <v>3.2819670614414598E-5</v>
      </c>
      <c r="U217" s="27">
        <f t="shared" ca="1" si="47"/>
        <v>0</v>
      </c>
      <c r="V217" s="76"/>
      <c r="W217" s="197"/>
      <c r="X217" s="197"/>
      <c r="Y217" s="197"/>
      <c r="AA217" s="210"/>
      <c r="AB217" s="210"/>
      <c r="AC217" s="211"/>
      <c r="AD217" s="212"/>
      <c r="AE217" s="213"/>
      <c r="AF217" s="214"/>
      <c r="AG217" s="215"/>
      <c r="AH217" s="216"/>
      <c r="AI217" s="27"/>
      <c r="AJ217" s="28">
        <f t="shared" si="48"/>
        <v>0.2</v>
      </c>
      <c r="AL217" s="24">
        <f t="shared" si="58"/>
        <v>5.5034769209310497E-2</v>
      </c>
      <c r="AM217" s="25">
        <f t="shared" ca="1" si="59"/>
        <v>0.38360544902227534</v>
      </c>
      <c r="AO217" s="26">
        <f t="shared" ca="1" si="49"/>
        <v>0</v>
      </c>
      <c r="AP217" s="26"/>
      <c r="AQ217" s="26">
        <f t="shared" ca="1" si="50"/>
        <v>0</v>
      </c>
      <c r="AR217" s="26"/>
      <c r="AS217" s="27">
        <f t="shared" ca="1" si="51"/>
        <v>0</v>
      </c>
      <c r="AT217" s="27">
        <f t="shared" ca="1" si="52"/>
        <v>0</v>
      </c>
      <c r="AU217" s="27">
        <f t="shared" ca="1" si="53"/>
        <v>0</v>
      </c>
      <c r="AV217" s="27"/>
      <c r="AW217" s="27"/>
      <c r="AY217" s="216"/>
      <c r="AZ217" s="216"/>
      <c r="BA217" s="233"/>
      <c r="BC217" s="216"/>
      <c r="BE217" s="69"/>
    </row>
    <row r="218" spans="1:57">
      <c r="A218" s="19">
        <f>[1]!_xludf.edate(A217,1)</f>
        <v>43617</v>
      </c>
      <c r="B218" s="21">
        <f t="shared" si="60"/>
        <v>30</v>
      </c>
      <c r="C218" s="20">
        <f>IF(Control!$F$18="Physical",Model!A219+24,Model!A219)</f>
        <v>43671</v>
      </c>
      <c r="E218" s="22">
        <f>IF($A218&lt;End_Date,IF(Control!$C$20="Flat",Control!$C$21,VLOOKUP(Model!$A218,Euro!$B$29:$D$182,3)),0)</f>
        <v>0</v>
      </c>
      <c r="F218" s="22">
        <f t="shared" si="54"/>
        <v>0</v>
      </c>
      <c r="H218" s="23">
        <f>IF(Control!$C$27="Mid",VLOOKUP($A218,CurveFetch!$D$8:$F$367,3),VLOOKUP($A218,Euro!$B$29:$I$182,8))</f>
        <v>5.3834999999999997</v>
      </c>
      <c r="I218" s="23"/>
      <c r="J218" s="23">
        <f>IF($J$4="Mid",VLOOKUP($A218,Curve_Fetch,VLOOKUP(Control!$AJ$10,Control!$AI$11:$AK$22,3)),VLOOKUP($A218,Euro!$B$29:$M$182,12))</f>
        <v>-0.2</v>
      </c>
      <c r="K218" s="228">
        <f>IF(Control!$F$18="Physical",IF($K$4="Mid",VLOOKUP($A218,Curve_Fetch,VLOOKUP(Control!$AJ$10,Control!$AI$11:$AL$22,4)),VLOOKUP($A218,Euro!$B$29:$Q$182,16)),0)</f>
        <v>0</v>
      </c>
      <c r="L218" s="23">
        <f t="shared" si="55"/>
        <v>-0.2</v>
      </c>
      <c r="M218" s="23"/>
      <c r="N218" s="69">
        <f t="shared" si="46"/>
        <v>5.1834999999999996</v>
      </c>
      <c r="O218" s="69">
        <f>N218+Control!$C$39</f>
        <v>5.1834999999999996</v>
      </c>
      <c r="P218" s="73">
        <f>VLOOKUP($A218,CurveFetch!$D$8:$E$367,2)</f>
        <v>5.5034769209310497E-2</v>
      </c>
      <c r="Q218" s="24">
        <f t="shared" si="56"/>
        <v>5.5034769209310497E-2</v>
      </c>
      <c r="R218" s="72">
        <f t="shared" ca="1" si="57"/>
        <v>6420</v>
      </c>
      <c r="S218" s="25">
        <f>VLOOKUP($A218,Curve_Fetch,VLOOKUP(Control!$AJ$10,Control!$AI$11:$AM$22,5))</f>
        <v>0</v>
      </c>
      <c r="T218" s="74">
        <f ca="1">_xll.EURO(N218,O218,P218,Q218,S218,R218,IF(Control!$C$38="Call",1,0),0)</f>
        <v>3.295537786540681E-5</v>
      </c>
      <c r="U218" s="27">
        <f t="shared" ca="1" si="47"/>
        <v>0</v>
      </c>
      <c r="V218" s="76"/>
      <c r="W218" s="197"/>
      <c r="X218" s="197"/>
      <c r="Y218" s="197"/>
      <c r="AA218" s="210"/>
      <c r="AB218" s="210"/>
      <c r="AC218" s="211"/>
      <c r="AD218" s="212"/>
      <c r="AE218" s="213"/>
      <c r="AF218" s="214"/>
      <c r="AG218" s="215"/>
      <c r="AH218" s="216"/>
      <c r="AI218" s="27"/>
      <c r="AJ218" s="28">
        <f t="shared" si="48"/>
        <v>0.2</v>
      </c>
      <c r="AL218" s="24">
        <f t="shared" si="58"/>
        <v>5.5089018375068299E-2</v>
      </c>
      <c r="AM218" s="25">
        <f t="shared" ca="1" si="59"/>
        <v>0.38154134895300018</v>
      </c>
      <c r="AO218" s="26">
        <f t="shared" ca="1" si="49"/>
        <v>0</v>
      </c>
      <c r="AP218" s="26"/>
      <c r="AQ218" s="26">
        <f t="shared" ca="1" si="50"/>
        <v>0</v>
      </c>
      <c r="AR218" s="26"/>
      <c r="AS218" s="27">
        <f t="shared" ca="1" si="51"/>
        <v>0</v>
      </c>
      <c r="AT218" s="27">
        <f t="shared" ca="1" si="52"/>
        <v>0</v>
      </c>
      <c r="AU218" s="27">
        <f t="shared" ca="1" si="53"/>
        <v>0</v>
      </c>
      <c r="AV218" s="27"/>
      <c r="AW218" s="27"/>
      <c r="AY218" s="216"/>
      <c r="AZ218" s="216"/>
      <c r="BA218" s="233"/>
      <c r="BC218" s="216"/>
      <c r="BE218" s="69"/>
    </row>
    <row r="219" spans="1:57">
      <c r="A219" s="19">
        <f>[1]!_xludf.edate(A218,1)</f>
        <v>43647</v>
      </c>
      <c r="B219" s="21">
        <f t="shared" si="60"/>
        <v>31</v>
      </c>
      <c r="C219" s="20">
        <f>IF(Control!$F$18="Physical",Model!A220+24,Model!A220)</f>
        <v>43702</v>
      </c>
      <c r="E219" s="22">
        <f>IF($A219&lt;End_Date,IF(Control!$C$20="Flat",Control!$C$21,VLOOKUP(Model!$A219,Euro!$B$29:$D$182,3)),0)</f>
        <v>0</v>
      </c>
      <c r="F219" s="22">
        <f t="shared" si="54"/>
        <v>0</v>
      </c>
      <c r="H219" s="23">
        <f>IF(Control!$C$27="Mid",VLOOKUP($A219,CurveFetch!$D$8:$F$367,3),VLOOKUP($A219,Euro!$B$29:$I$182,8))</f>
        <v>5.4284999999999997</v>
      </c>
      <c r="I219" s="23"/>
      <c r="J219" s="23">
        <f>IF($J$4="Mid",VLOOKUP($A219,Curve_Fetch,VLOOKUP(Control!$AJ$10,Control!$AI$11:$AK$22,3)),VLOOKUP($A219,Euro!$B$29:$M$182,12))</f>
        <v>-0.2</v>
      </c>
      <c r="K219" s="228">
        <f>IF(Control!$F$18="Physical",IF($K$4="Mid",VLOOKUP($A219,Curve_Fetch,VLOOKUP(Control!$AJ$10,Control!$AI$11:$AL$22,4)),VLOOKUP($A219,Euro!$B$29:$Q$182,16)),0)</f>
        <v>0</v>
      </c>
      <c r="L219" s="23">
        <f t="shared" si="55"/>
        <v>-0.2</v>
      </c>
      <c r="M219" s="23"/>
      <c r="N219" s="69">
        <f t="shared" si="46"/>
        <v>5.2284999999999995</v>
      </c>
      <c r="O219" s="69">
        <f>N219+Control!$C$39</f>
        <v>5.2284999999999995</v>
      </c>
      <c r="P219" s="73">
        <f>VLOOKUP($A219,CurveFetch!$D$8:$E$367,2)</f>
        <v>5.5089018375068299E-2</v>
      </c>
      <c r="Q219" s="24">
        <f t="shared" si="56"/>
        <v>5.5089018375068299E-2</v>
      </c>
      <c r="R219" s="72">
        <f t="shared" ca="1" si="57"/>
        <v>6450</v>
      </c>
      <c r="S219" s="25">
        <f>VLOOKUP($A219,Curve_Fetch,VLOOKUP(Control!$AJ$10,Control!$AI$11:$AM$22,5))</f>
        <v>0</v>
      </c>
      <c r="T219" s="74">
        <f ca="1">_xll.EURO(N219,O219,P219,Q219,S219,R219,IF(Control!$C$38="Call",1,0),0)</f>
        <v>3.3137014608719539E-5</v>
      </c>
      <c r="U219" s="27">
        <f t="shared" ca="1" si="47"/>
        <v>0</v>
      </c>
      <c r="V219" s="76"/>
      <c r="W219" s="197"/>
      <c r="X219" s="197"/>
      <c r="Y219" s="197"/>
      <c r="AA219" s="210"/>
      <c r="AB219" s="210"/>
      <c r="AC219" s="211"/>
      <c r="AD219" s="212"/>
      <c r="AE219" s="213"/>
      <c r="AF219" s="214"/>
      <c r="AG219" s="215"/>
      <c r="AH219" s="216"/>
      <c r="AI219" s="27"/>
      <c r="AJ219" s="28">
        <f t="shared" si="48"/>
        <v>0.2</v>
      </c>
      <c r="AL219" s="24">
        <f t="shared" si="58"/>
        <v>5.5145075847381299E-2</v>
      </c>
      <c r="AM219" s="25">
        <f t="shared" ca="1" si="59"/>
        <v>0.37941666574369315</v>
      </c>
      <c r="AO219" s="26">
        <f t="shared" ca="1" si="49"/>
        <v>0</v>
      </c>
      <c r="AP219" s="26"/>
      <c r="AQ219" s="26">
        <f t="shared" ca="1" si="50"/>
        <v>0</v>
      </c>
      <c r="AR219" s="26"/>
      <c r="AS219" s="27">
        <f t="shared" ca="1" si="51"/>
        <v>0</v>
      </c>
      <c r="AT219" s="27">
        <f t="shared" ca="1" si="52"/>
        <v>0</v>
      </c>
      <c r="AU219" s="27">
        <f t="shared" ca="1" si="53"/>
        <v>0</v>
      </c>
      <c r="AV219" s="27"/>
      <c r="AW219" s="27"/>
      <c r="AY219" s="216"/>
      <c r="AZ219" s="216"/>
      <c r="BA219" s="233"/>
      <c r="BC219" s="216"/>
      <c r="BE219" s="69"/>
    </row>
    <row r="220" spans="1:57">
      <c r="A220" s="19">
        <f>[1]!_xludf.edate(A219,1)</f>
        <v>43678</v>
      </c>
      <c r="B220" s="21">
        <f t="shared" si="60"/>
        <v>31</v>
      </c>
      <c r="C220" s="20">
        <f>IF(Control!$F$18="Physical",Model!A221+24,Model!A221)</f>
        <v>43733</v>
      </c>
      <c r="E220" s="22">
        <f>IF($A220&lt;End_Date,IF(Control!$C$20="Flat",Control!$C$21,VLOOKUP(Model!$A220,Euro!$B$29:$D$182,3)),0)</f>
        <v>0</v>
      </c>
      <c r="F220" s="22">
        <f t="shared" si="54"/>
        <v>0</v>
      </c>
      <c r="H220" s="23">
        <f>IF(Control!$C$27="Mid",VLOOKUP($A220,CurveFetch!$D$8:$F$367,3),VLOOKUP($A220,Euro!$B$29:$I$182,8))</f>
        <v>5.4664999999999999</v>
      </c>
      <c r="I220" s="23"/>
      <c r="J220" s="23">
        <f>IF($J$4="Mid",VLOOKUP($A220,Curve_Fetch,VLOOKUP(Control!$AJ$10,Control!$AI$11:$AK$22,3)),VLOOKUP($A220,Euro!$B$29:$M$182,12))</f>
        <v>-0.2</v>
      </c>
      <c r="K220" s="228">
        <f>IF(Control!$F$18="Physical",IF($K$4="Mid",VLOOKUP($A220,Curve_Fetch,VLOOKUP(Control!$AJ$10,Control!$AI$11:$AL$22,4)),VLOOKUP($A220,Euro!$B$29:$Q$182,16)),0)</f>
        <v>0</v>
      </c>
      <c r="L220" s="23">
        <f t="shared" si="55"/>
        <v>-0.2</v>
      </c>
      <c r="M220" s="23"/>
      <c r="N220" s="69">
        <f t="shared" si="46"/>
        <v>5.2664999999999997</v>
      </c>
      <c r="O220" s="69">
        <f>N220+Control!$C$39</f>
        <v>5.2664999999999997</v>
      </c>
      <c r="P220" s="73">
        <f>VLOOKUP($A220,CurveFetch!$D$8:$E$367,2)</f>
        <v>5.5145075847381299E-2</v>
      </c>
      <c r="Q220" s="24">
        <f t="shared" si="56"/>
        <v>5.5145075847381299E-2</v>
      </c>
      <c r="R220" s="72">
        <f t="shared" ca="1" si="57"/>
        <v>6481</v>
      </c>
      <c r="S220" s="25">
        <f>VLOOKUP($A220,Curve_Fetch,VLOOKUP(Control!$AJ$10,Control!$AI$11:$AM$22,5))</f>
        <v>0</v>
      </c>
      <c r="T220" s="74">
        <f ca="1">_xll.EURO(N220,O220,P220,Q220,S220,R220,IF(Control!$C$38="Call",1,0),0)</f>
        <v>3.3268779247142E-5</v>
      </c>
      <c r="U220" s="27">
        <f t="shared" ca="1" si="47"/>
        <v>0</v>
      </c>
      <c r="V220" s="76"/>
      <c r="W220" s="197"/>
      <c r="X220" s="197"/>
      <c r="Y220" s="197"/>
      <c r="AA220" s="210"/>
      <c r="AB220" s="210"/>
      <c r="AC220" s="211"/>
      <c r="AD220" s="212"/>
      <c r="AE220" s="213"/>
      <c r="AF220" s="214"/>
      <c r="AG220" s="215"/>
      <c r="AH220" s="216"/>
      <c r="AI220" s="27"/>
      <c r="AJ220" s="28">
        <f t="shared" si="48"/>
        <v>0.2</v>
      </c>
      <c r="AL220" s="24">
        <f t="shared" si="58"/>
        <v>5.5201133320741003E-2</v>
      </c>
      <c r="AM220" s="25">
        <f t="shared" ca="1" si="59"/>
        <v>0.37730033030932847</v>
      </c>
      <c r="AO220" s="26">
        <f t="shared" ca="1" si="49"/>
        <v>0</v>
      </c>
      <c r="AP220" s="26"/>
      <c r="AQ220" s="26">
        <f t="shared" ca="1" si="50"/>
        <v>0</v>
      </c>
      <c r="AR220" s="26"/>
      <c r="AS220" s="27">
        <f t="shared" ca="1" si="51"/>
        <v>0</v>
      </c>
      <c r="AT220" s="27">
        <f t="shared" ca="1" si="52"/>
        <v>0</v>
      </c>
      <c r="AU220" s="27">
        <f t="shared" ca="1" si="53"/>
        <v>0</v>
      </c>
      <c r="AV220" s="27"/>
      <c r="AW220" s="27"/>
      <c r="AY220" s="216"/>
      <c r="AZ220" s="216"/>
      <c r="BA220" s="233"/>
      <c r="BC220" s="216"/>
      <c r="BE220" s="69"/>
    </row>
    <row r="221" spans="1:57">
      <c r="A221" s="19">
        <f>[1]!_xludf.edate(A220,1)</f>
        <v>43709</v>
      </c>
      <c r="B221" s="21">
        <f t="shared" si="60"/>
        <v>30</v>
      </c>
      <c r="C221" s="20">
        <f>IF(Control!$F$18="Physical",Model!A222+24,Model!A222)</f>
        <v>43763</v>
      </c>
      <c r="E221" s="22">
        <f>IF($A221&lt;End_Date,IF(Control!$C$20="Flat",Control!$C$21,VLOOKUP(Model!$A221,Euro!$B$29:$D$182,3)),0)</f>
        <v>0</v>
      </c>
      <c r="F221" s="22">
        <f t="shared" si="54"/>
        <v>0</v>
      </c>
      <c r="H221" s="23">
        <f>IF(Control!$C$27="Mid",VLOOKUP($A221,CurveFetch!$D$8:$F$367,3),VLOOKUP($A221,Euro!$B$29:$I$182,8))</f>
        <v>5.4604999999999997</v>
      </c>
      <c r="I221" s="23"/>
      <c r="J221" s="23">
        <f>IF($J$4="Mid",VLOOKUP($A221,Curve_Fetch,VLOOKUP(Control!$AJ$10,Control!$AI$11:$AK$22,3)),VLOOKUP($A221,Euro!$B$29:$M$182,12))</f>
        <v>-0.2</v>
      </c>
      <c r="K221" s="228">
        <f>IF(Control!$F$18="Physical",IF($K$4="Mid",VLOOKUP($A221,Curve_Fetch,VLOOKUP(Control!$AJ$10,Control!$AI$11:$AL$22,4)),VLOOKUP($A221,Euro!$B$29:$Q$182,16)),0)</f>
        <v>0</v>
      </c>
      <c r="L221" s="23">
        <f t="shared" si="55"/>
        <v>-0.2</v>
      </c>
      <c r="M221" s="23"/>
      <c r="N221" s="69">
        <f t="shared" si="46"/>
        <v>5.2604999999999995</v>
      </c>
      <c r="O221" s="69">
        <f>N221+Control!$C$39</f>
        <v>5.2604999999999995</v>
      </c>
      <c r="P221" s="73">
        <f>VLOOKUP($A221,CurveFetch!$D$8:$E$367,2)</f>
        <v>5.5201133320741003E-2</v>
      </c>
      <c r="Q221" s="24">
        <f t="shared" si="56"/>
        <v>5.5201133320741003E-2</v>
      </c>
      <c r="R221" s="72">
        <f t="shared" ca="1" si="57"/>
        <v>6512</v>
      </c>
      <c r="S221" s="25">
        <f>VLOOKUP($A221,Curve_Fetch,VLOOKUP(Control!$AJ$10,Control!$AI$11:$AM$22,5))</f>
        <v>0</v>
      </c>
      <c r="T221" s="74">
        <f ca="1">_xll.EURO(N221,O221,P221,Q221,S221,R221,IF(Control!$C$38="Call",1,0),0)</f>
        <v>3.3121592632689989E-5</v>
      </c>
      <c r="U221" s="27">
        <f t="shared" ca="1" si="47"/>
        <v>0</v>
      </c>
      <c r="V221" s="76"/>
      <c r="W221" s="197"/>
      <c r="X221" s="197"/>
      <c r="Y221" s="197"/>
      <c r="AA221" s="210"/>
      <c r="AB221" s="210"/>
      <c r="AC221" s="211"/>
      <c r="AD221" s="212"/>
      <c r="AE221" s="213"/>
      <c r="AF221" s="214"/>
      <c r="AG221" s="215"/>
      <c r="AH221" s="216"/>
      <c r="AI221" s="27"/>
      <c r="AJ221" s="28">
        <f t="shared" si="48"/>
        <v>0.2</v>
      </c>
      <c r="AL221" s="24">
        <f t="shared" si="58"/>
        <v>5.5255382489504803E-2</v>
      </c>
      <c r="AM221" s="25">
        <f t="shared" ca="1" si="59"/>
        <v>0.37526020494072648</v>
      </c>
      <c r="AO221" s="26">
        <f t="shared" ca="1" si="49"/>
        <v>0</v>
      </c>
      <c r="AP221" s="26"/>
      <c r="AQ221" s="26">
        <f t="shared" ca="1" si="50"/>
        <v>0</v>
      </c>
      <c r="AR221" s="26"/>
      <c r="AS221" s="27">
        <f t="shared" ca="1" si="51"/>
        <v>0</v>
      </c>
      <c r="AT221" s="27">
        <f t="shared" ca="1" si="52"/>
        <v>0</v>
      </c>
      <c r="AU221" s="27">
        <f t="shared" ca="1" si="53"/>
        <v>0</v>
      </c>
      <c r="AV221" s="27"/>
      <c r="AW221" s="27"/>
      <c r="AY221" s="216"/>
      <c r="AZ221" s="216"/>
      <c r="BA221" s="233"/>
      <c r="BC221" s="216"/>
      <c r="BE221" s="69"/>
    </row>
    <row r="222" spans="1:57">
      <c r="A222" s="19">
        <f>[1]!_xludf.edate(A221,1)</f>
        <v>43739</v>
      </c>
      <c r="B222" s="21">
        <f t="shared" si="60"/>
        <v>31</v>
      </c>
      <c r="C222" s="20">
        <f>IF(Control!$F$18="Physical",Model!A223+24,Model!A223)</f>
        <v>43794</v>
      </c>
      <c r="E222" s="22">
        <f>IF($A222&lt;End_Date,IF(Control!$C$20="Flat",Control!$C$21,VLOOKUP(Model!$A222,Euro!$B$29:$D$182,3)),0)</f>
        <v>0</v>
      </c>
      <c r="F222" s="22">
        <f t="shared" si="54"/>
        <v>0</v>
      </c>
      <c r="H222" s="23">
        <f>IF(Control!$C$27="Mid",VLOOKUP($A222,CurveFetch!$D$8:$F$367,3),VLOOKUP($A222,Euro!$B$29:$I$182,8))</f>
        <v>5.4604999999999997</v>
      </c>
      <c r="I222" s="23"/>
      <c r="J222" s="23">
        <f>IF($J$4="Mid",VLOOKUP($A222,Curve_Fetch,VLOOKUP(Control!$AJ$10,Control!$AI$11:$AK$22,3)),VLOOKUP($A222,Euro!$B$29:$M$182,12))</f>
        <v>-0.2</v>
      </c>
      <c r="K222" s="228">
        <f>IF(Control!$F$18="Physical",IF($K$4="Mid",VLOOKUP($A222,Curve_Fetch,VLOOKUP(Control!$AJ$10,Control!$AI$11:$AL$22,4)),VLOOKUP($A222,Euro!$B$29:$Q$182,16)),0)</f>
        <v>0</v>
      </c>
      <c r="L222" s="23">
        <f t="shared" si="55"/>
        <v>-0.2</v>
      </c>
      <c r="M222" s="23"/>
      <c r="N222" s="69">
        <f t="shared" si="46"/>
        <v>5.2604999999999995</v>
      </c>
      <c r="O222" s="69">
        <f>N222+Control!$C$39</f>
        <v>5.2604999999999995</v>
      </c>
      <c r="P222" s="73">
        <f>VLOOKUP($A222,CurveFetch!$D$8:$E$367,2)</f>
        <v>5.5255382489504803E-2</v>
      </c>
      <c r="Q222" s="24">
        <f t="shared" si="56"/>
        <v>5.5255382489504803E-2</v>
      </c>
      <c r="R222" s="72">
        <f t="shared" ca="1" si="57"/>
        <v>6542</v>
      </c>
      <c r="S222" s="25">
        <f>VLOOKUP($A222,Curve_Fetch,VLOOKUP(Control!$AJ$10,Control!$AI$11:$AM$22,5))</f>
        <v>0</v>
      </c>
      <c r="T222" s="74">
        <f ca="1">_xll.EURO(N222,O222,P222,Q222,S222,R222,IF(Control!$C$38="Call",1,0),0)</f>
        <v>3.3015520540247145E-5</v>
      </c>
      <c r="U222" s="27">
        <f t="shared" ca="1" si="47"/>
        <v>0</v>
      </c>
      <c r="V222" s="76"/>
      <c r="W222" s="197"/>
      <c r="X222" s="197"/>
      <c r="Y222" s="197"/>
      <c r="AA222" s="210"/>
      <c r="AB222" s="210"/>
      <c r="AC222" s="211"/>
      <c r="AD222" s="212"/>
      <c r="AE222" s="213"/>
      <c r="AF222" s="214"/>
      <c r="AG222" s="215"/>
      <c r="AH222" s="216"/>
      <c r="AI222" s="27"/>
      <c r="AJ222" s="28">
        <f t="shared" si="48"/>
        <v>0.2</v>
      </c>
      <c r="AL222" s="24">
        <f t="shared" si="58"/>
        <v>5.53114399649237E-2</v>
      </c>
      <c r="AM222" s="25">
        <f t="shared" ca="1" si="59"/>
        <v>0.37316027384876477</v>
      </c>
      <c r="AO222" s="26">
        <f t="shared" ca="1" si="49"/>
        <v>0</v>
      </c>
      <c r="AP222" s="26"/>
      <c r="AQ222" s="26">
        <f t="shared" ca="1" si="50"/>
        <v>0</v>
      </c>
      <c r="AR222" s="26"/>
      <c r="AS222" s="27">
        <f t="shared" ca="1" si="51"/>
        <v>0</v>
      </c>
      <c r="AT222" s="27">
        <f t="shared" ca="1" si="52"/>
        <v>0</v>
      </c>
      <c r="AU222" s="27">
        <f t="shared" ca="1" si="53"/>
        <v>0</v>
      </c>
      <c r="AV222" s="27"/>
      <c r="AW222" s="27"/>
      <c r="AY222" s="216"/>
      <c r="AZ222" s="216"/>
      <c r="BA222" s="233"/>
      <c r="BC222" s="216"/>
      <c r="BE222" s="69"/>
    </row>
    <row r="223" spans="1:57">
      <c r="A223" s="19">
        <f>[1]!_xludf.edate(A222,1)</f>
        <v>43770</v>
      </c>
      <c r="B223" s="21">
        <f t="shared" si="60"/>
        <v>30</v>
      </c>
      <c r="C223" s="20">
        <f>IF(Control!$F$18="Physical",Model!A224+24,Model!A224)</f>
        <v>43824</v>
      </c>
      <c r="E223" s="22">
        <f>IF($A223&lt;End_Date,IF(Control!$C$20="Flat",Control!$C$21,VLOOKUP(Model!$A223,Euro!$B$29:$D$182,3)),0)</f>
        <v>0</v>
      </c>
      <c r="F223" s="22">
        <f t="shared" si="54"/>
        <v>0</v>
      </c>
      <c r="H223" s="23">
        <f>IF(Control!$C$27="Mid",VLOOKUP($A223,CurveFetch!$D$8:$F$367,3),VLOOKUP($A223,Euro!$B$29:$I$182,8))</f>
        <v>5.6304999999999996</v>
      </c>
      <c r="I223" s="23"/>
      <c r="J223" s="23">
        <f>IF($J$4="Mid",VLOOKUP($A223,Curve_Fetch,VLOOKUP(Control!$AJ$10,Control!$AI$11:$AK$22,3)),VLOOKUP($A223,Euro!$B$29:$M$182,12))</f>
        <v>-0.13</v>
      </c>
      <c r="K223" s="228">
        <f>IF(Control!$F$18="Physical",IF($K$4="Mid",VLOOKUP($A223,Curve_Fetch,VLOOKUP(Control!$AJ$10,Control!$AI$11:$AL$22,4)),VLOOKUP($A223,Euro!$B$29:$Q$182,16)),0)</f>
        <v>0</v>
      </c>
      <c r="L223" s="23">
        <f t="shared" si="55"/>
        <v>-0.13</v>
      </c>
      <c r="M223" s="23"/>
      <c r="N223" s="69">
        <f t="shared" si="46"/>
        <v>5.5004999999999997</v>
      </c>
      <c r="O223" s="69">
        <f>N223+Control!$C$39</f>
        <v>5.5004999999999997</v>
      </c>
      <c r="P223" s="73">
        <f>VLOOKUP($A223,CurveFetch!$D$8:$E$367,2)</f>
        <v>5.53114399649237E-2</v>
      </c>
      <c r="Q223" s="24">
        <f t="shared" si="56"/>
        <v>5.53114399649237E-2</v>
      </c>
      <c r="R223" s="72">
        <f t="shared" ca="1" si="57"/>
        <v>6573</v>
      </c>
      <c r="S223" s="25">
        <f>VLOOKUP($A223,Curve_Fetch,VLOOKUP(Control!$AJ$10,Control!$AI$11:$AM$22,5))</f>
        <v>0</v>
      </c>
      <c r="T223" s="74">
        <f ca="1">_xll.EURO(N223,O223,P223,Q223,S223,R223,IF(Control!$C$38="Call",1,0),0)</f>
        <v>3.4406851493251622E-5</v>
      </c>
      <c r="U223" s="27">
        <f t="shared" ca="1" si="47"/>
        <v>0</v>
      </c>
      <c r="V223" s="76"/>
      <c r="W223" s="197"/>
      <c r="X223" s="197"/>
      <c r="Y223" s="197"/>
      <c r="AA223" s="210"/>
      <c r="AB223" s="210"/>
      <c r="AC223" s="211"/>
      <c r="AD223" s="212"/>
      <c r="AE223" s="213"/>
      <c r="AF223" s="214"/>
      <c r="AG223" s="215"/>
      <c r="AH223" s="216"/>
      <c r="AI223" s="27"/>
      <c r="AJ223" s="28">
        <f t="shared" si="48"/>
        <v>0.13</v>
      </c>
      <c r="AL223" s="24">
        <f t="shared" si="58"/>
        <v>5.5365689135680601E-2</v>
      </c>
      <c r="AM223" s="25">
        <f t="shared" ca="1" si="59"/>
        <v>0.37113600917135925</v>
      </c>
      <c r="AO223" s="26">
        <f t="shared" ca="1" si="49"/>
        <v>0</v>
      </c>
      <c r="AP223" s="26"/>
      <c r="AQ223" s="26">
        <f t="shared" ca="1" si="50"/>
        <v>0</v>
      </c>
      <c r="AR223" s="26"/>
      <c r="AS223" s="27">
        <f t="shared" ca="1" si="51"/>
        <v>0</v>
      </c>
      <c r="AT223" s="27">
        <f t="shared" ca="1" si="52"/>
        <v>0</v>
      </c>
      <c r="AU223" s="27">
        <f t="shared" ca="1" si="53"/>
        <v>0</v>
      </c>
      <c r="AV223" s="27"/>
      <c r="AW223" s="27"/>
      <c r="AY223" s="216"/>
      <c r="AZ223" s="216"/>
      <c r="BA223" s="233"/>
      <c r="BC223" s="216"/>
      <c r="BE223" s="69"/>
    </row>
    <row r="224" spans="1:57">
      <c r="A224" s="19">
        <f>[1]!_xludf.edate(A223,1)</f>
        <v>43800</v>
      </c>
      <c r="B224" s="21">
        <f t="shared" si="60"/>
        <v>31</v>
      </c>
      <c r="C224" s="20">
        <f>IF(Control!$F$18="Physical",Model!A225+24,Model!A225)</f>
        <v>43855</v>
      </c>
      <c r="E224" s="22">
        <f>IF($A224&lt;End_Date,IF(Control!$C$20="Flat",Control!$C$21,VLOOKUP(Model!$A224,Euro!$B$29:$D$182,3)),0)</f>
        <v>0</v>
      </c>
      <c r="F224" s="22">
        <f t="shared" si="54"/>
        <v>0</v>
      </c>
      <c r="H224" s="23">
        <f>IF(Control!$C$27="Mid",VLOOKUP($A224,CurveFetch!$D$8:$F$367,3),VLOOKUP($A224,Euro!$B$29:$I$182,8))</f>
        <v>5.7614999999999998</v>
      </c>
      <c r="I224" s="23"/>
      <c r="J224" s="23">
        <f>IF($J$4="Mid",VLOOKUP($A224,Curve_Fetch,VLOOKUP(Control!$AJ$10,Control!$AI$11:$AK$22,3)),VLOOKUP($A224,Euro!$B$29:$M$182,12))</f>
        <v>-0.13</v>
      </c>
      <c r="K224" s="228">
        <f>IF(Control!$F$18="Physical",IF($K$4="Mid",VLOOKUP($A224,Curve_Fetch,VLOOKUP(Control!$AJ$10,Control!$AI$11:$AL$22,4)),VLOOKUP($A224,Euro!$B$29:$Q$182,16)),0)</f>
        <v>0</v>
      </c>
      <c r="L224" s="23">
        <f t="shared" si="55"/>
        <v>-0.13</v>
      </c>
      <c r="M224" s="23"/>
      <c r="N224" s="69">
        <f t="shared" si="46"/>
        <v>5.6315</v>
      </c>
      <c r="O224" s="69">
        <f>N224+Control!$C$39</f>
        <v>5.6315</v>
      </c>
      <c r="P224" s="73">
        <f>VLOOKUP($A224,CurveFetch!$D$8:$E$367,2)</f>
        <v>5.5365689135680601E-2</v>
      </c>
      <c r="Q224" s="24">
        <f t="shared" si="56"/>
        <v>5.5365689135680601E-2</v>
      </c>
      <c r="R224" s="72">
        <f t="shared" ca="1" si="57"/>
        <v>6603</v>
      </c>
      <c r="S224" s="25">
        <f>VLOOKUP($A224,Curve_Fetch,VLOOKUP(Control!$AJ$10,Control!$AI$11:$AM$22,5))</f>
        <v>0</v>
      </c>
      <c r="T224" s="74">
        <f ca="1">_xll.EURO(N224,O224,P224,Q224,S224,R224,IF(Control!$C$38="Call",1,0),0)</f>
        <v>3.5112089914468569E-5</v>
      </c>
      <c r="U224" s="27">
        <f t="shared" ca="1" si="47"/>
        <v>0</v>
      </c>
      <c r="V224" s="76"/>
      <c r="W224" s="197"/>
      <c r="X224" s="197"/>
      <c r="Y224" s="197"/>
      <c r="AA224" s="210"/>
      <c r="AB224" s="210"/>
      <c r="AC224" s="211"/>
      <c r="AD224" s="212"/>
      <c r="AE224" s="213"/>
      <c r="AF224" s="214"/>
      <c r="AG224" s="215"/>
      <c r="AH224" s="216"/>
      <c r="AI224" s="27"/>
      <c r="AJ224" s="28">
        <f t="shared" si="48"/>
        <v>0.13</v>
      </c>
      <c r="AL224" s="24">
        <f t="shared" si="58"/>
        <v>5.54217466131584E-2</v>
      </c>
      <c r="AM224" s="25">
        <f t="shared" ca="1" si="59"/>
        <v>0.36905245213646687</v>
      </c>
      <c r="AO224" s="26">
        <f t="shared" ca="1" si="49"/>
        <v>0</v>
      </c>
      <c r="AP224" s="26"/>
      <c r="AQ224" s="26">
        <f t="shared" ca="1" si="50"/>
        <v>0</v>
      </c>
      <c r="AR224" s="26"/>
      <c r="AS224" s="27">
        <f t="shared" ca="1" si="51"/>
        <v>0</v>
      </c>
      <c r="AT224" s="27">
        <f t="shared" ca="1" si="52"/>
        <v>0</v>
      </c>
      <c r="AU224" s="27">
        <f t="shared" ca="1" si="53"/>
        <v>0</v>
      </c>
      <c r="AV224" s="27"/>
      <c r="AW224" s="27"/>
      <c r="AY224" s="216"/>
      <c r="AZ224" s="216"/>
      <c r="BA224" s="233"/>
      <c r="BC224" s="216"/>
      <c r="BE224" s="69"/>
    </row>
    <row r="225" spans="1:57">
      <c r="A225" s="19">
        <f>[1]!_xludf.edate(A224,1)</f>
        <v>43831</v>
      </c>
      <c r="B225" s="21">
        <f t="shared" si="60"/>
        <v>31</v>
      </c>
      <c r="C225" s="20">
        <f>IF(Control!$F$18="Physical",Model!A226+24,Model!A226)</f>
        <v>43886</v>
      </c>
      <c r="E225" s="22">
        <f>IF($A225&lt;End_Date,IF(Control!$C$20="Flat",Control!$C$21,VLOOKUP(Model!$A225,Euro!$B$29:$D$182,3)),0)</f>
        <v>0</v>
      </c>
      <c r="F225" s="22">
        <f t="shared" si="54"/>
        <v>0</v>
      </c>
      <c r="H225" s="23">
        <f>IF(Control!$C$27="Mid",VLOOKUP($A225,CurveFetch!$D$8:$F$367,3),VLOOKUP($A225,Euro!$B$29:$I$182,8))</f>
        <v>5.8339999999999996</v>
      </c>
      <c r="I225" s="23"/>
      <c r="J225" s="23">
        <f>IF($J$4="Mid",VLOOKUP($A225,Curve_Fetch,VLOOKUP(Control!$AJ$10,Control!$AI$11:$AK$22,3)),VLOOKUP($A225,Euro!$B$29:$M$182,12))</f>
        <v>-0.13</v>
      </c>
      <c r="K225" s="228">
        <f>IF(Control!$F$18="Physical",IF($K$4="Mid",VLOOKUP($A225,Curve_Fetch,VLOOKUP(Control!$AJ$10,Control!$AI$11:$AL$22,4)),VLOOKUP($A225,Euro!$B$29:$Q$182,16)),0)</f>
        <v>0</v>
      </c>
      <c r="L225" s="23">
        <f t="shared" si="55"/>
        <v>-0.13</v>
      </c>
      <c r="M225" s="23"/>
      <c r="N225" s="69">
        <f t="shared" si="46"/>
        <v>5.7039999999999997</v>
      </c>
      <c r="O225" s="69">
        <f>N225+Control!$C$39</f>
        <v>5.7039999999999997</v>
      </c>
      <c r="P225" s="73">
        <f>VLOOKUP($A225,CurveFetch!$D$8:$E$367,2)</f>
        <v>5.54217466131584E-2</v>
      </c>
      <c r="Q225" s="24">
        <f t="shared" si="56"/>
        <v>5.54217466131584E-2</v>
      </c>
      <c r="R225" s="72">
        <f t="shared" ca="1" si="57"/>
        <v>6634</v>
      </c>
      <c r="S225" s="25">
        <f>VLOOKUP($A225,Curve_Fetch,VLOOKUP(Control!$AJ$10,Control!$AI$11:$AM$22,5))</f>
        <v>0</v>
      </c>
      <c r="T225" s="74">
        <f ca="1">_xll.EURO(N225,O225,P225,Q225,S225,R225,IF(Control!$C$38="Call",1,0),0)</f>
        <v>3.5444279790741717E-5</v>
      </c>
      <c r="U225" s="27">
        <f t="shared" ca="1" si="47"/>
        <v>0</v>
      </c>
      <c r="V225" s="76"/>
      <c r="W225" s="197"/>
      <c r="X225" s="197"/>
      <c r="Y225" s="197"/>
      <c r="AA225" s="210"/>
      <c r="AB225" s="210"/>
      <c r="AC225" s="211"/>
      <c r="AD225" s="212"/>
      <c r="AE225" s="213"/>
      <c r="AF225" s="214"/>
      <c r="AG225" s="215"/>
      <c r="AH225" s="216"/>
      <c r="AI225" s="27"/>
      <c r="AJ225" s="28">
        <f t="shared" si="48"/>
        <v>0.13</v>
      </c>
      <c r="AL225" s="24">
        <f t="shared" si="58"/>
        <v>5.5477804091683201E-2</v>
      </c>
      <c r="AM225" s="25">
        <f t="shared" ca="1" si="59"/>
        <v>0.36697720427804886</v>
      </c>
      <c r="AO225" s="26">
        <f t="shared" ca="1" si="49"/>
        <v>0</v>
      </c>
      <c r="AP225" s="26"/>
      <c r="AQ225" s="26">
        <f t="shared" ca="1" si="50"/>
        <v>0</v>
      </c>
      <c r="AR225" s="26"/>
      <c r="AS225" s="27">
        <f t="shared" ca="1" si="51"/>
        <v>0</v>
      </c>
      <c r="AT225" s="27">
        <f t="shared" ca="1" si="52"/>
        <v>0</v>
      </c>
      <c r="AU225" s="27">
        <f t="shared" ca="1" si="53"/>
        <v>0</v>
      </c>
      <c r="AV225" s="27"/>
      <c r="AW225" s="27"/>
      <c r="AY225" s="216"/>
      <c r="AZ225" s="216"/>
      <c r="BA225" s="233"/>
      <c r="BC225" s="216"/>
      <c r="BE225" s="69"/>
    </row>
    <row r="226" spans="1:57">
      <c r="A226" s="19">
        <f>[1]!_xludf.edate(A225,1)</f>
        <v>43862</v>
      </c>
      <c r="B226" s="21">
        <f t="shared" si="60"/>
        <v>29</v>
      </c>
      <c r="C226" s="20">
        <f>IF(Control!$F$18="Physical",Model!A227+24,Model!A227)</f>
        <v>43915</v>
      </c>
      <c r="E226" s="22">
        <f>IF($A226&lt;End_Date,IF(Control!$C$20="Flat",Control!$C$21,VLOOKUP(Model!$A226,Euro!$B$29:$D$182,3)),0)</f>
        <v>0</v>
      </c>
      <c r="F226" s="22">
        <f t="shared" si="54"/>
        <v>0</v>
      </c>
      <c r="H226" s="23">
        <f>IF(Control!$C$27="Mid",VLOOKUP($A226,CurveFetch!$D$8:$F$367,3),VLOOKUP($A226,Euro!$B$29:$I$182,8))</f>
        <v>5.7460000000000004</v>
      </c>
      <c r="I226" s="23"/>
      <c r="J226" s="23">
        <f>IF($J$4="Mid",VLOOKUP($A226,Curve_Fetch,VLOOKUP(Control!$AJ$10,Control!$AI$11:$AK$22,3)),VLOOKUP($A226,Euro!$B$29:$M$182,12))</f>
        <v>-0.13</v>
      </c>
      <c r="K226" s="228">
        <f>IF(Control!$F$18="Physical",IF($K$4="Mid",VLOOKUP($A226,Curve_Fetch,VLOOKUP(Control!$AJ$10,Control!$AI$11:$AL$22,4)),VLOOKUP($A226,Euro!$B$29:$Q$182,16)),0)</f>
        <v>0</v>
      </c>
      <c r="L226" s="23">
        <f t="shared" si="55"/>
        <v>-0.13</v>
      </c>
      <c r="M226" s="23"/>
      <c r="N226" s="69">
        <f t="shared" si="46"/>
        <v>5.6160000000000005</v>
      </c>
      <c r="O226" s="69">
        <f>N226+Control!$C$39</f>
        <v>5.6160000000000005</v>
      </c>
      <c r="P226" s="73">
        <f>VLOOKUP($A226,CurveFetch!$D$8:$E$367,2)</f>
        <v>5.5477804091683201E-2</v>
      </c>
      <c r="Q226" s="24">
        <f t="shared" si="56"/>
        <v>5.5477804091683201E-2</v>
      </c>
      <c r="R226" s="72">
        <f t="shared" ca="1" si="57"/>
        <v>6665</v>
      </c>
      <c r="S226" s="25">
        <f>VLOOKUP($A226,Curve_Fetch,VLOOKUP(Control!$AJ$10,Control!$AI$11:$AM$22,5))</f>
        <v>0</v>
      </c>
      <c r="T226" s="74">
        <f ca="1">_xll.EURO(N226,O226,P226,Q226,S226,R226,IF(Control!$C$38="Call",1,0),0)</f>
        <v>3.4779145899443975E-5</v>
      </c>
      <c r="U226" s="27">
        <f t="shared" ca="1" si="47"/>
        <v>0</v>
      </c>
      <c r="V226" s="76"/>
      <c r="W226" s="197"/>
      <c r="X226" s="197"/>
      <c r="Y226" s="197"/>
      <c r="AA226" s="210"/>
      <c r="AB226" s="210"/>
      <c r="AC226" s="211"/>
      <c r="AD226" s="212"/>
      <c r="AE226" s="213"/>
      <c r="AF226" s="214"/>
      <c r="AG226" s="215"/>
      <c r="AH226" s="216"/>
      <c r="AI226" s="27"/>
      <c r="AJ226" s="28">
        <f t="shared" si="48"/>
        <v>0.13</v>
      </c>
      <c r="AL226" s="24">
        <f t="shared" si="58"/>
        <v>5.5530244959637098E-2</v>
      </c>
      <c r="AM226" s="25">
        <f t="shared" ca="1" si="59"/>
        <v>0.36504335831527912</v>
      </c>
      <c r="AO226" s="26">
        <f t="shared" ca="1" si="49"/>
        <v>0</v>
      </c>
      <c r="AP226" s="26"/>
      <c r="AQ226" s="26">
        <f t="shared" ca="1" si="50"/>
        <v>0</v>
      </c>
      <c r="AR226" s="26"/>
      <c r="AS226" s="27">
        <f t="shared" ca="1" si="51"/>
        <v>0</v>
      </c>
      <c r="AT226" s="27">
        <f t="shared" ca="1" si="52"/>
        <v>0</v>
      </c>
      <c r="AU226" s="27">
        <f t="shared" ca="1" si="53"/>
        <v>0</v>
      </c>
      <c r="AV226" s="27"/>
      <c r="AW226" s="27"/>
      <c r="AY226" s="216"/>
      <c r="AZ226" s="216"/>
      <c r="BA226" s="233"/>
      <c r="BC226" s="216"/>
      <c r="BE226" s="69"/>
    </row>
    <row r="227" spans="1:57">
      <c r="A227" s="19">
        <f>[1]!_xludf.edate(A226,1)</f>
        <v>43891</v>
      </c>
      <c r="B227" s="21">
        <f t="shared" si="60"/>
        <v>31</v>
      </c>
      <c r="C227" s="20">
        <f>IF(Control!$F$18="Physical",Model!A228+24,Model!A228)</f>
        <v>43946</v>
      </c>
      <c r="E227" s="22">
        <f>IF($A227&lt;End_Date,IF(Control!$C$20="Flat",Control!$C$21,VLOOKUP(Model!$A227,Euro!$B$29:$D$182,3)),0)</f>
        <v>0</v>
      </c>
      <c r="F227" s="22">
        <f t="shared" si="54"/>
        <v>0</v>
      </c>
      <c r="H227" s="23">
        <f>IF(Control!$C$27="Mid",VLOOKUP($A227,CurveFetch!$D$8:$F$367,3),VLOOKUP($A227,Euro!$B$29:$I$182,8))</f>
        <v>5.6070000000000002</v>
      </c>
      <c r="I227" s="23"/>
      <c r="J227" s="23">
        <f>IF($J$4="Mid",VLOOKUP($A227,Curve_Fetch,VLOOKUP(Control!$AJ$10,Control!$AI$11:$AK$22,3)),VLOOKUP($A227,Euro!$B$29:$M$182,12))</f>
        <v>-0.13</v>
      </c>
      <c r="K227" s="228">
        <f>IF(Control!$F$18="Physical",IF($K$4="Mid",VLOOKUP($A227,Curve_Fetch,VLOOKUP(Control!$AJ$10,Control!$AI$11:$AL$22,4)),VLOOKUP($A227,Euro!$B$29:$Q$182,16)),0)</f>
        <v>0</v>
      </c>
      <c r="L227" s="23">
        <f t="shared" si="55"/>
        <v>-0.13</v>
      </c>
      <c r="M227" s="23"/>
      <c r="N227" s="69">
        <f t="shared" si="46"/>
        <v>5.4770000000000003</v>
      </c>
      <c r="O227" s="69">
        <f>N227+Control!$C$39</f>
        <v>5.4770000000000003</v>
      </c>
      <c r="P227" s="73">
        <f>VLOOKUP($A227,CurveFetch!$D$8:$E$367,2)</f>
        <v>5.5530244959637098E-2</v>
      </c>
      <c r="Q227" s="24">
        <f t="shared" si="56"/>
        <v>5.5530244959637098E-2</v>
      </c>
      <c r="R227" s="72">
        <f t="shared" ca="1" si="57"/>
        <v>6694</v>
      </c>
      <c r="S227" s="25">
        <f>VLOOKUP($A227,Curve_Fetch,VLOOKUP(Control!$AJ$10,Control!$AI$11:$AM$22,5))</f>
        <v>0</v>
      </c>
      <c r="T227" s="74">
        <f ca="1">_xll.EURO(N227,O227,P227,Q227,S227,R227,IF(Control!$C$38="Call",1,0),0)</f>
        <v>3.3810133367562223E-5</v>
      </c>
      <c r="U227" s="27">
        <f t="shared" ca="1" si="47"/>
        <v>0</v>
      </c>
      <c r="V227" s="76"/>
      <c r="W227" s="197"/>
      <c r="X227" s="197"/>
      <c r="Y227" s="197"/>
      <c r="AA227" s="210"/>
      <c r="AB227" s="210"/>
      <c r="AC227" s="211"/>
      <c r="AD227" s="212"/>
      <c r="AE227" s="213"/>
      <c r="AF227" s="214"/>
      <c r="AG227" s="215"/>
      <c r="AH227" s="216"/>
      <c r="AI227" s="27"/>
      <c r="AJ227" s="28">
        <f t="shared" si="48"/>
        <v>0.13</v>
      </c>
      <c r="AL227" s="24">
        <f t="shared" si="58"/>
        <v>5.5586302440187502E-2</v>
      </c>
      <c r="AM227" s="25">
        <f t="shared" ca="1" si="59"/>
        <v>0.36298416877213441</v>
      </c>
      <c r="AO227" s="26">
        <f t="shared" ca="1" si="49"/>
        <v>0</v>
      </c>
      <c r="AP227" s="26"/>
      <c r="AQ227" s="26">
        <f t="shared" ca="1" si="50"/>
        <v>0</v>
      </c>
      <c r="AR227" s="26"/>
      <c r="AS227" s="27">
        <f t="shared" ca="1" si="51"/>
        <v>0</v>
      </c>
      <c r="AT227" s="27">
        <f t="shared" ca="1" si="52"/>
        <v>0</v>
      </c>
      <c r="AU227" s="27">
        <f t="shared" ca="1" si="53"/>
        <v>0</v>
      </c>
      <c r="AV227" s="27"/>
      <c r="AW227" s="27"/>
      <c r="AY227" s="216"/>
      <c r="AZ227" s="216"/>
      <c r="BA227" s="233"/>
      <c r="BC227" s="216"/>
      <c r="BE227" s="69"/>
    </row>
    <row r="228" spans="1:57">
      <c r="A228" s="19">
        <f>[1]!_xludf.edate(A227,1)</f>
        <v>43922</v>
      </c>
      <c r="B228" s="21">
        <f t="shared" si="60"/>
        <v>30</v>
      </c>
      <c r="C228" s="20">
        <f>IF(Control!$F$18="Physical",Model!A229+24,Model!A229)</f>
        <v>43976</v>
      </c>
      <c r="E228" s="22">
        <f>IF($A228&lt;End_Date,IF(Control!$C$20="Flat",Control!$C$21,VLOOKUP(Model!$A228,Euro!$B$29:$D$182,3)),0)</f>
        <v>0</v>
      </c>
      <c r="F228" s="22">
        <f t="shared" si="54"/>
        <v>0</v>
      </c>
      <c r="H228" s="23">
        <f>IF(Control!$C$27="Mid",VLOOKUP($A228,CurveFetch!$D$8:$F$367,3),VLOOKUP($A228,Euro!$B$29:$I$182,8))</f>
        <v>5.4530000000000003</v>
      </c>
      <c r="I228" s="23"/>
      <c r="J228" s="23">
        <f>IF($J$4="Mid",VLOOKUP($A228,Curve_Fetch,VLOOKUP(Control!$AJ$10,Control!$AI$11:$AK$22,3)),VLOOKUP($A228,Euro!$B$29:$M$182,12))</f>
        <v>-0.2</v>
      </c>
      <c r="K228" s="228">
        <f>IF(Control!$F$18="Physical",IF($K$4="Mid",VLOOKUP($A228,Curve_Fetch,VLOOKUP(Control!$AJ$10,Control!$AI$11:$AL$22,4)),VLOOKUP($A228,Euro!$B$29:$Q$182,16)),0)</f>
        <v>0</v>
      </c>
      <c r="L228" s="23">
        <f t="shared" si="55"/>
        <v>-0.2</v>
      </c>
      <c r="M228" s="23"/>
      <c r="N228" s="69">
        <f t="shared" si="46"/>
        <v>5.2530000000000001</v>
      </c>
      <c r="O228" s="69">
        <f>N228+Control!$C$39</f>
        <v>5.2530000000000001</v>
      </c>
      <c r="P228" s="73">
        <f>VLOOKUP($A228,CurveFetch!$D$8:$E$367,2)</f>
        <v>5.5586302440187502E-2</v>
      </c>
      <c r="Q228" s="24">
        <f t="shared" si="56"/>
        <v>5.5586302440187502E-2</v>
      </c>
      <c r="R228" s="72">
        <f t="shared" ca="1" si="57"/>
        <v>6725</v>
      </c>
      <c r="S228" s="25">
        <f>VLOOKUP($A228,Curve_Fetch,VLOOKUP(Control!$AJ$10,Control!$AI$11:$AM$22,5))</f>
        <v>0</v>
      </c>
      <c r="T228" s="74">
        <f ca="1">_xll.EURO(N228,O228,P228,Q228,S228,R228,IF(Control!$C$38="Call",1,0),0)</f>
        <v>3.2316153867451014E-5</v>
      </c>
      <c r="U228" s="27">
        <f t="shared" ca="1" si="47"/>
        <v>0</v>
      </c>
      <c r="V228" s="76"/>
      <c r="W228" s="197"/>
      <c r="X228" s="197"/>
      <c r="Y228" s="197"/>
      <c r="AA228" s="210"/>
      <c r="AB228" s="210"/>
      <c r="AC228" s="211"/>
      <c r="AD228" s="212"/>
      <c r="AE228" s="213"/>
      <c r="AF228" s="214"/>
      <c r="AG228" s="215"/>
      <c r="AH228" s="216"/>
      <c r="AI228" s="27"/>
      <c r="AJ228" s="28">
        <f t="shared" si="48"/>
        <v>0.2</v>
      </c>
      <c r="AL228" s="24">
        <f t="shared" si="58"/>
        <v>5.5640551615909299E-2</v>
      </c>
      <c r="AM228" s="25">
        <f t="shared" ca="1" si="59"/>
        <v>0.36099929231941813</v>
      </c>
      <c r="AO228" s="26">
        <f t="shared" ca="1" si="49"/>
        <v>0</v>
      </c>
      <c r="AP228" s="26"/>
      <c r="AQ228" s="26">
        <f t="shared" ca="1" si="50"/>
        <v>0</v>
      </c>
      <c r="AR228" s="26"/>
      <c r="AS228" s="27">
        <f t="shared" ca="1" si="51"/>
        <v>0</v>
      </c>
      <c r="AT228" s="27">
        <f t="shared" ca="1" si="52"/>
        <v>0</v>
      </c>
      <c r="AU228" s="27">
        <f t="shared" ca="1" si="53"/>
        <v>0</v>
      </c>
      <c r="AV228" s="27"/>
      <c r="AW228" s="27"/>
      <c r="AY228" s="216"/>
      <c r="AZ228" s="216"/>
      <c r="BA228" s="233"/>
      <c r="BC228" s="216"/>
      <c r="BE228" s="69"/>
    </row>
    <row r="229" spans="1:57">
      <c r="A229" s="19">
        <f>[1]!_xludf.edate(A228,1)</f>
        <v>43952</v>
      </c>
      <c r="B229" s="21">
        <f t="shared" si="60"/>
        <v>31</v>
      </c>
      <c r="C229" s="20">
        <f>IF(Control!$F$18="Physical",Model!A230+24,Model!A230)</f>
        <v>44007</v>
      </c>
      <c r="E229" s="22">
        <f>IF($A229&lt;End_Date,IF(Control!$C$20="Flat",Control!$C$21,VLOOKUP(Model!$A229,Euro!$B$29:$D$182,3)),0)</f>
        <v>0</v>
      </c>
      <c r="F229" s="22">
        <f t="shared" si="54"/>
        <v>0</v>
      </c>
      <c r="H229" s="23">
        <f>IF(Control!$C$27="Mid",VLOOKUP($A229,CurveFetch!$D$8:$F$367,3),VLOOKUP($A229,Euro!$B$29:$I$182,8))</f>
        <v>5.4580000000000002</v>
      </c>
      <c r="I229" s="23"/>
      <c r="J229" s="23">
        <f>IF($J$4="Mid",VLOOKUP($A229,Curve_Fetch,VLOOKUP(Control!$AJ$10,Control!$AI$11:$AK$22,3)),VLOOKUP($A229,Euro!$B$29:$M$182,12))</f>
        <v>-0.2</v>
      </c>
      <c r="K229" s="228">
        <f>IF(Control!$F$18="Physical",IF($K$4="Mid",VLOOKUP($A229,Curve_Fetch,VLOOKUP(Control!$AJ$10,Control!$AI$11:$AL$22,4)),VLOOKUP($A229,Euro!$B$29:$Q$182,16)),0)</f>
        <v>0</v>
      </c>
      <c r="L229" s="23">
        <f t="shared" si="55"/>
        <v>-0.2</v>
      </c>
      <c r="M229" s="23"/>
      <c r="N229" s="69">
        <f t="shared" si="46"/>
        <v>5.258</v>
      </c>
      <c r="O229" s="69">
        <f>N229+Control!$C$39</f>
        <v>5.258</v>
      </c>
      <c r="P229" s="73">
        <f>VLOOKUP($A229,CurveFetch!$D$8:$E$367,2)</f>
        <v>5.5640551615909299E-2</v>
      </c>
      <c r="Q229" s="24">
        <f t="shared" si="56"/>
        <v>5.5640551615909299E-2</v>
      </c>
      <c r="R229" s="72">
        <f t="shared" ca="1" si="57"/>
        <v>6755</v>
      </c>
      <c r="S229" s="25">
        <f>VLOOKUP($A229,Curve_Fetch,VLOOKUP(Control!$AJ$10,Control!$AI$11:$AM$22,5))</f>
        <v>0</v>
      </c>
      <c r="T229" s="74">
        <f ca="1">_xll.EURO(N229,O229,P229,Q229,S229,R229,IF(Control!$C$38="Call",1,0),0)</f>
        <v>3.2238941095386053E-5</v>
      </c>
      <c r="U229" s="27">
        <f t="shared" ca="1" si="47"/>
        <v>0</v>
      </c>
      <c r="V229" s="76"/>
      <c r="W229" s="197"/>
      <c r="X229" s="197"/>
      <c r="Y229" s="197"/>
      <c r="AA229" s="210"/>
      <c r="AB229" s="210"/>
      <c r="AC229" s="211"/>
      <c r="AD229" s="212"/>
      <c r="AE229" s="213"/>
      <c r="AF229" s="214"/>
      <c r="AG229" s="215"/>
      <c r="AH229" s="216"/>
      <c r="AI229" s="27"/>
      <c r="AJ229" s="28">
        <f t="shared" si="48"/>
        <v>0.2</v>
      </c>
      <c r="AL229" s="24">
        <f t="shared" si="58"/>
        <v>5.5696609098518E-2</v>
      </c>
      <c r="AM229" s="25">
        <f t="shared" ca="1" si="59"/>
        <v>0.35895639518632549</v>
      </c>
      <c r="AO229" s="26">
        <f t="shared" ca="1" si="49"/>
        <v>0</v>
      </c>
      <c r="AP229" s="26"/>
      <c r="AQ229" s="26">
        <f t="shared" ca="1" si="50"/>
        <v>0</v>
      </c>
      <c r="AR229" s="26"/>
      <c r="AS229" s="27">
        <f t="shared" ca="1" si="51"/>
        <v>0</v>
      </c>
      <c r="AT229" s="27">
        <f t="shared" ca="1" si="52"/>
        <v>0</v>
      </c>
      <c r="AU229" s="27">
        <f t="shared" ca="1" si="53"/>
        <v>0</v>
      </c>
      <c r="AV229" s="27"/>
      <c r="AW229" s="27"/>
      <c r="AY229" s="216"/>
      <c r="AZ229" s="216"/>
      <c r="BA229" s="233"/>
      <c r="BC229" s="216"/>
      <c r="BE229" s="69"/>
    </row>
    <row r="230" spans="1:57">
      <c r="A230" s="19">
        <f>[1]!_xludf.edate(A229,1)</f>
        <v>43983</v>
      </c>
      <c r="B230" s="21">
        <f t="shared" si="60"/>
        <v>30</v>
      </c>
      <c r="C230" s="20">
        <f>IF(Control!$F$18="Physical",Model!A231+24,Model!A231)</f>
        <v>44037</v>
      </c>
      <c r="E230" s="22">
        <f>IF($A230&lt;End_Date,IF(Control!$C$20="Flat",Control!$C$21,VLOOKUP(Model!$A230,Euro!$B$29:$D$182,3)),0)</f>
        <v>0</v>
      </c>
      <c r="F230" s="22">
        <f t="shared" si="54"/>
        <v>0</v>
      </c>
      <c r="H230" s="23">
        <f>IF(Control!$C$27="Mid",VLOOKUP($A230,CurveFetch!$D$8:$F$367,3),VLOOKUP($A230,Euro!$B$29:$I$182,8))</f>
        <v>5.4960000000000004</v>
      </c>
      <c r="I230" s="23"/>
      <c r="J230" s="23">
        <f>IF($J$4="Mid",VLOOKUP($A230,Curve_Fetch,VLOOKUP(Control!$AJ$10,Control!$AI$11:$AK$22,3)),VLOOKUP($A230,Euro!$B$29:$M$182,12))</f>
        <v>-0.2</v>
      </c>
      <c r="K230" s="228">
        <f>IF(Control!$F$18="Physical",IF($K$4="Mid",VLOOKUP($A230,Curve_Fetch,VLOOKUP(Control!$AJ$10,Control!$AI$11:$AL$22,4)),VLOOKUP($A230,Euro!$B$29:$Q$182,16)),0)</f>
        <v>0</v>
      </c>
      <c r="L230" s="23">
        <f t="shared" si="55"/>
        <v>-0.2</v>
      </c>
      <c r="M230" s="23"/>
      <c r="N230" s="69">
        <f t="shared" si="46"/>
        <v>5.2960000000000003</v>
      </c>
      <c r="O230" s="69">
        <f>N230+Control!$C$39</f>
        <v>5.2960000000000003</v>
      </c>
      <c r="P230" s="73">
        <f>VLOOKUP($A230,CurveFetch!$D$8:$E$367,2)</f>
        <v>5.5696609098518E-2</v>
      </c>
      <c r="Q230" s="24">
        <f t="shared" si="56"/>
        <v>5.5696609098518E-2</v>
      </c>
      <c r="R230" s="72">
        <f t="shared" ca="1" si="57"/>
        <v>6786</v>
      </c>
      <c r="S230" s="25">
        <f>VLOOKUP($A230,Curve_Fetch,VLOOKUP(Control!$AJ$10,Control!$AI$11:$AM$22,5))</f>
        <v>0</v>
      </c>
      <c r="T230" s="74">
        <f ca="1">_xll.EURO(N230,O230,P230,Q230,S230,R230,IF(Control!$C$38="Call",1,0),0)</f>
        <v>3.2359299876327796E-5</v>
      </c>
      <c r="U230" s="27">
        <f t="shared" ca="1" si="47"/>
        <v>0</v>
      </c>
      <c r="V230" s="76"/>
      <c r="W230" s="197"/>
      <c r="X230" s="197"/>
      <c r="Y230" s="197"/>
      <c r="AA230" s="210"/>
      <c r="AB230" s="210"/>
      <c r="AC230" s="211"/>
      <c r="AD230" s="212"/>
      <c r="AE230" s="213"/>
      <c r="AF230" s="214"/>
      <c r="AG230" s="215"/>
      <c r="AH230" s="216"/>
      <c r="AI230" s="27"/>
      <c r="AJ230" s="28">
        <f t="shared" si="48"/>
        <v>0.2</v>
      </c>
      <c r="AL230" s="24">
        <f t="shared" si="58"/>
        <v>5.5750858276232503E-2</v>
      </c>
      <c r="AM230" s="25">
        <f t="shared" ca="1" si="59"/>
        <v>0.3569872687195893</v>
      </c>
      <c r="AO230" s="26">
        <f t="shared" ca="1" si="49"/>
        <v>0</v>
      </c>
      <c r="AP230" s="26"/>
      <c r="AQ230" s="26">
        <f t="shared" ca="1" si="50"/>
        <v>0</v>
      </c>
      <c r="AR230" s="26"/>
      <c r="AS230" s="27">
        <f t="shared" ca="1" si="51"/>
        <v>0</v>
      </c>
      <c r="AT230" s="27">
        <f t="shared" ca="1" si="52"/>
        <v>0</v>
      </c>
      <c r="AU230" s="27">
        <f t="shared" ca="1" si="53"/>
        <v>0</v>
      </c>
      <c r="AV230" s="27"/>
      <c r="AW230" s="27"/>
      <c r="AY230" s="216"/>
      <c r="AZ230" s="216"/>
      <c r="BA230" s="233"/>
      <c r="BC230" s="216"/>
      <c r="BE230" s="69"/>
    </row>
    <row r="231" spans="1:57">
      <c r="A231" s="19">
        <f>[1]!_xludf.edate(A230,1)</f>
        <v>44013</v>
      </c>
      <c r="B231" s="21">
        <f t="shared" si="60"/>
        <v>31</v>
      </c>
      <c r="C231" s="20">
        <f>IF(Control!$F$18="Physical",Model!A232+24,Model!A232)</f>
        <v>44068</v>
      </c>
      <c r="E231" s="22">
        <f>IF($A231&lt;End_Date,IF(Control!$C$20="Flat",Control!$C$21,VLOOKUP(Model!$A231,Euro!$B$29:$D$182,3)),0)</f>
        <v>0</v>
      </c>
      <c r="F231" s="22">
        <f t="shared" si="54"/>
        <v>0</v>
      </c>
      <c r="H231" s="23">
        <f>IF(Control!$C$27="Mid",VLOOKUP($A231,CurveFetch!$D$8:$F$367,3),VLOOKUP($A231,Euro!$B$29:$I$182,8))</f>
        <v>5.5410000000000004</v>
      </c>
      <c r="I231" s="23"/>
      <c r="J231" s="23">
        <f>IF($J$4="Mid",VLOOKUP($A231,Curve_Fetch,VLOOKUP(Control!$AJ$10,Control!$AI$11:$AK$22,3)),VLOOKUP($A231,Euro!$B$29:$M$182,12))</f>
        <v>-0.2</v>
      </c>
      <c r="K231" s="228">
        <f>IF(Control!$F$18="Physical",IF($K$4="Mid",VLOOKUP($A231,Curve_Fetch,VLOOKUP(Control!$AJ$10,Control!$AI$11:$AL$22,4)),VLOOKUP($A231,Euro!$B$29:$Q$182,16)),0)</f>
        <v>0</v>
      </c>
      <c r="L231" s="23">
        <f t="shared" si="55"/>
        <v>-0.2</v>
      </c>
      <c r="M231" s="23"/>
      <c r="N231" s="69">
        <f t="shared" si="46"/>
        <v>5.3410000000000002</v>
      </c>
      <c r="O231" s="69">
        <f>N231+Control!$C$39</f>
        <v>5.3410000000000002</v>
      </c>
      <c r="P231" s="73">
        <f>VLOOKUP($A231,CurveFetch!$D$8:$E$367,2)</f>
        <v>5.5750858276232503E-2</v>
      </c>
      <c r="Q231" s="24">
        <f t="shared" si="56"/>
        <v>5.5750858276232503E-2</v>
      </c>
      <c r="R231" s="72">
        <f t="shared" ca="1" si="57"/>
        <v>6816</v>
      </c>
      <c r="S231" s="25">
        <f>VLOOKUP($A231,Curve_Fetch,VLOOKUP(Control!$AJ$10,Control!$AI$11:$AM$22,5))</f>
        <v>0</v>
      </c>
      <c r="T231" s="74">
        <f ca="1">_xll.EURO(N231,O231,P231,Q231,S231,R231,IF(Control!$C$38="Call",1,0),0)</f>
        <v>3.252408601595036E-5</v>
      </c>
      <c r="U231" s="27">
        <f t="shared" ca="1" si="47"/>
        <v>0</v>
      </c>
      <c r="V231" s="76"/>
      <c r="W231" s="197"/>
      <c r="X231" s="197"/>
      <c r="Y231" s="197"/>
      <c r="AA231" s="210"/>
      <c r="AB231" s="210"/>
      <c r="AC231" s="211"/>
      <c r="AD231" s="212"/>
      <c r="AE231" s="213"/>
      <c r="AF231" s="214"/>
      <c r="AG231" s="215"/>
      <c r="AH231" s="216"/>
      <c r="AI231" s="27"/>
      <c r="AJ231" s="28">
        <f t="shared" si="48"/>
        <v>0.2</v>
      </c>
      <c r="AL231" s="24">
        <f t="shared" si="58"/>
        <v>5.5806915760900501E-2</v>
      </c>
      <c r="AM231" s="25">
        <f t="shared" ca="1" si="59"/>
        <v>0.35496062880319412</v>
      </c>
      <c r="AO231" s="26">
        <f t="shared" ca="1" si="49"/>
        <v>0</v>
      </c>
      <c r="AP231" s="26"/>
      <c r="AQ231" s="26">
        <f t="shared" ca="1" si="50"/>
        <v>0</v>
      </c>
      <c r="AR231" s="26"/>
      <c r="AS231" s="27">
        <f t="shared" ca="1" si="51"/>
        <v>0</v>
      </c>
      <c r="AT231" s="27">
        <f t="shared" ca="1" si="52"/>
        <v>0</v>
      </c>
      <c r="AU231" s="27">
        <f t="shared" ca="1" si="53"/>
        <v>0</v>
      </c>
      <c r="AV231" s="27"/>
      <c r="AW231" s="27"/>
      <c r="AY231" s="216"/>
      <c r="AZ231" s="216"/>
      <c r="BA231" s="233"/>
      <c r="BC231" s="216"/>
      <c r="BE231" s="69"/>
    </row>
    <row r="232" spans="1:57">
      <c r="A232" s="19">
        <f>[1]!_xludf.edate(A231,1)</f>
        <v>44044</v>
      </c>
      <c r="B232" s="21">
        <f t="shared" si="60"/>
        <v>31</v>
      </c>
      <c r="C232" s="20">
        <f>IF(Control!$F$18="Physical",Model!A233+24,Model!A233)</f>
        <v>44099</v>
      </c>
      <c r="E232" s="22">
        <f>IF($A232&lt;End_Date,IF(Control!$C$20="Flat",Control!$C$21,VLOOKUP(Model!$A232,Euro!$B$29:$D$182,3)),0)</f>
        <v>0</v>
      </c>
      <c r="F232" s="22">
        <f t="shared" si="54"/>
        <v>0</v>
      </c>
      <c r="H232" s="23">
        <f>IF(Control!$C$27="Mid",VLOOKUP($A232,CurveFetch!$D$8:$F$367,3),VLOOKUP($A232,Euro!$B$29:$I$182,8))</f>
        <v>5.5789999999999997</v>
      </c>
      <c r="I232" s="23"/>
      <c r="J232" s="23">
        <f>IF($J$4="Mid",VLOOKUP($A232,Curve_Fetch,VLOOKUP(Control!$AJ$10,Control!$AI$11:$AK$22,3)),VLOOKUP($A232,Euro!$B$29:$M$182,12))</f>
        <v>-0.2</v>
      </c>
      <c r="K232" s="228">
        <f>IF(Control!$F$18="Physical",IF($K$4="Mid",VLOOKUP($A232,Curve_Fetch,VLOOKUP(Control!$AJ$10,Control!$AI$11:$AL$22,4)),VLOOKUP($A232,Euro!$B$29:$Q$182,16)),0)</f>
        <v>0</v>
      </c>
      <c r="L232" s="23">
        <f t="shared" si="55"/>
        <v>-0.2</v>
      </c>
      <c r="M232" s="23"/>
      <c r="N232" s="69">
        <f t="shared" si="46"/>
        <v>5.3789999999999996</v>
      </c>
      <c r="O232" s="69">
        <f>N232+Control!$C$39</f>
        <v>5.3789999999999996</v>
      </c>
      <c r="P232" s="73">
        <f>VLOOKUP($A232,CurveFetch!$D$8:$E$367,2)</f>
        <v>5.5806915760900501E-2</v>
      </c>
      <c r="Q232" s="24">
        <f t="shared" si="56"/>
        <v>5.5806915760900501E-2</v>
      </c>
      <c r="R232" s="72">
        <f t="shared" ca="1" si="57"/>
        <v>6847</v>
      </c>
      <c r="S232" s="25">
        <f>VLOOKUP($A232,Curve_Fetch,VLOOKUP(Control!$AJ$10,Control!$AI$11:$AM$22,5))</f>
        <v>0</v>
      </c>
      <c r="T232" s="74">
        <f ca="1">_xll.EURO(N232,O232,P232,Q232,S232,R232,IF(Control!$C$38="Call",1,0),0)</f>
        <v>3.2640590858612484E-5</v>
      </c>
      <c r="U232" s="27">
        <f t="shared" ca="1" si="47"/>
        <v>0</v>
      </c>
      <c r="V232" s="76"/>
      <c r="W232" s="197"/>
      <c r="X232" s="197"/>
      <c r="Y232" s="197"/>
      <c r="AA232" s="210"/>
      <c r="AB232" s="210"/>
      <c r="AC232" s="211"/>
      <c r="AD232" s="212"/>
      <c r="AE232" s="213"/>
      <c r="AF232" s="214"/>
      <c r="AG232" s="215"/>
      <c r="AH232" s="216"/>
      <c r="AI232" s="27"/>
      <c r="AJ232" s="28">
        <f t="shared" si="48"/>
        <v>0.2</v>
      </c>
      <c r="AL232" s="24">
        <f t="shared" si="58"/>
        <v>5.5862973246614302E-2</v>
      </c>
      <c r="AM232" s="25">
        <f t="shared" ca="1" si="59"/>
        <v>0.3529422368275198</v>
      </c>
      <c r="AO232" s="26">
        <f t="shared" ca="1" si="49"/>
        <v>0</v>
      </c>
      <c r="AP232" s="26"/>
      <c r="AQ232" s="26">
        <f t="shared" ca="1" si="50"/>
        <v>0</v>
      </c>
      <c r="AR232" s="26"/>
      <c r="AS232" s="27">
        <f t="shared" ca="1" si="51"/>
        <v>0</v>
      </c>
      <c r="AT232" s="27">
        <f t="shared" ca="1" si="52"/>
        <v>0</v>
      </c>
      <c r="AU232" s="27">
        <f t="shared" ca="1" si="53"/>
        <v>0</v>
      </c>
      <c r="AV232" s="27"/>
      <c r="AW232" s="27"/>
      <c r="AY232" s="216"/>
      <c r="AZ232" s="216"/>
      <c r="BA232" s="233"/>
      <c r="BC232" s="216"/>
      <c r="BE232" s="69"/>
    </row>
    <row r="233" spans="1:57">
      <c r="A233" s="19">
        <f>[1]!_xludf.edate(A232,1)</f>
        <v>44075</v>
      </c>
      <c r="B233" s="21">
        <f t="shared" si="60"/>
        <v>30</v>
      </c>
      <c r="C233" s="20">
        <f>IF(Control!$F$18="Physical",Model!A234+24,Model!A234)</f>
        <v>44129</v>
      </c>
      <c r="E233" s="22">
        <f>IF($A233&lt;End_Date,IF(Control!$C$20="Flat",Control!$C$21,VLOOKUP(Model!$A233,Euro!$B$29:$D$182,3)),0)</f>
        <v>0</v>
      </c>
      <c r="F233" s="22">
        <f t="shared" si="54"/>
        <v>0</v>
      </c>
      <c r="H233" s="23">
        <f>IF(Control!$C$27="Mid",VLOOKUP($A233,CurveFetch!$D$8:$F$367,3),VLOOKUP($A233,Euro!$B$29:$I$182,8))</f>
        <v>5.5730000000000004</v>
      </c>
      <c r="I233" s="23"/>
      <c r="J233" s="23">
        <f>IF($J$4="Mid",VLOOKUP($A233,Curve_Fetch,VLOOKUP(Control!$AJ$10,Control!$AI$11:$AK$22,3)),VLOOKUP($A233,Euro!$B$29:$M$182,12))</f>
        <v>-0.2</v>
      </c>
      <c r="K233" s="228">
        <f>IF(Control!$F$18="Physical",IF($K$4="Mid",VLOOKUP($A233,Curve_Fetch,VLOOKUP(Control!$AJ$10,Control!$AI$11:$AL$22,4)),VLOOKUP($A233,Euro!$B$29:$Q$182,16)),0)</f>
        <v>0</v>
      </c>
      <c r="L233" s="23">
        <f t="shared" si="55"/>
        <v>-0.2</v>
      </c>
      <c r="M233" s="23"/>
      <c r="N233" s="69">
        <f t="shared" si="46"/>
        <v>5.3730000000000002</v>
      </c>
      <c r="O233" s="69">
        <f>N233+Control!$C$39</f>
        <v>5.3730000000000002</v>
      </c>
      <c r="P233" s="73">
        <f>VLOOKUP($A233,CurveFetch!$D$8:$E$367,2)</f>
        <v>5.5862973246614302E-2</v>
      </c>
      <c r="Q233" s="24">
        <f t="shared" si="56"/>
        <v>5.5862973246614302E-2</v>
      </c>
      <c r="R233" s="72">
        <f t="shared" ca="1" si="57"/>
        <v>6878</v>
      </c>
      <c r="S233" s="25">
        <f>VLOOKUP($A233,Curve_Fetch,VLOOKUP(Control!$AJ$10,Control!$AI$11:$AM$22,5))</f>
        <v>0</v>
      </c>
      <c r="T233" s="74">
        <f ca="1">_xll.EURO(N233,O233,P233,Q233,S233,R233,IF(Control!$C$38="Call",1,0),0)</f>
        <v>3.24891739312827E-5</v>
      </c>
      <c r="U233" s="27">
        <f t="shared" ca="1" si="47"/>
        <v>0</v>
      </c>
      <c r="V233" s="76"/>
      <c r="W233" s="197"/>
      <c r="X233" s="197"/>
      <c r="Y233" s="197"/>
      <c r="AA233" s="210"/>
      <c r="AB233" s="210"/>
      <c r="AC233" s="211"/>
      <c r="AD233" s="212"/>
      <c r="AE233" s="213"/>
      <c r="AF233" s="214"/>
      <c r="AG233" s="215"/>
      <c r="AH233" s="216"/>
      <c r="AI233" s="27"/>
      <c r="AJ233" s="28">
        <f t="shared" si="48"/>
        <v>0.2</v>
      </c>
      <c r="AL233" s="24">
        <f t="shared" si="58"/>
        <v>5.59172224273334E-2</v>
      </c>
      <c r="AM233" s="25">
        <f t="shared" ca="1" si="59"/>
        <v>0.35099679835174646</v>
      </c>
      <c r="AO233" s="26">
        <f t="shared" ca="1" si="49"/>
        <v>0</v>
      </c>
      <c r="AP233" s="26"/>
      <c r="AQ233" s="26">
        <f t="shared" ca="1" si="50"/>
        <v>0</v>
      </c>
      <c r="AR233" s="26"/>
      <c r="AS233" s="27">
        <f t="shared" ca="1" si="51"/>
        <v>0</v>
      </c>
      <c r="AT233" s="27">
        <f t="shared" ca="1" si="52"/>
        <v>0</v>
      </c>
      <c r="AU233" s="27">
        <f t="shared" ca="1" si="53"/>
        <v>0</v>
      </c>
      <c r="AV233" s="27"/>
      <c r="AW233" s="27"/>
      <c r="AY233" s="216"/>
      <c r="AZ233" s="216"/>
      <c r="BA233" s="233"/>
      <c r="BC233" s="216"/>
      <c r="BE233" s="69"/>
    </row>
    <row r="234" spans="1:57">
      <c r="A234" s="19">
        <f>[1]!_xludf.edate(A233,1)</f>
        <v>44105</v>
      </c>
      <c r="B234" s="21">
        <f t="shared" si="60"/>
        <v>31</v>
      </c>
      <c r="C234" s="20">
        <f>IF(Control!$F$18="Physical",Model!A235+24,Model!A235)</f>
        <v>44160</v>
      </c>
      <c r="E234" s="22">
        <f>IF($A234&lt;End_Date,IF(Control!$C$20="Flat",Control!$C$21,VLOOKUP(Model!$A234,Euro!$B$29:$D$182,3)),0)</f>
        <v>0</v>
      </c>
      <c r="F234" s="22">
        <f t="shared" si="54"/>
        <v>0</v>
      </c>
      <c r="H234" s="23">
        <f>IF(Control!$C$27="Mid",VLOOKUP($A234,CurveFetch!$D$8:$F$367,3),VLOOKUP($A234,Euro!$B$29:$I$182,8))</f>
        <v>5.5730000000000004</v>
      </c>
      <c r="I234" s="23"/>
      <c r="J234" s="23">
        <f>IF($J$4="Mid",VLOOKUP($A234,Curve_Fetch,VLOOKUP(Control!$AJ$10,Control!$AI$11:$AK$22,3)),VLOOKUP($A234,Euro!$B$29:$M$182,12))</f>
        <v>-0.2</v>
      </c>
      <c r="K234" s="228">
        <f>IF(Control!$F$18="Physical",IF($K$4="Mid",VLOOKUP($A234,Curve_Fetch,VLOOKUP(Control!$AJ$10,Control!$AI$11:$AL$22,4)),VLOOKUP($A234,Euro!$B$29:$Q$182,16)),0)</f>
        <v>0</v>
      </c>
      <c r="L234" s="23">
        <f t="shared" si="55"/>
        <v>-0.2</v>
      </c>
      <c r="M234" s="23"/>
      <c r="N234" s="69">
        <f t="shared" si="46"/>
        <v>5.3730000000000002</v>
      </c>
      <c r="O234" s="69">
        <f>N234+Control!$C$39</f>
        <v>5.3730000000000002</v>
      </c>
      <c r="P234" s="73">
        <f>VLOOKUP($A234,CurveFetch!$D$8:$E$367,2)</f>
        <v>5.59172224273334E-2</v>
      </c>
      <c r="Q234" s="24">
        <f t="shared" si="56"/>
        <v>5.59172224273334E-2</v>
      </c>
      <c r="R234" s="72">
        <f t="shared" ca="1" si="57"/>
        <v>6908</v>
      </c>
      <c r="S234" s="25">
        <f>VLOOKUP($A234,Curve_Fetch,VLOOKUP(Control!$AJ$10,Control!$AI$11:$AM$22,5))</f>
        <v>0</v>
      </c>
      <c r="T234" s="74">
        <f ca="1">_xll.EURO(N234,O234,P234,Q234,S234,R234,IF(Control!$C$38="Call",1,0),0)</f>
        <v>3.2377655654225457E-5</v>
      </c>
      <c r="U234" s="27">
        <f t="shared" ca="1" si="47"/>
        <v>0</v>
      </c>
      <c r="V234" s="76"/>
      <c r="W234" s="197"/>
      <c r="X234" s="197"/>
      <c r="Y234" s="197"/>
      <c r="AA234" s="210"/>
      <c r="AB234" s="210"/>
      <c r="AC234" s="211"/>
      <c r="AD234" s="212"/>
      <c r="AE234" s="213"/>
      <c r="AF234" s="214"/>
      <c r="AG234" s="215"/>
      <c r="AH234" s="216"/>
      <c r="AI234" s="27"/>
      <c r="AJ234" s="28">
        <f t="shared" si="48"/>
        <v>0.2</v>
      </c>
      <c r="AL234" s="24">
        <f t="shared" si="58"/>
        <v>5.5973279915105999E-2</v>
      </c>
      <c r="AM234" s="25">
        <f t="shared" ca="1" si="59"/>
        <v>0.34899460794981696</v>
      </c>
      <c r="AO234" s="26">
        <f t="shared" ca="1" si="49"/>
        <v>0</v>
      </c>
      <c r="AP234" s="26"/>
      <c r="AQ234" s="26">
        <f t="shared" ca="1" si="50"/>
        <v>0</v>
      </c>
      <c r="AR234" s="26"/>
      <c r="AS234" s="27">
        <f t="shared" ca="1" si="51"/>
        <v>0</v>
      </c>
      <c r="AT234" s="27">
        <f t="shared" ca="1" si="52"/>
        <v>0</v>
      </c>
      <c r="AU234" s="27">
        <f t="shared" ca="1" si="53"/>
        <v>0</v>
      </c>
      <c r="AV234" s="27"/>
      <c r="AW234" s="27"/>
      <c r="AY234" s="216"/>
      <c r="AZ234" s="216"/>
      <c r="BA234" s="233"/>
      <c r="BC234" s="216"/>
      <c r="BE234" s="69"/>
    </row>
    <row r="235" spans="1:57">
      <c r="A235" s="19">
        <f>[1]!_xludf.edate(A234,1)</f>
        <v>44136</v>
      </c>
      <c r="B235" s="21">
        <f t="shared" si="60"/>
        <v>30</v>
      </c>
      <c r="C235" s="20">
        <f>IF(Control!$F$18="Physical",Model!A236+24,Model!A236)</f>
        <v>44190</v>
      </c>
      <c r="E235" s="22">
        <f>IF($A235&lt;End_Date,IF(Control!$C$20="Flat",Control!$C$21,VLOOKUP(Model!$A235,Euro!$B$29:$D$182,3)),0)</f>
        <v>0</v>
      </c>
      <c r="F235" s="22">
        <f t="shared" si="54"/>
        <v>0</v>
      </c>
      <c r="H235" s="23">
        <f>IF(Control!$C$27="Mid",VLOOKUP($A235,CurveFetch!$D$8:$F$367,3),VLOOKUP($A235,Euro!$B$29:$I$182,8))</f>
        <v>5.7430000000000003</v>
      </c>
      <c r="I235" s="23"/>
      <c r="J235" s="23">
        <f>IF($J$4="Mid",VLOOKUP($A235,Curve_Fetch,VLOOKUP(Control!$AJ$10,Control!$AI$11:$AK$22,3)),VLOOKUP($A235,Euro!$B$29:$M$182,12))</f>
        <v>0</v>
      </c>
      <c r="K235" s="228">
        <f>IF(Control!$F$18="Physical",IF($K$4="Mid",VLOOKUP($A235,Curve_Fetch,VLOOKUP(Control!$AJ$10,Control!$AI$11:$AL$22,4)),VLOOKUP($A235,Euro!$B$29:$Q$182,16)),0)</f>
        <v>0</v>
      </c>
      <c r="L235" s="23">
        <f t="shared" si="55"/>
        <v>0</v>
      </c>
      <c r="M235" s="23"/>
      <c r="N235" s="69">
        <f t="shared" si="46"/>
        <v>5.7430000000000003</v>
      </c>
      <c r="O235" s="69">
        <f>N235+Control!$C$39</f>
        <v>5.7430000000000003</v>
      </c>
      <c r="P235" s="73">
        <f>VLOOKUP($A235,CurveFetch!$D$8:$E$367,2)</f>
        <v>5.5973279915105999E-2</v>
      </c>
      <c r="Q235" s="24">
        <f t="shared" si="56"/>
        <v>5.5973279915105999E-2</v>
      </c>
      <c r="R235" s="72">
        <f t="shared" ca="1" si="57"/>
        <v>6939</v>
      </c>
      <c r="S235" s="25">
        <f>VLOOKUP($A235,Curve_Fetch,VLOOKUP(Control!$AJ$10,Control!$AI$11:$AM$22,5))</f>
        <v>0</v>
      </c>
      <c r="T235" s="74">
        <f ca="1">_xll.EURO(N235,O235,P235,Q235,S235,R235,IF(Control!$C$38="Call",1,0),0)</f>
        <v>3.4483867149104341E-5</v>
      </c>
      <c r="U235" s="27">
        <f t="shared" ca="1" si="47"/>
        <v>0</v>
      </c>
      <c r="V235" s="76"/>
      <c r="W235" s="197"/>
      <c r="X235" s="197"/>
      <c r="Y235" s="197"/>
      <c r="AA235" s="210"/>
      <c r="AB235" s="210"/>
      <c r="AC235" s="211"/>
      <c r="AD235" s="212"/>
      <c r="AE235" s="213"/>
      <c r="AF235" s="214"/>
      <c r="AG235" s="215"/>
      <c r="AH235" s="216"/>
      <c r="AI235" s="27"/>
      <c r="AJ235" s="28">
        <f t="shared" si="48"/>
        <v>0</v>
      </c>
      <c r="AL235" s="24">
        <f t="shared" si="58"/>
        <v>5.60275290978174E-2</v>
      </c>
      <c r="AM235" s="25">
        <f t="shared" ca="1" si="59"/>
        <v>0.34706482991676885</v>
      </c>
      <c r="AO235" s="26">
        <f t="shared" ca="1" si="49"/>
        <v>0</v>
      </c>
      <c r="AP235" s="26"/>
      <c r="AQ235" s="26">
        <f t="shared" ca="1" si="50"/>
        <v>0</v>
      </c>
      <c r="AR235" s="26"/>
      <c r="AS235" s="27">
        <f t="shared" ca="1" si="51"/>
        <v>0</v>
      </c>
      <c r="AT235" s="27">
        <f t="shared" ca="1" si="52"/>
        <v>0</v>
      </c>
      <c r="AU235" s="27">
        <f t="shared" ca="1" si="53"/>
        <v>0</v>
      </c>
      <c r="AV235" s="27"/>
      <c r="AW235" s="27"/>
      <c r="AY235" s="216"/>
      <c r="AZ235" s="216"/>
      <c r="BA235" s="233"/>
      <c r="BC235" s="216"/>
      <c r="BE235" s="69"/>
    </row>
    <row r="236" spans="1:57">
      <c r="A236" s="19">
        <f>[1]!_xludf.edate(A235,1)</f>
        <v>44166</v>
      </c>
      <c r="B236" s="21">
        <f t="shared" si="60"/>
        <v>31</v>
      </c>
      <c r="C236" s="20">
        <f>IF(Control!$F$18="Physical",Model!A237+24,Model!A237)</f>
        <v>44221</v>
      </c>
      <c r="E236" s="22">
        <f>IF($A236&lt;End_Date,IF(Control!$C$20="Flat",Control!$C$21,VLOOKUP(Model!$A236,Euro!$B$29:$D$182,3)),0)</f>
        <v>0</v>
      </c>
      <c r="F236" s="22">
        <f t="shared" si="54"/>
        <v>0</v>
      </c>
      <c r="H236" s="23">
        <f>IF(Control!$C$27="Mid",VLOOKUP($A236,CurveFetch!$D$8:$F$367,3),VLOOKUP($A236,Euro!$B$29:$I$182,8))</f>
        <v>5.8739999999999997</v>
      </c>
      <c r="I236" s="23"/>
      <c r="J236" s="23">
        <f>IF($J$4="Mid",VLOOKUP($A236,Curve_Fetch,VLOOKUP(Control!$AJ$10,Control!$AI$11:$AK$22,3)),VLOOKUP($A236,Euro!$B$29:$M$182,12))</f>
        <v>0</v>
      </c>
      <c r="K236" s="228">
        <f>IF(Control!$F$18="Physical",IF($K$4="Mid",VLOOKUP($A236,Curve_Fetch,VLOOKUP(Control!$AJ$10,Control!$AI$11:$AL$22,4)),VLOOKUP($A236,Euro!$B$29:$Q$182,16)),0)</f>
        <v>0</v>
      </c>
      <c r="L236" s="23">
        <f t="shared" si="55"/>
        <v>0</v>
      </c>
      <c r="M236" s="23"/>
      <c r="N236" s="69">
        <f t="shared" si="46"/>
        <v>5.8739999999999997</v>
      </c>
      <c r="O236" s="69">
        <f>N236+Control!$C$39</f>
        <v>5.8739999999999997</v>
      </c>
      <c r="P236" s="73">
        <f>VLOOKUP($A236,CurveFetch!$D$8:$E$367,2)</f>
        <v>5.60275290978174E-2</v>
      </c>
      <c r="Q236" s="24">
        <f t="shared" si="56"/>
        <v>5.60275290978174E-2</v>
      </c>
      <c r="R236" s="72">
        <f t="shared" ca="1" si="57"/>
        <v>6969</v>
      </c>
      <c r="S236" s="25">
        <f>VLOOKUP($A236,Curve_Fetch,VLOOKUP(Control!$AJ$10,Control!$AI$11:$AM$22,5))</f>
        <v>0</v>
      </c>
      <c r="T236" s="74">
        <f ca="1">_xll.EURO(N236,O236,P236,Q236,S236,R236,IF(Control!$C$38="Call",1,0),0)</f>
        <v>3.514808444204931E-5</v>
      </c>
      <c r="U236" s="27">
        <f t="shared" ca="1" si="47"/>
        <v>0</v>
      </c>
      <c r="V236" s="76"/>
      <c r="W236" s="197"/>
      <c r="X236" s="197"/>
      <c r="Y236" s="197"/>
      <c r="AA236" s="210"/>
      <c r="AB236" s="210"/>
      <c r="AC236" s="211"/>
      <c r="AD236" s="212"/>
      <c r="AE236" s="213"/>
      <c r="AF236" s="214"/>
      <c r="AG236" s="215"/>
      <c r="AH236" s="216"/>
      <c r="AI236" s="27"/>
      <c r="AJ236" s="28">
        <f t="shared" si="48"/>
        <v>0</v>
      </c>
      <c r="AL236" s="24">
        <f t="shared" si="58"/>
        <v>5.6083586587648303E-2</v>
      </c>
      <c r="AM236" s="25">
        <f t="shared" ca="1" si="59"/>
        <v>0.34507880252478196</v>
      </c>
      <c r="AO236" s="26">
        <f t="shared" ca="1" si="49"/>
        <v>0</v>
      </c>
      <c r="AP236" s="26"/>
      <c r="AQ236" s="26">
        <f t="shared" ca="1" si="50"/>
        <v>0</v>
      </c>
      <c r="AR236" s="26"/>
      <c r="AS236" s="27">
        <f t="shared" ca="1" si="51"/>
        <v>0</v>
      </c>
      <c r="AT236" s="27">
        <f t="shared" ca="1" si="52"/>
        <v>0</v>
      </c>
      <c r="AU236" s="27">
        <f t="shared" ca="1" si="53"/>
        <v>0</v>
      </c>
      <c r="AV236" s="27"/>
      <c r="AW236" s="27"/>
      <c r="AY236" s="216"/>
      <c r="AZ236" s="216"/>
      <c r="BA236" s="233"/>
      <c r="BC236" s="216"/>
      <c r="BE236" s="69"/>
    </row>
    <row r="237" spans="1:57">
      <c r="A237" s="19">
        <f>[1]!_xludf.edate(A236,1)</f>
        <v>44197</v>
      </c>
      <c r="B237" s="21">
        <f t="shared" si="60"/>
        <v>31</v>
      </c>
      <c r="C237" s="20">
        <f>IF(Control!$F$18="Physical",Model!A238+24,Model!A238)</f>
        <v>44252</v>
      </c>
      <c r="E237" s="22">
        <f>IF($A237&lt;End_Date,IF(Control!$C$20="Flat",Control!$C$21,VLOOKUP(Model!$A237,Euro!$B$29:$D$182,3)),0)</f>
        <v>0</v>
      </c>
      <c r="F237" s="22">
        <f t="shared" si="54"/>
        <v>0</v>
      </c>
      <c r="H237" s="23">
        <f>IF(Control!$C$27="Mid",VLOOKUP($A237,CurveFetch!$D$8:$F$367,3),VLOOKUP($A237,Euro!$B$29:$I$182,8))</f>
        <v>5.9465000000000003</v>
      </c>
      <c r="I237" s="23"/>
      <c r="J237" s="23">
        <f>IF($J$4="Mid",VLOOKUP($A237,Curve_Fetch,VLOOKUP(Control!$AJ$10,Control!$AI$11:$AK$22,3)),VLOOKUP($A237,Euro!$B$29:$M$182,12))</f>
        <v>0</v>
      </c>
      <c r="K237" s="228">
        <f>IF(Control!$F$18="Physical",IF($K$4="Mid",VLOOKUP($A237,Curve_Fetch,VLOOKUP(Control!$AJ$10,Control!$AI$11:$AL$22,4)),VLOOKUP($A237,Euro!$B$29:$Q$182,16)),0)</f>
        <v>0</v>
      </c>
      <c r="L237" s="23">
        <f t="shared" si="55"/>
        <v>0</v>
      </c>
      <c r="M237" s="23"/>
      <c r="N237" s="69">
        <f t="shared" si="46"/>
        <v>5.9465000000000003</v>
      </c>
      <c r="O237" s="69">
        <f>N237+Control!$C$39</f>
        <v>5.9465000000000003</v>
      </c>
      <c r="P237" s="73">
        <f>VLOOKUP($A237,CurveFetch!$D$8:$E$367,2)</f>
        <v>5.6083586587648303E-2</v>
      </c>
      <c r="Q237" s="24">
        <f t="shared" si="56"/>
        <v>5.6083586587648303E-2</v>
      </c>
      <c r="R237" s="72">
        <f t="shared" ca="1" si="57"/>
        <v>7000</v>
      </c>
      <c r="S237" s="25">
        <f>VLOOKUP($A237,Curve_Fetch,VLOOKUP(Control!$AJ$10,Control!$AI$11:$AM$22,5))</f>
        <v>0</v>
      </c>
      <c r="T237" s="74">
        <f ca="1">_xll.EURO(N237,O237,P237,Q237,S237,R237,IF(Control!$C$38="Call",1,0),0)</f>
        <v>3.5453662594608915E-5</v>
      </c>
      <c r="U237" s="27">
        <f t="shared" ca="1" si="47"/>
        <v>0</v>
      </c>
      <c r="V237" s="76"/>
      <c r="W237" s="197"/>
      <c r="X237" s="197"/>
      <c r="Y237" s="197"/>
      <c r="AA237" s="210"/>
      <c r="AB237" s="210"/>
      <c r="AC237" s="211"/>
      <c r="AD237" s="212"/>
      <c r="AE237" s="213"/>
      <c r="AF237" s="214"/>
      <c r="AG237" s="215"/>
      <c r="AH237" s="216"/>
      <c r="AI237" s="27"/>
      <c r="AJ237" s="28">
        <f t="shared" si="48"/>
        <v>0</v>
      </c>
      <c r="AL237" s="24">
        <f t="shared" si="58"/>
        <v>5.6139644078526001E-2</v>
      </c>
      <c r="AM237" s="25">
        <f t="shared" ca="1" si="59"/>
        <v>0.3431009739228571</v>
      </c>
      <c r="AO237" s="26">
        <f t="shared" ca="1" si="49"/>
        <v>0</v>
      </c>
      <c r="AP237" s="26"/>
      <c r="AQ237" s="26">
        <f t="shared" ca="1" si="50"/>
        <v>0</v>
      </c>
      <c r="AR237" s="26"/>
      <c r="AS237" s="27">
        <f t="shared" ca="1" si="51"/>
        <v>0</v>
      </c>
      <c r="AT237" s="27">
        <f t="shared" ca="1" si="52"/>
        <v>0</v>
      </c>
      <c r="AU237" s="27">
        <f t="shared" ca="1" si="53"/>
        <v>0</v>
      </c>
      <c r="AV237" s="27"/>
      <c r="AW237" s="27"/>
      <c r="AY237" s="216"/>
      <c r="AZ237" s="216"/>
      <c r="BA237" s="233"/>
      <c r="BC237" s="216"/>
      <c r="BE237" s="69"/>
    </row>
    <row r="238" spans="1:57">
      <c r="A238" s="19">
        <f>[1]!_xludf.edate(A237,1)</f>
        <v>44228</v>
      </c>
      <c r="B238" s="21">
        <f t="shared" si="60"/>
        <v>28</v>
      </c>
      <c r="C238" s="20">
        <f>IF(Control!$F$18="Physical",Model!A239+24,Model!A239)</f>
        <v>44280</v>
      </c>
      <c r="E238" s="22">
        <f>IF($A238&lt;End_Date,IF(Control!$C$20="Flat",Control!$C$21,VLOOKUP(Model!$A238,Euro!$B$29:$D$182,3)),0)</f>
        <v>0</v>
      </c>
      <c r="F238" s="22">
        <f t="shared" si="54"/>
        <v>0</v>
      </c>
      <c r="H238" s="23">
        <f>IF(Control!$C$27="Mid",VLOOKUP($A238,CurveFetch!$D$8:$F$367,3),VLOOKUP($A238,Euro!$B$29:$I$182,8))</f>
        <v>5.8585000000000003</v>
      </c>
      <c r="I238" s="23"/>
      <c r="J238" s="23">
        <f>IF($J$4="Mid",VLOOKUP($A238,Curve_Fetch,VLOOKUP(Control!$AJ$10,Control!$AI$11:$AK$22,3)),VLOOKUP($A238,Euro!$B$29:$M$182,12))</f>
        <v>0</v>
      </c>
      <c r="K238" s="228">
        <f>IF(Control!$F$18="Physical",IF($K$4="Mid",VLOOKUP($A238,Curve_Fetch,VLOOKUP(Control!$AJ$10,Control!$AI$11:$AL$22,4)),VLOOKUP($A238,Euro!$B$29:$Q$182,16)),0)</f>
        <v>0</v>
      </c>
      <c r="L238" s="23">
        <f t="shared" si="55"/>
        <v>0</v>
      </c>
      <c r="M238" s="23"/>
      <c r="N238" s="69">
        <f t="shared" si="46"/>
        <v>5.8585000000000003</v>
      </c>
      <c r="O238" s="69">
        <f>N238+Control!$C$39</f>
        <v>5.8585000000000003</v>
      </c>
      <c r="P238" s="73">
        <f>VLOOKUP($A238,CurveFetch!$D$8:$E$367,2)</f>
        <v>5.6139644078526001E-2</v>
      </c>
      <c r="Q238" s="24">
        <f t="shared" si="56"/>
        <v>5.6139644078526001E-2</v>
      </c>
      <c r="R238" s="72">
        <f t="shared" ca="1" si="57"/>
        <v>7031</v>
      </c>
      <c r="S238" s="25">
        <f>VLOOKUP($A238,Curve_Fetch,VLOOKUP(Control!$AJ$10,Control!$AI$11:$AM$22,5))</f>
        <v>0</v>
      </c>
      <c r="T238" s="74">
        <f ca="1">_xll.EURO(N238,O238,P238,Q238,S238,R238,IF(Control!$C$38="Call",1,0),0)</f>
        <v>3.48024399315916E-5</v>
      </c>
      <c r="U238" s="27">
        <f t="shared" ca="1" si="47"/>
        <v>0</v>
      </c>
      <c r="V238" s="76"/>
      <c r="W238" s="197"/>
      <c r="X238" s="197"/>
      <c r="Y238" s="197"/>
      <c r="AA238" s="210"/>
      <c r="AB238" s="210"/>
      <c r="AC238" s="211"/>
      <c r="AD238" s="212"/>
      <c r="AE238" s="213"/>
      <c r="AF238" s="214"/>
      <c r="AG238" s="215"/>
      <c r="AH238" s="216"/>
      <c r="AI238" s="27"/>
      <c r="AJ238" s="28">
        <f t="shared" si="48"/>
        <v>0</v>
      </c>
      <c r="AL238" s="24">
        <f t="shared" si="58"/>
        <v>5.6190276651830302E-2</v>
      </c>
      <c r="AM238" s="25">
        <f t="shared" ca="1" si="59"/>
        <v>0.3413215864206065</v>
      </c>
      <c r="AO238" s="26">
        <f t="shared" ca="1" si="49"/>
        <v>0</v>
      </c>
      <c r="AP238" s="26"/>
      <c r="AQ238" s="26">
        <f t="shared" ca="1" si="50"/>
        <v>0</v>
      </c>
      <c r="AR238" s="26"/>
      <c r="AS238" s="27">
        <f t="shared" ca="1" si="51"/>
        <v>0</v>
      </c>
      <c r="AT238" s="27">
        <f t="shared" ca="1" si="52"/>
        <v>0</v>
      </c>
      <c r="AU238" s="27">
        <f t="shared" ca="1" si="53"/>
        <v>0</v>
      </c>
      <c r="AV238" s="27"/>
      <c r="AW238" s="27"/>
      <c r="AY238" s="216"/>
      <c r="AZ238" s="216"/>
      <c r="BA238" s="233"/>
      <c r="BC238" s="216"/>
      <c r="BE238" s="69"/>
    </row>
    <row r="239" spans="1:57">
      <c r="A239" s="19">
        <f>[1]!_xludf.edate(A238,1)</f>
        <v>44256</v>
      </c>
      <c r="B239" s="21">
        <f t="shared" si="60"/>
        <v>31</v>
      </c>
      <c r="C239" s="20">
        <f>IF(Control!$F$18="Physical",Model!A240+24,Model!A240)</f>
        <v>44311</v>
      </c>
      <c r="E239" s="22">
        <f>IF($A239&lt;End_Date,IF(Control!$C$20="Flat",Control!$C$21,VLOOKUP(Model!$A239,Euro!$B$29:$D$182,3)),0)</f>
        <v>0</v>
      </c>
      <c r="F239" s="22">
        <f t="shared" si="54"/>
        <v>0</v>
      </c>
      <c r="H239" s="23">
        <f>IF(Control!$C$27="Mid",VLOOKUP($A239,CurveFetch!$D$8:$F$367,3),VLOOKUP($A239,Euro!$B$29:$I$182,8))</f>
        <v>5.7195</v>
      </c>
      <c r="I239" s="23"/>
      <c r="J239" s="23">
        <f>IF($J$4="Mid",VLOOKUP($A239,Curve_Fetch,VLOOKUP(Control!$AJ$10,Control!$AI$11:$AK$22,3)),VLOOKUP($A239,Euro!$B$29:$M$182,12))</f>
        <v>0</v>
      </c>
      <c r="K239" s="228">
        <f>IF(Control!$F$18="Physical",IF($K$4="Mid",VLOOKUP($A239,Curve_Fetch,VLOOKUP(Control!$AJ$10,Control!$AI$11:$AL$22,4)),VLOOKUP($A239,Euro!$B$29:$Q$182,16)),0)</f>
        <v>0</v>
      </c>
      <c r="L239" s="23">
        <f t="shared" si="55"/>
        <v>0</v>
      </c>
      <c r="M239" s="23"/>
      <c r="N239" s="69">
        <f t="shared" si="46"/>
        <v>5.7195</v>
      </c>
      <c r="O239" s="69">
        <f>N239+Control!$C$39</f>
        <v>5.7195</v>
      </c>
      <c r="P239" s="73">
        <f>VLOOKUP($A239,CurveFetch!$D$8:$E$367,2)</f>
        <v>5.6190276651830302E-2</v>
      </c>
      <c r="Q239" s="24">
        <f t="shared" si="56"/>
        <v>5.6190276651830302E-2</v>
      </c>
      <c r="R239" s="72">
        <f t="shared" ca="1" si="57"/>
        <v>7059</v>
      </c>
      <c r="S239" s="25">
        <f>VLOOKUP($A239,Curve_Fetch,VLOOKUP(Control!$AJ$10,Control!$AI$11:$AM$22,5))</f>
        <v>0</v>
      </c>
      <c r="T239" s="74">
        <f ca="1">_xll.EURO(N239,O239,P239,Q239,S239,R239,IF(Control!$C$38="Call",1,0),0)</f>
        <v>3.3864937091676595E-5</v>
      </c>
      <c r="U239" s="27">
        <f t="shared" ca="1" si="47"/>
        <v>0</v>
      </c>
      <c r="V239" s="76"/>
      <c r="W239" s="197"/>
      <c r="X239" s="197"/>
      <c r="Y239" s="197"/>
      <c r="AA239" s="210"/>
      <c r="AB239" s="210"/>
      <c r="AC239" s="211"/>
      <c r="AD239" s="212"/>
      <c r="AE239" s="213"/>
      <c r="AF239" s="214"/>
      <c r="AG239" s="215"/>
      <c r="AH239" s="216"/>
      <c r="AI239" s="27"/>
      <c r="AJ239" s="28">
        <f t="shared" si="48"/>
        <v>0</v>
      </c>
      <c r="AL239" s="24">
        <f t="shared" si="58"/>
        <v>5.6246334144698401E-2</v>
      </c>
      <c r="AM239" s="25">
        <f t="shared" ca="1" si="59"/>
        <v>0.33935933290921244</v>
      </c>
      <c r="AO239" s="26">
        <f t="shared" ca="1" si="49"/>
        <v>0</v>
      </c>
      <c r="AP239" s="26"/>
      <c r="AQ239" s="26">
        <f t="shared" ca="1" si="50"/>
        <v>0</v>
      </c>
      <c r="AR239" s="26"/>
      <c r="AS239" s="27">
        <f t="shared" ca="1" si="51"/>
        <v>0</v>
      </c>
      <c r="AT239" s="27">
        <f t="shared" ca="1" si="52"/>
        <v>0</v>
      </c>
      <c r="AU239" s="27">
        <f t="shared" ca="1" si="53"/>
        <v>0</v>
      </c>
      <c r="AV239" s="27"/>
      <c r="AW239" s="27"/>
      <c r="AY239" s="216"/>
      <c r="AZ239" s="216"/>
      <c r="BA239" s="233"/>
      <c r="BC239" s="216"/>
      <c r="BE239" s="69"/>
    </row>
    <row r="240" spans="1:57">
      <c r="A240" s="19">
        <f>[1]!_xludf.edate(A239,1)</f>
        <v>44287</v>
      </c>
      <c r="B240" s="21">
        <f t="shared" si="60"/>
        <v>30</v>
      </c>
      <c r="C240" s="20">
        <f>IF(Control!$F$18="Physical",Model!A241+24,Model!A241)</f>
        <v>44341</v>
      </c>
      <c r="E240" s="22">
        <f>IF($A240&lt;End_Date,IF(Control!$C$20="Flat",Control!$C$21,VLOOKUP(Model!$A240,Euro!$B$29:$D$182,3)),0)</f>
        <v>0</v>
      </c>
      <c r="F240" s="22">
        <f t="shared" si="54"/>
        <v>0</v>
      </c>
      <c r="H240" s="23">
        <f>IF(Control!$C$27="Mid",VLOOKUP($A240,CurveFetch!$D$8:$F$367,3),VLOOKUP($A240,Euro!$B$29:$I$182,8))</f>
        <v>5.5655000000000001</v>
      </c>
      <c r="I240" s="23"/>
      <c r="J240" s="23">
        <f>IF($J$4="Mid",VLOOKUP($A240,Curve_Fetch,VLOOKUP(Control!$AJ$10,Control!$AI$11:$AK$22,3)),VLOOKUP($A240,Euro!$B$29:$M$182,12))</f>
        <v>0</v>
      </c>
      <c r="K240" s="228">
        <f>IF(Control!$F$18="Physical",IF($K$4="Mid",VLOOKUP($A240,Curve_Fetch,VLOOKUP(Control!$AJ$10,Control!$AI$11:$AL$22,4)),VLOOKUP($A240,Euro!$B$29:$Q$182,16)),0)</f>
        <v>0</v>
      </c>
      <c r="L240" s="23">
        <f t="shared" si="55"/>
        <v>0</v>
      </c>
      <c r="M240" s="23"/>
      <c r="N240" s="69">
        <f t="shared" si="46"/>
        <v>5.5655000000000001</v>
      </c>
      <c r="O240" s="69">
        <f>N240+Control!$C$39</f>
        <v>5.5655000000000001</v>
      </c>
      <c r="P240" s="73">
        <f>VLOOKUP($A240,CurveFetch!$D$8:$E$367,2)</f>
        <v>5.6246334144698401E-2</v>
      </c>
      <c r="Q240" s="24">
        <f t="shared" si="56"/>
        <v>5.6246334144698401E-2</v>
      </c>
      <c r="R240" s="72">
        <f t="shared" ca="1" si="57"/>
        <v>7090</v>
      </c>
      <c r="S240" s="25">
        <f>VLOOKUP($A240,Curve_Fetch,VLOOKUP(Control!$AJ$10,Control!$AI$11:$AM$22,5))</f>
        <v>0</v>
      </c>
      <c r="T240" s="74">
        <f ca="1">_xll.EURO(N240,O240,P240,Q240,S240,R240,IF(Control!$C$38="Call",1,0),0)</f>
        <v>3.2832511378644291E-5</v>
      </c>
      <c r="U240" s="27">
        <f t="shared" ca="1" si="47"/>
        <v>0</v>
      </c>
      <c r="V240" s="76"/>
      <c r="W240" s="197"/>
      <c r="X240" s="197"/>
      <c r="Y240" s="197"/>
      <c r="AA240" s="210"/>
      <c r="AB240" s="210"/>
      <c r="AC240" s="211"/>
      <c r="AD240" s="212"/>
      <c r="AE240" s="213"/>
      <c r="AF240" s="214"/>
      <c r="AG240" s="215"/>
      <c r="AH240" s="216"/>
      <c r="AI240" s="27"/>
      <c r="AJ240" s="28">
        <f t="shared" si="48"/>
        <v>0</v>
      </c>
      <c r="AL240" s="24">
        <f t="shared" si="58"/>
        <v>5.6300583332340899E-2</v>
      </c>
      <c r="AM240" s="25">
        <f t="shared" ca="1" si="59"/>
        <v>0.33746815497450244</v>
      </c>
      <c r="AO240" s="26">
        <f t="shared" ca="1" si="49"/>
        <v>0</v>
      </c>
      <c r="AP240" s="26"/>
      <c r="AQ240" s="26">
        <f t="shared" ca="1" si="50"/>
        <v>0</v>
      </c>
      <c r="AR240" s="26"/>
      <c r="AS240" s="27">
        <f t="shared" ca="1" si="51"/>
        <v>0</v>
      </c>
      <c r="AT240" s="27">
        <f t="shared" ca="1" si="52"/>
        <v>0</v>
      </c>
      <c r="AU240" s="27">
        <f t="shared" ca="1" si="53"/>
        <v>0</v>
      </c>
      <c r="AV240" s="27"/>
      <c r="AW240" s="27"/>
      <c r="AY240" s="216"/>
      <c r="AZ240" s="216"/>
      <c r="BA240" s="233"/>
      <c r="BC240" s="216"/>
      <c r="BE240" s="69"/>
    </row>
    <row r="241" spans="1:57">
      <c r="A241" s="19">
        <f>[1]!_xludf.edate(A240,1)</f>
        <v>44317</v>
      </c>
      <c r="B241" s="21">
        <f t="shared" si="60"/>
        <v>31</v>
      </c>
      <c r="C241" s="20">
        <f>IF(Control!$F$18="Physical",Model!A242+24,Model!A242)</f>
        <v>44372</v>
      </c>
      <c r="E241" s="22">
        <f>IF($A241&lt;End_Date,IF(Control!$C$20="Flat",Control!$C$21,VLOOKUP(Model!$A241,Euro!$B$29:$D$182,3)),0)</f>
        <v>0</v>
      </c>
      <c r="F241" s="22">
        <f t="shared" si="54"/>
        <v>0</v>
      </c>
      <c r="H241" s="23">
        <f>IF(Control!$C$27="Mid",VLOOKUP($A241,CurveFetch!$D$8:$F$367,3),VLOOKUP($A241,Euro!$B$29:$I$182,8))</f>
        <v>5.5705</v>
      </c>
      <c r="I241" s="23"/>
      <c r="J241" s="23">
        <f>IF($J$4="Mid",VLOOKUP($A241,Curve_Fetch,VLOOKUP(Control!$AJ$10,Control!$AI$11:$AK$22,3)),VLOOKUP($A241,Euro!$B$29:$M$182,12))</f>
        <v>0</v>
      </c>
      <c r="K241" s="228">
        <f>IF(Control!$F$18="Physical",IF($K$4="Mid",VLOOKUP($A241,Curve_Fetch,VLOOKUP(Control!$AJ$10,Control!$AI$11:$AL$22,4)),VLOOKUP($A241,Euro!$B$29:$Q$182,16)),0)</f>
        <v>0</v>
      </c>
      <c r="L241" s="23">
        <f t="shared" si="55"/>
        <v>0</v>
      </c>
      <c r="M241" s="23"/>
      <c r="N241" s="69">
        <f t="shared" si="46"/>
        <v>5.5705</v>
      </c>
      <c r="O241" s="69">
        <f>N241+Control!$C$39</f>
        <v>5.5705</v>
      </c>
      <c r="P241" s="73">
        <f>VLOOKUP($A241,CurveFetch!$D$8:$E$367,2)</f>
        <v>5.6300583332340899E-2</v>
      </c>
      <c r="Q241" s="24">
        <f t="shared" si="56"/>
        <v>5.6300583332340899E-2</v>
      </c>
      <c r="R241" s="72">
        <f t="shared" ca="1" si="57"/>
        <v>7120</v>
      </c>
      <c r="S241" s="25">
        <f>VLOOKUP($A241,Curve_Fetch,VLOOKUP(Control!$AJ$10,Control!$AI$11:$AM$22,5))</f>
        <v>0</v>
      </c>
      <c r="T241" s="74">
        <f ca="1">_xll.EURO(N241,O241,P241,Q241,S241,R241,IF(Control!$C$38="Call",1,0),0)</f>
        <v>3.2745021457225576E-5</v>
      </c>
      <c r="U241" s="27">
        <f t="shared" ca="1" si="47"/>
        <v>0</v>
      </c>
      <c r="V241" s="76"/>
      <c r="W241" s="197"/>
      <c r="X241" s="197"/>
      <c r="Y241" s="197"/>
      <c r="AA241" s="210"/>
      <c r="AB241" s="210"/>
      <c r="AC241" s="211"/>
      <c r="AD241" s="212"/>
      <c r="AE241" s="213"/>
      <c r="AF241" s="214"/>
      <c r="AG241" s="215"/>
      <c r="AH241" s="216"/>
      <c r="AI241" s="27"/>
      <c r="AJ241" s="28">
        <f t="shared" si="48"/>
        <v>0</v>
      </c>
      <c r="AL241" s="24">
        <f t="shared" si="58"/>
        <v>5.6356640827267303E-2</v>
      </c>
      <c r="AM241" s="25">
        <f t="shared" ca="1" si="59"/>
        <v>0.33552196343080143</v>
      </c>
      <c r="AO241" s="26">
        <f t="shared" ca="1" si="49"/>
        <v>0</v>
      </c>
      <c r="AP241" s="26"/>
      <c r="AQ241" s="26">
        <f t="shared" ca="1" si="50"/>
        <v>0</v>
      </c>
      <c r="AR241" s="26"/>
      <c r="AS241" s="27">
        <f t="shared" ca="1" si="51"/>
        <v>0</v>
      </c>
      <c r="AT241" s="27">
        <f t="shared" ca="1" si="52"/>
        <v>0</v>
      </c>
      <c r="AU241" s="27">
        <f t="shared" ca="1" si="53"/>
        <v>0</v>
      </c>
      <c r="AV241" s="27"/>
      <c r="AW241" s="27"/>
      <c r="AY241" s="216"/>
      <c r="AZ241" s="216"/>
      <c r="BA241" s="233"/>
      <c r="BC241" s="216"/>
      <c r="BE241" s="69"/>
    </row>
    <row r="242" spans="1:57">
      <c r="A242" s="19">
        <f>[1]!_xludf.edate(A241,1)</f>
        <v>44348</v>
      </c>
      <c r="B242" s="21">
        <f t="shared" si="60"/>
        <v>30</v>
      </c>
      <c r="C242" s="20">
        <f>IF(Control!$F$18="Physical",Model!A243+24,Model!A243)</f>
        <v>44402</v>
      </c>
      <c r="E242" s="22">
        <f>IF($A242&lt;End_Date,IF(Control!$C$20="Flat",Control!$C$21,VLOOKUP(Model!$A242,Euro!$B$29:$D$182,3)),0)</f>
        <v>0</v>
      </c>
      <c r="F242" s="22">
        <f t="shared" si="54"/>
        <v>0</v>
      </c>
      <c r="H242" s="23">
        <f>IF(Control!$C$27="Mid",VLOOKUP($A242,CurveFetch!$D$8:$F$367,3),VLOOKUP($A242,Euro!$B$29:$I$182,8))</f>
        <v>5.6085000000000003</v>
      </c>
      <c r="I242" s="23"/>
      <c r="J242" s="23">
        <f>IF($J$4="Mid",VLOOKUP($A242,Curve_Fetch,VLOOKUP(Control!$AJ$10,Control!$AI$11:$AK$22,3)),VLOOKUP($A242,Euro!$B$29:$M$182,12))</f>
        <v>0</v>
      </c>
      <c r="K242" s="228">
        <f>IF(Control!$F$18="Physical",IF($K$4="Mid",VLOOKUP($A242,Curve_Fetch,VLOOKUP(Control!$AJ$10,Control!$AI$11:$AL$22,4)),VLOOKUP($A242,Euro!$B$29:$Q$182,16)),0)</f>
        <v>0</v>
      </c>
      <c r="L242" s="23">
        <f t="shared" si="55"/>
        <v>0</v>
      </c>
      <c r="M242" s="23"/>
      <c r="N242" s="69">
        <f t="shared" si="46"/>
        <v>5.6085000000000003</v>
      </c>
      <c r="O242" s="69">
        <f>N242+Control!$C$39</f>
        <v>5.6085000000000003</v>
      </c>
      <c r="P242" s="73">
        <f>VLOOKUP($A242,CurveFetch!$D$8:$E$367,2)</f>
        <v>5.6356640827267303E-2</v>
      </c>
      <c r="Q242" s="24">
        <f t="shared" si="56"/>
        <v>5.6356640827267303E-2</v>
      </c>
      <c r="R242" s="72">
        <f t="shared" ca="1" si="57"/>
        <v>7151</v>
      </c>
      <c r="S242" s="25">
        <f>VLOOKUP($A242,Curve_Fetch,VLOOKUP(Control!$AJ$10,Control!$AI$11:$AM$22,5))</f>
        <v>0</v>
      </c>
      <c r="T242" s="74">
        <f ca="1">_xll.EURO(N242,O242,P242,Q242,S242,R242,IF(Control!$C$38="Call",1,0),0)</f>
        <v>3.2846512667661365E-5</v>
      </c>
      <c r="U242" s="27">
        <f t="shared" ca="1" si="47"/>
        <v>0</v>
      </c>
      <c r="V242" s="76"/>
      <c r="W242" s="197"/>
      <c r="X242" s="197"/>
      <c r="Y242" s="197"/>
      <c r="AA242" s="210"/>
      <c r="AB242" s="210"/>
      <c r="AC242" s="211"/>
      <c r="AD242" s="212"/>
      <c r="AE242" s="213"/>
      <c r="AF242" s="214"/>
      <c r="AG242" s="215"/>
      <c r="AH242" s="216"/>
      <c r="AI242" s="27"/>
      <c r="AJ242" s="28">
        <f t="shared" si="48"/>
        <v>0</v>
      </c>
      <c r="AL242" s="24">
        <f t="shared" si="58"/>
        <v>5.6410890016901603E-2</v>
      </c>
      <c r="AM242" s="25">
        <f t="shared" ca="1" si="59"/>
        <v>0.3336463086714801</v>
      </c>
      <c r="AO242" s="26">
        <f t="shared" ca="1" si="49"/>
        <v>0</v>
      </c>
      <c r="AP242" s="26"/>
      <c r="AQ242" s="26">
        <f t="shared" ca="1" si="50"/>
        <v>0</v>
      </c>
      <c r="AR242" s="26"/>
      <c r="AS242" s="27">
        <f t="shared" ca="1" si="51"/>
        <v>0</v>
      </c>
      <c r="AT242" s="27">
        <f t="shared" ca="1" si="52"/>
        <v>0</v>
      </c>
      <c r="AU242" s="27">
        <f t="shared" ca="1" si="53"/>
        <v>0</v>
      </c>
      <c r="AV242" s="27"/>
      <c r="AW242" s="27"/>
      <c r="AY242" s="216"/>
      <c r="AZ242" s="216"/>
      <c r="BA242" s="233"/>
      <c r="BC242" s="216"/>
      <c r="BE242" s="69"/>
    </row>
    <row r="243" spans="1:57">
      <c r="A243" s="19">
        <f>[1]!_xludf.edate(A242,1)</f>
        <v>44378</v>
      </c>
      <c r="B243" s="21">
        <f t="shared" si="60"/>
        <v>31</v>
      </c>
      <c r="C243" s="20">
        <f>IF(Control!$F$18="Physical",Model!A244+24,Model!A244)</f>
        <v>44433</v>
      </c>
      <c r="E243" s="22">
        <f>IF($A243&lt;End_Date,IF(Control!$C$20="Flat",Control!$C$21,VLOOKUP(Model!$A243,Euro!$B$29:$D$182,3)),0)</f>
        <v>0</v>
      </c>
      <c r="F243" s="22">
        <f t="shared" si="54"/>
        <v>0</v>
      </c>
      <c r="H243" s="23">
        <f>IF(Control!$C$27="Mid",VLOOKUP($A243,CurveFetch!$D$8:$F$367,3),VLOOKUP($A243,Euro!$B$29:$I$182,8))</f>
        <v>5.6535000000000002</v>
      </c>
      <c r="I243" s="23"/>
      <c r="J243" s="23">
        <f>IF($J$4="Mid",VLOOKUP($A243,Curve_Fetch,VLOOKUP(Control!$AJ$10,Control!$AI$11:$AK$22,3)),VLOOKUP($A243,Euro!$B$29:$M$182,12))</f>
        <v>0</v>
      </c>
      <c r="K243" s="228">
        <f>IF(Control!$F$18="Physical",IF($K$4="Mid",VLOOKUP($A243,Curve_Fetch,VLOOKUP(Control!$AJ$10,Control!$AI$11:$AL$22,4)),VLOOKUP($A243,Euro!$B$29:$Q$182,16)),0)</f>
        <v>0</v>
      </c>
      <c r="L243" s="23">
        <f t="shared" si="55"/>
        <v>0</v>
      </c>
      <c r="M243" s="23"/>
      <c r="N243" s="69">
        <f t="shared" si="46"/>
        <v>5.6535000000000002</v>
      </c>
      <c r="O243" s="69">
        <f>N243+Control!$C$39</f>
        <v>5.6535000000000002</v>
      </c>
      <c r="P243" s="73">
        <f>VLOOKUP($A243,CurveFetch!$D$8:$E$367,2)</f>
        <v>5.6410890016901603E-2</v>
      </c>
      <c r="Q243" s="24">
        <f t="shared" si="56"/>
        <v>5.6410890016901603E-2</v>
      </c>
      <c r="R243" s="72">
        <f t="shared" ca="1" si="57"/>
        <v>7181</v>
      </c>
      <c r="S243" s="25">
        <f>VLOOKUP($A243,Curve_Fetch,VLOOKUP(Control!$AJ$10,Control!$AI$11:$AM$22,5))</f>
        <v>0</v>
      </c>
      <c r="T243" s="74">
        <f ca="1">_xll.EURO(N243,O243,P243,Q243,S243,R243,IF(Control!$C$38="Call",1,0),0)</f>
        <v>3.2990997750448336E-5</v>
      </c>
      <c r="U243" s="27">
        <f t="shared" ca="1" si="47"/>
        <v>0</v>
      </c>
      <c r="V243" s="76"/>
      <c r="W243" s="197"/>
      <c r="X243" s="197"/>
      <c r="Y243" s="197"/>
      <c r="AA243" s="210"/>
      <c r="AB243" s="210"/>
      <c r="AC243" s="211"/>
      <c r="AD243" s="212"/>
      <c r="AE243" s="213"/>
      <c r="AF243" s="214"/>
      <c r="AG243" s="215"/>
      <c r="AH243" s="216"/>
      <c r="AI243" s="27"/>
      <c r="AJ243" s="28">
        <f t="shared" si="48"/>
        <v>0</v>
      </c>
      <c r="AL243" s="24">
        <f t="shared" si="58"/>
        <v>5.6466947513886402E-2</v>
      </c>
      <c r="AM243" s="25">
        <f t="shared" ca="1" si="59"/>
        <v>0.33171613607595873</v>
      </c>
      <c r="AO243" s="26">
        <f t="shared" ca="1" si="49"/>
        <v>0</v>
      </c>
      <c r="AP243" s="26"/>
      <c r="AQ243" s="26">
        <f t="shared" ca="1" si="50"/>
        <v>0</v>
      </c>
      <c r="AR243" s="26"/>
      <c r="AS243" s="27">
        <f t="shared" ca="1" si="51"/>
        <v>0</v>
      </c>
      <c r="AT243" s="27">
        <f t="shared" ca="1" si="52"/>
        <v>0</v>
      </c>
      <c r="AU243" s="27">
        <f t="shared" ca="1" si="53"/>
        <v>0</v>
      </c>
      <c r="AV243" s="27"/>
      <c r="AW243" s="27"/>
      <c r="AY243" s="216"/>
      <c r="AZ243" s="216"/>
      <c r="BA243" s="233"/>
      <c r="BC243" s="216"/>
      <c r="BE243" s="69"/>
    </row>
    <row r="244" spans="1:57">
      <c r="A244" s="19">
        <f>[1]!_xludf.edate(A243,1)</f>
        <v>44409</v>
      </c>
      <c r="B244" s="21">
        <f t="shared" si="60"/>
        <v>31</v>
      </c>
      <c r="C244" s="20">
        <f>IF(Control!$F$18="Physical",Model!A245+24,Model!A245)</f>
        <v>44464</v>
      </c>
      <c r="E244" s="22">
        <f>IF($A244&lt;End_Date,IF(Control!$C$20="Flat",Control!$C$21,VLOOKUP(Model!$A244,Euro!$B$29:$D$182,3)),0)</f>
        <v>0</v>
      </c>
      <c r="F244" s="22">
        <f t="shared" si="54"/>
        <v>0</v>
      </c>
      <c r="H244" s="23">
        <f>IF(Control!$C$27="Mid",VLOOKUP($A244,CurveFetch!$D$8:$F$367,3),VLOOKUP($A244,Euro!$B$29:$I$182,8))</f>
        <v>5.6914999999999996</v>
      </c>
      <c r="I244" s="23"/>
      <c r="J244" s="23">
        <f>IF($J$4="Mid",VLOOKUP($A244,Curve_Fetch,VLOOKUP(Control!$AJ$10,Control!$AI$11:$AK$22,3)),VLOOKUP($A244,Euro!$B$29:$M$182,12))</f>
        <v>0</v>
      </c>
      <c r="K244" s="228">
        <f>IF(Control!$F$18="Physical",IF($K$4="Mid",VLOOKUP($A244,Curve_Fetch,VLOOKUP(Control!$AJ$10,Control!$AI$11:$AL$22,4)),VLOOKUP($A244,Euro!$B$29:$Q$182,16)),0)</f>
        <v>0</v>
      </c>
      <c r="L244" s="23">
        <f t="shared" si="55"/>
        <v>0</v>
      </c>
      <c r="M244" s="23"/>
      <c r="N244" s="69">
        <f t="shared" si="46"/>
        <v>5.6914999999999996</v>
      </c>
      <c r="O244" s="69">
        <f>N244+Control!$C$39</f>
        <v>5.6914999999999996</v>
      </c>
      <c r="P244" s="73">
        <f>VLOOKUP($A244,CurveFetch!$D$8:$E$367,2)</f>
        <v>5.6466947513886402E-2</v>
      </c>
      <c r="Q244" s="24">
        <f t="shared" si="56"/>
        <v>5.6466947513886402E-2</v>
      </c>
      <c r="R244" s="72">
        <f t="shared" ca="1" si="57"/>
        <v>7212</v>
      </c>
      <c r="S244" s="25">
        <f>VLOOKUP($A244,Curve_Fetch,VLOOKUP(Control!$AJ$10,Control!$AI$11:$AM$22,5))</f>
        <v>0</v>
      </c>
      <c r="T244" s="74">
        <f ca="1">_xll.EURO(N244,O244,P244,Q244,S244,R244,IF(Control!$C$38="Call",1,0),0)</f>
        <v>3.3088730745589601E-5</v>
      </c>
      <c r="U244" s="27">
        <f t="shared" ca="1" si="47"/>
        <v>0</v>
      </c>
      <c r="V244" s="76"/>
      <c r="W244" s="197"/>
      <c r="X244" s="197"/>
      <c r="Y244" s="197"/>
      <c r="AA244" s="210"/>
      <c r="AB244" s="210"/>
      <c r="AC244" s="211"/>
      <c r="AD244" s="212"/>
      <c r="AE244" s="213"/>
      <c r="AF244" s="214"/>
      <c r="AG244" s="215"/>
      <c r="AH244" s="216"/>
      <c r="AI244" s="27"/>
      <c r="AJ244" s="28">
        <f t="shared" si="48"/>
        <v>0</v>
      </c>
      <c r="AL244" s="24">
        <f t="shared" si="58"/>
        <v>5.6523005011916497E-2</v>
      </c>
      <c r="AM244" s="25">
        <f t="shared" ca="1" si="59"/>
        <v>0.32979408737419241</v>
      </c>
      <c r="AO244" s="26">
        <f t="shared" ca="1" si="49"/>
        <v>0</v>
      </c>
      <c r="AP244" s="26"/>
      <c r="AQ244" s="26">
        <f t="shared" ca="1" si="50"/>
        <v>0</v>
      </c>
      <c r="AR244" s="26"/>
      <c r="AS244" s="27">
        <f t="shared" ca="1" si="51"/>
        <v>0</v>
      </c>
      <c r="AT244" s="27">
        <f t="shared" ca="1" si="52"/>
        <v>0</v>
      </c>
      <c r="AU244" s="27">
        <f t="shared" ca="1" si="53"/>
        <v>0</v>
      </c>
      <c r="AV244" s="27"/>
      <c r="AW244" s="27"/>
      <c r="AY244" s="216"/>
      <c r="AZ244" s="216"/>
      <c r="BA244" s="233"/>
      <c r="BC244" s="216"/>
      <c r="BE244" s="69"/>
    </row>
    <row r="245" spans="1:57">
      <c r="A245" s="19">
        <f>[1]!_xludf.edate(A244,1)</f>
        <v>44440</v>
      </c>
      <c r="B245" s="21">
        <f t="shared" si="60"/>
        <v>30</v>
      </c>
      <c r="C245" s="20">
        <f>IF(Control!$F$18="Physical",Model!A246+24,Model!A246)</f>
        <v>44494</v>
      </c>
      <c r="E245" s="22">
        <f>IF($A245&lt;End_Date,IF(Control!$C$20="Flat",Control!$C$21,VLOOKUP(Model!$A245,Euro!$B$29:$D$182,3)),0)</f>
        <v>0</v>
      </c>
      <c r="F245" s="22">
        <f t="shared" si="54"/>
        <v>0</v>
      </c>
      <c r="H245" s="23">
        <f>IF(Control!$C$27="Mid",VLOOKUP($A245,CurveFetch!$D$8:$F$367,3),VLOOKUP($A245,Euro!$B$29:$I$182,8))</f>
        <v>5.6855000000000002</v>
      </c>
      <c r="I245" s="23"/>
      <c r="J245" s="23">
        <f>IF($J$4="Mid",VLOOKUP($A245,Curve_Fetch,VLOOKUP(Control!$AJ$10,Control!$AI$11:$AK$22,3)),VLOOKUP($A245,Euro!$B$29:$M$182,12))</f>
        <v>0</v>
      </c>
      <c r="K245" s="228">
        <f>IF(Control!$F$18="Physical",IF($K$4="Mid",VLOOKUP($A245,Curve_Fetch,VLOOKUP(Control!$AJ$10,Control!$AI$11:$AL$22,4)),VLOOKUP($A245,Euro!$B$29:$Q$182,16)),0)</f>
        <v>0</v>
      </c>
      <c r="L245" s="23">
        <f t="shared" si="55"/>
        <v>0</v>
      </c>
      <c r="M245" s="23"/>
      <c r="N245" s="69">
        <f t="shared" si="46"/>
        <v>5.6855000000000002</v>
      </c>
      <c r="O245" s="69">
        <f>N245+Control!$C$39</f>
        <v>5.6855000000000002</v>
      </c>
      <c r="P245" s="73">
        <f>VLOOKUP($A245,CurveFetch!$D$8:$E$367,2)</f>
        <v>5.6523005011916497E-2</v>
      </c>
      <c r="Q245" s="24">
        <f t="shared" si="56"/>
        <v>5.6523005011916497E-2</v>
      </c>
      <c r="R245" s="72">
        <f t="shared" ca="1" si="57"/>
        <v>7243</v>
      </c>
      <c r="S245" s="25">
        <f>VLOOKUP($A245,Curve_Fetch,VLOOKUP(Control!$AJ$10,Control!$AI$11:$AM$22,5))</f>
        <v>0</v>
      </c>
      <c r="T245" s="74">
        <f ca="1">_xll.EURO(N245,O245,P245,Q245,S245,R245,IF(Control!$C$38="Call",1,0),0)</f>
        <v>3.292980828240033E-5</v>
      </c>
      <c r="U245" s="27">
        <f t="shared" ca="1" si="47"/>
        <v>0</v>
      </c>
      <c r="V245" s="76"/>
      <c r="W245" s="197"/>
      <c r="X245" s="197"/>
      <c r="Y245" s="197"/>
      <c r="AA245" s="210"/>
      <c r="AB245" s="210"/>
      <c r="AC245" s="211"/>
      <c r="AD245" s="212"/>
      <c r="AE245" s="213"/>
      <c r="AF245" s="214"/>
      <c r="AG245" s="215"/>
      <c r="AH245" s="216"/>
      <c r="AI245" s="27"/>
      <c r="AJ245" s="28">
        <f t="shared" si="48"/>
        <v>0</v>
      </c>
      <c r="AL245" s="24">
        <f t="shared" si="58"/>
        <v>5.6577254204555102E-2</v>
      </c>
      <c r="AM245" s="25">
        <f t="shared" ca="1" si="59"/>
        <v>0.32794176435691647</v>
      </c>
      <c r="AO245" s="26">
        <f t="shared" ca="1" si="49"/>
        <v>0</v>
      </c>
      <c r="AP245" s="26"/>
      <c r="AQ245" s="26">
        <f t="shared" ca="1" si="50"/>
        <v>0</v>
      </c>
      <c r="AR245" s="26"/>
      <c r="AS245" s="27">
        <f t="shared" ca="1" si="51"/>
        <v>0</v>
      </c>
      <c r="AT245" s="27">
        <f t="shared" ca="1" si="52"/>
        <v>0</v>
      </c>
      <c r="AU245" s="27">
        <f t="shared" ca="1" si="53"/>
        <v>0</v>
      </c>
      <c r="AV245" s="27"/>
      <c r="AW245" s="27"/>
      <c r="AY245" s="216"/>
      <c r="AZ245" s="216"/>
      <c r="BA245" s="233"/>
      <c r="BC245" s="216"/>
      <c r="BE245" s="69"/>
    </row>
    <row r="246" spans="1:57">
      <c r="A246" s="19">
        <f>[1]!_xludf.edate(A245,1)</f>
        <v>44470</v>
      </c>
      <c r="B246" s="21">
        <f t="shared" si="60"/>
        <v>31</v>
      </c>
      <c r="C246" s="20">
        <f>IF(Control!$F$18="Physical",Model!A247+24,Model!A247)</f>
        <v>44525</v>
      </c>
      <c r="E246" s="22">
        <f>IF($A246&lt;End_Date,IF(Control!$C$20="Flat",Control!$C$21,VLOOKUP(Model!$A246,Euro!$B$29:$D$182,3)),0)</f>
        <v>0</v>
      </c>
      <c r="F246" s="22">
        <f t="shared" si="54"/>
        <v>0</v>
      </c>
      <c r="H246" s="23">
        <f>IF(Control!$C$27="Mid",VLOOKUP($A246,CurveFetch!$D$8:$F$367,3),VLOOKUP($A246,Euro!$B$29:$I$182,8))</f>
        <v>5.6855000000000002</v>
      </c>
      <c r="I246" s="23"/>
      <c r="J246" s="23">
        <f>IF($J$4="Mid",VLOOKUP($A246,Curve_Fetch,VLOOKUP(Control!$AJ$10,Control!$AI$11:$AK$22,3)),VLOOKUP($A246,Euro!$B$29:$M$182,12))</f>
        <v>0</v>
      </c>
      <c r="K246" s="228">
        <f>IF(Control!$F$18="Physical",IF($K$4="Mid",VLOOKUP($A246,Curve_Fetch,VLOOKUP(Control!$AJ$10,Control!$AI$11:$AL$22,4)),VLOOKUP($A246,Euro!$B$29:$Q$182,16)),0)</f>
        <v>0</v>
      </c>
      <c r="L246" s="23">
        <f t="shared" si="55"/>
        <v>0</v>
      </c>
      <c r="M246" s="23"/>
      <c r="N246" s="69">
        <f t="shared" si="46"/>
        <v>5.6855000000000002</v>
      </c>
      <c r="O246" s="69">
        <f>N246+Control!$C$39</f>
        <v>5.6855000000000002</v>
      </c>
      <c r="P246" s="73">
        <f>VLOOKUP($A246,CurveFetch!$D$8:$E$367,2)</f>
        <v>5.6577254204555102E-2</v>
      </c>
      <c r="Q246" s="24">
        <f t="shared" si="56"/>
        <v>5.6577254204555102E-2</v>
      </c>
      <c r="R246" s="72">
        <f t="shared" ca="1" si="57"/>
        <v>7273</v>
      </c>
      <c r="S246" s="25">
        <f>VLOOKUP($A246,Curve_Fetch,VLOOKUP(Control!$AJ$10,Control!$AI$11:$AM$22,5))</f>
        <v>0</v>
      </c>
      <c r="T246" s="74">
        <f ca="1">_xll.EURO(N246,O246,P246,Q246,S246,R246,IF(Control!$C$38="Call",1,0),0)</f>
        <v>3.2809629206376201E-5</v>
      </c>
      <c r="U246" s="27">
        <f t="shared" ca="1" si="47"/>
        <v>0</v>
      </c>
      <c r="V246" s="76"/>
      <c r="W246" s="197"/>
      <c r="X246" s="197"/>
      <c r="Y246" s="197"/>
      <c r="AA246" s="210"/>
      <c r="AB246" s="210"/>
      <c r="AC246" s="211"/>
      <c r="AD246" s="212"/>
      <c r="AE246" s="213"/>
      <c r="AF246" s="214"/>
      <c r="AG246" s="215"/>
      <c r="AH246" s="216"/>
      <c r="AI246" s="27"/>
      <c r="AJ246" s="28">
        <f t="shared" si="48"/>
        <v>0</v>
      </c>
      <c r="AL246" s="24">
        <f t="shared" si="58"/>
        <v>5.6633311704643599E-2</v>
      </c>
      <c r="AM246" s="25">
        <f t="shared" ca="1" si="59"/>
        <v>0.32603566739036366</v>
      </c>
      <c r="AO246" s="26">
        <f t="shared" ca="1" si="49"/>
        <v>0</v>
      </c>
      <c r="AP246" s="26"/>
      <c r="AQ246" s="26">
        <f t="shared" ca="1" si="50"/>
        <v>0</v>
      </c>
      <c r="AR246" s="26"/>
      <c r="AS246" s="27">
        <f t="shared" ca="1" si="51"/>
        <v>0</v>
      </c>
      <c r="AT246" s="27">
        <f t="shared" ca="1" si="52"/>
        <v>0</v>
      </c>
      <c r="AU246" s="27">
        <f t="shared" ca="1" si="53"/>
        <v>0</v>
      </c>
      <c r="AV246" s="27"/>
      <c r="AW246" s="27"/>
      <c r="AY246" s="216"/>
      <c r="AZ246" s="216"/>
      <c r="BA246" s="233"/>
      <c r="BC246" s="216"/>
      <c r="BE246" s="69"/>
    </row>
    <row r="247" spans="1:57">
      <c r="A247" s="19">
        <f>[1]!_xludf.edate(A246,1)</f>
        <v>44501</v>
      </c>
      <c r="B247" s="21">
        <f t="shared" si="60"/>
        <v>30</v>
      </c>
      <c r="C247" s="20">
        <f>IF(Control!$F$18="Physical",Model!A248+24,Model!A248)</f>
        <v>44555</v>
      </c>
      <c r="E247" s="22">
        <f>IF($A247&lt;End_Date,IF(Control!$C$20="Flat",Control!$C$21,VLOOKUP(Model!$A247,Euro!$B$29:$D$182,3)),0)</f>
        <v>0</v>
      </c>
      <c r="F247" s="22">
        <f t="shared" si="54"/>
        <v>0</v>
      </c>
      <c r="H247" s="23">
        <f>IF(Control!$C$27="Mid",VLOOKUP($A247,CurveFetch!$D$8:$F$367,3),VLOOKUP($A247,Euro!$B$29:$I$182,8))</f>
        <v>5.8555000000000001</v>
      </c>
      <c r="I247" s="23"/>
      <c r="J247" s="23">
        <f>IF($J$4="Mid",VLOOKUP($A247,Curve_Fetch,VLOOKUP(Control!$AJ$10,Control!$AI$11:$AK$22,3)),VLOOKUP($A247,Euro!$B$29:$M$182,12))</f>
        <v>0</v>
      </c>
      <c r="K247" s="228">
        <f>IF(Control!$F$18="Physical",IF($K$4="Mid",VLOOKUP($A247,Curve_Fetch,VLOOKUP(Control!$AJ$10,Control!$AI$11:$AL$22,4)),VLOOKUP($A247,Euro!$B$29:$Q$182,16)),0)</f>
        <v>0</v>
      </c>
      <c r="L247" s="23">
        <f t="shared" si="55"/>
        <v>0</v>
      </c>
      <c r="M247" s="23"/>
      <c r="N247" s="69">
        <f t="shared" si="46"/>
        <v>5.8555000000000001</v>
      </c>
      <c r="O247" s="69">
        <f>N247+Control!$C$39</f>
        <v>5.8555000000000001</v>
      </c>
      <c r="P247" s="73">
        <f>VLOOKUP($A247,CurveFetch!$D$8:$E$367,2)</f>
        <v>5.6633311704643599E-2</v>
      </c>
      <c r="Q247" s="24">
        <f t="shared" si="56"/>
        <v>5.6633311704643599E-2</v>
      </c>
      <c r="R247" s="72">
        <f t="shared" ca="1" si="57"/>
        <v>7304</v>
      </c>
      <c r="S247" s="25">
        <f>VLOOKUP($A247,Curve_Fetch,VLOOKUP(Control!$AJ$10,Control!$AI$11:$AM$22,5))</f>
        <v>0</v>
      </c>
      <c r="T247" s="74">
        <f ca="1">_xll.EURO(N247,O247,P247,Q247,S247,R247,IF(Control!$C$38="Call",1,0),0)</f>
        <v>3.3662617926921712E-5</v>
      </c>
      <c r="U247" s="27">
        <f t="shared" ca="1" si="47"/>
        <v>0</v>
      </c>
      <c r="V247" s="75"/>
      <c r="W247" s="197"/>
      <c r="X247" s="197"/>
      <c r="Y247" s="197"/>
      <c r="AA247" s="210"/>
      <c r="AB247" s="210"/>
      <c r="AC247" s="211"/>
      <c r="AD247" s="212"/>
      <c r="AE247" s="213"/>
      <c r="AF247" s="214"/>
      <c r="AG247" s="215"/>
      <c r="AH247" s="216"/>
      <c r="AI247" s="27"/>
      <c r="AJ247" s="28">
        <f t="shared" si="48"/>
        <v>0</v>
      </c>
      <c r="AL247" s="24">
        <f t="shared" si="58"/>
        <v>5.6642257823019501E-2</v>
      </c>
      <c r="AM247" s="25">
        <f t="shared" ca="1" si="59"/>
        <v>0.3244866886913701</v>
      </c>
      <c r="AO247" s="26">
        <f t="shared" ca="1" si="49"/>
        <v>0</v>
      </c>
      <c r="AP247" s="26"/>
      <c r="AQ247" s="26">
        <f t="shared" ca="1" si="50"/>
        <v>0</v>
      </c>
      <c r="AR247" s="26"/>
      <c r="AS247" s="27">
        <f t="shared" ca="1" si="51"/>
        <v>0</v>
      </c>
      <c r="AT247" s="27">
        <f t="shared" ca="1" si="52"/>
        <v>0</v>
      </c>
      <c r="AU247" s="27">
        <f t="shared" ca="1" si="53"/>
        <v>0</v>
      </c>
      <c r="AV247" s="27"/>
      <c r="AW247" s="27"/>
      <c r="AY247" s="216"/>
      <c r="AZ247" s="216"/>
      <c r="BA247" s="233"/>
      <c r="BC247" s="216"/>
      <c r="BE247" s="69"/>
    </row>
    <row r="248" spans="1:57">
      <c r="A248" s="19">
        <f>[1]!_xludf.edate(A247,1)</f>
        <v>44531</v>
      </c>
      <c r="B248" s="21">
        <f t="shared" si="60"/>
        <v>31</v>
      </c>
      <c r="C248" s="20">
        <f>IF(Control!$F$18="Physical",Model!A249+24,Model!A249)</f>
        <v>44586</v>
      </c>
      <c r="E248" s="22">
        <f>IF($A248&lt;End_Date,IF(Control!$C$20="Flat",Control!$C$21,VLOOKUP(Model!$A248,Euro!$B$29:$D$182,3)),0)</f>
        <v>0</v>
      </c>
      <c r="F248" s="22">
        <f t="shared" si="54"/>
        <v>0</v>
      </c>
      <c r="H248" s="23">
        <f>IF(Control!$C$27="Mid",VLOOKUP($A248,CurveFetch!$D$8:$F$367,3),VLOOKUP($A248,Euro!$B$29:$I$182,8))</f>
        <v>5.9865000000000004</v>
      </c>
      <c r="I248" s="23"/>
      <c r="J248" s="23">
        <f>IF($J$4="Mid",VLOOKUP($A248,Curve_Fetch,VLOOKUP(Control!$AJ$10,Control!$AI$11:$AK$22,3)),VLOOKUP($A248,Euro!$B$29:$M$182,12))</f>
        <v>0</v>
      </c>
      <c r="K248" s="228">
        <f>IF(Control!$F$18="Physical",IF($K$4="Mid",VLOOKUP($A248,Curve_Fetch,VLOOKUP(Control!$AJ$10,Control!$AI$11:$AL$22,4)),VLOOKUP($A248,Euro!$B$29:$Q$182,16)),0)</f>
        <v>0</v>
      </c>
      <c r="L248" s="23">
        <f t="shared" si="55"/>
        <v>0</v>
      </c>
      <c r="M248" s="23"/>
      <c r="N248" s="69">
        <f t="shared" si="46"/>
        <v>5.9865000000000004</v>
      </c>
      <c r="O248" s="69">
        <f>N248+Control!$C$39</f>
        <v>5.9865000000000004</v>
      </c>
      <c r="P248" s="73">
        <f>VLOOKUP($A248,CurveFetch!$D$8:$E$367,2)</f>
        <v>5.6642257823019501E-2</v>
      </c>
      <c r="Q248" s="24">
        <f t="shared" si="56"/>
        <v>5.6642257823019501E-2</v>
      </c>
      <c r="R248" s="72">
        <f t="shared" ca="1" si="57"/>
        <v>7334</v>
      </c>
      <c r="S248" s="25">
        <f>VLOOKUP($A248,Curve_Fetch,VLOOKUP(Control!$AJ$10,Control!$AI$11:$AM$22,5))</f>
        <v>0</v>
      </c>
      <c r="T248" s="74">
        <f ca="1">_xll.EURO(N248,O248,P248,Q248,S248,R248,IF(Control!$C$38="Call",1,0),0)</f>
        <v>3.4320113835084598E-5</v>
      </c>
      <c r="U248" s="27">
        <f t="shared" ca="1" si="47"/>
        <v>0</v>
      </c>
      <c r="V248" s="75"/>
      <c r="W248" s="197"/>
      <c r="X248" s="197"/>
      <c r="Y248" s="197"/>
      <c r="AA248" s="210"/>
      <c r="AB248" s="210"/>
      <c r="AC248" s="211"/>
      <c r="AD248" s="212"/>
      <c r="AE248" s="213"/>
      <c r="AF248" s="214"/>
      <c r="AG248" s="215"/>
      <c r="AH248" s="216"/>
      <c r="AI248" s="27"/>
      <c r="AJ248" s="28">
        <f t="shared" si="48"/>
        <v>0</v>
      </c>
      <c r="AL248" s="24">
        <f t="shared" si="58"/>
        <v>5.6644300117902002E-2</v>
      </c>
      <c r="AM248" s="25">
        <f t="shared" ca="1" si="59"/>
        <v>0.32293908798684173</v>
      </c>
      <c r="AO248" s="26">
        <f t="shared" ca="1" si="49"/>
        <v>0</v>
      </c>
      <c r="AP248" s="26"/>
      <c r="AQ248" s="26">
        <f t="shared" ca="1" si="50"/>
        <v>0</v>
      </c>
      <c r="AR248" s="26"/>
      <c r="AS248" s="27">
        <f t="shared" ca="1" si="51"/>
        <v>0</v>
      </c>
      <c r="AT248" s="27">
        <f t="shared" ca="1" si="52"/>
        <v>0</v>
      </c>
      <c r="AU248" s="27">
        <f t="shared" ca="1" si="53"/>
        <v>0</v>
      </c>
      <c r="AV248" s="27"/>
      <c r="AW248" s="27"/>
      <c r="AY248" s="216"/>
      <c r="AZ248" s="216"/>
      <c r="BA248" s="233"/>
      <c r="BC248" s="216"/>
      <c r="BE248" s="69"/>
    </row>
    <row r="249" spans="1:57">
      <c r="A249" s="19">
        <f>[1]!_xludf.edate(A248,1)</f>
        <v>44562</v>
      </c>
      <c r="B249" s="21">
        <f t="shared" si="60"/>
        <v>31</v>
      </c>
      <c r="C249" s="20">
        <f>IF(Control!$F$18="Physical",Model!A250+24,Model!A250)</f>
        <v>44617</v>
      </c>
      <c r="E249" s="22">
        <f>IF($A249&lt;End_Date,IF(Control!$C$20="Flat",Control!$C$21,VLOOKUP(Model!$A249,Euro!$B$29:$D$182,3)),0)</f>
        <v>0</v>
      </c>
      <c r="F249" s="22">
        <f t="shared" si="54"/>
        <v>0</v>
      </c>
      <c r="H249" s="23">
        <f>IF(Control!$C$27="Mid",VLOOKUP($A249,CurveFetch!$D$8:$F$367,3),VLOOKUP($A249,Euro!$B$29:$I$182,8))</f>
        <v>6.0590000000000002</v>
      </c>
      <c r="I249" s="23"/>
      <c r="J249" s="23">
        <f>IF($J$4="Mid",VLOOKUP($A249,Curve_Fetch,VLOOKUP(Control!$AJ$10,Control!$AI$11:$AK$22,3)),VLOOKUP($A249,Euro!$B$29:$M$182,12))</f>
        <v>0</v>
      </c>
      <c r="K249" s="228">
        <f>IF(Control!$F$18="Physical",IF($K$4="Mid",VLOOKUP($A249,Curve_Fetch,VLOOKUP(Control!$AJ$10,Control!$AI$11:$AL$22,4)),VLOOKUP($A249,Euro!$B$29:$Q$182,16)),0)</f>
        <v>0</v>
      </c>
      <c r="L249" s="23">
        <f t="shared" si="55"/>
        <v>0</v>
      </c>
      <c r="M249" s="23"/>
      <c r="N249" s="69">
        <f t="shared" si="46"/>
        <v>6.0590000000000002</v>
      </c>
      <c r="O249" s="69">
        <f>N249+Control!$C$39</f>
        <v>6.0590000000000002</v>
      </c>
      <c r="P249" s="73">
        <f>VLOOKUP($A249,CurveFetch!$D$8:$E$367,2)</f>
        <v>5.6644300117902002E-2</v>
      </c>
      <c r="Q249" s="24">
        <f t="shared" si="56"/>
        <v>5.6644300117902002E-2</v>
      </c>
      <c r="R249" s="72">
        <f t="shared" ca="1" si="57"/>
        <v>7365</v>
      </c>
      <c r="S249" s="25">
        <f>VLOOKUP($A249,Curve_Fetch,VLOOKUP(Control!$AJ$10,Control!$AI$11:$AM$22,5))</f>
        <v>0</v>
      </c>
      <c r="T249" s="74">
        <f ca="1">_xll.EURO(N249,O249,P249,Q249,S249,R249,IF(Control!$C$38="Call",1,0),0)</f>
        <v>3.4640713304057158E-5</v>
      </c>
      <c r="U249" s="27">
        <f t="shared" ca="1" si="47"/>
        <v>0</v>
      </c>
      <c r="V249" s="75"/>
      <c r="W249" s="197"/>
      <c r="X249" s="197"/>
      <c r="Y249" s="197"/>
      <c r="AA249" s="210"/>
      <c r="AB249" s="210"/>
      <c r="AC249" s="211"/>
      <c r="AD249" s="212"/>
      <c r="AE249" s="213"/>
      <c r="AF249" s="214"/>
      <c r="AG249" s="215"/>
      <c r="AH249" s="216"/>
      <c r="AI249" s="27"/>
      <c r="AJ249" s="28">
        <f t="shared" si="48"/>
        <v>0</v>
      </c>
      <c r="AL249" s="24">
        <f t="shared" si="58"/>
        <v>5.6646342412786301E-2</v>
      </c>
      <c r="AM249" s="25">
        <f t="shared" ca="1" si="59"/>
        <v>0.32139876004127854</v>
      </c>
      <c r="AO249" s="26">
        <f t="shared" ca="1" si="49"/>
        <v>0</v>
      </c>
      <c r="AP249" s="26"/>
      <c r="AQ249" s="26">
        <f t="shared" ca="1" si="50"/>
        <v>0</v>
      </c>
      <c r="AR249" s="26"/>
      <c r="AS249" s="27">
        <f t="shared" ca="1" si="51"/>
        <v>0</v>
      </c>
      <c r="AT249" s="27">
        <f t="shared" ca="1" si="52"/>
        <v>0</v>
      </c>
      <c r="AU249" s="27">
        <f t="shared" ca="1" si="53"/>
        <v>0</v>
      </c>
      <c r="AV249" s="27"/>
      <c r="AW249" s="27"/>
      <c r="AY249" s="216"/>
      <c r="AZ249" s="216"/>
      <c r="BA249" s="233"/>
      <c r="BC249" s="216"/>
      <c r="BE249" s="69"/>
    </row>
    <row r="250" spans="1:57">
      <c r="A250" s="19">
        <f>[1]!_xludf.edate(A249,1)</f>
        <v>44593</v>
      </c>
      <c r="B250" s="21">
        <f t="shared" si="60"/>
        <v>28</v>
      </c>
      <c r="C250" s="20">
        <f>IF(Control!$F$18="Physical",Model!A251+24,Model!A251)</f>
        <v>44645</v>
      </c>
      <c r="E250" s="22">
        <f>IF($A250&lt;End_Date,IF(Control!$C$20="Flat",Control!$C$21,VLOOKUP(Model!$A250,Euro!$B$29:$D$182,3)),0)</f>
        <v>0</v>
      </c>
      <c r="F250" s="22">
        <f t="shared" si="54"/>
        <v>0</v>
      </c>
      <c r="H250" s="23">
        <f>IF(Control!$C$27="Mid",VLOOKUP($A250,CurveFetch!$D$8:$F$367,3),VLOOKUP($A250,Euro!$B$29:$I$182,8))</f>
        <v>5.9710000000000001</v>
      </c>
      <c r="I250" s="23"/>
      <c r="J250" s="23">
        <f>IF($J$4="Mid",VLOOKUP($A250,Curve_Fetch,VLOOKUP(Control!$AJ$10,Control!$AI$11:$AK$22,3)),VLOOKUP($A250,Euro!$B$29:$M$182,12))</f>
        <v>0</v>
      </c>
      <c r="K250" s="228">
        <f>IF(Control!$F$18="Physical",IF($K$4="Mid",VLOOKUP($A250,Curve_Fetch,VLOOKUP(Control!$AJ$10,Control!$AI$11:$AL$22,4)),VLOOKUP($A250,Euro!$B$29:$Q$182,16)),0)</f>
        <v>0</v>
      </c>
      <c r="L250" s="23">
        <f t="shared" si="55"/>
        <v>0</v>
      </c>
      <c r="M250" s="23"/>
      <c r="N250" s="69">
        <f t="shared" si="46"/>
        <v>5.9710000000000001</v>
      </c>
      <c r="O250" s="69">
        <f>N250+Control!$C$39</f>
        <v>5.9710000000000001</v>
      </c>
      <c r="P250" s="73">
        <f>VLOOKUP($A250,CurveFetch!$D$8:$E$367,2)</f>
        <v>5.6646342412786301E-2</v>
      </c>
      <c r="Q250" s="24">
        <f t="shared" si="56"/>
        <v>5.6646342412786301E-2</v>
      </c>
      <c r="R250" s="72">
        <f t="shared" ca="1" si="57"/>
        <v>7396</v>
      </c>
      <c r="S250" s="25">
        <f>VLOOKUP($A250,Curve_Fetch,VLOOKUP(Control!$AJ$10,Control!$AI$11:$AM$22,5))</f>
        <v>0</v>
      </c>
      <c r="T250" s="74">
        <f ca="1">_xll.EURO(N250,O250,P250,Q250,S250,R250,IF(Control!$C$38="Call",1,0),0)</f>
        <v>3.4043882938372683E-5</v>
      </c>
      <c r="U250" s="27">
        <f t="shared" ca="1" si="47"/>
        <v>0</v>
      </c>
      <c r="V250" s="75"/>
      <c r="W250" s="197"/>
      <c r="X250" s="197"/>
      <c r="Y250" s="197"/>
      <c r="AA250" s="210"/>
      <c r="AB250" s="210"/>
      <c r="AC250" s="211"/>
      <c r="AD250" s="212"/>
      <c r="AE250" s="213"/>
      <c r="AF250" s="214"/>
      <c r="AG250" s="215"/>
      <c r="AH250" s="216"/>
      <c r="AI250" s="27"/>
      <c r="AJ250" s="28">
        <f t="shared" si="48"/>
        <v>0</v>
      </c>
      <c r="AL250" s="24">
        <f t="shared" si="58"/>
        <v>5.6648187066231898E-2</v>
      </c>
      <c r="AM250" s="25">
        <f t="shared" ca="1" si="59"/>
        <v>0.3200137191865467</v>
      </c>
      <c r="AO250" s="26">
        <f t="shared" ca="1" si="49"/>
        <v>0</v>
      </c>
      <c r="AP250" s="26"/>
      <c r="AQ250" s="26">
        <f t="shared" ca="1" si="50"/>
        <v>0</v>
      </c>
      <c r="AR250" s="26"/>
      <c r="AS250" s="27">
        <f t="shared" ca="1" si="51"/>
        <v>0</v>
      </c>
      <c r="AT250" s="27">
        <f t="shared" ca="1" si="52"/>
        <v>0</v>
      </c>
      <c r="AU250" s="27">
        <f t="shared" ca="1" si="53"/>
        <v>0</v>
      </c>
      <c r="AV250" s="27"/>
      <c r="AW250" s="27"/>
      <c r="AY250" s="216"/>
      <c r="AZ250" s="216"/>
      <c r="BA250" s="233"/>
      <c r="BC250" s="216"/>
      <c r="BE250" s="69"/>
    </row>
    <row r="251" spans="1:57">
      <c r="A251" s="19">
        <f>[1]!_xludf.edate(A250,1)</f>
        <v>44621</v>
      </c>
      <c r="B251" s="21">
        <f t="shared" si="60"/>
        <v>31</v>
      </c>
      <c r="C251" s="20">
        <f>IF(Control!$F$18="Physical",Model!A252+24,Model!A252)</f>
        <v>44676</v>
      </c>
      <c r="E251" s="22">
        <f>IF($A251&lt;End_Date,IF(Control!$C$20="Flat",Control!$C$21,VLOOKUP(Model!$A251,Euro!$B$29:$D$182,3)),0)</f>
        <v>0</v>
      </c>
      <c r="F251" s="22">
        <f t="shared" si="54"/>
        <v>0</v>
      </c>
      <c r="H251" s="23">
        <f>IF(Control!$C$27="Mid",VLOOKUP($A251,CurveFetch!$D$8:$F$367,3),VLOOKUP($A251,Euro!$B$29:$I$182,8))</f>
        <v>5.8319999999999999</v>
      </c>
      <c r="I251" s="23"/>
      <c r="J251" s="23">
        <f>IF($J$4="Mid",VLOOKUP($A251,Curve_Fetch,VLOOKUP(Control!$AJ$10,Control!$AI$11:$AK$22,3)),VLOOKUP($A251,Euro!$B$29:$M$182,12))</f>
        <v>0</v>
      </c>
      <c r="K251" s="228">
        <f>IF(Control!$F$18="Physical",IF($K$4="Mid",VLOOKUP($A251,Curve_Fetch,VLOOKUP(Control!$AJ$10,Control!$AI$11:$AL$22,4)),VLOOKUP($A251,Euro!$B$29:$Q$182,16)),0)</f>
        <v>0</v>
      </c>
      <c r="L251" s="23">
        <f t="shared" si="55"/>
        <v>0</v>
      </c>
      <c r="M251" s="23"/>
      <c r="N251" s="69">
        <f t="shared" si="46"/>
        <v>5.8319999999999999</v>
      </c>
      <c r="O251" s="69">
        <f>N251+Control!$C$39</f>
        <v>5.8319999999999999</v>
      </c>
      <c r="P251" s="73">
        <f>VLOOKUP($A251,CurveFetch!$D$8:$E$367,2)</f>
        <v>5.6648187066231898E-2</v>
      </c>
      <c r="Q251" s="24">
        <f t="shared" si="56"/>
        <v>5.6648187066231898E-2</v>
      </c>
      <c r="R251" s="72">
        <f t="shared" ca="1" si="57"/>
        <v>7424</v>
      </c>
      <c r="S251" s="25">
        <f>VLOOKUP($A251,Curve_Fetch,VLOOKUP(Control!$AJ$10,Control!$AI$11:$AM$22,5))</f>
        <v>0</v>
      </c>
      <c r="T251" s="74">
        <f ca="1">_xll.EURO(N251,O251,P251,Q251,S251,R251,IF(Control!$C$38="Call",1,0),0)</f>
        <v>3.3168650466541827E-5</v>
      </c>
      <c r="U251" s="27">
        <f t="shared" ca="1" si="47"/>
        <v>0</v>
      </c>
      <c r="V251" s="75"/>
      <c r="W251" s="197"/>
      <c r="X251" s="197"/>
      <c r="Y251" s="197"/>
      <c r="AA251" s="210"/>
      <c r="AB251" s="210"/>
      <c r="AC251" s="211"/>
      <c r="AD251" s="212"/>
      <c r="AE251" s="213"/>
      <c r="AF251" s="214"/>
      <c r="AG251" s="215"/>
      <c r="AH251" s="216"/>
      <c r="AI251" s="27"/>
      <c r="AJ251" s="28">
        <f t="shared" si="48"/>
        <v>0</v>
      </c>
      <c r="AL251" s="24">
        <f t="shared" si="58"/>
        <v>5.6650229361119298E-2</v>
      </c>
      <c r="AM251" s="25">
        <f t="shared" ca="1" si="59"/>
        <v>0.31848714009661017</v>
      </c>
      <c r="AO251" s="26">
        <f t="shared" ca="1" si="49"/>
        <v>0</v>
      </c>
      <c r="AP251" s="26"/>
      <c r="AQ251" s="26">
        <f t="shared" ca="1" si="50"/>
        <v>0</v>
      </c>
      <c r="AR251" s="26"/>
      <c r="AS251" s="27">
        <f t="shared" ca="1" si="51"/>
        <v>0</v>
      </c>
      <c r="AT251" s="27">
        <f t="shared" ca="1" si="52"/>
        <v>0</v>
      </c>
      <c r="AU251" s="27">
        <f t="shared" ca="1" si="53"/>
        <v>0</v>
      </c>
      <c r="AV251" s="27"/>
      <c r="AW251" s="27"/>
      <c r="AY251" s="216"/>
      <c r="AZ251" s="216"/>
      <c r="BA251" s="233"/>
      <c r="BC251" s="216"/>
      <c r="BE251" s="69"/>
    </row>
    <row r="252" spans="1:57">
      <c r="A252" s="19">
        <f>[1]!_xludf.edate(A251,1)</f>
        <v>44652</v>
      </c>
      <c r="B252" s="21">
        <f t="shared" si="60"/>
        <v>30</v>
      </c>
      <c r="C252" s="20">
        <f>IF(Control!$F$18="Physical",Model!A253+24,Model!A253)</f>
        <v>44706</v>
      </c>
      <c r="E252" s="22">
        <f>IF($A252&lt;End_Date,IF(Control!$C$20="Flat",Control!$C$21,VLOOKUP(Model!$A252,Euro!$B$29:$D$182,3)),0)</f>
        <v>0</v>
      </c>
      <c r="F252" s="22">
        <f t="shared" si="54"/>
        <v>0</v>
      </c>
      <c r="H252" s="23">
        <f>IF(Control!$C$27="Mid",VLOOKUP($A252,CurveFetch!$D$8:$F$367,3),VLOOKUP($A252,Euro!$B$29:$I$182,8))</f>
        <v>5.6779999999999999</v>
      </c>
      <c r="I252" s="23"/>
      <c r="J252" s="23">
        <f>IF($J$4="Mid",VLOOKUP($A252,Curve_Fetch,VLOOKUP(Control!$AJ$10,Control!$AI$11:$AK$22,3)),VLOOKUP($A252,Euro!$B$29:$M$182,12))</f>
        <v>0</v>
      </c>
      <c r="K252" s="228">
        <f>IF(Control!$F$18="Physical",IF($K$4="Mid",VLOOKUP($A252,Curve_Fetch,VLOOKUP(Control!$AJ$10,Control!$AI$11:$AL$22,4)),VLOOKUP($A252,Euro!$B$29:$Q$182,16)),0)</f>
        <v>0</v>
      </c>
      <c r="L252" s="23">
        <f t="shared" si="55"/>
        <v>0</v>
      </c>
      <c r="M252" s="23"/>
      <c r="N252" s="69">
        <f t="shared" si="46"/>
        <v>5.6779999999999999</v>
      </c>
      <c r="O252" s="69">
        <f>N252+Control!$C$39</f>
        <v>5.6779999999999999</v>
      </c>
      <c r="P252" s="73">
        <f>VLOOKUP($A252,CurveFetch!$D$8:$E$367,2)</f>
        <v>5.6650229361119298E-2</v>
      </c>
      <c r="Q252" s="24">
        <f t="shared" si="56"/>
        <v>5.6650229361119298E-2</v>
      </c>
      <c r="R252" s="72">
        <f t="shared" ca="1" si="57"/>
        <v>7455</v>
      </c>
      <c r="S252" s="25">
        <f>VLOOKUP($A252,Curve_Fetch,VLOOKUP(Control!$AJ$10,Control!$AI$11:$AM$22,5))</f>
        <v>0</v>
      </c>
      <c r="T252" s="74">
        <f ca="1">_xll.EURO(N252,O252,P252,Q252,S252,R252,IF(Control!$C$38="Call",1,0),0)</f>
        <v>3.2203590757728939E-5</v>
      </c>
      <c r="U252" s="27">
        <f t="shared" ca="1" si="47"/>
        <v>0</v>
      </c>
      <c r="V252" s="75"/>
      <c r="W252" s="197"/>
      <c r="X252" s="197"/>
      <c r="Y252" s="197"/>
      <c r="AA252" s="210"/>
      <c r="AB252" s="210"/>
      <c r="AC252" s="211"/>
      <c r="AD252" s="212"/>
      <c r="AE252" s="213"/>
      <c r="AF252" s="214"/>
      <c r="AG252" s="215"/>
      <c r="AH252" s="216"/>
      <c r="AI252" s="27"/>
      <c r="AJ252" s="28">
        <f t="shared" si="48"/>
        <v>0</v>
      </c>
      <c r="AL252" s="24">
        <f t="shared" si="58"/>
        <v>5.6652205775527403E-2</v>
      </c>
      <c r="AM252" s="25">
        <f t="shared" ca="1" si="59"/>
        <v>0.31701663784635781</v>
      </c>
      <c r="AO252" s="26">
        <f t="shared" ca="1" si="49"/>
        <v>0</v>
      </c>
      <c r="AP252" s="26"/>
      <c r="AQ252" s="26">
        <f t="shared" ca="1" si="50"/>
        <v>0</v>
      </c>
      <c r="AR252" s="26"/>
      <c r="AS252" s="27">
        <f t="shared" ca="1" si="51"/>
        <v>0</v>
      </c>
      <c r="AT252" s="27">
        <f t="shared" ca="1" si="52"/>
        <v>0</v>
      </c>
      <c r="AU252" s="27">
        <f t="shared" ca="1" si="53"/>
        <v>0</v>
      </c>
      <c r="AV252" s="27"/>
      <c r="AW252" s="27"/>
      <c r="AY252" s="216"/>
      <c r="AZ252" s="216"/>
      <c r="BA252" s="233"/>
      <c r="BC252" s="216"/>
      <c r="BE252" s="69"/>
    </row>
    <row r="253" spans="1:57">
      <c r="A253" s="19">
        <f>[1]!_xludf.edate(A252,1)</f>
        <v>44682</v>
      </c>
      <c r="B253" s="21">
        <f t="shared" si="60"/>
        <v>31</v>
      </c>
      <c r="C253" s="20">
        <f>IF(Control!$F$18="Physical",Model!A254+24,Model!A254)</f>
        <v>44737</v>
      </c>
      <c r="E253" s="22">
        <f>IF($A253&lt;End_Date,IF(Control!$C$20="Flat",Control!$C$21,VLOOKUP(Model!$A253,Euro!$B$29:$D$182,3)),0)</f>
        <v>0</v>
      </c>
      <c r="F253" s="22">
        <f t="shared" si="54"/>
        <v>0</v>
      </c>
      <c r="H253" s="23">
        <f>IF(Control!$C$27="Mid",VLOOKUP($A253,CurveFetch!$D$8:$F$367,3),VLOOKUP($A253,Euro!$B$29:$I$182,8))</f>
        <v>5.6829999999999998</v>
      </c>
      <c r="I253" s="23"/>
      <c r="J253" s="23">
        <f>IF($J$4="Mid",VLOOKUP($A253,Curve_Fetch,VLOOKUP(Control!$AJ$10,Control!$AI$11:$AK$22,3)),VLOOKUP($A253,Euro!$B$29:$M$182,12))</f>
        <v>0</v>
      </c>
      <c r="K253" s="228">
        <f>IF(Control!$F$18="Physical",IF($K$4="Mid",VLOOKUP($A253,Curve_Fetch,VLOOKUP(Control!$AJ$10,Control!$AI$11:$AL$22,4)),VLOOKUP($A253,Euro!$B$29:$Q$182,16)),0)</f>
        <v>0</v>
      </c>
      <c r="L253" s="23">
        <f t="shared" si="55"/>
        <v>0</v>
      </c>
      <c r="M253" s="23"/>
      <c r="N253" s="69">
        <f t="shared" si="46"/>
        <v>5.6829999999999998</v>
      </c>
      <c r="O253" s="69">
        <f>N253+Control!$C$39</f>
        <v>5.6829999999999998</v>
      </c>
      <c r="P253" s="73">
        <f>VLOOKUP($A253,CurveFetch!$D$8:$E$367,2)</f>
        <v>5.6652205775527403E-2</v>
      </c>
      <c r="Q253" s="24">
        <f t="shared" si="56"/>
        <v>5.6652205775527403E-2</v>
      </c>
      <c r="R253" s="72">
        <f t="shared" ca="1" si="57"/>
        <v>7485</v>
      </c>
      <c r="S253" s="25">
        <f>VLOOKUP($A253,Curve_Fetch,VLOOKUP(Control!$AJ$10,Control!$AI$11:$AM$22,5))</f>
        <v>0</v>
      </c>
      <c r="T253" s="74">
        <f ca="1">_xll.EURO(N253,O253,P253,Q253,S253,R253,IF(Control!$C$38="Call",1,0),0)</f>
        <v>3.2145503082947613E-5</v>
      </c>
      <c r="U253" s="27">
        <f t="shared" ca="1" si="47"/>
        <v>0</v>
      </c>
      <c r="V253" s="75"/>
      <c r="W253" s="197"/>
      <c r="X253" s="197"/>
      <c r="Y253" s="197"/>
      <c r="AA253" s="210"/>
      <c r="AB253" s="210"/>
      <c r="AC253" s="211"/>
      <c r="AD253" s="212"/>
      <c r="AE253" s="213"/>
      <c r="AF253" s="214"/>
      <c r="AG253" s="215"/>
      <c r="AH253" s="216"/>
      <c r="AI253" s="27"/>
      <c r="AJ253" s="28">
        <f t="shared" si="48"/>
        <v>0</v>
      </c>
      <c r="AL253" s="24">
        <f t="shared" si="58"/>
        <v>5.66542480704171E-2</v>
      </c>
      <c r="AM253" s="25">
        <f t="shared" ca="1" si="59"/>
        <v>0.31550414662709353</v>
      </c>
      <c r="AO253" s="26">
        <f t="shared" ca="1" si="49"/>
        <v>0</v>
      </c>
      <c r="AP253" s="26"/>
      <c r="AQ253" s="26">
        <f t="shared" ca="1" si="50"/>
        <v>0</v>
      </c>
      <c r="AR253" s="26"/>
      <c r="AS253" s="27">
        <f t="shared" ca="1" si="51"/>
        <v>0</v>
      </c>
      <c r="AT253" s="27">
        <f t="shared" ca="1" si="52"/>
        <v>0</v>
      </c>
      <c r="AU253" s="27">
        <f t="shared" ca="1" si="53"/>
        <v>0</v>
      </c>
      <c r="AV253" s="27"/>
      <c r="AW253" s="27"/>
      <c r="AY253" s="216"/>
      <c r="AZ253" s="216"/>
      <c r="BA253" s="233"/>
      <c r="BC253" s="216"/>
      <c r="BE253" s="69"/>
    </row>
    <row r="254" spans="1:57">
      <c r="A254" s="19">
        <f>[1]!_xludf.edate(A253,1)</f>
        <v>44713</v>
      </c>
      <c r="B254" s="21">
        <f t="shared" si="60"/>
        <v>30</v>
      </c>
      <c r="C254" s="20">
        <f>IF(Control!$F$18="Physical",Model!A255+24,Model!A255)</f>
        <v>44767</v>
      </c>
      <c r="E254" s="22">
        <f>IF($A254&lt;End_Date,IF(Control!$C$20="Flat",Control!$C$21,VLOOKUP(Model!$A254,Euro!$B$29:$D$182,3)),0)</f>
        <v>0</v>
      </c>
      <c r="F254" s="22">
        <f t="shared" si="54"/>
        <v>0</v>
      </c>
      <c r="H254" s="23">
        <f>IF(Control!$C$27="Mid",VLOOKUP($A254,CurveFetch!$D$8:$F$367,3),VLOOKUP($A254,Euro!$B$29:$I$182,8))</f>
        <v>5.7210000000000001</v>
      </c>
      <c r="I254" s="23"/>
      <c r="J254" s="23">
        <f>IF($J$4="Mid",VLOOKUP($A254,Curve_Fetch,VLOOKUP(Control!$AJ$10,Control!$AI$11:$AK$22,3)),VLOOKUP($A254,Euro!$B$29:$M$182,12))</f>
        <v>0</v>
      </c>
      <c r="K254" s="228">
        <f>IF(Control!$F$18="Physical",IF($K$4="Mid",VLOOKUP($A254,Curve_Fetch,VLOOKUP(Control!$AJ$10,Control!$AI$11:$AL$22,4)),VLOOKUP($A254,Euro!$B$29:$Q$182,16)),0)</f>
        <v>0</v>
      </c>
      <c r="L254" s="23">
        <f t="shared" si="55"/>
        <v>0</v>
      </c>
      <c r="M254" s="23"/>
      <c r="N254" s="69">
        <f t="shared" si="46"/>
        <v>5.7210000000000001</v>
      </c>
      <c r="O254" s="69">
        <f>N254+Control!$C$39</f>
        <v>5.7210000000000001</v>
      </c>
      <c r="P254" s="73">
        <f>VLOOKUP($A254,CurveFetch!$D$8:$E$367,2)</f>
        <v>5.66542480704171E-2</v>
      </c>
      <c r="Q254" s="24">
        <f t="shared" si="56"/>
        <v>5.66542480704171E-2</v>
      </c>
      <c r="R254" s="72">
        <f t="shared" ca="1" si="57"/>
        <v>7516</v>
      </c>
      <c r="S254" s="25">
        <f>VLOOKUP($A254,Curve_Fetch,VLOOKUP(Control!$AJ$10,Control!$AI$11:$AM$22,5))</f>
        <v>0</v>
      </c>
      <c r="T254" s="74">
        <f ca="1">_xll.EURO(N254,O254,P254,Q254,S254,R254,IF(Control!$C$38="Call",1,0),0)</f>
        <v>3.2270484707552782E-5</v>
      </c>
      <c r="U254" s="27">
        <f t="shared" ca="1" si="47"/>
        <v>0</v>
      </c>
      <c r="V254" s="75"/>
      <c r="W254" s="197"/>
      <c r="X254" s="197"/>
      <c r="Y254" s="197"/>
      <c r="AA254" s="210"/>
      <c r="AB254" s="210"/>
      <c r="AC254" s="211"/>
      <c r="AD254" s="212"/>
      <c r="AE254" s="213"/>
      <c r="AF254" s="214"/>
      <c r="AG254" s="215"/>
      <c r="AH254" s="216"/>
      <c r="AI254" s="27"/>
      <c r="AJ254" s="28">
        <f t="shared" si="48"/>
        <v>0</v>
      </c>
      <c r="AL254" s="24">
        <f t="shared" si="58"/>
        <v>5.6656224484827898E-2</v>
      </c>
      <c r="AM254" s="25">
        <f t="shared" ca="1" si="59"/>
        <v>0.31404721571355504</v>
      </c>
      <c r="AO254" s="26">
        <f t="shared" ca="1" si="49"/>
        <v>0</v>
      </c>
      <c r="AP254" s="26"/>
      <c r="AQ254" s="26">
        <f t="shared" ca="1" si="50"/>
        <v>0</v>
      </c>
      <c r="AR254" s="26"/>
      <c r="AS254" s="27">
        <f t="shared" ca="1" si="51"/>
        <v>0</v>
      </c>
      <c r="AT254" s="27">
        <f t="shared" ca="1" si="52"/>
        <v>0</v>
      </c>
      <c r="AU254" s="27">
        <f t="shared" ca="1" si="53"/>
        <v>0</v>
      </c>
      <c r="AV254" s="27"/>
      <c r="AW254" s="27"/>
      <c r="AY254" s="216"/>
      <c r="AZ254" s="216"/>
      <c r="BA254" s="233"/>
      <c r="BC254" s="216"/>
      <c r="BE254" s="69"/>
    </row>
    <row r="255" spans="1:57">
      <c r="A255" s="19">
        <f>[1]!_xludf.edate(A254,1)</f>
        <v>44743</v>
      </c>
      <c r="B255" s="21">
        <f t="shared" si="60"/>
        <v>31</v>
      </c>
      <c r="C255" s="20">
        <f>IF(Control!$F$18="Physical",Model!A256+24,Model!A256)</f>
        <v>44798</v>
      </c>
      <c r="E255" s="22">
        <f>IF($A255&lt;End_Date,IF(Control!$C$20="Flat",Control!$C$21,VLOOKUP(Model!$A255,Euro!$B$29:$D$182,3)),0)</f>
        <v>0</v>
      </c>
      <c r="F255" s="22">
        <f t="shared" si="54"/>
        <v>0</v>
      </c>
      <c r="H255" s="23">
        <f>IF(Control!$C$27="Mid",VLOOKUP($A255,CurveFetch!$D$8:$F$367,3),VLOOKUP($A255,Euro!$B$29:$I$182,8))</f>
        <v>5.766</v>
      </c>
      <c r="I255" s="23"/>
      <c r="J255" s="23">
        <f>IF($J$4="Mid",VLOOKUP($A255,Curve_Fetch,VLOOKUP(Control!$AJ$10,Control!$AI$11:$AK$22,3)),VLOOKUP($A255,Euro!$B$29:$M$182,12))</f>
        <v>0</v>
      </c>
      <c r="K255" s="228">
        <f>IF(Control!$F$18="Physical",IF($K$4="Mid",VLOOKUP($A255,Curve_Fetch,VLOOKUP(Control!$AJ$10,Control!$AI$11:$AL$22,4)),VLOOKUP($A255,Euro!$B$29:$Q$182,16)),0)</f>
        <v>0</v>
      </c>
      <c r="L255" s="23">
        <f t="shared" si="55"/>
        <v>0</v>
      </c>
      <c r="M255" s="23"/>
      <c r="N255" s="69">
        <f t="shared" si="46"/>
        <v>5.766</v>
      </c>
      <c r="O255" s="69">
        <f>N255+Control!$C$39</f>
        <v>5.766</v>
      </c>
      <c r="P255" s="73">
        <f>VLOOKUP($A255,CurveFetch!$D$8:$E$367,2)</f>
        <v>5.6656224484827898E-2</v>
      </c>
      <c r="Q255" s="24">
        <f t="shared" si="56"/>
        <v>5.6656224484827898E-2</v>
      </c>
      <c r="R255" s="72">
        <f t="shared" ca="1" si="57"/>
        <v>7546</v>
      </c>
      <c r="S255" s="25">
        <f>VLOOKUP($A255,Curve_Fetch,VLOOKUP(Control!$AJ$10,Control!$AI$11:$AM$22,5))</f>
        <v>0</v>
      </c>
      <c r="T255" s="74">
        <f ca="1">_xll.EURO(N255,O255,P255,Q255,S255,R255,IF(Control!$C$38="Call",1,0),0)</f>
        <v>3.2436537562352541E-5</v>
      </c>
      <c r="U255" s="27">
        <f t="shared" ca="1" si="47"/>
        <v>0</v>
      </c>
      <c r="V255" s="75"/>
      <c r="W255" s="197"/>
      <c r="X255" s="197"/>
      <c r="Y255" s="197"/>
      <c r="AA255" s="210"/>
      <c r="AB255" s="210"/>
      <c r="AC255" s="211"/>
      <c r="AD255" s="212"/>
      <c r="AE255" s="213"/>
      <c r="AF255" s="214"/>
      <c r="AG255" s="215"/>
      <c r="AH255" s="216"/>
      <c r="AI255" s="27"/>
      <c r="AJ255" s="28">
        <f t="shared" si="48"/>
        <v>0</v>
      </c>
      <c r="AL255" s="24">
        <f t="shared" si="58"/>
        <v>5.6658266779720599E-2</v>
      </c>
      <c r="AM255" s="25">
        <f t="shared" ca="1" si="59"/>
        <v>0.31254868434186017</v>
      </c>
      <c r="AO255" s="26">
        <f t="shared" ca="1" si="49"/>
        <v>0</v>
      </c>
      <c r="AP255" s="26"/>
      <c r="AQ255" s="26">
        <f t="shared" ca="1" si="50"/>
        <v>0</v>
      </c>
      <c r="AR255" s="26"/>
      <c r="AS255" s="27">
        <f t="shared" ca="1" si="51"/>
        <v>0</v>
      </c>
      <c r="AT255" s="27">
        <f t="shared" ca="1" si="52"/>
        <v>0</v>
      </c>
      <c r="AU255" s="27">
        <f t="shared" ca="1" si="53"/>
        <v>0</v>
      </c>
      <c r="AV255" s="27"/>
      <c r="AW255" s="27"/>
      <c r="AY255" s="216"/>
      <c r="AZ255" s="216"/>
      <c r="BA255" s="233"/>
      <c r="BC255" s="216"/>
      <c r="BE255" s="69"/>
    </row>
    <row r="256" spans="1:57">
      <c r="A256" s="19">
        <f>[1]!_xludf.edate(A255,1)</f>
        <v>44774</v>
      </c>
      <c r="B256" s="21">
        <f t="shared" si="60"/>
        <v>31</v>
      </c>
      <c r="C256" s="20">
        <f>IF(Control!$F$18="Physical",Model!A257+24,Model!A257)</f>
        <v>44829</v>
      </c>
      <c r="E256" s="22">
        <f>IF($A256&lt;End_Date,IF(Control!$C$20="Flat",Control!$C$21,VLOOKUP(Model!$A256,Euro!$B$29:$D$182,3)),0)</f>
        <v>0</v>
      </c>
      <c r="F256" s="22">
        <f t="shared" si="54"/>
        <v>0</v>
      </c>
      <c r="H256" s="23">
        <f>IF(Control!$C$27="Mid",VLOOKUP($A256,CurveFetch!$D$8:$F$367,3),VLOOKUP($A256,Euro!$B$29:$I$182,8))</f>
        <v>5.8040000000000003</v>
      </c>
      <c r="I256" s="23"/>
      <c r="J256" s="23">
        <f>IF($J$4="Mid",VLOOKUP($A256,Curve_Fetch,VLOOKUP(Control!$AJ$10,Control!$AI$11:$AK$22,3)),VLOOKUP($A256,Euro!$B$29:$M$182,12))</f>
        <v>0</v>
      </c>
      <c r="K256" s="228">
        <f>IF(Control!$F$18="Physical",IF($K$4="Mid",VLOOKUP($A256,Curve_Fetch,VLOOKUP(Control!$AJ$10,Control!$AI$11:$AL$22,4)),VLOOKUP($A256,Euro!$B$29:$Q$182,16)),0)</f>
        <v>0</v>
      </c>
      <c r="L256" s="23">
        <f t="shared" si="55"/>
        <v>0</v>
      </c>
      <c r="M256" s="23"/>
      <c r="N256" s="69">
        <f t="shared" si="46"/>
        <v>5.8040000000000003</v>
      </c>
      <c r="O256" s="69">
        <f>N256+Control!$C$39</f>
        <v>5.8040000000000003</v>
      </c>
      <c r="P256" s="73">
        <f>VLOOKUP($A256,CurveFetch!$D$8:$E$367,2)</f>
        <v>5.6658266779720599E-2</v>
      </c>
      <c r="Q256" s="24">
        <f t="shared" si="56"/>
        <v>5.6658266779720599E-2</v>
      </c>
      <c r="R256" s="72">
        <f t="shared" ca="1" si="57"/>
        <v>7577</v>
      </c>
      <c r="S256" s="25">
        <f>VLOOKUP($A256,Curve_Fetch,VLOOKUP(Control!$AJ$10,Control!$AI$11:$AM$22,5))</f>
        <v>0</v>
      </c>
      <c r="T256" s="74">
        <f ca="1">_xll.EURO(N256,O256,P256,Q256,S256,R256,IF(Control!$C$38="Call",1,0),0)</f>
        <v>3.2558972372753736E-5</v>
      </c>
      <c r="U256" s="27">
        <f t="shared" ca="1" si="47"/>
        <v>0</v>
      </c>
      <c r="V256" s="75"/>
      <c r="W256" s="197"/>
      <c r="X256" s="197"/>
      <c r="Y256" s="197"/>
      <c r="AA256" s="210"/>
      <c r="AB256" s="210"/>
      <c r="AC256" s="211"/>
      <c r="AD256" s="212"/>
      <c r="AE256" s="213"/>
      <c r="AF256" s="214"/>
      <c r="AG256" s="215"/>
      <c r="AH256" s="216"/>
      <c r="AI256" s="27"/>
      <c r="AJ256" s="28">
        <f t="shared" si="48"/>
        <v>0</v>
      </c>
      <c r="AL256" s="24">
        <f t="shared" si="58"/>
        <v>5.66603090746143E-2</v>
      </c>
      <c r="AM256" s="25">
        <f t="shared" ca="1" si="59"/>
        <v>0.31105719862379511</v>
      </c>
      <c r="AO256" s="26">
        <f t="shared" ca="1" si="49"/>
        <v>0</v>
      </c>
      <c r="AP256" s="26"/>
      <c r="AQ256" s="26">
        <f t="shared" ca="1" si="50"/>
        <v>0</v>
      </c>
      <c r="AR256" s="26"/>
      <c r="AS256" s="27">
        <f t="shared" ca="1" si="51"/>
        <v>0</v>
      </c>
      <c r="AT256" s="27">
        <f t="shared" ca="1" si="52"/>
        <v>0</v>
      </c>
      <c r="AU256" s="27">
        <f t="shared" ca="1" si="53"/>
        <v>0</v>
      </c>
      <c r="AV256" s="27"/>
      <c r="AW256" s="27"/>
      <c r="AY256" s="216"/>
      <c r="AZ256" s="216"/>
      <c r="BA256" s="233"/>
      <c r="BC256" s="216"/>
      <c r="BE256" s="69"/>
    </row>
    <row r="257" spans="1:57">
      <c r="A257" s="19">
        <f>[1]!_xludf.edate(A256,1)</f>
        <v>44805</v>
      </c>
      <c r="B257" s="21">
        <f t="shared" si="60"/>
        <v>30</v>
      </c>
      <c r="C257" s="20">
        <f>IF(Control!$F$18="Physical",Model!A258+24,Model!A258)</f>
        <v>44859</v>
      </c>
      <c r="E257" s="22">
        <f>IF($A257&lt;End_Date,IF(Control!$C$20="Flat",Control!$C$21,VLOOKUP(Model!$A257,Euro!$B$29:$D$182,3)),0)</f>
        <v>0</v>
      </c>
      <c r="F257" s="22">
        <f t="shared" si="54"/>
        <v>0</v>
      </c>
      <c r="H257" s="23">
        <f>IF(Control!$C$27="Mid",VLOOKUP($A257,CurveFetch!$D$8:$F$367,3),VLOOKUP($A257,Euro!$B$29:$I$182,8))</f>
        <v>5.798</v>
      </c>
      <c r="I257" s="23"/>
      <c r="J257" s="23">
        <f>IF($J$4="Mid",VLOOKUP($A257,Curve_Fetch,VLOOKUP(Control!$AJ$10,Control!$AI$11:$AK$22,3)),VLOOKUP($A257,Euro!$B$29:$M$182,12))</f>
        <v>0</v>
      </c>
      <c r="K257" s="228">
        <f>IF(Control!$F$18="Physical",IF($K$4="Mid",VLOOKUP($A257,Curve_Fetch,VLOOKUP(Control!$AJ$10,Control!$AI$11:$AL$22,4)),VLOOKUP($A257,Euro!$B$29:$Q$182,16)),0)</f>
        <v>0</v>
      </c>
      <c r="L257" s="23">
        <f t="shared" si="55"/>
        <v>0</v>
      </c>
      <c r="M257" s="23"/>
      <c r="N257" s="69">
        <f t="shared" si="46"/>
        <v>5.798</v>
      </c>
      <c r="O257" s="69">
        <f>N257+Control!$C$39</f>
        <v>5.798</v>
      </c>
      <c r="P257" s="73">
        <f>VLOOKUP($A257,CurveFetch!$D$8:$E$367,2)</f>
        <v>5.66603090746143E-2</v>
      </c>
      <c r="Q257" s="24">
        <f t="shared" si="56"/>
        <v>5.66603090746143E-2</v>
      </c>
      <c r="R257" s="72">
        <f t="shared" ca="1" si="57"/>
        <v>7608</v>
      </c>
      <c r="S257" s="25">
        <f>VLOOKUP($A257,Curve_Fetch,VLOOKUP(Control!$AJ$10,Control!$AI$11:$AM$22,5))</f>
        <v>0</v>
      </c>
      <c r="T257" s="74">
        <f ca="1">_xll.EURO(N257,O257,P257,Q257,S257,R257,IF(Control!$C$38="Call",1,0),0)</f>
        <v>3.2434047295692991E-5</v>
      </c>
      <c r="U257" s="27">
        <f t="shared" ca="1" si="47"/>
        <v>0</v>
      </c>
      <c r="V257" s="75"/>
      <c r="W257" s="197"/>
      <c r="X257" s="197"/>
      <c r="Y257" s="197"/>
      <c r="AA257" s="210"/>
      <c r="AB257" s="210"/>
      <c r="AC257" s="211"/>
      <c r="AD257" s="212"/>
      <c r="AE257" s="213"/>
      <c r="AF257" s="214"/>
      <c r="AG257" s="215"/>
      <c r="AH257" s="216"/>
      <c r="AI257" s="27"/>
      <c r="AJ257" s="28">
        <f t="shared" si="48"/>
        <v>0</v>
      </c>
      <c r="AL257" s="24">
        <f t="shared" si="58"/>
        <v>5.6662285489029497E-2</v>
      </c>
      <c r="AM257" s="25">
        <f t="shared" ca="1" si="59"/>
        <v>0.309620503024436</v>
      </c>
      <c r="AO257" s="26">
        <f t="shared" ca="1" si="49"/>
        <v>0</v>
      </c>
      <c r="AP257" s="26"/>
      <c r="AQ257" s="26">
        <f t="shared" ca="1" si="50"/>
        <v>0</v>
      </c>
      <c r="AR257" s="26"/>
      <c r="AS257" s="27">
        <f t="shared" ca="1" si="51"/>
        <v>0</v>
      </c>
      <c r="AT257" s="27">
        <f t="shared" ca="1" si="52"/>
        <v>0</v>
      </c>
      <c r="AU257" s="27">
        <f t="shared" ca="1" si="53"/>
        <v>0</v>
      </c>
      <c r="AV257" s="27"/>
      <c r="AW257" s="27"/>
      <c r="AY257" s="216"/>
      <c r="AZ257" s="216"/>
      <c r="BA257" s="233"/>
      <c r="BC257" s="216"/>
      <c r="BE257" s="69"/>
    </row>
    <row r="258" spans="1:57">
      <c r="A258" s="19">
        <f>[1]!_xludf.edate(A257,1)</f>
        <v>44835</v>
      </c>
      <c r="B258" s="21">
        <f t="shared" si="60"/>
        <v>31</v>
      </c>
      <c r="C258" s="20">
        <f>IF(Control!$F$18="Physical",Model!A259+24,Model!A259)</f>
        <v>44890</v>
      </c>
      <c r="E258" s="22">
        <f>IF($A258&lt;End_Date,IF(Control!$C$20="Flat",Control!$C$21,VLOOKUP(Model!$A258,Euro!$B$29:$D$182,3)),0)</f>
        <v>0</v>
      </c>
      <c r="F258" s="22">
        <f t="shared" si="54"/>
        <v>0</v>
      </c>
      <c r="H258" s="23">
        <f>IF(Control!$C$27="Mid",VLOOKUP($A258,CurveFetch!$D$8:$F$367,3),VLOOKUP($A258,Euro!$B$29:$I$182,8))</f>
        <v>5.798</v>
      </c>
      <c r="I258" s="23"/>
      <c r="J258" s="23">
        <f>IF($J$4="Mid",VLOOKUP($A258,Curve_Fetch,VLOOKUP(Control!$AJ$10,Control!$AI$11:$AK$22,3)),VLOOKUP($A258,Euro!$B$29:$M$182,12))</f>
        <v>0</v>
      </c>
      <c r="K258" s="228">
        <f>IF(Control!$F$18="Physical",IF($K$4="Mid",VLOOKUP($A258,Curve_Fetch,VLOOKUP(Control!$AJ$10,Control!$AI$11:$AL$22,4)),VLOOKUP($A258,Euro!$B$29:$Q$182,16)),0)</f>
        <v>0</v>
      </c>
      <c r="L258" s="23">
        <f t="shared" si="55"/>
        <v>0</v>
      </c>
      <c r="M258" s="23"/>
      <c r="N258" s="69">
        <f t="shared" si="46"/>
        <v>5.798</v>
      </c>
      <c r="O258" s="69">
        <f>N258+Control!$C$39</f>
        <v>5.798</v>
      </c>
      <c r="P258" s="73">
        <f>VLOOKUP($A258,CurveFetch!$D$8:$E$367,2)</f>
        <v>5.6662285489029497E-2</v>
      </c>
      <c r="Q258" s="24">
        <f t="shared" si="56"/>
        <v>5.6662285489029497E-2</v>
      </c>
      <c r="R258" s="72">
        <f t="shared" ca="1" si="57"/>
        <v>7638</v>
      </c>
      <c r="S258" s="25">
        <f>VLOOKUP($A258,Curve_Fetch,VLOOKUP(Control!$AJ$10,Control!$AI$11:$AM$22,5))</f>
        <v>0</v>
      </c>
      <c r="T258" s="74">
        <f ca="1">_xll.EURO(N258,O258,P258,Q258,S258,R258,IF(Control!$C$38="Call",1,0),0)</f>
        <v>3.2345702288272271E-5</v>
      </c>
      <c r="U258" s="27">
        <f t="shared" ca="1" si="47"/>
        <v>0</v>
      </c>
      <c r="V258" s="75"/>
      <c r="W258" s="197"/>
      <c r="X258" s="197"/>
      <c r="Y258" s="197"/>
      <c r="AA258" s="210"/>
      <c r="AB258" s="210"/>
      <c r="AC258" s="211"/>
      <c r="AD258" s="212"/>
      <c r="AE258" s="213"/>
      <c r="AF258" s="214"/>
      <c r="AG258" s="215"/>
      <c r="AH258" s="216"/>
      <c r="AI258" s="27"/>
      <c r="AJ258" s="28">
        <f t="shared" si="48"/>
        <v>0</v>
      </c>
      <c r="AL258" s="24">
        <f t="shared" si="58"/>
        <v>5.66643277839258E-2</v>
      </c>
      <c r="AM258" s="25">
        <f t="shared" ca="1" si="59"/>
        <v>0.30814278623197383</v>
      </c>
      <c r="AO258" s="26">
        <f t="shared" ca="1" si="49"/>
        <v>0</v>
      </c>
      <c r="AP258" s="26"/>
      <c r="AQ258" s="26">
        <f t="shared" ca="1" si="50"/>
        <v>0</v>
      </c>
      <c r="AR258" s="26"/>
      <c r="AS258" s="27">
        <f t="shared" ca="1" si="51"/>
        <v>0</v>
      </c>
      <c r="AT258" s="27">
        <f t="shared" ca="1" si="52"/>
        <v>0</v>
      </c>
      <c r="AU258" s="27">
        <f t="shared" ca="1" si="53"/>
        <v>0</v>
      </c>
      <c r="AV258" s="27"/>
      <c r="AW258" s="27"/>
      <c r="AY258" s="216"/>
      <c r="AZ258" s="216"/>
      <c r="BA258" s="233"/>
      <c r="BC258" s="216"/>
      <c r="BE258" s="69"/>
    </row>
    <row r="259" spans="1:57">
      <c r="A259" s="19">
        <f>[1]!_xludf.edate(A258,1)</f>
        <v>44866</v>
      </c>
      <c r="B259" s="21">
        <f t="shared" si="60"/>
        <v>30</v>
      </c>
      <c r="C259" s="20">
        <f>IF(Control!$F$18="Physical",Model!A260+24,Model!A260)</f>
        <v>44920</v>
      </c>
      <c r="E259" s="22">
        <f>IF($A259&lt;End_Date,IF(Control!$C$20="Flat",Control!$C$21,VLOOKUP(Model!$A259,Euro!$B$29:$D$182,3)),0)</f>
        <v>0</v>
      </c>
      <c r="F259" s="22">
        <f t="shared" si="54"/>
        <v>0</v>
      </c>
      <c r="H259" s="23">
        <f>IF(Control!$C$27="Mid",VLOOKUP($A259,CurveFetch!$D$8:$F$367,3),VLOOKUP($A259,Euro!$B$29:$I$182,8))</f>
        <v>5.968</v>
      </c>
      <c r="I259" s="23"/>
      <c r="J259" s="23">
        <f>IF($J$4="Mid",VLOOKUP($A259,Curve_Fetch,VLOOKUP(Control!$AJ$10,Control!$AI$11:$AK$22,3)),VLOOKUP($A259,Euro!$B$29:$M$182,12))</f>
        <v>0</v>
      </c>
      <c r="K259" s="228">
        <f>IF(Control!$F$18="Physical",IF($K$4="Mid",VLOOKUP($A259,Curve_Fetch,VLOOKUP(Control!$AJ$10,Control!$AI$11:$AL$22,4)),VLOOKUP($A259,Euro!$B$29:$Q$182,16)),0)</f>
        <v>0</v>
      </c>
      <c r="L259" s="23">
        <f t="shared" si="55"/>
        <v>0</v>
      </c>
      <c r="M259" s="23"/>
      <c r="N259" s="69">
        <f t="shared" si="46"/>
        <v>5.968</v>
      </c>
      <c r="O259" s="69">
        <f>N259+Control!$C$39</f>
        <v>5.968</v>
      </c>
      <c r="P259" s="73">
        <f>VLOOKUP($A259,CurveFetch!$D$8:$E$367,2)</f>
        <v>5.66643277839258E-2</v>
      </c>
      <c r="Q259" s="24">
        <f t="shared" si="56"/>
        <v>5.66643277839258E-2</v>
      </c>
      <c r="R259" s="72">
        <f t="shared" ca="1" si="57"/>
        <v>7669</v>
      </c>
      <c r="S259" s="25">
        <f>VLOOKUP($A259,Curve_Fetch,VLOOKUP(Control!$AJ$10,Control!$AI$11:$AM$22,5))</f>
        <v>0</v>
      </c>
      <c r="T259" s="74">
        <f ca="1">_xll.EURO(N259,O259,P259,Q259,S259,R259,IF(Control!$C$38="Call",1,0),0)</f>
        <v>3.3200106402064833E-5</v>
      </c>
      <c r="U259" s="27">
        <f t="shared" ca="1" si="47"/>
        <v>0</v>
      </c>
      <c r="V259" s="75"/>
      <c r="W259" s="197"/>
      <c r="X259" s="197"/>
      <c r="Y259" s="197"/>
      <c r="AA259" s="210"/>
      <c r="AB259" s="210"/>
      <c r="AC259" s="211"/>
      <c r="AD259" s="212"/>
      <c r="AE259" s="213"/>
      <c r="AF259" s="214"/>
      <c r="AG259" s="215"/>
      <c r="AH259" s="216"/>
      <c r="AI259" s="27"/>
      <c r="AJ259" s="28">
        <f t="shared" si="48"/>
        <v>0</v>
      </c>
      <c r="AL259" s="24">
        <f t="shared" si="58"/>
        <v>5.6666304198343301E-2</v>
      </c>
      <c r="AM259" s="25">
        <f t="shared" ca="1" si="59"/>
        <v>0.30671935469604067</v>
      </c>
      <c r="AO259" s="26">
        <f t="shared" ca="1" si="49"/>
        <v>0</v>
      </c>
      <c r="AP259" s="26"/>
      <c r="AQ259" s="26">
        <f t="shared" ca="1" si="50"/>
        <v>0</v>
      </c>
      <c r="AR259" s="26"/>
      <c r="AS259" s="27">
        <f t="shared" ca="1" si="51"/>
        <v>0</v>
      </c>
      <c r="AT259" s="27">
        <f t="shared" ca="1" si="52"/>
        <v>0</v>
      </c>
      <c r="AU259" s="27">
        <f t="shared" ca="1" si="53"/>
        <v>0</v>
      </c>
      <c r="AV259" s="27"/>
      <c r="AW259" s="27"/>
      <c r="AY259" s="216"/>
      <c r="AZ259" s="216"/>
      <c r="BA259" s="233"/>
      <c r="BC259" s="216"/>
      <c r="BE259" s="69"/>
    </row>
    <row r="260" spans="1:57">
      <c r="A260" s="19">
        <f>[1]!_xludf.edate(A259,1)</f>
        <v>44896</v>
      </c>
      <c r="B260" s="21">
        <f t="shared" si="60"/>
        <v>31</v>
      </c>
      <c r="C260" s="20">
        <f>IF(Control!$F$18="Physical",Model!A261+24,Model!A261)</f>
        <v>44951</v>
      </c>
      <c r="E260" s="22">
        <f>IF($A260&lt;End_Date,IF(Control!$C$20="Flat",Control!$C$21,VLOOKUP(Model!$A260,Euro!$B$29:$D$182,3)),0)</f>
        <v>0</v>
      </c>
      <c r="F260" s="22">
        <f t="shared" si="54"/>
        <v>0</v>
      </c>
      <c r="H260" s="23">
        <f>IF(Control!$C$27="Mid",VLOOKUP($A260,CurveFetch!$D$8:$F$367,3),VLOOKUP($A260,Euro!$B$29:$I$182,8))</f>
        <v>6.0990000000000002</v>
      </c>
      <c r="I260" s="23"/>
      <c r="J260" s="23">
        <f>IF($J$4="Mid",VLOOKUP($A260,Curve_Fetch,VLOOKUP(Control!$AJ$10,Control!$AI$11:$AK$22,3)),VLOOKUP($A260,Euro!$B$29:$M$182,12))</f>
        <v>0</v>
      </c>
      <c r="K260" s="228">
        <f>IF(Control!$F$18="Physical",IF($K$4="Mid",VLOOKUP($A260,Curve_Fetch,VLOOKUP(Control!$AJ$10,Control!$AI$11:$AL$22,4)),VLOOKUP($A260,Euro!$B$29:$Q$182,16)),0)</f>
        <v>0</v>
      </c>
      <c r="L260" s="23">
        <f t="shared" si="55"/>
        <v>0</v>
      </c>
      <c r="M260" s="23"/>
      <c r="N260" s="69">
        <f t="shared" si="46"/>
        <v>6.0990000000000002</v>
      </c>
      <c r="O260" s="69">
        <f>N260+Control!$C$39</f>
        <v>6.0990000000000002</v>
      </c>
      <c r="P260" s="73">
        <f>VLOOKUP($A260,CurveFetch!$D$8:$E$367,2)</f>
        <v>5.6666304198343301E-2</v>
      </c>
      <c r="Q260" s="24">
        <f t="shared" si="56"/>
        <v>5.6666304198343301E-2</v>
      </c>
      <c r="R260" s="72">
        <f t="shared" ca="1" si="57"/>
        <v>7699</v>
      </c>
      <c r="S260" s="25">
        <f>VLOOKUP($A260,Curve_Fetch,VLOOKUP(Control!$AJ$10,Control!$AI$11:$AM$22,5))</f>
        <v>0</v>
      </c>
      <c r="T260" s="74">
        <f ca="1">_xll.EURO(N260,O260,P260,Q260,S260,R260,IF(Control!$C$38="Call",1,0),0)</f>
        <v>3.3835894612255224E-5</v>
      </c>
      <c r="U260" s="27">
        <f t="shared" ca="1" si="47"/>
        <v>0</v>
      </c>
      <c r="V260" s="75"/>
      <c r="W260" s="197"/>
      <c r="X260" s="197"/>
      <c r="Y260" s="197"/>
      <c r="AA260" s="210"/>
      <c r="AB260" s="210"/>
      <c r="AC260" s="211"/>
      <c r="AD260" s="212"/>
      <c r="AE260" s="213"/>
      <c r="AF260" s="214"/>
      <c r="AG260" s="215"/>
      <c r="AH260" s="216"/>
      <c r="AI260" s="27"/>
      <c r="AJ260" s="28">
        <f t="shared" si="48"/>
        <v>0</v>
      </c>
      <c r="AL260" s="24">
        <f t="shared" si="58"/>
        <v>5.6668346493243198E-2</v>
      </c>
      <c r="AM260" s="25">
        <f t="shared" ca="1" si="59"/>
        <v>0.30525528165841226</v>
      </c>
      <c r="AO260" s="26">
        <f t="shared" ca="1" si="49"/>
        <v>0</v>
      </c>
      <c r="AP260" s="26"/>
      <c r="AQ260" s="26">
        <f t="shared" ca="1" si="50"/>
        <v>0</v>
      </c>
      <c r="AR260" s="26"/>
      <c r="AS260" s="27">
        <f t="shared" ca="1" si="51"/>
        <v>0</v>
      </c>
      <c r="AT260" s="27">
        <f t="shared" ca="1" si="52"/>
        <v>0</v>
      </c>
      <c r="AU260" s="27">
        <f t="shared" ca="1" si="53"/>
        <v>0</v>
      </c>
      <c r="AV260" s="27"/>
      <c r="AW260" s="27"/>
      <c r="AY260" s="216"/>
      <c r="AZ260" s="216"/>
      <c r="BA260" s="233"/>
      <c r="BC260" s="216"/>
      <c r="BE260" s="69"/>
    </row>
    <row r="261" spans="1:57">
      <c r="A261" s="19">
        <f>[1]!_xludf.edate(A260,1)</f>
        <v>44927</v>
      </c>
      <c r="B261" s="21">
        <f t="shared" si="60"/>
        <v>31</v>
      </c>
      <c r="C261" s="20">
        <f>IF(Control!$F$18="Physical",Model!A262+24,Model!A262)</f>
        <v>44982</v>
      </c>
      <c r="E261" s="22">
        <f>IF($A261&lt;End_Date,IF(Control!$C$20="Flat",Control!$C$21,VLOOKUP(Model!$A261,Euro!$B$29:$D$182,3)),0)</f>
        <v>0</v>
      </c>
      <c r="F261" s="22">
        <f t="shared" si="54"/>
        <v>0</v>
      </c>
      <c r="H261" s="23">
        <f>IF(Control!$C$27="Mid",VLOOKUP($A261,CurveFetch!$D$8:$F$367,3),VLOOKUP($A261,Euro!$B$29:$I$182,8))</f>
        <v>6.1715</v>
      </c>
      <c r="I261" s="23"/>
      <c r="J261" s="23">
        <f>IF($J$4="Mid",VLOOKUP($A261,Curve_Fetch,VLOOKUP(Control!$AJ$10,Control!$AI$11:$AK$22,3)),VLOOKUP($A261,Euro!$B$29:$M$182,12))</f>
        <v>0</v>
      </c>
      <c r="K261" s="228">
        <f>IF(Control!$F$18="Physical",IF($K$4="Mid",VLOOKUP($A261,Curve_Fetch,VLOOKUP(Control!$AJ$10,Control!$AI$11:$AL$22,4)),VLOOKUP($A261,Euro!$B$29:$Q$182,16)),0)</f>
        <v>0</v>
      </c>
      <c r="L261" s="23">
        <f t="shared" si="55"/>
        <v>0</v>
      </c>
      <c r="M261" s="23"/>
      <c r="N261" s="69">
        <f t="shared" si="46"/>
        <v>6.1715</v>
      </c>
      <c r="O261" s="69">
        <f>N261+Control!$C$39</f>
        <v>6.1715</v>
      </c>
      <c r="P261" s="73">
        <f>VLOOKUP($A261,CurveFetch!$D$8:$E$367,2)</f>
        <v>5.6668346493243198E-2</v>
      </c>
      <c r="Q261" s="24">
        <f t="shared" si="56"/>
        <v>5.6668346493243198E-2</v>
      </c>
      <c r="R261" s="72">
        <f t="shared" ca="1" si="57"/>
        <v>7730</v>
      </c>
      <c r="S261" s="25">
        <f>VLOOKUP($A261,Curve_Fetch,VLOOKUP(Control!$AJ$10,Control!$AI$11:$AM$22,5))</f>
        <v>0</v>
      </c>
      <c r="T261" s="74">
        <f ca="1">_xll.EURO(N261,O261,P261,Q261,S261,R261,IF(Control!$C$38="Call",1,0),0)</f>
        <v>3.4140887022471311E-5</v>
      </c>
      <c r="U261" s="27">
        <f t="shared" ca="1" si="47"/>
        <v>0</v>
      </c>
      <c r="V261" s="75"/>
      <c r="W261" s="197"/>
      <c r="X261" s="197"/>
      <c r="Y261" s="197"/>
      <c r="AA261" s="210"/>
      <c r="AB261" s="210"/>
      <c r="AC261" s="211"/>
      <c r="AD261" s="212"/>
      <c r="AE261" s="213"/>
      <c r="AF261" s="214"/>
      <c r="AG261" s="215"/>
      <c r="AH261" s="216"/>
      <c r="AI261" s="27"/>
      <c r="AJ261" s="28">
        <f t="shared" si="48"/>
        <v>0</v>
      </c>
      <c r="AL261" s="24">
        <f t="shared" si="58"/>
        <v>5.6670388788143497E-2</v>
      </c>
      <c r="AM261" s="25">
        <f t="shared" ca="1" si="59"/>
        <v>0.30379809472218278</v>
      </c>
      <c r="AO261" s="26">
        <f t="shared" ca="1" si="49"/>
        <v>0</v>
      </c>
      <c r="AP261" s="26"/>
      <c r="AQ261" s="26">
        <f t="shared" ca="1" si="50"/>
        <v>0</v>
      </c>
      <c r="AR261" s="26"/>
      <c r="AS261" s="27">
        <f t="shared" ca="1" si="51"/>
        <v>0</v>
      </c>
      <c r="AT261" s="27">
        <f t="shared" ca="1" si="52"/>
        <v>0</v>
      </c>
      <c r="AU261" s="27">
        <f t="shared" ca="1" si="53"/>
        <v>0</v>
      </c>
      <c r="AV261" s="27"/>
      <c r="AW261" s="27"/>
      <c r="AY261" s="216"/>
      <c r="AZ261" s="216"/>
      <c r="BA261" s="233"/>
      <c r="BC261" s="216"/>
      <c r="BE261" s="69"/>
    </row>
    <row r="262" spans="1:57">
      <c r="A262" s="19">
        <f>[1]!_xludf.edate(A261,1)</f>
        <v>44958</v>
      </c>
      <c r="B262" s="21">
        <f t="shared" si="60"/>
        <v>28</v>
      </c>
      <c r="C262" s="20">
        <f>IF(Control!$F$18="Physical",Model!A263+24,Model!A263)</f>
        <v>45010</v>
      </c>
      <c r="E262" s="22">
        <f>IF($A262&lt;End_Date,IF(Control!$C$20="Flat",Control!$C$21,VLOOKUP(Model!$A262,Euro!$B$29:$D$182,3)),0)</f>
        <v>0</v>
      </c>
      <c r="F262" s="22">
        <f t="shared" si="54"/>
        <v>0</v>
      </c>
      <c r="H262" s="23">
        <f>IF(Control!$C$27="Mid",VLOOKUP($A262,CurveFetch!$D$8:$F$367,3),VLOOKUP($A262,Euro!$B$29:$I$182,8))</f>
        <v>6.0834999999999999</v>
      </c>
      <c r="I262" s="23"/>
      <c r="J262" s="23">
        <f>IF($J$4="Mid",VLOOKUP($A262,Curve_Fetch,VLOOKUP(Control!$AJ$10,Control!$AI$11:$AK$22,3)),VLOOKUP($A262,Euro!$B$29:$M$182,12))</f>
        <v>0</v>
      </c>
      <c r="K262" s="228">
        <f>IF(Control!$F$18="Physical",IF($K$4="Mid",VLOOKUP($A262,Curve_Fetch,VLOOKUP(Control!$AJ$10,Control!$AI$11:$AL$22,4)),VLOOKUP($A262,Euro!$B$29:$Q$182,16)),0)</f>
        <v>0</v>
      </c>
      <c r="L262" s="23">
        <f t="shared" si="55"/>
        <v>0</v>
      </c>
      <c r="M262" s="23"/>
      <c r="N262" s="69">
        <f t="shared" si="46"/>
        <v>6.0834999999999999</v>
      </c>
      <c r="O262" s="69">
        <f>N262+Control!$C$39</f>
        <v>6.0834999999999999</v>
      </c>
      <c r="P262" s="73">
        <f>VLOOKUP($A262,CurveFetch!$D$8:$E$367,2)</f>
        <v>5.6670388788143497E-2</v>
      </c>
      <c r="Q262" s="24">
        <f t="shared" si="56"/>
        <v>5.6670388788143497E-2</v>
      </c>
      <c r="R262" s="72">
        <f t="shared" ca="1" si="57"/>
        <v>7761</v>
      </c>
      <c r="S262" s="25">
        <f>VLOOKUP($A262,Curve_Fetch,VLOOKUP(Control!$AJ$10,Control!$AI$11:$AM$22,5))</f>
        <v>0</v>
      </c>
      <c r="T262" s="74">
        <f ca="1">_xll.EURO(N262,O262,P262,Q262,S262,R262,IF(Control!$C$38="Call",1,0),0)</f>
        <v>3.3558224395879854E-5</v>
      </c>
      <c r="U262" s="27">
        <f t="shared" ca="1" si="47"/>
        <v>0</v>
      </c>
      <c r="V262" s="75"/>
      <c r="W262" s="197"/>
      <c r="X262" s="197"/>
      <c r="Y262" s="197"/>
      <c r="AA262" s="210"/>
      <c r="AB262" s="210"/>
      <c r="AC262" s="211"/>
      <c r="AD262" s="212"/>
      <c r="AE262" s="213"/>
      <c r="AF262" s="214"/>
      <c r="AG262" s="215"/>
      <c r="AH262" s="216"/>
      <c r="AI262" s="27"/>
      <c r="AJ262" s="28">
        <f t="shared" si="48"/>
        <v>0</v>
      </c>
      <c r="AL262" s="24">
        <f t="shared" si="58"/>
        <v>5.66722334416037E-2</v>
      </c>
      <c r="AM262" s="25">
        <f t="shared" ca="1" si="59"/>
        <v>0.30248781809725522</v>
      </c>
      <c r="AO262" s="26">
        <f t="shared" ca="1" si="49"/>
        <v>0</v>
      </c>
      <c r="AP262" s="26"/>
      <c r="AQ262" s="26">
        <f t="shared" ca="1" si="50"/>
        <v>0</v>
      </c>
      <c r="AR262" s="26"/>
      <c r="AS262" s="27">
        <f t="shared" ca="1" si="51"/>
        <v>0</v>
      </c>
      <c r="AT262" s="27">
        <f t="shared" ca="1" si="52"/>
        <v>0</v>
      </c>
      <c r="AU262" s="27">
        <f t="shared" ca="1" si="53"/>
        <v>0</v>
      </c>
      <c r="AV262" s="27"/>
      <c r="AW262" s="27"/>
      <c r="AY262" s="216"/>
      <c r="AZ262" s="216"/>
      <c r="BA262" s="233"/>
      <c r="BC262" s="216"/>
      <c r="BE262" s="69"/>
    </row>
    <row r="263" spans="1:57">
      <c r="A263" s="19">
        <f>[1]!_xludf.edate(A262,1)</f>
        <v>44986</v>
      </c>
      <c r="B263" s="21">
        <f t="shared" si="60"/>
        <v>31</v>
      </c>
      <c r="C263" s="20">
        <f>IF(Control!$F$18="Physical",Model!A264+24,Model!A264)</f>
        <v>45041</v>
      </c>
      <c r="E263" s="22">
        <f>IF($A263&lt;End_Date,IF(Control!$C$20="Flat",Control!$C$21,VLOOKUP(Model!$A263,Euro!$B$29:$D$182,3)),0)</f>
        <v>0</v>
      </c>
      <c r="F263" s="22">
        <f t="shared" si="54"/>
        <v>0</v>
      </c>
      <c r="H263" s="23">
        <f>IF(Control!$C$27="Mid",VLOOKUP($A263,CurveFetch!$D$8:$F$367,3),VLOOKUP($A263,Euro!$B$29:$I$182,8))</f>
        <v>5.9444999999999997</v>
      </c>
      <c r="I263" s="23"/>
      <c r="J263" s="23">
        <f>IF($J$4="Mid",VLOOKUP($A263,Curve_Fetch,VLOOKUP(Control!$AJ$10,Control!$AI$11:$AK$22,3)),VLOOKUP($A263,Euro!$B$29:$M$182,12))</f>
        <v>0</v>
      </c>
      <c r="K263" s="228">
        <f>IF(Control!$F$18="Physical",IF($K$4="Mid",VLOOKUP($A263,Curve_Fetch,VLOOKUP(Control!$AJ$10,Control!$AI$11:$AL$22,4)),VLOOKUP($A263,Euro!$B$29:$Q$182,16)),0)</f>
        <v>0</v>
      </c>
      <c r="L263" s="23">
        <f t="shared" si="55"/>
        <v>0</v>
      </c>
      <c r="M263" s="23"/>
      <c r="N263" s="69">
        <f t="shared" si="46"/>
        <v>5.9444999999999997</v>
      </c>
      <c r="O263" s="69">
        <f>N263+Control!$C$39</f>
        <v>5.9444999999999997</v>
      </c>
      <c r="P263" s="73">
        <f>VLOOKUP($A263,CurveFetch!$D$8:$E$367,2)</f>
        <v>5.66722334416037E-2</v>
      </c>
      <c r="Q263" s="24">
        <f t="shared" si="56"/>
        <v>5.66722334416037E-2</v>
      </c>
      <c r="R263" s="72">
        <f t="shared" ca="1" si="57"/>
        <v>7789</v>
      </c>
      <c r="S263" s="25">
        <f>VLOOKUP($A263,Curve_Fetch,VLOOKUP(Control!$AJ$10,Control!$AI$11:$AM$22,5))</f>
        <v>0</v>
      </c>
      <c r="T263" s="74">
        <f ca="1">_xll.EURO(N263,O263,P263,Q263,S263,R263,IF(Control!$C$38="Call",1,0),0)</f>
        <v>3.2706866956111469E-5</v>
      </c>
      <c r="U263" s="27">
        <f t="shared" ca="1" si="47"/>
        <v>0</v>
      </c>
      <c r="V263" s="75"/>
      <c r="W263" s="197"/>
      <c r="X263" s="197"/>
      <c r="Y263" s="197"/>
      <c r="AA263" s="210"/>
      <c r="AB263" s="210"/>
      <c r="AC263" s="211"/>
      <c r="AD263" s="212"/>
      <c r="AE263" s="213"/>
      <c r="AF263" s="214"/>
      <c r="AG263" s="215"/>
      <c r="AH263" s="216"/>
      <c r="AI263" s="27"/>
      <c r="AJ263" s="28">
        <f t="shared" si="48"/>
        <v>0</v>
      </c>
      <c r="AL263" s="24">
        <f t="shared" si="58"/>
        <v>5.6674275736507101E-2</v>
      </c>
      <c r="AM263" s="25">
        <f t="shared" ca="1" si="59"/>
        <v>0.30104364897889785</v>
      </c>
      <c r="AO263" s="26">
        <f t="shared" ca="1" si="49"/>
        <v>0</v>
      </c>
      <c r="AP263" s="26"/>
      <c r="AQ263" s="26">
        <f t="shared" ca="1" si="50"/>
        <v>0</v>
      </c>
      <c r="AR263" s="26"/>
      <c r="AS263" s="27">
        <f t="shared" ca="1" si="51"/>
        <v>0</v>
      </c>
      <c r="AT263" s="27">
        <f t="shared" ca="1" si="52"/>
        <v>0</v>
      </c>
      <c r="AU263" s="27">
        <f t="shared" ca="1" si="53"/>
        <v>0</v>
      </c>
      <c r="AV263" s="27"/>
      <c r="AW263" s="27"/>
      <c r="AY263" s="216"/>
      <c r="AZ263" s="216"/>
      <c r="BA263" s="233"/>
      <c r="BC263" s="216"/>
      <c r="BE263" s="69"/>
    </row>
    <row r="264" spans="1:57">
      <c r="A264" s="19">
        <f>[1]!_xludf.edate(A263,1)</f>
        <v>45017</v>
      </c>
      <c r="B264" s="21">
        <f t="shared" si="60"/>
        <v>30</v>
      </c>
      <c r="C264" s="20">
        <f>IF(Control!$F$18="Physical",Model!A265+24,Model!A265)</f>
        <v>45071</v>
      </c>
      <c r="E264" s="22">
        <f>IF($A264&lt;End_Date,IF(Control!$C$20="Flat",Control!$C$21,VLOOKUP(Model!$A264,Euro!$B$29:$D$182,3)),0)</f>
        <v>0</v>
      </c>
      <c r="F264" s="22">
        <f t="shared" si="54"/>
        <v>0</v>
      </c>
      <c r="H264" s="23">
        <f>IF(Control!$C$27="Mid",VLOOKUP($A264,CurveFetch!$D$8:$F$367,3),VLOOKUP($A264,Euro!$B$29:$I$182,8))</f>
        <v>5.7904999999999998</v>
      </c>
      <c r="I264" s="23"/>
      <c r="J264" s="23">
        <f>IF($J$4="Mid",VLOOKUP($A264,Curve_Fetch,VLOOKUP(Control!$AJ$10,Control!$AI$11:$AK$22,3)),VLOOKUP($A264,Euro!$B$29:$M$182,12))</f>
        <v>0</v>
      </c>
      <c r="K264" s="228">
        <f>IF(Control!$F$18="Physical",IF($K$4="Mid",VLOOKUP($A264,Curve_Fetch,VLOOKUP(Control!$AJ$10,Control!$AI$11:$AL$22,4)),VLOOKUP($A264,Euro!$B$29:$Q$182,16)),0)</f>
        <v>0</v>
      </c>
      <c r="L264" s="23">
        <f t="shared" si="55"/>
        <v>0</v>
      </c>
      <c r="M264" s="23"/>
      <c r="N264" s="69">
        <f t="shared" ref="N264:N288" si="61">L264+H264</f>
        <v>5.7904999999999998</v>
      </c>
      <c r="O264" s="69">
        <f>N264+Control!$C$39</f>
        <v>5.7904999999999998</v>
      </c>
      <c r="P264" s="73">
        <f>VLOOKUP($A264,CurveFetch!$D$8:$E$367,2)</f>
        <v>5.6674275736507101E-2</v>
      </c>
      <c r="Q264" s="24">
        <f t="shared" si="56"/>
        <v>5.6674275736507101E-2</v>
      </c>
      <c r="R264" s="72">
        <f t="shared" ca="1" si="57"/>
        <v>7820</v>
      </c>
      <c r="S264" s="25">
        <f>VLOOKUP($A264,Curve_Fetch,VLOOKUP(Control!$AJ$10,Control!$AI$11:$AM$22,5))</f>
        <v>0</v>
      </c>
      <c r="T264" s="74">
        <f ca="1">_xll.EURO(N264,O264,P264,Q264,S264,R264,IF(Control!$C$38="Call",1,0),0)</f>
        <v>3.1768317689029324E-5</v>
      </c>
      <c r="U264" s="27">
        <f t="shared" ref="U264:U288" ca="1" si="62">T264*B264*E264</f>
        <v>0</v>
      </c>
      <c r="V264" s="75"/>
      <c r="W264" s="197"/>
      <c r="X264" s="197"/>
      <c r="Y264" s="197"/>
      <c r="AA264" s="210"/>
      <c r="AB264" s="210"/>
      <c r="AC264" s="211"/>
      <c r="AD264" s="212"/>
      <c r="AE264" s="213"/>
      <c r="AF264" s="214"/>
      <c r="AG264" s="215"/>
      <c r="AH264" s="216"/>
      <c r="AI264" s="27"/>
      <c r="AJ264" s="28">
        <f t="shared" ref="AJ264:AJ288" si="63">Y264-L264</f>
        <v>0</v>
      </c>
      <c r="AL264" s="24">
        <f t="shared" si="58"/>
        <v>5.6676252150931201E-2</v>
      </c>
      <c r="AM264" s="25">
        <f t="shared" ca="1" si="59"/>
        <v>0.2996525349941363</v>
      </c>
      <c r="AO264" s="26">
        <f t="shared" ref="AO264:AO288" ca="1" si="64">$B264*$E264*$AM264</f>
        <v>0</v>
      </c>
      <c r="AP264" s="26"/>
      <c r="AQ264" s="26">
        <f t="shared" ref="AQ264:AQ288" ca="1" si="65">H264*AO264</f>
        <v>0</v>
      </c>
      <c r="AR264" s="26"/>
      <c r="AS264" s="27">
        <f t="shared" ref="AS264:AS288" ca="1" si="66">J264*$AO264</f>
        <v>0</v>
      </c>
      <c r="AT264" s="27">
        <f t="shared" ref="AT264:AT288" ca="1" si="67">K264*$AO264</f>
        <v>0</v>
      </c>
      <c r="AU264" s="27">
        <f t="shared" ref="AU264:AU288" ca="1" si="68">L264*$AO264</f>
        <v>0</v>
      </c>
      <c r="AV264" s="27"/>
      <c r="AW264" s="27"/>
      <c r="AY264" s="216"/>
      <c r="AZ264" s="216"/>
      <c r="BA264" s="233"/>
      <c r="BC264" s="216"/>
      <c r="BE264" s="69"/>
    </row>
    <row r="265" spans="1:57">
      <c r="A265" s="19">
        <f>[1]!_xludf.edate(A264,1)</f>
        <v>45047</v>
      </c>
      <c r="B265" s="21">
        <f t="shared" si="60"/>
        <v>31</v>
      </c>
      <c r="C265" s="20">
        <f>IF(Control!$F$18="Physical",Model!A266+24,Model!A266)</f>
        <v>45102</v>
      </c>
      <c r="E265" s="22">
        <f>IF($A265&lt;End_Date,IF(Control!$C$20="Flat",Control!$C$21,VLOOKUP(Model!$A265,Euro!$B$29:$D$182,3)),0)</f>
        <v>0</v>
      </c>
      <c r="F265" s="22">
        <f t="shared" ref="F265:F288" si="69">E265*B265</f>
        <v>0</v>
      </c>
      <c r="H265" s="23">
        <f>IF(Control!$C$27="Mid",VLOOKUP($A265,CurveFetch!$D$8:$F$367,3),VLOOKUP($A265,Euro!$B$29:$I$182,8))</f>
        <v>5.7954999999999997</v>
      </c>
      <c r="I265" s="23"/>
      <c r="J265" s="23">
        <f>IF($J$4="Mid",VLOOKUP($A265,Curve_Fetch,VLOOKUP(Control!$AJ$10,Control!$AI$11:$AK$22,3)),VLOOKUP($A265,Euro!$B$29:$M$182,12))</f>
        <v>0</v>
      </c>
      <c r="K265" s="228">
        <f>IF(Control!$F$18="Physical",IF($K$4="Mid",VLOOKUP($A265,Curve_Fetch,VLOOKUP(Control!$AJ$10,Control!$AI$11:$AL$22,4)),VLOOKUP($A265,Euro!$B$29:$Q$182,16)),0)</f>
        <v>0</v>
      </c>
      <c r="L265" s="23">
        <f t="shared" ref="L265:L288" si="70">SUM(J265:K265)</f>
        <v>0</v>
      </c>
      <c r="M265" s="23"/>
      <c r="N265" s="69">
        <f t="shared" si="61"/>
        <v>5.7954999999999997</v>
      </c>
      <c r="O265" s="69">
        <f>N265+Control!$C$39</f>
        <v>5.7954999999999997</v>
      </c>
      <c r="P265" s="73">
        <f>VLOOKUP($A265,CurveFetch!$D$8:$E$367,2)</f>
        <v>5.6676252150931201E-2</v>
      </c>
      <c r="Q265" s="24">
        <f t="shared" ref="Q265:Q288" si="71">P265</f>
        <v>5.6676252150931201E-2</v>
      </c>
      <c r="R265" s="72">
        <f t="shared" ref="R265:R288" ca="1" si="72">A265-1-TODAY()</f>
        <v>7850</v>
      </c>
      <c r="S265" s="25">
        <f>VLOOKUP($A265,Curve_Fetch,VLOOKUP(Control!$AJ$10,Control!$AI$11:$AM$22,5))</f>
        <v>0</v>
      </c>
      <c r="T265" s="74">
        <f ca="1">_xll.EURO(N265,O265,P265,Q265,S265,R265,IF(Control!$C$38="Call",1,0),0)</f>
        <v>3.1707381880852203E-5</v>
      </c>
      <c r="U265" s="27">
        <f t="shared" ca="1" si="62"/>
        <v>0</v>
      </c>
      <c r="V265" s="75"/>
      <c r="W265" s="197"/>
      <c r="X265" s="197"/>
      <c r="Y265" s="197"/>
      <c r="AA265" s="210"/>
      <c r="AB265" s="210"/>
      <c r="AC265" s="211"/>
      <c r="AD265" s="212"/>
      <c r="AE265" s="213"/>
      <c r="AF265" s="214"/>
      <c r="AG265" s="215"/>
      <c r="AH265" s="216"/>
      <c r="AI265" s="27"/>
      <c r="AJ265" s="28">
        <f t="shared" si="63"/>
        <v>0</v>
      </c>
      <c r="AL265" s="24">
        <f t="shared" ref="AL265:AL288" si="73">VLOOKUP($C265,Curve_Fetch,2)+Cost_of_Funds</f>
        <v>5.6678294445837302E-2</v>
      </c>
      <c r="AM265" s="25">
        <f t="shared" ref="AM265:AM288" ca="1" si="74">1/(1+AL265/2)^(2*(C265-Val_Date)/365.25)</f>
        <v>0.29822170457731012</v>
      </c>
      <c r="AO265" s="26">
        <f t="shared" ca="1" si="64"/>
        <v>0</v>
      </c>
      <c r="AP265" s="26"/>
      <c r="AQ265" s="26">
        <f t="shared" ca="1" si="65"/>
        <v>0</v>
      </c>
      <c r="AR265" s="26"/>
      <c r="AS265" s="27">
        <f t="shared" ca="1" si="66"/>
        <v>0</v>
      </c>
      <c r="AT265" s="27">
        <f t="shared" ca="1" si="67"/>
        <v>0</v>
      </c>
      <c r="AU265" s="27">
        <f t="shared" ca="1" si="68"/>
        <v>0</v>
      </c>
      <c r="AV265" s="27"/>
      <c r="AW265" s="27"/>
      <c r="AY265" s="216"/>
      <c r="AZ265" s="216"/>
      <c r="BA265" s="233"/>
      <c r="BC265" s="216"/>
      <c r="BE265" s="69"/>
    </row>
    <row r="266" spans="1:57">
      <c r="A266" s="19">
        <f>[1]!_xludf.edate(A265,1)</f>
        <v>45078</v>
      </c>
      <c r="B266" s="21">
        <f t="shared" ref="B266:B288" si="75">A267-A266</f>
        <v>30</v>
      </c>
      <c r="C266" s="20">
        <f>IF(Control!$F$18="Physical",Model!A267+24,Model!A267)</f>
        <v>45132</v>
      </c>
      <c r="E266" s="22">
        <f>IF($A266&lt;End_Date,IF(Control!$C$20="Flat",Control!$C$21,VLOOKUP(Model!$A266,Euro!$B$29:$D$182,3)),0)</f>
        <v>0</v>
      </c>
      <c r="F266" s="22">
        <f t="shared" si="69"/>
        <v>0</v>
      </c>
      <c r="H266" s="23">
        <f>IF(Control!$C$27="Mid",VLOOKUP($A266,CurveFetch!$D$8:$F$367,3),VLOOKUP($A266,Euro!$B$29:$I$182,8))</f>
        <v>5.8334999999999999</v>
      </c>
      <c r="I266" s="23"/>
      <c r="J266" s="23">
        <f>IF($J$4="Mid",VLOOKUP($A266,Curve_Fetch,VLOOKUP(Control!$AJ$10,Control!$AI$11:$AK$22,3)),VLOOKUP($A266,Euro!$B$29:$M$182,12))</f>
        <v>0</v>
      </c>
      <c r="K266" s="228">
        <f>IF(Control!$F$18="Physical",IF($K$4="Mid",VLOOKUP($A266,Curve_Fetch,VLOOKUP(Control!$AJ$10,Control!$AI$11:$AL$22,4)),VLOOKUP($A266,Euro!$B$29:$Q$182,16)),0)</f>
        <v>0</v>
      </c>
      <c r="L266" s="23">
        <f t="shared" si="70"/>
        <v>0</v>
      </c>
      <c r="M266" s="23"/>
      <c r="N266" s="69">
        <f t="shared" si="61"/>
        <v>5.8334999999999999</v>
      </c>
      <c r="O266" s="69">
        <f>N266+Control!$C$39</f>
        <v>5.8334999999999999</v>
      </c>
      <c r="P266" s="73">
        <f>VLOOKUP($A266,CurveFetch!$D$8:$E$367,2)</f>
        <v>5.6678294445837302E-2</v>
      </c>
      <c r="Q266" s="24">
        <f t="shared" si="71"/>
        <v>5.6678294445837302E-2</v>
      </c>
      <c r="R266" s="72">
        <f t="shared" ca="1" si="72"/>
        <v>7881</v>
      </c>
      <c r="S266" s="25">
        <f>VLOOKUP($A266,Curve_Fetch,VLOOKUP(Control!$AJ$10,Control!$AI$11:$AM$22,5))</f>
        <v>0</v>
      </c>
      <c r="T266" s="74">
        <f ca="1">_xll.EURO(N266,O266,P266,Q266,S266,R266,IF(Control!$C$38="Call",1,0),0)</f>
        <v>3.1823374427419893E-5</v>
      </c>
      <c r="U266" s="27">
        <f t="shared" ca="1" si="62"/>
        <v>0</v>
      </c>
      <c r="V266" s="75"/>
      <c r="W266" s="197"/>
      <c r="X266" s="197"/>
      <c r="Y266" s="197"/>
      <c r="AA266" s="210"/>
      <c r="AB266" s="210"/>
      <c r="AC266" s="211"/>
      <c r="AD266" s="212"/>
      <c r="AE266" s="213"/>
      <c r="AF266" s="214"/>
      <c r="AG266" s="215"/>
      <c r="AH266" s="216"/>
      <c r="AI266" s="27"/>
      <c r="AJ266" s="28">
        <f t="shared" si="63"/>
        <v>0</v>
      </c>
      <c r="AL266" s="24">
        <f t="shared" si="73"/>
        <v>5.6680270860264101E-2</v>
      </c>
      <c r="AM266" s="25">
        <f t="shared" ca="1" si="74"/>
        <v>0.29684344017677228</v>
      </c>
      <c r="AO266" s="26">
        <f t="shared" ca="1" si="64"/>
        <v>0</v>
      </c>
      <c r="AP266" s="26"/>
      <c r="AQ266" s="26">
        <f t="shared" ca="1" si="65"/>
        <v>0</v>
      </c>
      <c r="AR266" s="26"/>
      <c r="AS266" s="27">
        <f t="shared" ca="1" si="66"/>
        <v>0</v>
      </c>
      <c r="AT266" s="27">
        <f t="shared" ca="1" si="67"/>
        <v>0</v>
      </c>
      <c r="AU266" s="27">
        <f t="shared" ca="1" si="68"/>
        <v>0</v>
      </c>
      <c r="AV266" s="27"/>
      <c r="AW266" s="27"/>
      <c r="AY266" s="216"/>
      <c r="AZ266" s="216"/>
      <c r="BA266" s="233"/>
      <c r="BC266" s="216"/>
      <c r="BE266" s="69"/>
    </row>
    <row r="267" spans="1:57">
      <c r="A267" s="19">
        <f>[1]!_xludf.edate(A266,1)</f>
        <v>45108</v>
      </c>
      <c r="B267" s="21">
        <f t="shared" si="75"/>
        <v>31</v>
      </c>
      <c r="C267" s="20">
        <f>IF(Control!$F$18="Physical",Model!A268+24,Model!A268)</f>
        <v>45163</v>
      </c>
      <c r="E267" s="22">
        <f>IF($A267&lt;End_Date,IF(Control!$C$20="Flat",Control!$C$21,VLOOKUP(Model!$A267,Euro!$B$29:$D$182,3)),0)</f>
        <v>0</v>
      </c>
      <c r="F267" s="22">
        <f t="shared" si="69"/>
        <v>0</v>
      </c>
      <c r="H267" s="23">
        <f>IF(Control!$C$27="Mid",VLOOKUP($A267,CurveFetch!$D$8:$F$367,3),VLOOKUP($A267,Euro!$B$29:$I$182,8))</f>
        <v>5.8784999999999998</v>
      </c>
      <c r="I267" s="23"/>
      <c r="J267" s="23">
        <f>IF($J$4="Mid",VLOOKUP($A267,Curve_Fetch,VLOOKUP(Control!$AJ$10,Control!$AI$11:$AK$22,3)),VLOOKUP($A267,Euro!$B$29:$M$182,12))</f>
        <v>0</v>
      </c>
      <c r="K267" s="228">
        <f>IF(Control!$F$18="Physical",IF($K$4="Mid",VLOOKUP($A267,Curve_Fetch,VLOOKUP(Control!$AJ$10,Control!$AI$11:$AL$22,4)),VLOOKUP($A267,Euro!$B$29:$Q$182,16)),0)</f>
        <v>0</v>
      </c>
      <c r="L267" s="23">
        <f t="shared" si="70"/>
        <v>0</v>
      </c>
      <c r="M267" s="23"/>
      <c r="N267" s="69">
        <f t="shared" si="61"/>
        <v>5.8784999999999998</v>
      </c>
      <c r="O267" s="69">
        <f>N267+Control!$C$39</f>
        <v>5.8784999999999998</v>
      </c>
      <c r="P267" s="73">
        <f>VLOOKUP($A267,CurveFetch!$D$8:$E$367,2)</f>
        <v>5.6680270860264101E-2</v>
      </c>
      <c r="Q267" s="24">
        <f t="shared" si="71"/>
        <v>5.6680270860264101E-2</v>
      </c>
      <c r="R267" s="72">
        <f t="shared" ca="1" si="72"/>
        <v>7911</v>
      </c>
      <c r="S267" s="25">
        <f>VLOOKUP($A267,Curve_Fetch,VLOOKUP(Control!$AJ$10,Control!$AI$11:$AM$22,5))</f>
        <v>0</v>
      </c>
      <c r="T267" s="74">
        <f ca="1">_xll.EURO(N267,O267,P267,Q267,S267,R267,IF(Control!$C$38="Call",1,0),0)</f>
        <v>3.1979241706836525E-5</v>
      </c>
      <c r="U267" s="27">
        <f t="shared" ca="1" si="62"/>
        <v>0</v>
      </c>
      <c r="V267" s="75"/>
      <c r="W267" s="197"/>
      <c r="X267" s="197"/>
      <c r="Y267" s="197"/>
      <c r="AA267" s="210"/>
      <c r="AB267" s="210"/>
      <c r="AC267" s="211"/>
      <c r="AD267" s="212"/>
      <c r="AE267" s="213"/>
      <c r="AF267" s="214"/>
      <c r="AG267" s="215"/>
      <c r="AH267" s="216"/>
      <c r="AI267" s="27"/>
      <c r="AJ267" s="28">
        <f t="shared" si="63"/>
        <v>0</v>
      </c>
      <c r="AL267" s="24">
        <f t="shared" si="73"/>
        <v>5.6682313155173199E-2</v>
      </c>
      <c r="AM267" s="25">
        <f t="shared" ca="1" si="74"/>
        <v>0.29542582713996057</v>
      </c>
      <c r="AO267" s="26">
        <f t="shared" ca="1" si="64"/>
        <v>0</v>
      </c>
      <c r="AP267" s="26"/>
      <c r="AQ267" s="26">
        <f t="shared" ca="1" si="65"/>
        <v>0</v>
      </c>
      <c r="AR267" s="26"/>
      <c r="AS267" s="27">
        <f t="shared" ca="1" si="66"/>
        <v>0</v>
      </c>
      <c r="AT267" s="27">
        <f t="shared" ca="1" si="67"/>
        <v>0</v>
      </c>
      <c r="AU267" s="27">
        <f t="shared" ca="1" si="68"/>
        <v>0</v>
      </c>
      <c r="AV267" s="27"/>
      <c r="AW267" s="27"/>
      <c r="AY267" s="216"/>
      <c r="AZ267" s="216"/>
      <c r="BA267" s="233"/>
      <c r="BC267" s="216"/>
      <c r="BE267" s="69"/>
    </row>
    <row r="268" spans="1:57">
      <c r="A268" s="19">
        <f>[1]!_xludf.edate(A267,1)</f>
        <v>45139</v>
      </c>
      <c r="B268" s="21">
        <f t="shared" si="75"/>
        <v>31</v>
      </c>
      <c r="C268" s="20">
        <f>IF(Control!$F$18="Physical",Model!A269+24,Model!A269)</f>
        <v>45194</v>
      </c>
      <c r="E268" s="22">
        <f>IF($A268&lt;End_Date,IF(Control!$C$20="Flat",Control!$C$21,VLOOKUP(Model!$A268,Euro!$B$29:$D$182,3)),0)</f>
        <v>0</v>
      </c>
      <c r="F268" s="22">
        <f t="shared" si="69"/>
        <v>0</v>
      </c>
      <c r="H268" s="23">
        <f>IF(Control!$C$27="Mid",VLOOKUP($A268,CurveFetch!$D$8:$F$367,3),VLOOKUP($A268,Euro!$B$29:$I$182,8))</f>
        <v>5.9165000000000001</v>
      </c>
      <c r="I268" s="23"/>
      <c r="J268" s="23">
        <f>IF($J$4="Mid",VLOOKUP($A268,Curve_Fetch,VLOOKUP(Control!$AJ$10,Control!$AI$11:$AK$22,3)),VLOOKUP($A268,Euro!$B$29:$M$182,12))</f>
        <v>0</v>
      </c>
      <c r="K268" s="228">
        <f>IF(Control!$F$18="Physical",IF($K$4="Mid",VLOOKUP($A268,Curve_Fetch,VLOOKUP(Control!$AJ$10,Control!$AI$11:$AL$22,4)),VLOOKUP($A268,Euro!$B$29:$Q$182,16)),0)</f>
        <v>0</v>
      </c>
      <c r="L268" s="23">
        <f t="shared" si="70"/>
        <v>0</v>
      </c>
      <c r="M268" s="23"/>
      <c r="N268" s="69">
        <f t="shared" si="61"/>
        <v>5.9165000000000001</v>
      </c>
      <c r="O268" s="69">
        <f>N268+Control!$C$39</f>
        <v>5.9165000000000001</v>
      </c>
      <c r="P268" s="73">
        <f>VLOOKUP($A268,CurveFetch!$D$8:$E$367,2)</f>
        <v>5.6682313155173199E-2</v>
      </c>
      <c r="Q268" s="24">
        <f t="shared" si="71"/>
        <v>5.6682313155173199E-2</v>
      </c>
      <c r="R268" s="72">
        <f t="shared" ca="1" si="72"/>
        <v>7942</v>
      </c>
      <c r="S268" s="25">
        <f>VLOOKUP($A268,Curve_Fetch,VLOOKUP(Control!$AJ$10,Control!$AI$11:$AM$22,5))</f>
        <v>0</v>
      </c>
      <c r="T268" s="74">
        <f ca="1">_xll.EURO(N268,O268,P268,Q268,S268,R268,IF(Control!$C$38="Call",1,0),0)</f>
        <v>3.2092768200042698E-5</v>
      </c>
      <c r="U268" s="27">
        <f t="shared" ca="1" si="62"/>
        <v>0</v>
      </c>
      <c r="V268" s="75"/>
      <c r="W268" s="197"/>
      <c r="X268" s="197"/>
      <c r="Y268" s="197"/>
      <c r="AA268" s="210"/>
      <c r="AB268" s="210"/>
      <c r="AC268" s="211"/>
      <c r="AD268" s="212"/>
      <c r="AE268" s="213"/>
      <c r="AF268" s="214"/>
      <c r="AG268" s="215"/>
      <c r="AH268" s="216"/>
      <c r="AI268" s="27"/>
      <c r="AJ268" s="28">
        <f t="shared" si="63"/>
        <v>0</v>
      </c>
      <c r="AL268" s="24">
        <f t="shared" si="73"/>
        <v>5.6684355450083303E-2</v>
      </c>
      <c r="AM268" s="25">
        <f t="shared" ca="1" si="74"/>
        <v>0.2940148849865466</v>
      </c>
      <c r="AO268" s="26">
        <f t="shared" ca="1" si="64"/>
        <v>0</v>
      </c>
      <c r="AP268" s="26"/>
      <c r="AQ268" s="26">
        <f t="shared" ca="1" si="65"/>
        <v>0</v>
      </c>
      <c r="AR268" s="26"/>
      <c r="AS268" s="27">
        <f t="shared" ca="1" si="66"/>
        <v>0</v>
      </c>
      <c r="AT268" s="27">
        <f t="shared" ca="1" si="67"/>
        <v>0</v>
      </c>
      <c r="AU268" s="27">
        <f t="shared" ca="1" si="68"/>
        <v>0</v>
      </c>
      <c r="AV268" s="27"/>
      <c r="AW268" s="27"/>
      <c r="AY268" s="216"/>
      <c r="AZ268" s="216"/>
      <c r="BA268" s="233"/>
      <c r="BC268" s="216"/>
      <c r="BE268" s="69"/>
    </row>
    <row r="269" spans="1:57">
      <c r="A269" s="19">
        <f>[1]!_xludf.edate(A268,1)</f>
        <v>45170</v>
      </c>
      <c r="B269" s="21">
        <f t="shared" si="75"/>
        <v>30</v>
      </c>
      <c r="C269" s="20">
        <f>IF(Control!$F$18="Physical",Model!A270+24,Model!A270)</f>
        <v>45224</v>
      </c>
      <c r="E269" s="22">
        <f>IF($A269&lt;End_Date,IF(Control!$C$20="Flat",Control!$C$21,VLOOKUP(Model!$A269,Euro!$B$29:$D$182,3)),0)</f>
        <v>0</v>
      </c>
      <c r="F269" s="22">
        <f t="shared" si="69"/>
        <v>0</v>
      </c>
      <c r="H269" s="23">
        <f>IF(Control!$C$27="Mid",VLOOKUP($A269,CurveFetch!$D$8:$F$367,3),VLOOKUP($A269,Euro!$B$29:$I$182,8))</f>
        <v>5.9104999999999999</v>
      </c>
      <c r="I269" s="23"/>
      <c r="J269" s="23">
        <f>IF($J$4="Mid",VLOOKUP($A269,Curve_Fetch,VLOOKUP(Control!$AJ$10,Control!$AI$11:$AK$22,3)),VLOOKUP($A269,Euro!$B$29:$M$182,12))</f>
        <v>0</v>
      </c>
      <c r="K269" s="228">
        <f>IF(Control!$F$18="Physical",IF($K$4="Mid",VLOOKUP($A269,Curve_Fetch,VLOOKUP(Control!$AJ$10,Control!$AI$11:$AL$22,4)),VLOOKUP($A269,Euro!$B$29:$Q$182,16)),0)</f>
        <v>0</v>
      </c>
      <c r="L269" s="23">
        <f t="shared" si="70"/>
        <v>0</v>
      </c>
      <c r="M269" s="23"/>
      <c r="N269" s="69">
        <f t="shared" si="61"/>
        <v>5.9104999999999999</v>
      </c>
      <c r="O269" s="69">
        <f>N269+Control!$C$39</f>
        <v>5.9104999999999999</v>
      </c>
      <c r="P269" s="73">
        <f>VLOOKUP($A269,CurveFetch!$D$8:$E$367,2)</f>
        <v>5.6684355450083303E-2</v>
      </c>
      <c r="Q269" s="24">
        <f t="shared" si="71"/>
        <v>5.6684355450083303E-2</v>
      </c>
      <c r="R269" s="72">
        <f t="shared" ca="1" si="72"/>
        <v>7973</v>
      </c>
      <c r="S269" s="25">
        <f>VLOOKUP($A269,Curve_Fetch,VLOOKUP(Control!$AJ$10,Control!$AI$11:$AM$22,5))</f>
        <v>0</v>
      </c>
      <c r="T269" s="74">
        <f ca="1">_xll.EURO(N269,O269,P269,Q269,S269,R269,IF(Control!$C$38="Call",1,0),0)</f>
        <v>3.1967137193222861E-5</v>
      </c>
      <c r="U269" s="27">
        <f t="shared" ca="1" si="62"/>
        <v>0</v>
      </c>
      <c r="V269" s="75"/>
      <c r="W269" s="197"/>
      <c r="X269" s="197"/>
      <c r="Y269" s="197"/>
      <c r="AA269" s="210"/>
      <c r="AB269" s="210"/>
      <c r="AC269" s="211"/>
      <c r="AD269" s="212"/>
      <c r="AE269" s="213"/>
      <c r="AF269" s="214"/>
      <c r="AG269" s="215"/>
      <c r="AH269" s="216"/>
      <c r="AI269" s="27"/>
      <c r="AJ269" s="28">
        <f t="shared" si="63"/>
        <v>0</v>
      </c>
      <c r="AL269" s="24">
        <f t="shared" si="73"/>
        <v>5.6686331864513703E-2</v>
      </c>
      <c r="AM269" s="25">
        <f t="shared" ca="1" si="74"/>
        <v>0.29265577954984529</v>
      </c>
      <c r="AO269" s="26">
        <f t="shared" ca="1" si="64"/>
        <v>0</v>
      </c>
      <c r="AP269" s="26"/>
      <c r="AQ269" s="26">
        <f t="shared" ca="1" si="65"/>
        <v>0</v>
      </c>
      <c r="AR269" s="26"/>
      <c r="AS269" s="27">
        <f t="shared" ca="1" si="66"/>
        <v>0</v>
      </c>
      <c r="AT269" s="27">
        <f t="shared" ca="1" si="67"/>
        <v>0</v>
      </c>
      <c r="AU269" s="27">
        <f t="shared" ca="1" si="68"/>
        <v>0</v>
      </c>
      <c r="AV269" s="27"/>
      <c r="AW269" s="27"/>
      <c r="AY269" s="216"/>
      <c r="AZ269" s="216"/>
      <c r="BA269" s="233"/>
      <c r="BC269" s="216"/>
      <c r="BE269" s="69"/>
    </row>
    <row r="270" spans="1:57">
      <c r="A270" s="19">
        <f>[1]!_xludf.edate(A269,1)</f>
        <v>45200</v>
      </c>
      <c r="B270" s="21">
        <f t="shared" si="75"/>
        <v>31</v>
      </c>
      <c r="C270" s="20">
        <f>IF(Control!$F$18="Physical",Model!A271+24,Model!A271)</f>
        <v>45255</v>
      </c>
      <c r="E270" s="22">
        <f>IF($A270&lt;End_Date,IF(Control!$C$20="Flat",Control!$C$21,VLOOKUP(Model!$A270,Euro!$B$29:$D$182,3)),0)</f>
        <v>0</v>
      </c>
      <c r="F270" s="22">
        <f t="shared" si="69"/>
        <v>0</v>
      </c>
      <c r="H270" s="23">
        <f>IF(Control!$C$27="Mid",VLOOKUP($A270,CurveFetch!$D$8:$F$367,3),VLOOKUP($A270,Euro!$B$29:$I$182,8))</f>
        <v>5.9104999999999999</v>
      </c>
      <c r="I270" s="23"/>
      <c r="J270" s="23">
        <f>IF($J$4="Mid",VLOOKUP($A270,Curve_Fetch,VLOOKUP(Control!$AJ$10,Control!$AI$11:$AK$22,3)),VLOOKUP($A270,Euro!$B$29:$M$182,12))</f>
        <v>0</v>
      </c>
      <c r="K270" s="228">
        <f>IF(Control!$F$18="Physical",IF($K$4="Mid",VLOOKUP($A270,Curve_Fetch,VLOOKUP(Control!$AJ$10,Control!$AI$11:$AL$22,4)),VLOOKUP($A270,Euro!$B$29:$Q$182,16)),0)</f>
        <v>0</v>
      </c>
      <c r="L270" s="23">
        <f t="shared" si="70"/>
        <v>0</v>
      </c>
      <c r="M270" s="23"/>
      <c r="N270" s="69">
        <f t="shared" si="61"/>
        <v>5.9104999999999999</v>
      </c>
      <c r="O270" s="69">
        <f>N270+Control!$C$39</f>
        <v>5.9104999999999999</v>
      </c>
      <c r="P270" s="73">
        <f>VLOOKUP($A270,CurveFetch!$D$8:$E$367,2)</f>
        <v>5.6686331864513703E-2</v>
      </c>
      <c r="Q270" s="24">
        <f t="shared" si="71"/>
        <v>5.6686331864513703E-2</v>
      </c>
      <c r="R270" s="72">
        <f t="shared" ca="1" si="72"/>
        <v>8003</v>
      </c>
      <c r="S270" s="25">
        <f>VLOOKUP($A270,Curve_Fetch,VLOOKUP(Control!$AJ$10,Control!$AI$11:$AM$22,5))</f>
        <v>0</v>
      </c>
      <c r="T270" s="74">
        <f ca="1">_xll.EURO(N270,O270,P270,Q270,S270,R270,IF(Control!$C$38="Call",1,0),0)</f>
        <v>3.1877072035446652E-5</v>
      </c>
      <c r="U270" s="27">
        <f t="shared" ca="1" si="62"/>
        <v>0</v>
      </c>
      <c r="V270" s="75"/>
      <c r="W270" s="197"/>
      <c r="X270" s="197"/>
      <c r="Y270" s="197"/>
      <c r="AA270" s="210"/>
      <c r="AB270" s="210"/>
      <c r="AC270" s="211"/>
      <c r="AD270" s="212"/>
      <c r="AE270" s="213"/>
      <c r="AF270" s="214"/>
      <c r="AG270" s="215"/>
      <c r="AH270" s="216"/>
      <c r="AI270" s="27"/>
      <c r="AJ270" s="28">
        <f t="shared" si="63"/>
        <v>0</v>
      </c>
      <c r="AL270" s="24">
        <f t="shared" si="73"/>
        <v>5.6688374159426798E-2</v>
      </c>
      <c r="AM270" s="25">
        <f t="shared" ca="1" si="74"/>
        <v>0.29125787385046464</v>
      </c>
      <c r="AO270" s="26">
        <f t="shared" ca="1" si="64"/>
        <v>0</v>
      </c>
      <c r="AP270" s="26"/>
      <c r="AQ270" s="26">
        <f t="shared" ca="1" si="65"/>
        <v>0</v>
      </c>
      <c r="AR270" s="26"/>
      <c r="AS270" s="27">
        <f t="shared" ca="1" si="66"/>
        <v>0</v>
      </c>
      <c r="AT270" s="27">
        <f t="shared" ca="1" si="67"/>
        <v>0</v>
      </c>
      <c r="AU270" s="27">
        <f t="shared" ca="1" si="68"/>
        <v>0</v>
      </c>
      <c r="AV270" s="27"/>
      <c r="AW270" s="27"/>
      <c r="AY270" s="216"/>
      <c r="AZ270" s="216"/>
      <c r="BA270" s="233"/>
      <c r="BC270" s="216"/>
      <c r="BE270" s="69"/>
    </row>
    <row r="271" spans="1:57">
      <c r="A271" s="19">
        <f>[1]!_xludf.edate(A270,1)</f>
        <v>45231</v>
      </c>
      <c r="B271" s="21">
        <f t="shared" si="75"/>
        <v>30</v>
      </c>
      <c r="C271" s="20">
        <f>IF(Control!$F$18="Physical",Model!A272+24,Model!A272)</f>
        <v>45285</v>
      </c>
      <c r="E271" s="22">
        <f>IF($A271&lt;End_Date,IF(Control!$C$20="Flat",Control!$C$21,VLOOKUP(Model!$A271,Euro!$B$29:$D$182,3)),0)</f>
        <v>0</v>
      </c>
      <c r="F271" s="22">
        <f t="shared" si="69"/>
        <v>0</v>
      </c>
      <c r="H271" s="23">
        <f>IF(Control!$C$27="Mid",VLOOKUP($A271,CurveFetch!$D$8:$F$367,3),VLOOKUP($A271,Euro!$B$29:$I$182,8))</f>
        <v>6.0804999999999998</v>
      </c>
      <c r="I271" s="23"/>
      <c r="J271" s="23">
        <f>IF($J$4="Mid",VLOOKUP($A271,Curve_Fetch,VLOOKUP(Control!$AJ$10,Control!$AI$11:$AK$22,3)),VLOOKUP($A271,Euro!$B$29:$M$182,12))</f>
        <v>0</v>
      </c>
      <c r="K271" s="228">
        <f>IF(Control!$F$18="Physical",IF($K$4="Mid",VLOOKUP($A271,Curve_Fetch,VLOOKUP(Control!$AJ$10,Control!$AI$11:$AL$22,4)),VLOOKUP($A271,Euro!$B$29:$Q$182,16)),0)</f>
        <v>0</v>
      </c>
      <c r="L271" s="23">
        <f t="shared" si="70"/>
        <v>0</v>
      </c>
      <c r="M271" s="23"/>
      <c r="N271" s="69">
        <f t="shared" si="61"/>
        <v>6.0804999999999998</v>
      </c>
      <c r="O271" s="69">
        <f>N271+Control!$C$39</f>
        <v>6.0804999999999998</v>
      </c>
      <c r="P271" s="73">
        <f>VLOOKUP($A271,CurveFetch!$D$8:$E$367,2)</f>
        <v>5.6688374159426798E-2</v>
      </c>
      <c r="Q271" s="24">
        <f t="shared" si="71"/>
        <v>5.6688374159426798E-2</v>
      </c>
      <c r="R271" s="72">
        <f t="shared" ca="1" si="72"/>
        <v>8034</v>
      </c>
      <c r="S271" s="25">
        <f>VLOOKUP($A271,Curve_Fetch,VLOOKUP(Control!$AJ$10,Control!$AI$11:$AM$22,5))</f>
        <v>0</v>
      </c>
      <c r="T271" s="74">
        <f ca="1">_xll.EURO(N271,O271,P271,Q271,S271,R271,IF(Control!$C$38="Call",1,0),0)</f>
        <v>3.2698209850967608E-5</v>
      </c>
      <c r="U271" s="27">
        <f t="shared" ca="1" si="62"/>
        <v>0</v>
      </c>
      <c r="V271" s="75"/>
      <c r="W271" s="197"/>
      <c r="X271" s="197"/>
      <c r="Y271" s="197"/>
      <c r="AA271" s="210"/>
      <c r="AB271" s="210"/>
      <c r="AC271" s="211"/>
      <c r="AD271" s="212"/>
      <c r="AE271" s="213"/>
      <c r="AF271" s="214"/>
      <c r="AG271" s="215"/>
      <c r="AH271" s="216"/>
      <c r="AI271" s="27"/>
      <c r="AJ271" s="28">
        <f t="shared" si="63"/>
        <v>0</v>
      </c>
      <c r="AL271" s="24">
        <f t="shared" si="73"/>
        <v>5.66903505738603E-2</v>
      </c>
      <c r="AM271" s="25">
        <f t="shared" ca="1" si="74"/>
        <v>0.28991132681241133</v>
      </c>
      <c r="AO271" s="26">
        <f t="shared" ca="1" si="64"/>
        <v>0</v>
      </c>
      <c r="AP271" s="26"/>
      <c r="AQ271" s="26">
        <f t="shared" ca="1" si="65"/>
        <v>0</v>
      </c>
      <c r="AR271" s="26"/>
      <c r="AS271" s="27">
        <f t="shared" ca="1" si="66"/>
        <v>0</v>
      </c>
      <c r="AT271" s="27">
        <f t="shared" ca="1" si="67"/>
        <v>0</v>
      </c>
      <c r="AU271" s="27">
        <f t="shared" ca="1" si="68"/>
        <v>0</v>
      </c>
      <c r="AV271" s="27"/>
      <c r="AW271" s="27"/>
      <c r="AY271" s="216"/>
      <c r="AZ271" s="216"/>
      <c r="BA271" s="233"/>
      <c r="BC271" s="216"/>
      <c r="BE271" s="69"/>
    </row>
    <row r="272" spans="1:57">
      <c r="A272" s="19">
        <f>[1]!_xludf.edate(A271,1)</f>
        <v>45261</v>
      </c>
      <c r="B272" s="21">
        <f t="shared" si="75"/>
        <v>31</v>
      </c>
      <c r="C272" s="20">
        <f>IF(Control!$F$18="Physical",Model!A273+24,Model!A273)</f>
        <v>45316</v>
      </c>
      <c r="E272" s="22">
        <f>IF($A272&lt;End_Date,IF(Control!$C$20="Flat",Control!$C$21,VLOOKUP(Model!$A272,Euro!$B$29:$D$182,3)),0)</f>
        <v>0</v>
      </c>
      <c r="F272" s="22">
        <f t="shared" si="69"/>
        <v>0</v>
      </c>
      <c r="H272" s="23">
        <f>IF(Control!$C$27="Mid",VLOOKUP($A272,CurveFetch!$D$8:$F$367,3),VLOOKUP($A272,Euro!$B$29:$I$182,8))</f>
        <v>6.2115</v>
      </c>
      <c r="I272" s="23"/>
      <c r="J272" s="23">
        <f>IF($J$4="Mid",VLOOKUP($A272,Curve_Fetch,VLOOKUP(Control!$AJ$10,Control!$AI$11:$AK$22,3)),VLOOKUP($A272,Euro!$B$29:$M$182,12))</f>
        <v>0</v>
      </c>
      <c r="K272" s="228">
        <f>IF(Control!$F$18="Physical",IF($K$4="Mid",VLOOKUP($A272,Curve_Fetch,VLOOKUP(Control!$AJ$10,Control!$AI$11:$AL$22,4)),VLOOKUP($A272,Euro!$B$29:$Q$182,16)),0)</f>
        <v>0</v>
      </c>
      <c r="L272" s="23">
        <f t="shared" si="70"/>
        <v>0</v>
      </c>
      <c r="M272" s="23"/>
      <c r="N272" s="69">
        <f t="shared" si="61"/>
        <v>6.2115</v>
      </c>
      <c r="O272" s="69">
        <f>N272+Control!$C$39</f>
        <v>6.2115</v>
      </c>
      <c r="P272" s="73">
        <f>VLOOKUP($A272,CurveFetch!$D$8:$E$367,2)</f>
        <v>5.66903505738603E-2</v>
      </c>
      <c r="Q272" s="24">
        <f t="shared" si="71"/>
        <v>5.66903505738603E-2</v>
      </c>
      <c r="R272" s="72">
        <f t="shared" ca="1" si="72"/>
        <v>8064</v>
      </c>
      <c r="S272" s="25">
        <f>VLOOKUP($A272,Curve_Fetch,VLOOKUP(Control!$AJ$10,Control!$AI$11:$AM$22,5))</f>
        <v>0</v>
      </c>
      <c r="T272" s="74">
        <f ca="1">_xll.EURO(N272,O272,P272,Q272,S272,R272,IF(Control!$C$38="Call",1,0),0)</f>
        <v>3.3308063639325702E-5</v>
      </c>
      <c r="U272" s="27">
        <f t="shared" ca="1" si="62"/>
        <v>0</v>
      </c>
      <c r="V272" s="75"/>
      <c r="W272" s="197"/>
      <c r="X272" s="197"/>
      <c r="Y272" s="197"/>
      <c r="AA272" s="210"/>
      <c r="AB272" s="210"/>
      <c r="AC272" s="211"/>
      <c r="AD272" s="212"/>
      <c r="AE272" s="213"/>
      <c r="AF272" s="214"/>
      <c r="AG272" s="215"/>
      <c r="AH272" s="216"/>
      <c r="AI272" s="27"/>
      <c r="AJ272" s="28">
        <f t="shared" si="63"/>
        <v>0</v>
      </c>
      <c r="AL272" s="24">
        <f t="shared" si="73"/>
        <v>5.6692392868775698E-2</v>
      </c>
      <c r="AM272" s="25">
        <f t="shared" ca="1" si="74"/>
        <v>0.28852633895101742</v>
      </c>
      <c r="AO272" s="26">
        <f t="shared" ca="1" si="64"/>
        <v>0</v>
      </c>
      <c r="AP272" s="26"/>
      <c r="AQ272" s="26">
        <f t="shared" ca="1" si="65"/>
        <v>0</v>
      </c>
      <c r="AR272" s="26"/>
      <c r="AS272" s="27">
        <f t="shared" ca="1" si="66"/>
        <v>0</v>
      </c>
      <c r="AT272" s="27">
        <f t="shared" ca="1" si="67"/>
        <v>0</v>
      </c>
      <c r="AU272" s="27">
        <f t="shared" ca="1" si="68"/>
        <v>0</v>
      </c>
      <c r="AV272" s="27"/>
      <c r="AW272" s="27"/>
      <c r="AY272" s="216"/>
      <c r="AZ272" s="216"/>
      <c r="BA272" s="233"/>
      <c r="BC272" s="216"/>
      <c r="BE272" s="69"/>
    </row>
    <row r="273" spans="1:57">
      <c r="A273" s="19">
        <f>[1]!_xludf.edate(A272,1)</f>
        <v>45292</v>
      </c>
      <c r="B273" s="21">
        <f t="shared" si="75"/>
        <v>31</v>
      </c>
      <c r="C273" s="20">
        <f>IF(Control!$F$18="Physical",Model!A274+24,Model!A274)</f>
        <v>45347</v>
      </c>
      <c r="E273" s="22">
        <f>IF($A273&lt;End_Date,IF(Control!$C$20="Flat",Control!$C$21,VLOOKUP(Model!$A273,Euro!$B$29:$D$182,3)),0)</f>
        <v>0</v>
      </c>
      <c r="F273" s="22">
        <f t="shared" si="69"/>
        <v>0</v>
      </c>
      <c r="H273" s="23">
        <f>IF(Control!$C$27="Mid",VLOOKUP($A273,CurveFetch!$D$8:$F$367,3),VLOOKUP($A273,Euro!$B$29:$I$182,8))</f>
        <v>6.2839999999999998</v>
      </c>
      <c r="I273" s="23"/>
      <c r="J273" s="23">
        <f>IF($J$4="Mid",VLOOKUP($A273,Curve_Fetch,VLOOKUP(Control!$AJ$10,Control!$AI$11:$AK$22,3)),VLOOKUP($A273,Euro!$B$29:$M$182,12))</f>
        <v>0</v>
      </c>
      <c r="K273" s="228">
        <f>IF(Control!$F$18="Physical",IF($K$4="Mid",VLOOKUP($A273,Curve_Fetch,VLOOKUP(Control!$AJ$10,Control!$AI$11:$AL$22,4)),VLOOKUP($A273,Euro!$B$29:$Q$182,16)),0)</f>
        <v>0</v>
      </c>
      <c r="L273" s="23">
        <f t="shared" si="70"/>
        <v>0</v>
      </c>
      <c r="M273" s="23"/>
      <c r="N273" s="69">
        <f t="shared" si="61"/>
        <v>6.2839999999999998</v>
      </c>
      <c r="O273" s="69">
        <f>N273+Control!$C$39</f>
        <v>6.2839999999999998</v>
      </c>
      <c r="P273" s="73">
        <f>VLOOKUP($A273,CurveFetch!$D$8:$E$367,2)</f>
        <v>5.6692392868775698E-2</v>
      </c>
      <c r="Q273" s="24">
        <f t="shared" si="71"/>
        <v>5.6692392868775698E-2</v>
      </c>
      <c r="R273" s="72">
        <f t="shared" ca="1" si="72"/>
        <v>8095</v>
      </c>
      <c r="S273" s="25">
        <f>VLOOKUP($A273,Curve_Fetch,VLOOKUP(Control!$AJ$10,Control!$AI$11:$AM$22,5))</f>
        <v>0</v>
      </c>
      <c r="T273" s="74">
        <f ca="1">_xll.EURO(N273,O273,P273,Q273,S273,R273,IF(Control!$C$38="Call",1,0),0)</f>
        <v>3.3597960903519741E-5</v>
      </c>
      <c r="U273" s="27">
        <f t="shared" ca="1" si="62"/>
        <v>0</v>
      </c>
      <c r="V273" s="75"/>
      <c r="W273" s="197"/>
      <c r="X273" s="197"/>
      <c r="Y273" s="197"/>
      <c r="AA273" s="210"/>
      <c r="AB273" s="210"/>
      <c r="AC273" s="211"/>
      <c r="AD273" s="212"/>
      <c r="AE273" s="213"/>
      <c r="AF273" s="214"/>
      <c r="AG273" s="215"/>
      <c r="AH273" s="216"/>
      <c r="AI273" s="27"/>
      <c r="AJ273" s="28">
        <f t="shared" si="63"/>
        <v>0</v>
      </c>
      <c r="AL273" s="24">
        <f t="shared" si="73"/>
        <v>5.6694435163693303E-2</v>
      </c>
      <c r="AM273" s="25">
        <f t="shared" ca="1" si="74"/>
        <v>0.2871478707759117</v>
      </c>
      <c r="AO273" s="26">
        <f t="shared" ca="1" si="64"/>
        <v>0</v>
      </c>
      <c r="AP273" s="26"/>
      <c r="AQ273" s="26">
        <f t="shared" ca="1" si="65"/>
        <v>0</v>
      </c>
      <c r="AR273" s="26"/>
      <c r="AS273" s="27">
        <f t="shared" ca="1" si="66"/>
        <v>0</v>
      </c>
      <c r="AT273" s="27">
        <f t="shared" ca="1" si="67"/>
        <v>0</v>
      </c>
      <c r="AU273" s="27">
        <f t="shared" ca="1" si="68"/>
        <v>0</v>
      </c>
      <c r="AV273" s="27"/>
      <c r="AW273" s="27"/>
      <c r="AY273" s="216"/>
      <c r="AZ273" s="216"/>
      <c r="BA273" s="233"/>
      <c r="BC273" s="216"/>
      <c r="BE273" s="69"/>
    </row>
    <row r="274" spans="1:57">
      <c r="A274" s="19">
        <f>[1]!_xludf.edate(A273,1)</f>
        <v>45323</v>
      </c>
      <c r="B274" s="21">
        <f t="shared" si="75"/>
        <v>29</v>
      </c>
      <c r="C274" s="20">
        <f>IF(Control!$F$18="Physical",Model!A275+24,Model!A275)</f>
        <v>45376</v>
      </c>
      <c r="E274" s="22">
        <f>IF($A274&lt;End_Date,IF(Control!$C$20="Flat",Control!$C$21,VLOOKUP(Model!$A274,Euro!$B$29:$D$182,3)),0)</f>
        <v>0</v>
      </c>
      <c r="F274" s="22">
        <f t="shared" si="69"/>
        <v>0</v>
      </c>
      <c r="H274" s="23">
        <f>IF(Control!$C$27="Mid",VLOOKUP($A274,CurveFetch!$D$8:$F$367,3),VLOOKUP($A274,Euro!$B$29:$I$182,8))</f>
        <v>6.1959999999999997</v>
      </c>
      <c r="I274" s="23"/>
      <c r="J274" s="23">
        <f>IF($J$4="Mid",VLOOKUP($A274,Curve_Fetch,VLOOKUP(Control!$AJ$10,Control!$AI$11:$AK$22,3)),VLOOKUP($A274,Euro!$B$29:$M$182,12))</f>
        <v>0</v>
      </c>
      <c r="K274" s="228">
        <f>IF(Control!$F$18="Physical",IF($K$4="Mid",VLOOKUP($A274,Curve_Fetch,VLOOKUP(Control!$AJ$10,Control!$AI$11:$AL$22,4)),VLOOKUP($A274,Euro!$B$29:$Q$182,16)),0)</f>
        <v>0</v>
      </c>
      <c r="L274" s="23">
        <f t="shared" si="70"/>
        <v>0</v>
      </c>
      <c r="M274" s="23"/>
      <c r="N274" s="69">
        <f t="shared" si="61"/>
        <v>6.1959999999999997</v>
      </c>
      <c r="O274" s="69">
        <f>N274+Control!$C$39</f>
        <v>6.1959999999999997</v>
      </c>
      <c r="P274" s="73">
        <f>VLOOKUP($A274,CurveFetch!$D$8:$E$367,2)</f>
        <v>5.6694435163693303E-2</v>
      </c>
      <c r="Q274" s="24">
        <f t="shared" si="71"/>
        <v>5.6694435163693303E-2</v>
      </c>
      <c r="R274" s="72">
        <f t="shared" ca="1" si="72"/>
        <v>8126</v>
      </c>
      <c r="S274" s="25">
        <f>VLOOKUP($A274,Curve_Fetch,VLOOKUP(Control!$AJ$10,Control!$AI$11:$AM$22,5))</f>
        <v>0</v>
      </c>
      <c r="T274" s="74">
        <f ca="1">_xll.EURO(N274,O274,P274,Q274,S274,R274,IF(Control!$C$38="Call",1,0),0)</f>
        <v>3.3030007030254716E-5</v>
      </c>
      <c r="U274" s="27">
        <f t="shared" ca="1" si="62"/>
        <v>0</v>
      </c>
      <c r="V274" s="75"/>
      <c r="W274" s="197"/>
      <c r="X274" s="197"/>
      <c r="Y274" s="197"/>
      <c r="AA274" s="210"/>
      <c r="AB274" s="210"/>
      <c r="AC274" s="211"/>
      <c r="AD274" s="212"/>
      <c r="AE274" s="213"/>
      <c r="AF274" s="214"/>
      <c r="AG274" s="215"/>
      <c r="AH274" s="216"/>
      <c r="AI274" s="27"/>
      <c r="AJ274" s="28">
        <f t="shared" si="63"/>
        <v>0</v>
      </c>
      <c r="AL274" s="24">
        <f t="shared" si="73"/>
        <v>5.6696345697649198E-2</v>
      </c>
      <c r="AM274" s="25">
        <f t="shared" ca="1" si="74"/>
        <v>0.2858642115757275</v>
      </c>
      <c r="AO274" s="26">
        <f t="shared" ca="1" si="64"/>
        <v>0</v>
      </c>
      <c r="AP274" s="26"/>
      <c r="AQ274" s="26">
        <f t="shared" ca="1" si="65"/>
        <v>0</v>
      </c>
      <c r="AR274" s="26"/>
      <c r="AS274" s="27">
        <f t="shared" ca="1" si="66"/>
        <v>0</v>
      </c>
      <c r="AT274" s="27">
        <f t="shared" ca="1" si="67"/>
        <v>0</v>
      </c>
      <c r="AU274" s="27">
        <f t="shared" ca="1" si="68"/>
        <v>0</v>
      </c>
      <c r="AV274" s="27"/>
      <c r="AW274" s="27"/>
      <c r="AY274" s="216"/>
      <c r="AZ274" s="216"/>
      <c r="BA274" s="233"/>
      <c r="BC274" s="216"/>
      <c r="BE274" s="69"/>
    </row>
    <row r="275" spans="1:57">
      <c r="A275" s="19">
        <f>[1]!_xludf.edate(A274,1)</f>
        <v>45352</v>
      </c>
      <c r="B275" s="21">
        <f t="shared" si="75"/>
        <v>31</v>
      </c>
      <c r="C275" s="20">
        <f>IF(Control!$F$18="Physical",Model!A276+24,Model!A276)</f>
        <v>45407</v>
      </c>
      <c r="E275" s="22">
        <f>IF($A275&lt;End_Date,IF(Control!$C$20="Flat",Control!$C$21,VLOOKUP(Model!$A275,Euro!$B$29:$D$182,3)),0)</f>
        <v>0</v>
      </c>
      <c r="F275" s="22">
        <f t="shared" si="69"/>
        <v>0</v>
      </c>
      <c r="H275" s="23">
        <f>IF(Control!$C$27="Mid",VLOOKUP($A275,CurveFetch!$D$8:$F$367,3),VLOOKUP($A275,Euro!$B$29:$I$182,8))</f>
        <v>6.0570000000000004</v>
      </c>
      <c r="I275" s="23"/>
      <c r="J275" s="23">
        <f>IF($J$4="Mid",VLOOKUP($A275,Curve_Fetch,VLOOKUP(Control!$AJ$10,Control!$AI$11:$AK$22,3)),VLOOKUP($A275,Euro!$B$29:$M$182,12))</f>
        <v>0</v>
      </c>
      <c r="K275" s="228">
        <f>IF(Control!$F$18="Physical",IF($K$4="Mid",VLOOKUP($A275,Curve_Fetch,VLOOKUP(Control!$AJ$10,Control!$AI$11:$AL$22,4)),VLOOKUP($A275,Euro!$B$29:$Q$182,16)),0)</f>
        <v>0</v>
      </c>
      <c r="L275" s="23">
        <f t="shared" si="70"/>
        <v>0</v>
      </c>
      <c r="M275" s="23"/>
      <c r="N275" s="69">
        <f t="shared" si="61"/>
        <v>6.0570000000000004</v>
      </c>
      <c r="O275" s="69">
        <f>N275+Control!$C$39</f>
        <v>6.0570000000000004</v>
      </c>
      <c r="P275" s="73">
        <f>VLOOKUP($A275,CurveFetch!$D$8:$E$367,2)</f>
        <v>5.6696345697649198E-2</v>
      </c>
      <c r="Q275" s="24">
        <f t="shared" si="71"/>
        <v>5.6696345697649198E-2</v>
      </c>
      <c r="R275" s="72">
        <f t="shared" ca="1" si="72"/>
        <v>8155</v>
      </c>
      <c r="S275" s="25">
        <f>VLOOKUP($A275,Curve_Fetch,VLOOKUP(Control!$AJ$10,Control!$AI$11:$AM$22,5))</f>
        <v>0</v>
      </c>
      <c r="T275" s="74">
        <f ca="1">_xll.EURO(N275,O275,P275,Q275,S275,R275,IF(Control!$C$38="Call",1,0),0)</f>
        <v>3.2199927490261793E-5</v>
      </c>
      <c r="U275" s="27">
        <f t="shared" ca="1" si="62"/>
        <v>0</v>
      </c>
      <c r="V275" s="75"/>
      <c r="W275" s="197"/>
      <c r="X275" s="197"/>
      <c r="Y275" s="197"/>
      <c r="AA275" s="210"/>
      <c r="AB275" s="210"/>
      <c r="AC275" s="211"/>
      <c r="AD275" s="212"/>
      <c r="AE275" s="213"/>
      <c r="AF275" s="214"/>
      <c r="AG275" s="215"/>
      <c r="AH275" s="216"/>
      <c r="AI275" s="27"/>
      <c r="AJ275" s="28">
        <f t="shared" si="63"/>
        <v>0</v>
      </c>
      <c r="AL275" s="24">
        <f t="shared" si="73"/>
        <v>5.6698387992568697E-2</v>
      </c>
      <c r="AM275" s="25">
        <f t="shared" ca="1" si="74"/>
        <v>0.28449827641787867</v>
      </c>
      <c r="AO275" s="26">
        <f t="shared" ca="1" si="64"/>
        <v>0</v>
      </c>
      <c r="AP275" s="26"/>
      <c r="AQ275" s="26">
        <f t="shared" ca="1" si="65"/>
        <v>0</v>
      </c>
      <c r="AR275" s="26"/>
      <c r="AS275" s="27">
        <f t="shared" ca="1" si="66"/>
        <v>0</v>
      </c>
      <c r="AT275" s="27">
        <f t="shared" ca="1" si="67"/>
        <v>0</v>
      </c>
      <c r="AU275" s="27">
        <f t="shared" ca="1" si="68"/>
        <v>0</v>
      </c>
      <c r="AV275" s="27"/>
      <c r="AW275" s="27"/>
      <c r="AY275" s="216"/>
      <c r="AZ275" s="216"/>
      <c r="BA275" s="233"/>
      <c r="BC275" s="216"/>
      <c r="BE275" s="69"/>
    </row>
    <row r="276" spans="1:57">
      <c r="A276" s="19">
        <f>[1]!_xludf.edate(A275,1)</f>
        <v>45383</v>
      </c>
      <c r="B276" s="21">
        <f t="shared" si="75"/>
        <v>30</v>
      </c>
      <c r="C276" s="20">
        <f>IF(Control!$F$18="Physical",Model!A277+24,Model!A277)</f>
        <v>45437</v>
      </c>
      <c r="E276" s="22">
        <f>IF($A276&lt;End_Date,IF(Control!$C$20="Flat",Control!$C$21,VLOOKUP(Model!$A276,Euro!$B$29:$D$182,3)),0)</f>
        <v>0</v>
      </c>
      <c r="F276" s="22">
        <f t="shared" si="69"/>
        <v>0</v>
      </c>
      <c r="H276" s="23">
        <f>IF(Control!$C$27="Mid",VLOOKUP($A276,CurveFetch!$D$8:$F$367,3),VLOOKUP($A276,Euro!$B$29:$I$182,8))</f>
        <v>5.9029999999999996</v>
      </c>
      <c r="I276" s="23"/>
      <c r="J276" s="23">
        <f>IF($J$4="Mid",VLOOKUP($A276,Curve_Fetch,VLOOKUP(Control!$AJ$10,Control!$AI$11:$AK$22,3)),VLOOKUP($A276,Euro!$B$29:$M$182,12))</f>
        <v>0</v>
      </c>
      <c r="K276" s="228">
        <f>IF(Control!$F$18="Physical",IF($K$4="Mid",VLOOKUP($A276,Curve_Fetch,VLOOKUP(Control!$AJ$10,Control!$AI$11:$AL$22,4)),VLOOKUP($A276,Euro!$B$29:$Q$182,16)),0)</f>
        <v>0</v>
      </c>
      <c r="L276" s="23">
        <f t="shared" si="70"/>
        <v>0</v>
      </c>
      <c r="M276" s="23"/>
      <c r="N276" s="69">
        <f t="shared" si="61"/>
        <v>5.9029999999999996</v>
      </c>
      <c r="O276" s="69">
        <f>N276+Control!$C$39</f>
        <v>5.9029999999999996</v>
      </c>
      <c r="P276" s="73">
        <f>VLOOKUP($A276,CurveFetch!$D$8:$E$367,2)</f>
        <v>5.6698387992568697E-2</v>
      </c>
      <c r="Q276" s="24">
        <f t="shared" si="71"/>
        <v>5.6698387992568697E-2</v>
      </c>
      <c r="R276" s="72">
        <f t="shared" ca="1" si="72"/>
        <v>8186</v>
      </c>
      <c r="S276" s="25">
        <f>VLOOKUP($A276,Curve_Fetch,VLOOKUP(Control!$AJ$10,Control!$AI$11:$AM$22,5))</f>
        <v>0</v>
      </c>
      <c r="T276" s="74">
        <f ca="1">_xll.EURO(N276,O276,P276,Q276,S276,R276,IF(Control!$C$38="Call",1,0),0)</f>
        <v>3.1288463065548555E-5</v>
      </c>
      <c r="U276" s="27">
        <f t="shared" ca="1" si="62"/>
        <v>0</v>
      </c>
      <c r="V276" s="75"/>
      <c r="W276" s="197"/>
      <c r="X276" s="197"/>
      <c r="Y276" s="197"/>
      <c r="AA276" s="210"/>
      <c r="AB276" s="210"/>
      <c r="AC276" s="211"/>
      <c r="AD276" s="212"/>
      <c r="AE276" s="213"/>
      <c r="AF276" s="214"/>
      <c r="AG276" s="215"/>
      <c r="AH276" s="216"/>
      <c r="AI276" s="27"/>
      <c r="AJ276" s="28">
        <f t="shared" si="63"/>
        <v>0</v>
      </c>
      <c r="AL276" s="24">
        <f t="shared" si="73"/>
        <v>5.6700364407008798E-2</v>
      </c>
      <c r="AM276" s="25">
        <f t="shared" ca="1" si="74"/>
        <v>0.28318252750435841</v>
      </c>
      <c r="AO276" s="26">
        <f t="shared" ca="1" si="64"/>
        <v>0</v>
      </c>
      <c r="AP276" s="26"/>
      <c r="AQ276" s="26">
        <f t="shared" ca="1" si="65"/>
        <v>0</v>
      </c>
      <c r="AR276" s="26"/>
      <c r="AS276" s="27">
        <f t="shared" ca="1" si="66"/>
        <v>0</v>
      </c>
      <c r="AT276" s="27">
        <f t="shared" ca="1" si="67"/>
        <v>0</v>
      </c>
      <c r="AU276" s="27">
        <f t="shared" ca="1" si="68"/>
        <v>0</v>
      </c>
      <c r="AV276" s="27"/>
      <c r="AW276" s="27"/>
      <c r="AY276" s="216"/>
      <c r="AZ276" s="216"/>
      <c r="BA276" s="233"/>
      <c r="BC276" s="216"/>
      <c r="BE276" s="69"/>
    </row>
    <row r="277" spans="1:57">
      <c r="A277" s="19">
        <f>[1]!_xludf.edate(A276,1)</f>
        <v>45413</v>
      </c>
      <c r="B277" s="21">
        <f t="shared" si="75"/>
        <v>31</v>
      </c>
      <c r="C277" s="20">
        <f>IF(Control!$F$18="Physical",Model!A278+24,Model!A278)</f>
        <v>45468</v>
      </c>
      <c r="E277" s="22">
        <f>IF($A277&lt;End_Date,IF(Control!$C$20="Flat",Control!$C$21,VLOOKUP(Model!$A277,Euro!$B$29:$D$182,3)),0)</f>
        <v>0</v>
      </c>
      <c r="F277" s="22">
        <f t="shared" si="69"/>
        <v>0</v>
      </c>
      <c r="H277" s="23">
        <f>IF(Control!$C$27="Mid",VLOOKUP($A277,CurveFetch!$D$8:$F$367,3),VLOOKUP($A277,Euro!$B$29:$I$182,8))</f>
        <v>5.9080000000000004</v>
      </c>
      <c r="I277" s="23"/>
      <c r="J277" s="23">
        <f>IF($J$4="Mid",VLOOKUP($A277,Curve_Fetch,VLOOKUP(Control!$AJ$10,Control!$AI$11:$AK$22,3)),VLOOKUP($A277,Euro!$B$29:$M$182,12))</f>
        <v>0</v>
      </c>
      <c r="K277" s="228">
        <f>IF(Control!$F$18="Physical",IF($K$4="Mid",VLOOKUP($A277,Curve_Fetch,VLOOKUP(Control!$AJ$10,Control!$AI$11:$AL$22,4)),VLOOKUP($A277,Euro!$B$29:$Q$182,16)),0)</f>
        <v>0</v>
      </c>
      <c r="L277" s="23">
        <f t="shared" si="70"/>
        <v>0</v>
      </c>
      <c r="M277" s="23"/>
      <c r="N277" s="69">
        <f t="shared" si="61"/>
        <v>5.9080000000000004</v>
      </c>
      <c r="O277" s="69">
        <f>N277+Control!$C$39</f>
        <v>5.9080000000000004</v>
      </c>
      <c r="P277" s="73">
        <f>VLOOKUP($A277,CurveFetch!$D$8:$E$367,2)</f>
        <v>5.6700364407008798E-2</v>
      </c>
      <c r="Q277" s="24">
        <f t="shared" si="71"/>
        <v>5.6700364407008798E-2</v>
      </c>
      <c r="R277" s="72">
        <f t="shared" ca="1" si="72"/>
        <v>8216</v>
      </c>
      <c r="S277" s="25">
        <f>VLOOKUP($A277,Curve_Fetch,VLOOKUP(Control!$AJ$10,Control!$AI$11:$AM$22,5))</f>
        <v>0</v>
      </c>
      <c r="T277" s="74">
        <f ca="1">_xll.EURO(N277,O277,P277,Q277,S277,R277,IF(Control!$C$38="Call",1,0),0)</f>
        <v>3.1225142751778456E-5</v>
      </c>
      <c r="U277" s="27">
        <f t="shared" ca="1" si="62"/>
        <v>0</v>
      </c>
      <c r="V277" s="75"/>
      <c r="W277" s="197"/>
      <c r="X277" s="197"/>
      <c r="Y277" s="197"/>
      <c r="AA277" s="210"/>
      <c r="AB277" s="210"/>
      <c r="AC277" s="211"/>
      <c r="AD277" s="212"/>
      <c r="AE277" s="213"/>
      <c r="AF277" s="214"/>
      <c r="AG277" s="215"/>
      <c r="AH277" s="216"/>
      <c r="AI277" s="27"/>
      <c r="AJ277" s="28">
        <f t="shared" si="63"/>
        <v>0</v>
      </c>
      <c r="AL277" s="24">
        <f t="shared" si="73"/>
        <v>5.6702406701931302E-2</v>
      </c>
      <c r="AM277" s="25">
        <f t="shared" ca="1" si="74"/>
        <v>0.28182921921673265</v>
      </c>
      <c r="AO277" s="26">
        <f t="shared" ca="1" si="64"/>
        <v>0</v>
      </c>
      <c r="AP277" s="26"/>
      <c r="AQ277" s="26">
        <f t="shared" ca="1" si="65"/>
        <v>0</v>
      </c>
      <c r="AR277" s="26"/>
      <c r="AS277" s="27">
        <f t="shared" ca="1" si="66"/>
        <v>0</v>
      </c>
      <c r="AT277" s="27">
        <f t="shared" ca="1" si="67"/>
        <v>0</v>
      </c>
      <c r="AU277" s="27">
        <f t="shared" ca="1" si="68"/>
        <v>0</v>
      </c>
      <c r="AV277" s="27"/>
      <c r="AW277" s="27"/>
      <c r="AY277" s="216"/>
      <c r="AZ277" s="216"/>
      <c r="BA277" s="233"/>
      <c r="BC277" s="216"/>
      <c r="BE277" s="69"/>
    </row>
    <row r="278" spans="1:57">
      <c r="A278" s="19">
        <f>[1]!_xludf.edate(A277,1)</f>
        <v>45444</v>
      </c>
      <c r="B278" s="21">
        <f t="shared" si="75"/>
        <v>30</v>
      </c>
      <c r="C278" s="20">
        <f>IF(Control!$F$18="Physical",Model!A279+24,Model!A279)</f>
        <v>45498</v>
      </c>
      <c r="E278" s="22">
        <f>IF($A278&lt;End_Date,IF(Control!$C$20="Flat",Control!$C$21,VLOOKUP(Model!$A278,Euro!$B$29:$D$182,3)),0)</f>
        <v>0</v>
      </c>
      <c r="F278" s="22">
        <f t="shared" si="69"/>
        <v>0</v>
      </c>
      <c r="H278" s="23">
        <f>IF(Control!$C$27="Mid",VLOOKUP($A278,CurveFetch!$D$8:$F$367,3),VLOOKUP($A278,Euro!$B$29:$I$182,8))</f>
        <v>5.9459999999999997</v>
      </c>
      <c r="I278" s="23"/>
      <c r="J278" s="23">
        <f>IF($J$4="Mid",VLOOKUP($A278,Curve_Fetch,VLOOKUP(Control!$AJ$10,Control!$AI$11:$AK$22,3)),VLOOKUP($A278,Euro!$B$29:$M$182,12))</f>
        <v>0</v>
      </c>
      <c r="K278" s="228">
        <f>IF(Control!$F$18="Physical",IF($K$4="Mid",VLOOKUP($A278,Curve_Fetch,VLOOKUP(Control!$AJ$10,Control!$AI$11:$AL$22,4)),VLOOKUP($A278,Euro!$B$29:$Q$182,16)),0)</f>
        <v>0</v>
      </c>
      <c r="L278" s="23">
        <f t="shared" si="70"/>
        <v>0</v>
      </c>
      <c r="M278" s="23"/>
      <c r="N278" s="69">
        <f t="shared" si="61"/>
        <v>5.9459999999999997</v>
      </c>
      <c r="O278" s="69">
        <f>N278+Control!$C$39</f>
        <v>5.9459999999999997</v>
      </c>
      <c r="P278" s="73">
        <f>VLOOKUP($A278,CurveFetch!$D$8:$E$367,2)</f>
        <v>5.6702406701931302E-2</v>
      </c>
      <c r="Q278" s="24">
        <f t="shared" si="71"/>
        <v>5.6702406701931302E-2</v>
      </c>
      <c r="R278" s="72">
        <f t="shared" ca="1" si="72"/>
        <v>8247</v>
      </c>
      <c r="S278" s="25">
        <f>VLOOKUP($A278,Curve_Fetch,VLOOKUP(Control!$AJ$10,Control!$AI$11:$AM$22,5))</f>
        <v>0</v>
      </c>
      <c r="T278" s="74">
        <f ca="1">_xll.EURO(N278,O278,P278,Q278,S278,R278,IF(Control!$C$38="Call",1,0),0)</f>
        <v>3.1332610272993833E-5</v>
      </c>
      <c r="U278" s="27">
        <f t="shared" ca="1" si="62"/>
        <v>0</v>
      </c>
      <c r="V278" s="75"/>
      <c r="W278" s="197"/>
      <c r="X278" s="197"/>
      <c r="Y278" s="197"/>
      <c r="AA278" s="210"/>
      <c r="AB278" s="210"/>
      <c r="AC278" s="211"/>
      <c r="AD278" s="212"/>
      <c r="AE278" s="213"/>
      <c r="AF278" s="214"/>
      <c r="AG278" s="215"/>
      <c r="AH278" s="216"/>
      <c r="AI278" s="27"/>
      <c r="AJ278" s="28">
        <f t="shared" si="63"/>
        <v>0</v>
      </c>
      <c r="AL278" s="24">
        <f t="shared" si="73"/>
        <v>5.6704383116373998E-2</v>
      </c>
      <c r="AM278" s="25">
        <f t="shared" ca="1" si="74"/>
        <v>0.28052563410917442</v>
      </c>
      <c r="AO278" s="26">
        <f t="shared" ca="1" si="64"/>
        <v>0</v>
      </c>
      <c r="AP278" s="26"/>
      <c r="AQ278" s="26">
        <f t="shared" ca="1" si="65"/>
        <v>0</v>
      </c>
      <c r="AR278" s="26"/>
      <c r="AS278" s="27">
        <f t="shared" ca="1" si="66"/>
        <v>0</v>
      </c>
      <c r="AT278" s="27">
        <f t="shared" ca="1" si="67"/>
        <v>0</v>
      </c>
      <c r="AU278" s="27">
        <f t="shared" ca="1" si="68"/>
        <v>0</v>
      </c>
      <c r="AV278" s="27"/>
      <c r="AW278" s="27"/>
      <c r="AY278" s="216"/>
      <c r="AZ278" s="216"/>
      <c r="BA278" s="233"/>
      <c r="BC278" s="216"/>
      <c r="BE278" s="69"/>
    </row>
    <row r="279" spans="1:57">
      <c r="A279" s="19">
        <f>[1]!_xludf.edate(A278,1)</f>
        <v>45474</v>
      </c>
      <c r="B279" s="21">
        <f t="shared" si="75"/>
        <v>31</v>
      </c>
      <c r="C279" s="20">
        <f>IF(Control!$F$18="Physical",Model!A280+24,Model!A280)</f>
        <v>45529</v>
      </c>
      <c r="E279" s="22">
        <f>IF($A279&lt;End_Date,IF(Control!$C$20="Flat",Control!$C$21,VLOOKUP(Model!$A279,Euro!$B$29:$D$182,3)),0)</f>
        <v>0</v>
      </c>
      <c r="F279" s="22">
        <f t="shared" si="69"/>
        <v>0</v>
      </c>
      <c r="H279" s="23">
        <f>IF(Control!$C$27="Mid",VLOOKUP($A279,CurveFetch!$D$8:$F$367,3),VLOOKUP($A279,Euro!$B$29:$I$182,8))</f>
        <v>5.9909999999999997</v>
      </c>
      <c r="I279" s="23"/>
      <c r="J279" s="23">
        <f>IF($J$4="Mid",VLOOKUP($A279,Curve_Fetch,VLOOKUP(Control!$AJ$10,Control!$AI$11:$AK$22,3)),VLOOKUP($A279,Euro!$B$29:$M$182,12))</f>
        <v>0</v>
      </c>
      <c r="K279" s="228">
        <f>IF(Control!$F$18="Physical",IF($K$4="Mid",VLOOKUP($A279,Curve_Fetch,VLOOKUP(Control!$AJ$10,Control!$AI$11:$AL$22,4)),VLOOKUP($A279,Euro!$B$29:$Q$182,16)),0)</f>
        <v>0</v>
      </c>
      <c r="L279" s="23">
        <f t="shared" si="70"/>
        <v>0</v>
      </c>
      <c r="M279" s="23"/>
      <c r="N279" s="69">
        <f t="shared" si="61"/>
        <v>5.9909999999999997</v>
      </c>
      <c r="O279" s="69">
        <f>N279+Control!$C$39</f>
        <v>5.9909999999999997</v>
      </c>
      <c r="P279" s="73">
        <f>VLOOKUP($A279,CurveFetch!$D$8:$E$367,2)</f>
        <v>5.6704383116373998E-2</v>
      </c>
      <c r="Q279" s="24">
        <f t="shared" si="71"/>
        <v>5.6704383116373998E-2</v>
      </c>
      <c r="R279" s="72">
        <f t="shared" ca="1" si="72"/>
        <v>8277</v>
      </c>
      <c r="S279" s="25">
        <f>VLOOKUP($A279,Curve_Fetch,VLOOKUP(Control!$AJ$10,Control!$AI$11:$AM$22,5))</f>
        <v>0</v>
      </c>
      <c r="T279" s="74">
        <f ca="1">_xll.EURO(N279,O279,P279,Q279,S279,R279,IF(Control!$C$38="Call",1,0),0)</f>
        <v>3.1478739901724673E-5</v>
      </c>
      <c r="U279" s="27">
        <f t="shared" ca="1" si="62"/>
        <v>0</v>
      </c>
      <c r="V279" s="75"/>
      <c r="W279" s="197"/>
      <c r="X279" s="197"/>
      <c r="Y279" s="197"/>
      <c r="AA279" s="210"/>
      <c r="AB279" s="210"/>
      <c r="AC279" s="211"/>
      <c r="AD279" s="212"/>
      <c r="AE279" s="213"/>
      <c r="AF279" s="214"/>
      <c r="AG279" s="215"/>
      <c r="AH279" s="216"/>
      <c r="AI279" s="27"/>
      <c r="AJ279" s="28">
        <f t="shared" si="63"/>
        <v>0</v>
      </c>
      <c r="AL279" s="24">
        <f t="shared" si="73"/>
        <v>5.6706425411298798E-2</v>
      </c>
      <c r="AM279" s="25">
        <f t="shared" ca="1" si="74"/>
        <v>0.27918483774363562</v>
      </c>
      <c r="AO279" s="26">
        <f t="shared" ca="1" si="64"/>
        <v>0</v>
      </c>
      <c r="AP279" s="26"/>
      <c r="AQ279" s="26">
        <f t="shared" ca="1" si="65"/>
        <v>0</v>
      </c>
      <c r="AR279" s="26"/>
      <c r="AS279" s="27">
        <f t="shared" ca="1" si="66"/>
        <v>0</v>
      </c>
      <c r="AT279" s="27">
        <f t="shared" ca="1" si="67"/>
        <v>0</v>
      </c>
      <c r="AU279" s="27">
        <f t="shared" ca="1" si="68"/>
        <v>0</v>
      </c>
      <c r="AV279" s="27"/>
      <c r="AW279" s="27"/>
      <c r="AY279" s="216"/>
      <c r="AZ279" s="216"/>
      <c r="BA279" s="233"/>
      <c r="BC279" s="216"/>
      <c r="BE279" s="69"/>
    </row>
    <row r="280" spans="1:57">
      <c r="A280" s="19">
        <f>[1]!_xludf.edate(A279,1)</f>
        <v>45505</v>
      </c>
      <c r="B280" s="21">
        <f t="shared" si="75"/>
        <v>31</v>
      </c>
      <c r="C280" s="20">
        <f>IF(Control!$F$18="Physical",Model!A281+24,Model!A281)</f>
        <v>45560</v>
      </c>
      <c r="E280" s="22">
        <f>IF($A280&lt;End_Date,IF(Control!$C$20="Flat",Control!$C$21,VLOOKUP(Model!$A280,Euro!$B$29:$D$182,3)),0)</f>
        <v>0</v>
      </c>
      <c r="F280" s="22">
        <f t="shared" si="69"/>
        <v>0</v>
      </c>
      <c r="H280" s="23">
        <f>IF(Control!$C$27="Mid",VLOOKUP($A280,CurveFetch!$D$8:$F$367,3),VLOOKUP($A280,Euro!$B$29:$I$182,8))</f>
        <v>6.0289999999999999</v>
      </c>
      <c r="I280" s="23"/>
      <c r="J280" s="23">
        <f>IF($J$4="Mid",VLOOKUP($A280,Curve_Fetch,VLOOKUP(Control!$AJ$10,Control!$AI$11:$AK$22,3)),VLOOKUP($A280,Euro!$B$29:$M$182,12))</f>
        <v>0</v>
      </c>
      <c r="K280" s="228">
        <f>IF(Control!$F$18="Physical",IF($K$4="Mid",VLOOKUP($A280,Curve_Fetch,VLOOKUP(Control!$AJ$10,Control!$AI$11:$AL$22,4)),VLOOKUP($A280,Euro!$B$29:$Q$182,16)),0)</f>
        <v>0</v>
      </c>
      <c r="L280" s="23">
        <f t="shared" si="70"/>
        <v>0</v>
      </c>
      <c r="M280" s="23"/>
      <c r="N280" s="69">
        <f t="shared" si="61"/>
        <v>6.0289999999999999</v>
      </c>
      <c r="O280" s="69">
        <f>N280+Control!$C$39</f>
        <v>6.0289999999999999</v>
      </c>
      <c r="P280" s="73">
        <f>VLOOKUP($A280,CurveFetch!$D$8:$E$367,2)</f>
        <v>5.6706425411298798E-2</v>
      </c>
      <c r="Q280" s="24">
        <f t="shared" si="71"/>
        <v>5.6706425411298798E-2</v>
      </c>
      <c r="R280" s="72">
        <f t="shared" ca="1" si="72"/>
        <v>8308</v>
      </c>
      <c r="S280" s="25">
        <f>VLOOKUP($A280,Curve_Fetch,VLOOKUP(Control!$AJ$10,Control!$AI$11:$AM$22,5))</f>
        <v>0</v>
      </c>
      <c r="T280" s="74">
        <f ca="1">_xll.EURO(N280,O280,P280,Q280,S280,R280,IF(Control!$C$38="Call",1,0),0)</f>
        <v>3.1583824527170457E-5</v>
      </c>
      <c r="U280" s="27">
        <f t="shared" ca="1" si="62"/>
        <v>0</v>
      </c>
      <c r="V280" s="75"/>
      <c r="W280" s="197"/>
      <c r="X280" s="197"/>
      <c r="Y280" s="197"/>
      <c r="AA280" s="210"/>
      <c r="AB280" s="210"/>
      <c r="AC280" s="211"/>
      <c r="AD280" s="212"/>
      <c r="AE280" s="213"/>
      <c r="AF280" s="214"/>
      <c r="AG280" s="215"/>
      <c r="AH280" s="216"/>
      <c r="AI280" s="27"/>
      <c r="AJ280" s="28">
        <f t="shared" si="63"/>
        <v>0</v>
      </c>
      <c r="AL280" s="24">
        <f t="shared" si="73"/>
        <v>5.6708467706225701E-2</v>
      </c>
      <c r="AM280" s="25">
        <f t="shared" ca="1" si="74"/>
        <v>0.27785035617455095</v>
      </c>
      <c r="AO280" s="26">
        <f t="shared" ca="1" si="64"/>
        <v>0</v>
      </c>
      <c r="AP280" s="26"/>
      <c r="AQ280" s="26">
        <f t="shared" ca="1" si="65"/>
        <v>0</v>
      </c>
      <c r="AR280" s="26"/>
      <c r="AS280" s="27">
        <f t="shared" ca="1" si="66"/>
        <v>0</v>
      </c>
      <c r="AT280" s="27">
        <f t="shared" ca="1" si="67"/>
        <v>0</v>
      </c>
      <c r="AU280" s="27">
        <f t="shared" ca="1" si="68"/>
        <v>0</v>
      </c>
      <c r="AV280" s="27"/>
      <c r="AW280" s="27"/>
      <c r="AY280" s="216"/>
      <c r="AZ280" s="216"/>
      <c r="BA280" s="233"/>
      <c r="BC280" s="216"/>
      <c r="BE280" s="69"/>
    </row>
    <row r="281" spans="1:57">
      <c r="A281" s="19">
        <f>[1]!_xludf.edate(A280,1)</f>
        <v>45536</v>
      </c>
      <c r="B281" s="21">
        <f t="shared" si="75"/>
        <v>30</v>
      </c>
      <c r="C281" s="20">
        <f>IF(Control!$F$18="Physical",Model!A282+24,Model!A282)</f>
        <v>45590</v>
      </c>
      <c r="E281" s="22">
        <f>IF($A281&lt;End_Date,IF(Control!$C$20="Flat",Control!$C$21,VLOOKUP(Model!$A281,Euro!$B$29:$D$182,3)),0)</f>
        <v>0</v>
      </c>
      <c r="F281" s="22">
        <f t="shared" si="69"/>
        <v>0</v>
      </c>
      <c r="H281" s="23">
        <f>IF(Control!$C$27="Mid",VLOOKUP($A281,CurveFetch!$D$8:$F$367,3),VLOOKUP($A281,Euro!$B$29:$I$182,8))</f>
        <v>6.0229999999999997</v>
      </c>
      <c r="I281" s="23"/>
      <c r="J281" s="23">
        <f>IF($J$4="Mid",VLOOKUP($A281,Curve_Fetch,VLOOKUP(Control!$AJ$10,Control!$AI$11:$AK$22,3)),VLOOKUP($A281,Euro!$B$29:$M$182,12))</f>
        <v>0</v>
      </c>
      <c r="K281" s="228">
        <f>IF(Control!$F$18="Physical",IF($K$4="Mid",VLOOKUP($A281,Curve_Fetch,VLOOKUP(Control!$AJ$10,Control!$AI$11:$AL$22,4)),VLOOKUP($A281,Euro!$B$29:$Q$182,16)),0)</f>
        <v>0</v>
      </c>
      <c r="L281" s="23">
        <f t="shared" si="70"/>
        <v>0</v>
      </c>
      <c r="M281" s="23"/>
      <c r="N281" s="69">
        <f t="shared" si="61"/>
        <v>6.0229999999999997</v>
      </c>
      <c r="O281" s="69">
        <f>N281+Control!$C$39</f>
        <v>6.0229999999999997</v>
      </c>
      <c r="P281" s="73">
        <f>VLOOKUP($A281,CurveFetch!$D$8:$E$367,2)</f>
        <v>5.6708467706225701E-2</v>
      </c>
      <c r="Q281" s="24">
        <f t="shared" si="71"/>
        <v>5.6708467706225701E-2</v>
      </c>
      <c r="R281" s="72">
        <f t="shared" ca="1" si="72"/>
        <v>8339</v>
      </c>
      <c r="S281" s="25">
        <f>VLOOKUP($A281,Curve_Fetch,VLOOKUP(Control!$AJ$10,Control!$AI$11:$AM$22,5))</f>
        <v>0</v>
      </c>
      <c r="T281" s="74">
        <f ca="1">_xll.EURO(N281,O281,P281,Q281,S281,R281,IF(Control!$C$38="Call",1,0),0)</f>
        <v>3.1457958743708048E-5</v>
      </c>
      <c r="U281" s="27">
        <f t="shared" ca="1" si="62"/>
        <v>0</v>
      </c>
      <c r="V281" s="75"/>
      <c r="W281" s="197"/>
      <c r="X281" s="197"/>
      <c r="Y281" s="197"/>
      <c r="AA281" s="210"/>
      <c r="AB281" s="210"/>
      <c r="AC281" s="211"/>
      <c r="AD281" s="212"/>
      <c r="AE281" s="213"/>
      <c r="AF281" s="214"/>
      <c r="AG281" s="215"/>
      <c r="AH281" s="216"/>
      <c r="AI281" s="27"/>
      <c r="AJ281" s="28">
        <f t="shared" si="63"/>
        <v>0</v>
      </c>
      <c r="AL281" s="24">
        <f t="shared" si="73"/>
        <v>5.6710444120672499E-2</v>
      </c>
      <c r="AM281" s="25">
        <f t="shared" ca="1" si="74"/>
        <v>0.27656490733940481</v>
      </c>
      <c r="AO281" s="26">
        <f t="shared" ca="1" si="64"/>
        <v>0</v>
      </c>
      <c r="AP281" s="26"/>
      <c r="AQ281" s="26">
        <f t="shared" ca="1" si="65"/>
        <v>0</v>
      </c>
      <c r="AR281" s="26"/>
      <c r="AS281" s="27">
        <f t="shared" ca="1" si="66"/>
        <v>0</v>
      </c>
      <c r="AT281" s="27">
        <f t="shared" ca="1" si="67"/>
        <v>0</v>
      </c>
      <c r="AU281" s="27">
        <f t="shared" ca="1" si="68"/>
        <v>0</v>
      </c>
      <c r="AV281" s="27"/>
      <c r="AW281" s="27"/>
      <c r="AY281" s="216"/>
      <c r="AZ281" s="216"/>
      <c r="BA281" s="233"/>
      <c r="BC281" s="216"/>
      <c r="BE281" s="69"/>
    </row>
    <row r="282" spans="1:57">
      <c r="A282" s="19">
        <f>[1]!_xludf.edate(A281,1)</f>
        <v>45566</v>
      </c>
      <c r="B282" s="21">
        <f t="shared" si="75"/>
        <v>31</v>
      </c>
      <c r="C282" s="20">
        <f>IF(Control!$F$18="Physical",Model!A283+24,Model!A283)</f>
        <v>45621</v>
      </c>
      <c r="E282" s="22">
        <f>IF($A282&lt;End_Date,IF(Control!$C$20="Flat",Control!$C$21,VLOOKUP(Model!$A282,Euro!$B$29:$D$182,3)),0)</f>
        <v>0</v>
      </c>
      <c r="F282" s="22">
        <f t="shared" si="69"/>
        <v>0</v>
      </c>
      <c r="H282" s="23">
        <f>IF(Control!$C$27="Mid",VLOOKUP($A282,CurveFetch!$D$8:$F$367,3),VLOOKUP($A282,Euro!$B$29:$I$182,8))</f>
        <v>6.0229999999999997</v>
      </c>
      <c r="I282" s="23"/>
      <c r="J282" s="23">
        <f>IF($J$4="Mid",VLOOKUP($A282,Curve_Fetch,VLOOKUP(Control!$AJ$10,Control!$AI$11:$AK$22,3)),VLOOKUP($A282,Euro!$B$29:$M$182,12))</f>
        <v>0</v>
      </c>
      <c r="K282" s="228">
        <f>IF(Control!$F$18="Physical",IF($K$4="Mid",VLOOKUP($A282,Curve_Fetch,VLOOKUP(Control!$AJ$10,Control!$AI$11:$AL$22,4)),VLOOKUP($A282,Euro!$B$29:$Q$182,16)),0)</f>
        <v>0</v>
      </c>
      <c r="L282" s="23">
        <f t="shared" si="70"/>
        <v>0</v>
      </c>
      <c r="M282" s="23"/>
      <c r="N282" s="69">
        <f t="shared" si="61"/>
        <v>6.0229999999999997</v>
      </c>
      <c r="O282" s="69">
        <f>N282+Control!$C$39</f>
        <v>6.0229999999999997</v>
      </c>
      <c r="P282" s="73">
        <f>VLOOKUP($A282,CurveFetch!$D$8:$E$367,2)</f>
        <v>5.6710444120672499E-2</v>
      </c>
      <c r="Q282" s="24">
        <f t="shared" si="71"/>
        <v>5.6710444120672499E-2</v>
      </c>
      <c r="R282" s="72">
        <f t="shared" ca="1" si="72"/>
        <v>8369</v>
      </c>
      <c r="S282" s="25">
        <f>VLOOKUP($A282,Curve_Fetch,VLOOKUP(Control!$AJ$10,Control!$AI$11:$AM$22,5))</f>
        <v>0</v>
      </c>
      <c r="T282" s="74">
        <f ca="1">_xll.EURO(N282,O282,P282,Q282,S282,R282,IF(Control!$C$38="Call",1,0),0)</f>
        <v>3.1366623516992931E-5</v>
      </c>
      <c r="U282" s="27">
        <f t="shared" ca="1" si="62"/>
        <v>0</v>
      </c>
      <c r="V282" s="75"/>
      <c r="W282" s="197"/>
      <c r="X282" s="197"/>
      <c r="Y282" s="197"/>
      <c r="AA282" s="210"/>
      <c r="AB282" s="210"/>
      <c r="AC282" s="211"/>
      <c r="AD282" s="212"/>
      <c r="AE282" s="213"/>
      <c r="AF282" s="214"/>
      <c r="AG282" s="215"/>
      <c r="AH282" s="216"/>
      <c r="AI282" s="27"/>
      <c r="AJ282" s="28">
        <f t="shared" si="63"/>
        <v>0</v>
      </c>
      <c r="AL282" s="24">
        <f t="shared" si="73"/>
        <v>5.6712486415601698E-2</v>
      </c>
      <c r="AM282" s="25">
        <f t="shared" ca="1" si="74"/>
        <v>0.27524276627275945</v>
      </c>
      <c r="AO282" s="26">
        <f t="shared" ca="1" si="64"/>
        <v>0</v>
      </c>
      <c r="AP282" s="26"/>
      <c r="AQ282" s="26">
        <f t="shared" ca="1" si="65"/>
        <v>0</v>
      </c>
      <c r="AR282" s="26"/>
      <c r="AS282" s="27">
        <f t="shared" ca="1" si="66"/>
        <v>0</v>
      </c>
      <c r="AT282" s="27">
        <f t="shared" ca="1" si="67"/>
        <v>0</v>
      </c>
      <c r="AU282" s="27">
        <f t="shared" ca="1" si="68"/>
        <v>0</v>
      </c>
      <c r="AV282" s="27"/>
      <c r="AW282" s="27"/>
      <c r="AY282" s="216"/>
      <c r="AZ282" s="216"/>
      <c r="BA282" s="233"/>
      <c r="BC282" s="216"/>
      <c r="BE282" s="69"/>
    </row>
    <row r="283" spans="1:57">
      <c r="A283" s="19">
        <f>[1]!_xludf.edate(A282,1)</f>
        <v>45597</v>
      </c>
      <c r="B283" s="21">
        <f t="shared" si="75"/>
        <v>30</v>
      </c>
      <c r="C283" s="20">
        <f>IF(Control!$F$18="Physical",Model!A284+24,Model!A284)</f>
        <v>45651</v>
      </c>
      <c r="E283" s="22">
        <f>IF($A283&lt;End_Date,IF(Control!$C$20="Flat",Control!$C$21,VLOOKUP(Model!$A283,Euro!$B$29:$D$182,3)),0)</f>
        <v>0</v>
      </c>
      <c r="F283" s="22">
        <f t="shared" si="69"/>
        <v>0</v>
      </c>
      <c r="H283" s="23">
        <f>IF(Control!$C$27="Mid",VLOOKUP($A283,CurveFetch!$D$8:$F$367,3),VLOOKUP($A283,Euro!$B$29:$I$182,8))</f>
        <v>6.1929999999999996</v>
      </c>
      <c r="I283" s="23"/>
      <c r="J283" s="23">
        <f>IF($J$4="Mid",VLOOKUP($A283,Curve_Fetch,VLOOKUP(Control!$AJ$10,Control!$AI$11:$AK$22,3)),VLOOKUP($A283,Euro!$B$29:$M$182,12))</f>
        <v>0</v>
      </c>
      <c r="K283" s="228">
        <f>IF(Control!$F$18="Physical",IF($K$4="Mid",VLOOKUP($A283,Curve_Fetch,VLOOKUP(Control!$AJ$10,Control!$AI$11:$AL$22,4)),VLOOKUP($A283,Euro!$B$29:$Q$182,16)),0)</f>
        <v>0</v>
      </c>
      <c r="L283" s="23">
        <f t="shared" si="70"/>
        <v>0</v>
      </c>
      <c r="M283" s="23"/>
      <c r="N283" s="69">
        <f t="shared" si="61"/>
        <v>6.1929999999999996</v>
      </c>
      <c r="O283" s="69">
        <f>N283+Control!$C$39</f>
        <v>6.1929999999999996</v>
      </c>
      <c r="P283" s="73">
        <f>VLOOKUP($A283,CurveFetch!$D$8:$E$367,2)</f>
        <v>5.6712486415601698E-2</v>
      </c>
      <c r="Q283" s="24">
        <f t="shared" si="71"/>
        <v>5.6712486415601698E-2</v>
      </c>
      <c r="R283" s="72">
        <f t="shared" ca="1" si="72"/>
        <v>8400</v>
      </c>
      <c r="S283" s="25">
        <f>VLOOKUP($A283,Curve_Fetch,VLOOKUP(Control!$AJ$10,Control!$AI$11:$AM$22,5))</f>
        <v>0</v>
      </c>
      <c r="T283" s="74">
        <f ca="1">_xll.EURO(N283,O283,P283,Q283,S283,R283,IF(Control!$C$38="Call",1,0),0)</f>
        <v>3.2154965622477327E-5</v>
      </c>
      <c r="U283" s="27">
        <f t="shared" ca="1" si="62"/>
        <v>0</v>
      </c>
      <c r="V283" s="75"/>
      <c r="W283" s="197"/>
      <c r="X283" s="197"/>
      <c r="Y283" s="197"/>
      <c r="AA283" s="210"/>
      <c r="AB283" s="210"/>
      <c r="AC283" s="211"/>
      <c r="AD283" s="212"/>
      <c r="AE283" s="213"/>
      <c r="AF283" s="214"/>
      <c r="AG283" s="215"/>
      <c r="AH283" s="216"/>
      <c r="AI283" s="27"/>
      <c r="AJ283" s="28">
        <f t="shared" si="63"/>
        <v>0</v>
      </c>
      <c r="AL283" s="24">
        <f t="shared" si="73"/>
        <v>5.6714462830051098E-2</v>
      </c>
      <c r="AM283" s="25">
        <f t="shared" ca="1" si="74"/>
        <v>0.27396920535766223</v>
      </c>
      <c r="AO283" s="26">
        <f t="shared" ca="1" si="64"/>
        <v>0</v>
      </c>
      <c r="AP283" s="26"/>
      <c r="AQ283" s="26">
        <f t="shared" ca="1" si="65"/>
        <v>0</v>
      </c>
      <c r="AR283" s="26"/>
      <c r="AS283" s="27">
        <f t="shared" ca="1" si="66"/>
        <v>0</v>
      </c>
      <c r="AT283" s="27">
        <f t="shared" ca="1" si="67"/>
        <v>0</v>
      </c>
      <c r="AU283" s="27">
        <f t="shared" ca="1" si="68"/>
        <v>0</v>
      </c>
      <c r="AV283" s="27"/>
      <c r="AW283" s="27"/>
      <c r="AY283" s="216"/>
      <c r="AZ283" s="216"/>
      <c r="BA283" s="233"/>
      <c r="BC283" s="216"/>
      <c r="BE283" s="69"/>
    </row>
    <row r="284" spans="1:57">
      <c r="A284" s="19">
        <f>[1]!_xludf.edate(A283,1)</f>
        <v>45627</v>
      </c>
      <c r="B284" s="21">
        <f t="shared" si="75"/>
        <v>31</v>
      </c>
      <c r="C284" s="20">
        <f>IF(Control!$F$18="Physical",Model!A285+24,Model!A285)</f>
        <v>45682</v>
      </c>
      <c r="E284" s="22">
        <f>IF($A284&lt;End_Date,IF(Control!$C$20="Flat",Control!$C$21,VLOOKUP(Model!$A284,Euro!$B$29:$D$182,3)),0)</f>
        <v>0</v>
      </c>
      <c r="F284" s="22">
        <f t="shared" si="69"/>
        <v>0</v>
      </c>
      <c r="H284" s="23">
        <f>IF(Control!$C$27="Mid",VLOOKUP($A284,CurveFetch!$D$8:$F$367,3),VLOOKUP($A284,Euro!$B$29:$I$182,8))</f>
        <v>6.3239999999999998</v>
      </c>
      <c r="I284" s="23"/>
      <c r="J284" s="23">
        <f>IF($J$4="Mid",VLOOKUP($A284,Curve_Fetch,VLOOKUP(Control!$AJ$10,Control!$AI$11:$AK$22,3)),VLOOKUP($A284,Euro!$B$29:$M$182,12))</f>
        <v>0</v>
      </c>
      <c r="K284" s="228">
        <f>IF(Control!$F$18="Physical",IF($K$4="Mid",VLOOKUP($A284,Curve_Fetch,VLOOKUP(Control!$AJ$10,Control!$AI$11:$AL$22,4)),VLOOKUP($A284,Euro!$B$29:$Q$182,16)),0)</f>
        <v>0</v>
      </c>
      <c r="L284" s="23">
        <f t="shared" si="70"/>
        <v>0</v>
      </c>
      <c r="M284" s="23"/>
      <c r="N284" s="69">
        <f t="shared" si="61"/>
        <v>6.3239999999999998</v>
      </c>
      <c r="O284" s="69">
        <f>N284+Control!$C$39</f>
        <v>6.3239999999999998</v>
      </c>
      <c r="P284" s="73">
        <f>VLOOKUP($A284,CurveFetch!$D$8:$E$367,2)</f>
        <v>5.6714462830051098E-2</v>
      </c>
      <c r="Q284" s="24">
        <f t="shared" si="71"/>
        <v>5.6714462830051098E-2</v>
      </c>
      <c r="R284" s="72">
        <f t="shared" ca="1" si="72"/>
        <v>8430</v>
      </c>
      <c r="S284" s="25">
        <f>VLOOKUP($A284,Curve_Fetch,VLOOKUP(Control!$AJ$10,Control!$AI$11:$AM$22,5))</f>
        <v>0</v>
      </c>
      <c r="T284" s="74">
        <f ca="1">_xll.EURO(N284,O284,P284,Q284,S284,R284,IF(Control!$C$38="Call",1,0),0)</f>
        <v>3.2739355421473881E-5</v>
      </c>
      <c r="U284" s="27">
        <f t="shared" ca="1" si="62"/>
        <v>0</v>
      </c>
      <c r="V284" s="75"/>
      <c r="W284" s="197"/>
      <c r="X284" s="197"/>
      <c r="Y284" s="197"/>
      <c r="AA284" s="210"/>
      <c r="AB284" s="210"/>
      <c r="AC284" s="211"/>
      <c r="AD284" s="212"/>
      <c r="AE284" s="213"/>
      <c r="AF284" s="214"/>
      <c r="AG284" s="215"/>
      <c r="AH284" s="216"/>
      <c r="AI284" s="27"/>
      <c r="AJ284" s="28">
        <f t="shared" si="63"/>
        <v>0</v>
      </c>
      <c r="AL284" s="24">
        <f t="shared" si="73"/>
        <v>5.6716505124982899E-2</v>
      </c>
      <c r="AM284" s="25">
        <f t="shared" ca="1" si="74"/>
        <v>0.27265929241096387</v>
      </c>
      <c r="AO284" s="26">
        <f t="shared" ca="1" si="64"/>
        <v>0</v>
      </c>
      <c r="AP284" s="26"/>
      <c r="AQ284" s="26">
        <f t="shared" ca="1" si="65"/>
        <v>0</v>
      </c>
      <c r="AR284" s="26"/>
      <c r="AS284" s="27">
        <f t="shared" ca="1" si="66"/>
        <v>0</v>
      </c>
      <c r="AT284" s="27">
        <f t="shared" ca="1" si="67"/>
        <v>0</v>
      </c>
      <c r="AU284" s="27">
        <f t="shared" ca="1" si="68"/>
        <v>0</v>
      </c>
      <c r="AV284" s="27"/>
      <c r="AW284" s="27"/>
      <c r="AY284" s="216"/>
      <c r="AZ284" s="216"/>
      <c r="BA284" s="233"/>
      <c r="BC284" s="216"/>
      <c r="BE284" s="69"/>
    </row>
    <row r="285" spans="1:57">
      <c r="A285" s="19">
        <f>[1]!_xludf.edate(A284,1)</f>
        <v>45658</v>
      </c>
      <c r="B285" s="21">
        <f t="shared" si="75"/>
        <v>31</v>
      </c>
      <c r="C285" s="20">
        <f>IF(Control!$F$18="Physical",Model!A286+24,Model!A286)</f>
        <v>45713</v>
      </c>
      <c r="E285" s="22">
        <f>IF($A285&lt;End_Date,IF(Control!$C$20="Flat",Control!$C$21,VLOOKUP(Model!$A285,Euro!$B$29:$D$182,3)),0)</f>
        <v>0</v>
      </c>
      <c r="F285" s="22">
        <f t="shared" si="69"/>
        <v>0</v>
      </c>
      <c r="H285" s="23">
        <f>IF(Control!$C$27="Mid",VLOOKUP($A285,CurveFetch!$D$8:$F$367,3),VLOOKUP($A285,Euro!$B$29:$I$182,8))</f>
        <v>0</v>
      </c>
      <c r="I285" s="23"/>
      <c r="J285" s="23">
        <f>IF($J$4="Mid",VLOOKUP($A285,Curve_Fetch,VLOOKUP(Control!$AJ$10,Control!$AI$11:$AK$22,3)),VLOOKUP($A285,Euro!$B$29:$M$182,12))</f>
        <v>0</v>
      </c>
      <c r="K285" s="228">
        <f>IF(Control!$F$18="Physical",IF($K$4="Mid",VLOOKUP($A285,Curve_Fetch,VLOOKUP(Control!$AJ$10,Control!$AI$11:$AL$22,4)),VLOOKUP($A285,Euro!$B$29:$Q$182,16)),0)</f>
        <v>0</v>
      </c>
      <c r="L285" s="23">
        <f t="shared" si="70"/>
        <v>0</v>
      </c>
      <c r="M285" s="23"/>
      <c r="N285" s="69">
        <f t="shared" si="61"/>
        <v>0</v>
      </c>
      <c r="O285" s="69">
        <f>N285+Control!$C$39</f>
        <v>0</v>
      </c>
      <c r="P285" s="73">
        <f>VLOOKUP($A285,CurveFetch!$D$8:$E$367,2)</f>
        <v>5.6716505124982899E-2</v>
      </c>
      <c r="Q285" s="24">
        <f t="shared" si="71"/>
        <v>5.6716505124982899E-2</v>
      </c>
      <c r="R285" s="72">
        <f t="shared" ca="1" si="72"/>
        <v>8461</v>
      </c>
      <c r="S285" s="25">
        <f>VLOOKUP($A285,Curve_Fetch,VLOOKUP(Control!$AJ$10,Control!$AI$11:$AM$22,5))</f>
        <v>0</v>
      </c>
      <c r="T285" s="74">
        <f ca="1">_xll.EURO(N285,O285,P285,Q285,S285,R285,IF(Control!$C$38="Call",1,0),0)</f>
        <v>0</v>
      </c>
      <c r="U285" s="27">
        <f t="shared" ca="1" si="62"/>
        <v>0</v>
      </c>
      <c r="V285" s="75"/>
      <c r="W285" s="197"/>
      <c r="X285" s="197"/>
      <c r="Y285" s="197"/>
      <c r="AA285" s="210"/>
      <c r="AB285" s="210"/>
      <c r="AC285" s="211"/>
      <c r="AD285" s="212"/>
      <c r="AE285" s="213"/>
      <c r="AF285" s="214"/>
      <c r="AG285" s="215"/>
      <c r="AH285" s="216"/>
      <c r="AI285" s="27"/>
      <c r="AJ285" s="28">
        <f t="shared" si="63"/>
        <v>0</v>
      </c>
      <c r="AL285" s="24">
        <f t="shared" si="73"/>
        <v>5.6718547419916998E-2</v>
      </c>
      <c r="AM285" s="25">
        <f t="shared" ca="1" si="74"/>
        <v>0.27135555100939074</v>
      </c>
      <c r="AO285" s="26">
        <f t="shared" ca="1" si="64"/>
        <v>0</v>
      </c>
      <c r="AP285" s="26"/>
      <c r="AQ285" s="26">
        <f t="shared" ca="1" si="65"/>
        <v>0</v>
      </c>
      <c r="AR285" s="26"/>
      <c r="AS285" s="27">
        <f t="shared" ca="1" si="66"/>
        <v>0</v>
      </c>
      <c r="AT285" s="27">
        <f t="shared" ca="1" si="67"/>
        <v>0</v>
      </c>
      <c r="AU285" s="27">
        <f t="shared" ca="1" si="68"/>
        <v>0</v>
      </c>
      <c r="AV285" s="27"/>
      <c r="AW285" s="27"/>
      <c r="AY285" s="216"/>
      <c r="AZ285" s="216"/>
      <c r="BA285" s="233"/>
      <c r="BC285" s="216"/>
      <c r="BE285" s="69"/>
    </row>
    <row r="286" spans="1:57">
      <c r="A286" s="19">
        <f>[1]!_xludf.edate(A285,1)</f>
        <v>45689</v>
      </c>
      <c r="B286" s="21">
        <f t="shared" si="75"/>
        <v>28</v>
      </c>
      <c r="C286" s="20">
        <f>IF(Control!$F$18="Physical",Model!A287+24,Model!A287)</f>
        <v>45741</v>
      </c>
      <c r="E286" s="22">
        <f>IF($A286&lt;End_Date,IF(Control!$C$20="Flat",Control!$C$21,VLOOKUP(Model!$A286,Euro!$B$29:$D$182,3)),0)</f>
        <v>0</v>
      </c>
      <c r="F286" s="22">
        <f t="shared" si="69"/>
        <v>0</v>
      </c>
      <c r="H286" s="23">
        <f>IF(Control!$C$27="Mid",VLOOKUP($A286,CurveFetch!$D$8:$F$367,3),VLOOKUP($A286,Euro!$B$29:$I$182,8))</f>
        <v>0</v>
      </c>
      <c r="I286" s="23"/>
      <c r="J286" s="23">
        <f>IF($J$4="Mid",VLOOKUP($A286,Curve_Fetch,VLOOKUP(Control!$AJ$10,Control!$AI$11:$AK$22,3)),VLOOKUP($A286,Euro!$B$29:$M$182,12))</f>
        <v>0</v>
      </c>
      <c r="K286" s="228">
        <f>IF(Control!$F$18="Physical",IF($K$4="Mid",VLOOKUP($A286,Curve_Fetch,VLOOKUP(Control!$AJ$10,Control!$AI$11:$AL$22,4)),VLOOKUP($A286,Euro!$B$29:$Q$182,16)),0)</f>
        <v>0</v>
      </c>
      <c r="L286" s="23">
        <f t="shared" si="70"/>
        <v>0</v>
      </c>
      <c r="M286" s="23"/>
      <c r="N286" s="69">
        <f t="shared" si="61"/>
        <v>0</v>
      </c>
      <c r="O286" s="69">
        <f>N286+Control!$C$39</f>
        <v>0</v>
      </c>
      <c r="P286" s="73">
        <f>VLOOKUP($A286,CurveFetch!$D$8:$E$367,2)</f>
        <v>5.6718547419916998E-2</v>
      </c>
      <c r="Q286" s="24">
        <f t="shared" si="71"/>
        <v>5.6718547419916998E-2</v>
      </c>
      <c r="R286" s="72">
        <f t="shared" ca="1" si="72"/>
        <v>8492</v>
      </c>
      <c r="S286" s="25">
        <f>VLOOKUP($A286,Curve_Fetch,VLOOKUP(Control!$AJ$10,Control!$AI$11:$AM$22,5))</f>
        <v>0</v>
      </c>
      <c r="T286" s="74">
        <f ca="1">_xll.EURO(N286,O286,P286,Q286,S286,R286,IF(Control!$C$38="Call",1,0),0)</f>
        <v>0</v>
      </c>
      <c r="U286" s="27">
        <f t="shared" ca="1" si="62"/>
        <v>0</v>
      </c>
      <c r="V286" s="75"/>
      <c r="W286" s="197"/>
      <c r="X286" s="197"/>
      <c r="Y286" s="197"/>
      <c r="AA286" s="210"/>
      <c r="AB286" s="210"/>
      <c r="AC286" s="211"/>
      <c r="AD286" s="212"/>
      <c r="AE286" s="213"/>
      <c r="AF286" s="214"/>
      <c r="AG286" s="215"/>
      <c r="AH286" s="216"/>
      <c r="AI286" s="27"/>
      <c r="AJ286" s="28">
        <f t="shared" si="63"/>
        <v>0</v>
      </c>
      <c r="AL286" s="24">
        <f t="shared" si="73"/>
        <v>5.6720392073406102E-2</v>
      </c>
      <c r="AM286" s="25">
        <f t="shared" ca="1" si="74"/>
        <v>0.27018325888600925</v>
      </c>
      <c r="AO286" s="26">
        <f t="shared" ca="1" si="64"/>
        <v>0</v>
      </c>
      <c r="AP286" s="26"/>
      <c r="AQ286" s="26">
        <f t="shared" ca="1" si="65"/>
        <v>0</v>
      </c>
      <c r="AR286" s="26"/>
      <c r="AS286" s="27">
        <f t="shared" ca="1" si="66"/>
        <v>0</v>
      </c>
      <c r="AT286" s="27">
        <f t="shared" ca="1" si="67"/>
        <v>0</v>
      </c>
      <c r="AU286" s="27">
        <f t="shared" ca="1" si="68"/>
        <v>0</v>
      </c>
      <c r="AV286" s="27"/>
      <c r="AW286" s="27"/>
      <c r="AY286" s="216"/>
      <c r="AZ286" s="216"/>
      <c r="BA286" s="233"/>
      <c r="BC286" s="216"/>
      <c r="BE286" s="69"/>
    </row>
    <row r="287" spans="1:57">
      <c r="A287" s="19">
        <f>[1]!_xludf.edate(A286,1)</f>
        <v>45717</v>
      </c>
      <c r="B287" s="21">
        <f t="shared" si="75"/>
        <v>31</v>
      </c>
      <c r="C287" s="20">
        <f>IF(Control!$F$18="Physical",Model!A288+24,Model!A288)</f>
        <v>45772</v>
      </c>
      <c r="E287" s="22">
        <f>IF($A287&lt;End_Date,IF(Control!$C$20="Flat",Control!$C$21,VLOOKUP(Model!$A287,Euro!$B$29:$D$182,3)),0)</f>
        <v>0</v>
      </c>
      <c r="F287" s="22">
        <f t="shared" si="69"/>
        <v>0</v>
      </c>
      <c r="H287" s="23">
        <f>IF(Control!$C$27="Mid",VLOOKUP($A287,CurveFetch!$D$8:$F$367,3),VLOOKUP($A287,Euro!$B$29:$I$182,8))</f>
        <v>0</v>
      </c>
      <c r="I287" s="23"/>
      <c r="J287" s="23">
        <f>IF($J$4="Mid",VLOOKUP($A287,Curve_Fetch,VLOOKUP(Control!$AJ$10,Control!$AI$11:$AK$22,3)),VLOOKUP($A287,Euro!$B$29:$M$182,12))</f>
        <v>0</v>
      </c>
      <c r="K287" s="228">
        <f>IF(Control!$F$18="Physical",IF($K$4="Mid",VLOOKUP($A287,Curve_Fetch,VLOOKUP(Control!$AJ$10,Control!$AI$11:$AL$22,4)),VLOOKUP($A287,Euro!$B$29:$Q$182,16)),0)</f>
        <v>0</v>
      </c>
      <c r="L287" s="23">
        <f t="shared" si="70"/>
        <v>0</v>
      </c>
      <c r="M287" s="23"/>
      <c r="N287" s="69">
        <f t="shared" si="61"/>
        <v>0</v>
      </c>
      <c r="O287" s="69">
        <f>N287+Control!$C$39</f>
        <v>0</v>
      </c>
      <c r="P287" s="73">
        <f>VLOOKUP($A287,CurveFetch!$D$8:$E$367,2)</f>
        <v>5.6720392073406102E-2</v>
      </c>
      <c r="Q287" s="24">
        <f t="shared" si="71"/>
        <v>5.6720392073406102E-2</v>
      </c>
      <c r="R287" s="72">
        <f t="shared" ca="1" si="72"/>
        <v>8520</v>
      </c>
      <c r="S287" s="25">
        <f>VLOOKUP($A287,Curve_Fetch,VLOOKUP(Control!$AJ$10,Control!$AI$11:$AM$22,5))</f>
        <v>0</v>
      </c>
      <c r="T287" s="74">
        <f ca="1">_xll.EURO(N287,O287,P287,Q287,S287,R287,IF(Control!$C$38="Call",1,0),0)</f>
        <v>0</v>
      </c>
      <c r="U287" s="27">
        <f t="shared" ca="1" si="62"/>
        <v>0</v>
      </c>
      <c r="V287" s="75"/>
      <c r="W287" s="197"/>
      <c r="X287" s="197"/>
      <c r="Y287" s="197"/>
      <c r="AA287" s="210"/>
      <c r="AB287" s="210"/>
      <c r="AC287" s="211"/>
      <c r="AD287" s="212"/>
      <c r="AE287" s="213"/>
      <c r="AF287" s="214"/>
      <c r="AG287" s="215"/>
      <c r="AH287" s="216"/>
      <c r="AI287" s="27"/>
      <c r="AJ287" s="28">
        <f t="shared" si="63"/>
        <v>0</v>
      </c>
      <c r="AL287" s="24">
        <f t="shared" si="73"/>
        <v>5.6722434368342303E-2</v>
      </c>
      <c r="AM287" s="25">
        <f t="shared" ca="1" si="74"/>
        <v>0.26889118433198606</v>
      </c>
      <c r="AO287" s="26">
        <f t="shared" ca="1" si="64"/>
        <v>0</v>
      </c>
      <c r="AP287" s="26"/>
      <c r="AQ287" s="26">
        <f t="shared" ca="1" si="65"/>
        <v>0</v>
      </c>
      <c r="AR287" s="26"/>
      <c r="AS287" s="27">
        <f t="shared" ca="1" si="66"/>
        <v>0</v>
      </c>
      <c r="AT287" s="27">
        <f t="shared" ca="1" si="67"/>
        <v>0</v>
      </c>
      <c r="AU287" s="27">
        <f t="shared" ca="1" si="68"/>
        <v>0</v>
      </c>
      <c r="AV287" s="27"/>
      <c r="AW287" s="27"/>
      <c r="AY287" s="216"/>
      <c r="AZ287" s="216"/>
      <c r="BA287" s="233"/>
      <c r="BC287" s="216"/>
      <c r="BE287" s="69"/>
    </row>
    <row r="288" spans="1:57">
      <c r="A288" s="19">
        <f>[1]!_xludf.edate(A287,1)</f>
        <v>45748</v>
      </c>
      <c r="B288" s="21">
        <f t="shared" si="75"/>
        <v>30</v>
      </c>
      <c r="C288" s="20">
        <f>IF(Control!$F$18="Physical",Model!A289+24,Model!A289)</f>
        <v>45802</v>
      </c>
      <c r="E288" s="22">
        <f>IF($A288&lt;End_Date,IF(Control!$C$20="Flat",Control!$C$21,VLOOKUP(Model!$A288,Euro!$B$29:$D$182,3)),0)</f>
        <v>0</v>
      </c>
      <c r="F288" s="22">
        <f t="shared" si="69"/>
        <v>0</v>
      </c>
      <c r="H288" s="23">
        <f>IF(Control!$C$27="Mid",VLOOKUP($A288,CurveFetch!$D$8:$F$367,3),VLOOKUP($A288,Euro!$B$29:$I$182,8))</f>
        <v>0</v>
      </c>
      <c r="I288" s="23"/>
      <c r="J288" s="23">
        <f>IF($J$4="Mid",VLOOKUP($A288,Curve_Fetch,VLOOKUP(Control!$AJ$10,Control!$AI$11:$AK$22,3)),VLOOKUP($A288,Euro!$B$29:$M$182,12))</f>
        <v>0</v>
      </c>
      <c r="K288" s="228">
        <f>IF(Control!$F$18="Physical",IF($K$4="Mid",VLOOKUP($A288,Curve_Fetch,VLOOKUP(Control!$AJ$10,Control!$AI$11:$AL$22,4)),VLOOKUP($A288,Euro!$B$29:$Q$182,16)),0)</f>
        <v>0</v>
      </c>
      <c r="L288" s="23">
        <f t="shared" si="70"/>
        <v>0</v>
      </c>
      <c r="M288" s="23"/>
      <c r="N288" s="69">
        <f t="shared" si="61"/>
        <v>0</v>
      </c>
      <c r="O288" s="69">
        <f>N288+Control!$C$39</f>
        <v>0</v>
      </c>
      <c r="P288" s="73">
        <f>VLOOKUP($A288,CurveFetch!$D$8:$E$367,2)</f>
        <v>5.6722434368342303E-2</v>
      </c>
      <c r="Q288" s="24">
        <f t="shared" si="71"/>
        <v>5.6722434368342303E-2</v>
      </c>
      <c r="R288" s="72">
        <f t="shared" ca="1" si="72"/>
        <v>8551</v>
      </c>
      <c r="S288" s="25">
        <f>VLOOKUP($A288,Curve_Fetch,VLOOKUP(Control!$AJ$10,Control!$AI$11:$AM$22,5))</f>
        <v>0</v>
      </c>
      <c r="T288" s="74">
        <f ca="1">_xll.EURO(N288,O288,P288,Q288,S288,R288,IF(Control!$C$38="Call",1,0),0)</f>
        <v>0</v>
      </c>
      <c r="U288" s="27">
        <f t="shared" ca="1" si="62"/>
        <v>0</v>
      </c>
      <c r="V288" s="75"/>
      <c r="W288" s="197"/>
      <c r="X288" s="197"/>
      <c r="Y288" s="197"/>
      <c r="AA288" s="210"/>
      <c r="AB288" s="210"/>
      <c r="AC288" s="211"/>
      <c r="AD288" s="212"/>
      <c r="AE288" s="213"/>
      <c r="AF288" s="214"/>
      <c r="AG288" s="215"/>
      <c r="AH288" s="216"/>
      <c r="AI288" s="27"/>
      <c r="AJ288" s="28">
        <f t="shared" si="63"/>
        <v>0</v>
      </c>
      <c r="AL288" s="24">
        <f t="shared" si="73"/>
        <v>5.6724410782798003E-2</v>
      </c>
      <c r="AM288" s="25">
        <f t="shared" ca="1" si="74"/>
        <v>0.26764658721986478</v>
      </c>
      <c r="AO288" s="26">
        <f t="shared" ca="1" si="64"/>
        <v>0</v>
      </c>
      <c r="AP288" s="26"/>
      <c r="AQ288" s="26">
        <f t="shared" ca="1" si="65"/>
        <v>0</v>
      </c>
      <c r="AR288" s="26"/>
      <c r="AS288" s="27">
        <f t="shared" ca="1" si="66"/>
        <v>0</v>
      </c>
      <c r="AT288" s="27">
        <f t="shared" ca="1" si="67"/>
        <v>0</v>
      </c>
      <c r="AU288" s="27">
        <f t="shared" ca="1" si="68"/>
        <v>0</v>
      </c>
      <c r="AV288" s="27"/>
      <c r="AW288" s="27"/>
      <c r="AY288" s="216"/>
      <c r="AZ288" s="216"/>
      <c r="BA288" s="233"/>
      <c r="BC288" s="216"/>
      <c r="BE288" s="69"/>
    </row>
    <row r="289" spans="1:22">
      <c r="A289" s="19">
        <f>[1]!_xludf.edate(A288,1)</f>
        <v>45778</v>
      </c>
      <c r="B289" s="21"/>
      <c r="V289" s="75"/>
    </row>
    <row r="290" spans="1:22">
      <c r="A290" s="20"/>
      <c r="B290" s="21"/>
      <c r="V290" s="75"/>
    </row>
    <row r="291" spans="1:22">
      <c r="A291" s="20"/>
      <c r="B291" s="21"/>
      <c r="V291" s="75"/>
    </row>
    <row r="292" spans="1:22">
      <c r="A292" s="20"/>
      <c r="B292" s="21"/>
      <c r="V292" s="75"/>
    </row>
    <row r="293" spans="1:22">
      <c r="A293" s="20"/>
      <c r="B293" s="21"/>
      <c r="V293" s="75"/>
    </row>
    <row r="294" spans="1:22">
      <c r="A294" s="20"/>
      <c r="B294" s="21"/>
      <c r="V294" s="75"/>
    </row>
    <row r="295" spans="1:22">
      <c r="A295" s="20"/>
      <c r="B295" s="21"/>
      <c r="V295" s="75"/>
    </row>
    <row r="296" spans="1:22">
      <c r="A296" s="20"/>
      <c r="B296" s="21"/>
      <c r="V296" s="75"/>
    </row>
    <row r="297" spans="1:22">
      <c r="A297" s="20"/>
      <c r="B297" s="21"/>
      <c r="V297" s="75"/>
    </row>
    <row r="298" spans="1:22">
      <c r="A298" s="20"/>
      <c r="B298" s="21"/>
      <c r="V298" s="75"/>
    </row>
    <row r="299" spans="1:22">
      <c r="A299" s="20"/>
      <c r="B299" s="21"/>
      <c r="V299" s="75"/>
    </row>
    <row r="300" spans="1:22">
      <c r="A300" s="20"/>
      <c r="B300" s="21"/>
      <c r="V300" s="75"/>
    </row>
    <row r="301" spans="1:22">
      <c r="A301" s="20"/>
      <c r="B301" s="21"/>
      <c r="V301" s="75"/>
    </row>
    <row r="302" spans="1:22">
      <c r="A302" s="20"/>
      <c r="B302" s="21"/>
      <c r="V302" s="75"/>
    </row>
    <row r="303" spans="1:22">
      <c r="A303" s="20"/>
      <c r="B303" s="21"/>
      <c r="V303" s="75"/>
    </row>
    <row r="304" spans="1:22">
      <c r="A304" s="20"/>
      <c r="B304" s="21"/>
      <c r="V304" s="75"/>
    </row>
    <row r="305" spans="1:22">
      <c r="A305" s="20"/>
      <c r="B305" s="21"/>
      <c r="V305" s="75"/>
    </row>
    <row r="306" spans="1:22">
      <c r="A306" s="20"/>
      <c r="B306" s="21"/>
      <c r="V306" s="75"/>
    </row>
    <row r="307" spans="1:22">
      <c r="A307" s="20"/>
      <c r="B307" s="21"/>
      <c r="V307" s="75"/>
    </row>
    <row r="308" spans="1:22">
      <c r="A308" s="20"/>
      <c r="B308" s="21"/>
      <c r="V308" s="75"/>
    </row>
    <row r="309" spans="1:22">
      <c r="A309" s="20"/>
      <c r="B309" s="21"/>
      <c r="V309" s="75"/>
    </row>
    <row r="310" spans="1:22">
      <c r="A310" s="20"/>
      <c r="B310" s="21"/>
      <c r="V310" s="75"/>
    </row>
    <row r="311" spans="1:22">
      <c r="A311" s="20"/>
      <c r="B311" s="21"/>
      <c r="V311" s="75"/>
    </row>
    <row r="312" spans="1:22">
      <c r="A312" s="20"/>
      <c r="B312" s="21"/>
      <c r="V312" s="75"/>
    </row>
    <row r="313" spans="1:22">
      <c r="A313" s="20"/>
      <c r="B313" s="21"/>
      <c r="V313" s="75"/>
    </row>
    <row r="314" spans="1:22">
      <c r="A314" s="20"/>
      <c r="B314" s="21"/>
      <c r="V314" s="75"/>
    </row>
    <row r="315" spans="1:22">
      <c r="A315" s="20"/>
      <c r="B315" s="21"/>
      <c r="V315" s="75"/>
    </row>
    <row r="316" spans="1:22">
      <c r="A316" s="20"/>
      <c r="B316" s="21"/>
      <c r="V316" s="75"/>
    </row>
    <row r="317" spans="1:22">
      <c r="A317" s="20"/>
      <c r="B317" s="21"/>
      <c r="V317" s="75"/>
    </row>
    <row r="318" spans="1:22">
      <c r="A318" s="20"/>
      <c r="B318" s="21"/>
      <c r="V318" s="75"/>
    </row>
    <row r="319" spans="1:22">
      <c r="A319" s="20"/>
      <c r="B319" s="21"/>
      <c r="V319" s="75"/>
    </row>
    <row r="320" spans="1:22">
      <c r="A320" s="20"/>
      <c r="B320" s="21"/>
    </row>
    <row r="321" spans="1:2">
      <c r="A321" s="20"/>
      <c r="B321" s="21"/>
    </row>
    <row r="322" spans="1:2">
      <c r="A322" s="20"/>
      <c r="B322" s="21"/>
    </row>
    <row r="323" spans="1:2">
      <c r="A323" s="20"/>
      <c r="B323" s="21"/>
    </row>
    <row r="324" spans="1:2">
      <c r="A324" s="20"/>
      <c r="B324" s="21"/>
    </row>
    <row r="325" spans="1:2">
      <c r="A325" s="20"/>
      <c r="B325" s="21"/>
    </row>
    <row r="326" spans="1:2">
      <c r="A326" s="20"/>
      <c r="B326" s="21"/>
    </row>
    <row r="327" spans="1:2">
      <c r="A327" s="20"/>
      <c r="B327" s="21"/>
    </row>
    <row r="328" spans="1:2">
      <c r="A328" s="20"/>
      <c r="B328" s="21"/>
    </row>
    <row r="329" spans="1:2">
      <c r="A329" s="20"/>
      <c r="B329" s="21"/>
    </row>
    <row r="330" spans="1:2">
      <c r="A330" s="20"/>
      <c r="B330" s="21"/>
    </row>
    <row r="331" spans="1:2">
      <c r="A331" s="20"/>
      <c r="B331" s="21"/>
    </row>
    <row r="332" spans="1:2">
      <c r="A332" s="20"/>
      <c r="B332" s="21"/>
    </row>
  </sheetData>
  <phoneticPr fontId="0" type="noConversion"/>
  <conditionalFormatting sqref="A8:A289">
    <cfRule type="expression" dxfId="0" priority="1" stopIfTrue="1">
      <formula>OR(MONTH($A8)=11,MONTH($A8)=12,MONTH($A8)=1,MONTH($A8)=2,MONTH($A8)=3)</formula>
    </cfRule>
  </conditionalFormatting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E8019"/>
  <sheetViews>
    <sheetView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8" sqref="F8:F367"/>
    </sheetView>
  </sheetViews>
  <sheetFormatPr defaultRowHeight="12.75"/>
  <cols>
    <col min="1" max="1" width="6.28515625" style="1" customWidth="1"/>
    <col min="2" max="2" width="16.140625" style="1" customWidth="1"/>
    <col min="3" max="3" width="9.140625" style="1"/>
    <col min="4" max="4" width="12.7109375" style="10" customWidth="1"/>
    <col min="5" max="5" width="12.7109375" style="11" customWidth="1"/>
    <col min="6" max="13" width="16.7109375" style="11" customWidth="1"/>
    <col min="14" max="22" width="18.7109375" style="11" customWidth="1"/>
    <col min="23" max="24" width="12.7109375" style="11" customWidth="1"/>
    <col min="25" max="28" width="16.7109375" style="11" customWidth="1"/>
    <col min="29" max="29" width="14.7109375" style="11" customWidth="1"/>
    <col min="30" max="30" width="14.7109375" style="10" customWidth="1"/>
    <col min="31" max="36" width="14.7109375" style="11" customWidth="1"/>
    <col min="37" max="52" width="9.140625" style="11"/>
    <col min="53" max="16384" width="9.140625" style="1"/>
  </cols>
  <sheetData>
    <row r="1" spans="1:57">
      <c r="D1" s="1"/>
      <c r="E1" s="1">
        <v>1</v>
      </c>
      <c r="F1" s="2">
        <f t="shared" ref="F1:M1" si="0">E1+1</f>
        <v>2</v>
      </c>
      <c r="G1" s="2">
        <f t="shared" si="0"/>
        <v>3</v>
      </c>
      <c r="H1" s="2">
        <f t="shared" si="0"/>
        <v>4</v>
      </c>
      <c r="I1" s="2">
        <f t="shared" si="0"/>
        <v>5</v>
      </c>
      <c r="J1" s="2">
        <f t="shared" si="0"/>
        <v>6</v>
      </c>
      <c r="K1" s="2">
        <f t="shared" si="0"/>
        <v>7</v>
      </c>
      <c r="L1" s="2">
        <f t="shared" si="0"/>
        <v>8</v>
      </c>
      <c r="M1" s="2">
        <f t="shared" si="0"/>
        <v>9</v>
      </c>
      <c r="N1" s="2">
        <f t="shared" ref="N1:AJ1" si="1">M1+1</f>
        <v>10</v>
      </c>
      <c r="O1" s="2">
        <f t="shared" si="1"/>
        <v>11</v>
      </c>
      <c r="P1" s="2">
        <f t="shared" si="1"/>
        <v>12</v>
      </c>
      <c r="Q1" s="2">
        <f t="shared" si="1"/>
        <v>13</v>
      </c>
      <c r="R1" s="2">
        <f t="shared" si="1"/>
        <v>14</v>
      </c>
      <c r="S1" s="2">
        <f t="shared" si="1"/>
        <v>15</v>
      </c>
      <c r="T1" s="2">
        <f t="shared" si="1"/>
        <v>16</v>
      </c>
      <c r="U1" s="2">
        <f t="shared" si="1"/>
        <v>17</v>
      </c>
      <c r="V1" s="2">
        <f t="shared" si="1"/>
        <v>18</v>
      </c>
      <c r="W1" s="2">
        <f t="shared" si="1"/>
        <v>19</v>
      </c>
      <c r="X1" s="2">
        <f t="shared" si="1"/>
        <v>20</v>
      </c>
      <c r="Y1" s="2">
        <f t="shared" si="1"/>
        <v>21</v>
      </c>
      <c r="Z1" s="2">
        <f t="shared" si="1"/>
        <v>22</v>
      </c>
      <c r="AA1" s="2">
        <f t="shared" si="1"/>
        <v>23</v>
      </c>
      <c r="AB1" s="2">
        <f t="shared" si="1"/>
        <v>24</v>
      </c>
      <c r="AC1" s="2">
        <f t="shared" si="1"/>
        <v>25</v>
      </c>
      <c r="AD1" s="2">
        <f t="shared" si="1"/>
        <v>26</v>
      </c>
      <c r="AE1" s="2">
        <f t="shared" si="1"/>
        <v>27</v>
      </c>
      <c r="AF1" s="2">
        <f t="shared" si="1"/>
        <v>28</v>
      </c>
      <c r="AG1" s="2">
        <f t="shared" si="1"/>
        <v>29</v>
      </c>
      <c r="AH1" s="2">
        <f t="shared" si="1"/>
        <v>30</v>
      </c>
      <c r="AI1" s="2">
        <f t="shared" si="1"/>
        <v>31</v>
      </c>
      <c r="AJ1" s="2">
        <f t="shared" si="1"/>
        <v>32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7">
      <c r="B2" s="3">
        <f>HLOOKUP(Count,CurveTable,2,FALSE)</f>
        <v>37196</v>
      </c>
      <c r="D2" s="4" t="s">
        <v>0</v>
      </c>
      <c r="E2" s="17">
        <f>Control!C25</f>
        <v>37196</v>
      </c>
      <c r="F2" s="5">
        <f t="shared" ref="F2:M3" si="2">E2</f>
        <v>37196</v>
      </c>
      <c r="G2" s="5">
        <f t="shared" si="2"/>
        <v>37196</v>
      </c>
      <c r="H2" s="5">
        <f t="shared" si="2"/>
        <v>37196</v>
      </c>
      <c r="I2" s="5">
        <f t="shared" si="2"/>
        <v>37196</v>
      </c>
      <c r="J2" s="5">
        <f t="shared" si="2"/>
        <v>37196</v>
      </c>
      <c r="K2" s="5">
        <f t="shared" si="2"/>
        <v>37196</v>
      </c>
      <c r="L2" s="5">
        <f t="shared" si="2"/>
        <v>37196</v>
      </c>
      <c r="M2" s="5">
        <f t="shared" si="2"/>
        <v>37196</v>
      </c>
      <c r="N2" s="5">
        <f t="shared" ref="N2:AJ2" si="3">M2</f>
        <v>37196</v>
      </c>
      <c r="O2" s="5">
        <f t="shared" si="3"/>
        <v>37196</v>
      </c>
      <c r="P2" s="5">
        <f t="shared" si="3"/>
        <v>37196</v>
      </c>
      <c r="Q2" s="5">
        <f t="shared" si="3"/>
        <v>37196</v>
      </c>
      <c r="R2" s="5">
        <f t="shared" si="3"/>
        <v>37196</v>
      </c>
      <c r="S2" s="5">
        <f t="shared" si="3"/>
        <v>37196</v>
      </c>
      <c r="T2" s="5">
        <f t="shared" si="3"/>
        <v>37196</v>
      </c>
      <c r="U2" s="5">
        <f t="shared" si="3"/>
        <v>37196</v>
      </c>
      <c r="V2" s="5">
        <f t="shared" si="3"/>
        <v>37196</v>
      </c>
      <c r="W2" s="5">
        <f t="shared" si="3"/>
        <v>37196</v>
      </c>
      <c r="X2" s="5">
        <f t="shared" si="3"/>
        <v>37196</v>
      </c>
      <c r="Y2" s="5">
        <f t="shared" si="3"/>
        <v>37196</v>
      </c>
      <c r="Z2" s="5">
        <f t="shared" si="3"/>
        <v>37196</v>
      </c>
      <c r="AA2" s="5">
        <f t="shared" si="3"/>
        <v>37196</v>
      </c>
      <c r="AB2" s="5">
        <f t="shared" si="3"/>
        <v>37196</v>
      </c>
      <c r="AC2" s="5">
        <f t="shared" si="3"/>
        <v>37196</v>
      </c>
      <c r="AD2" s="5">
        <f t="shared" si="3"/>
        <v>37196</v>
      </c>
      <c r="AE2" s="5">
        <f t="shared" si="3"/>
        <v>37196</v>
      </c>
      <c r="AF2" s="5">
        <f t="shared" si="3"/>
        <v>37196</v>
      </c>
      <c r="AG2" s="5">
        <f t="shared" si="3"/>
        <v>37196</v>
      </c>
      <c r="AH2" s="5">
        <f t="shared" si="3"/>
        <v>37196</v>
      </c>
      <c r="AI2" s="5">
        <f t="shared" si="3"/>
        <v>37196</v>
      </c>
      <c r="AJ2" s="5">
        <f t="shared" si="3"/>
        <v>37196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7">
      <c r="B3" s="6">
        <f>HLOOKUP(Count,CurveTable,3,FALSE)</f>
        <v>37226</v>
      </c>
      <c r="D3" s="4" t="s">
        <v>1</v>
      </c>
      <c r="E3" s="6">
        <f>EOMONTH(E2,0)+1</f>
        <v>37226</v>
      </c>
      <c r="F3" s="6">
        <f t="shared" si="2"/>
        <v>37226</v>
      </c>
      <c r="G3" s="6">
        <f t="shared" si="2"/>
        <v>37226</v>
      </c>
      <c r="H3" s="6">
        <f t="shared" si="2"/>
        <v>37226</v>
      </c>
      <c r="I3" s="6">
        <f t="shared" si="2"/>
        <v>37226</v>
      </c>
      <c r="J3" s="6">
        <f t="shared" si="2"/>
        <v>37226</v>
      </c>
      <c r="K3" s="6">
        <f t="shared" si="2"/>
        <v>37226</v>
      </c>
      <c r="L3" s="6">
        <f t="shared" si="2"/>
        <v>37226</v>
      </c>
      <c r="M3" s="6">
        <f t="shared" si="2"/>
        <v>37226</v>
      </c>
      <c r="N3" s="6">
        <f t="shared" ref="N3:AJ3" si="4">M3</f>
        <v>37226</v>
      </c>
      <c r="O3" s="6">
        <f t="shared" si="4"/>
        <v>37226</v>
      </c>
      <c r="P3" s="6">
        <f t="shared" si="4"/>
        <v>37226</v>
      </c>
      <c r="Q3" s="6">
        <f t="shared" si="4"/>
        <v>37226</v>
      </c>
      <c r="R3" s="6">
        <f t="shared" si="4"/>
        <v>37226</v>
      </c>
      <c r="S3" s="6">
        <f t="shared" si="4"/>
        <v>37226</v>
      </c>
      <c r="T3" s="6">
        <f t="shared" si="4"/>
        <v>37226</v>
      </c>
      <c r="U3" s="6">
        <f t="shared" si="4"/>
        <v>37226</v>
      </c>
      <c r="V3" s="6">
        <f t="shared" si="4"/>
        <v>37226</v>
      </c>
      <c r="W3" s="6">
        <f t="shared" si="4"/>
        <v>37226</v>
      </c>
      <c r="X3" s="6">
        <f t="shared" si="4"/>
        <v>37226</v>
      </c>
      <c r="Y3" s="6">
        <f t="shared" si="4"/>
        <v>37226</v>
      </c>
      <c r="Z3" s="6">
        <f t="shared" si="4"/>
        <v>37226</v>
      </c>
      <c r="AA3" s="6">
        <f t="shared" si="4"/>
        <v>37226</v>
      </c>
      <c r="AB3" s="6">
        <f t="shared" si="4"/>
        <v>37226</v>
      </c>
      <c r="AC3" s="6">
        <f t="shared" si="4"/>
        <v>37226</v>
      </c>
      <c r="AD3" s="6">
        <f t="shared" si="4"/>
        <v>37226</v>
      </c>
      <c r="AE3" s="6">
        <f t="shared" si="4"/>
        <v>37226</v>
      </c>
      <c r="AF3" s="6">
        <f t="shared" si="4"/>
        <v>37226</v>
      </c>
      <c r="AG3" s="6">
        <f t="shared" si="4"/>
        <v>37226</v>
      </c>
      <c r="AH3" s="6">
        <f t="shared" si="4"/>
        <v>37226</v>
      </c>
      <c r="AI3" s="6">
        <f t="shared" si="4"/>
        <v>37226</v>
      </c>
      <c r="AJ3" s="6">
        <f t="shared" si="4"/>
        <v>37226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7" s="7" customFormat="1">
      <c r="A4" s="1">
        <v>32</v>
      </c>
      <c r="B4" s="6" t="str">
        <f>HLOOKUP(Count,CurveTable,4,FALSE)</f>
        <v>NGI-SOBDR-PG&amp;E</v>
      </c>
      <c r="C4" s="1"/>
      <c r="D4" s="4" t="s">
        <v>2</v>
      </c>
      <c r="E4" s="6" t="s">
        <v>29</v>
      </c>
      <c r="F4" s="6" t="s">
        <v>3</v>
      </c>
      <c r="G4" s="6" t="s">
        <v>3</v>
      </c>
      <c r="H4" s="6" t="s">
        <v>4</v>
      </c>
      <c r="I4" s="6" t="s">
        <v>4</v>
      </c>
      <c r="J4" s="6" t="s">
        <v>4</v>
      </c>
      <c r="K4" s="6" t="s">
        <v>5</v>
      </c>
      <c r="L4" s="6" t="s">
        <v>5</v>
      </c>
      <c r="M4" s="6" t="s">
        <v>5</v>
      </c>
      <c r="N4" s="6" t="s">
        <v>6</v>
      </c>
      <c r="O4" s="6" t="s">
        <v>6</v>
      </c>
      <c r="P4" s="6" t="s">
        <v>6</v>
      </c>
      <c r="Q4" s="6" t="s">
        <v>50</v>
      </c>
      <c r="R4" s="6" t="s">
        <v>50</v>
      </c>
      <c r="S4" s="6" t="s">
        <v>51</v>
      </c>
      <c r="T4" s="6" t="s">
        <v>51</v>
      </c>
      <c r="U4" s="6" t="s">
        <v>49</v>
      </c>
      <c r="V4" s="6" t="s">
        <v>49</v>
      </c>
      <c r="W4" s="6" t="s">
        <v>7</v>
      </c>
      <c r="X4" s="6" t="s">
        <v>7</v>
      </c>
      <c r="Y4" s="6" t="s">
        <v>11</v>
      </c>
      <c r="Z4" s="6" t="s">
        <v>11</v>
      </c>
      <c r="AA4" s="6" t="s">
        <v>11</v>
      </c>
      <c r="AB4" s="6" t="s">
        <v>9</v>
      </c>
      <c r="AC4" s="6" t="s">
        <v>9</v>
      </c>
      <c r="AD4" s="6" t="s">
        <v>8</v>
      </c>
      <c r="AE4" s="6" t="s">
        <v>8</v>
      </c>
      <c r="AF4" s="6" t="s">
        <v>8</v>
      </c>
      <c r="AG4" s="6" t="s">
        <v>10</v>
      </c>
      <c r="AH4" s="6" t="s">
        <v>10</v>
      </c>
      <c r="AI4" s="6" t="s">
        <v>48</v>
      </c>
      <c r="AJ4" s="6" t="s">
        <v>48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7">
      <c r="B5" s="8" t="str">
        <f>HLOOKUP(Count,CurveTable,5,FALSE)</f>
        <v>PR</v>
      </c>
      <c r="D5" s="4" t="s">
        <v>12</v>
      </c>
      <c r="E5" s="8" t="s">
        <v>31</v>
      </c>
      <c r="F5" s="8" t="s">
        <v>13</v>
      </c>
      <c r="G5" s="8" t="s">
        <v>47</v>
      </c>
      <c r="H5" s="8" t="s">
        <v>13</v>
      </c>
      <c r="I5" s="8" t="s">
        <v>13</v>
      </c>
      <c r="J5" s="8" t="s">
        <v>47</v>
      </c>
      <c r="K5" s="8" t="s">
        <v>13</v>
      </c>
      <c r="L5" s="8" t="s">
        <v>13</v>
      </c>
      <c r="M5" s="8" t="s">
        <v>47</v>
      </c>
      <c r="N5" s="8" t="s">
        <v>13</v>
      </c>
      <c r="O5" s="8" t="s">
        <v>13</v>
      </c>
      <c r="P5" s="8" t="s">
        <v>47</v>
      </c>
      <c r="Q5" s="8" t="s">
        <v>13</v>
      </c>
      <c r="R5" s="8" t="s">
        <v>13</v>
      </c>
      <c r="S5" s="8" t="s">
        <v>13</v>
      </c>
      <c r="T5" s="8" t="s">
        <v>13</v>
      </c>
      <c r="U5" s="8" t="s">
        <v>13</v>
      </c>
      <c r="V5" s="8" t="s">
        <v>13</v>
      </c>
      <c r="W5" s="8" t="s">
        <v>13</v>
      </c>
      <c r="X5" s="8" t="s">
        <v>13</v>
      </c>
      <c r="Y5" s="8" t="s">
        <v>13</v>
      </c>
      <c r="Z5" s="8" t="s">
        <v>13</v>
      </c>
      <c r="AA5" s="8" t="s">
        <v>47</v>
      </c>
      <c r="AB5" s="8" t="s">
        <v>13</v>
      </c>
      <c r="AC5" s="8" t="s">
        <v>13</v>
      </c>
      <c r="AD5" s="8" t="s">
        <v>13</v>
      </c>
      <c r="AE5" s="8" t="s">
        <v>13</v>
      </c>
      <c r="AF5" s="8" t="s">
        <v>47</v>
      </c>
      <c r="AG5" s="8" t="s">
        <v>13</v>
      </c>
      <c r="AH5" s="8" t="s">
        <v>13</v>
      </c>
      <c r="AI5" s="8" t="s">
        <v>13</v>
      </c>
      <c r="AJ5" s="8" t="s">
        <v>13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7">
      <c r="B6" s="8" t="str">
        <f>HLOOKUP(Count,CurveTable,6,FALSE)</f>
        <v>I</v>
      </c>
      <c r="D6" s="4" t="s">
        <v>14</v>
      </c>
      <c r="E6" s="8" t="s">
        <v>30</v>
      </c>
      <c r="F6" s="8" t="s">
        <v>15</v>
      </c>
      <c r="G6" s="8" t="s">
        <v>15</v>
      </c>
      <c r="H6" s="8" t="s">
        <v>16</v>
      </c>
      <c r="I6" s="8" t="s">
        <v>52</v>
      </c>
      <c r="J6" s="8" t="s">
        <v>15</v>
      </c>
      <c r="K6" s="8" t="s">
        <v>16</v>
      </c>
      <c r="L6" s="8" t="s">
        <v>52</v>
      </c>
      <c r="M6" s="8" t="s">
        <v>15</v>
      </c>
      <c r="N6" s="8" t="s">
        <v>16</v>
      </c>
      <c r="O6" s="8" t="s">
        <v>52</v>
      </c>
      <c r="P6" s="8" t="s">
        <v>15</v>
      </c>
      <c r="Q6" s="8" t="s">
        <v>16</v>
      </c>
      <c r="R6" s="8" t="s">
        <v>52</v>
      </c>
      <c r="S6" s="8" t="s">
        <v>16</v>
      </c>
      <c r="T6" s="8" t="s">
        <v>52</v>
      </c>
      <c r="U6" s="8" t="s">
        <v>16</v>
      </c>
      <c r="V6" s="8" t="s">
        <v>52</v>
      </c>
      <c r="W6" s="8" t="s">
        <v>16</v>
      </c>
      <c r="X6" s="8" t="s">
        <v>52</v>
      </c>
      <c r="Y6" s="8" t="s">
        <v>16</v>
      </c>
      <c r="Z6" s="8" t="s">
        <v>52</v>
      </c>
      <c r="AA6" s="8" t="s">
        <v>15</v>
      </c>
      <c r="AB6" s="8" t="s">
        <v>16</v>
      </c>
      <c r="AC6" s="8" t="s">
        <v>52</v>
      </c>
      <c r="AD6" s="8" t="s">
        <v>16</v>
      </c>
      <c r="AE6" s="8" t="s">
        <v>52</v>
      </c>
      <c r="AF6" s="8" t="s">
        <v>15</v>
      </c>
      <c r="AG6" s="8" t="s">
        <v>16</v>
      </c>
      <c r="AH6" s="8" t="s">
        <v>52</v>
      </c>
      <c r="AI6" s="8" t="s">
        <v>16</v>
      </c>
      <c r="AJ6" s="8" t="s">
        <v>52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7">
      <c r="B7" s="8" t="str">
        <f>HLOOKUP(Count,CurveTable,7,FALSE)</f>
        <v>aj8</v>
      </c>
      <c r="D7" s="4" t="s">
        <v>17</v>
      </c>
      <c r="E7" s="8" t="s">
        <v>18</v>
      </c>
      <c r="F7" s="8" t="s">
        <v>19</v>
      </c>
      <c r="G7" s="8" t="s">
        <v>20</v>
      </c>
      <c r="H7" s="8" t="s">
        <v>21</v>
      </c>
      <c r="I7" s="8" t="s">
        <v>22</v>
      </c>
      <c r="J7" s="8" t="s">
        <v>23</v>
      </c>
      <c r="K7" s="8" t="s">
        <v>24</v>
      </c>
      <c r="L7" s="8" t="s">
        <v>25</v>
      </c>
      <c r="M7" s="8" t="s">
        <v>26</v>
      </c>
      <c r="N7" s="8" t="s">
        <v>144</v>
      </c>
      <c r="O7" s="8" t="s">
        <v>145</v>
      </c>
      <c r="P7" s="8" t="s">
        <v>146</v>
      </c>
      <c r="Q7" s="8" t="s">
        <v>147</v>
      </c>
      <c r="R7" s="8" t="s">
        <v>148</v>
      </c>
      <c r="S7" s="8" t="s">
        <v>149</v>
      </c>
      <c r="T7" s="8" t="s">
        <v>150</v>
      </c>
      <c r="U7" s="8" t="s">
        <v>151</v>
      </c>
      <c r="V7" s="8" t="s">
        <v>152</v>
      </c>
      <c r="W7" s="8" t="s">
        <v>153</v>
      </c>
      <c r="X7" s="8" t="s">
        <v>154</v>
      </c>
      <c r="Y7" s="8" t="s">
        <v>155</v>
      </c>
      <c r="Z7" s="8" t="s">
        <v>156</v>
      </c>
      <c r="AA7" s="8" t="s">
        <v>157</v>
      </c>
      <c r="AB7" s="8" t="s">
        <v>158</v>
      </c>
      <c r="AC7" s="8" t="s">
        <v>159</v>
      </c>
      <c r="AD7" s="8" t="s">
        <v>160</v>
      </c>
      <c r="AE7" s="8" t="s">
        <v>161</v>
      </c>
      <c r="AF7" s="8" t="s">
        <v>162</v>
      </c>
      <c r="AG7" s="8" t="s">
        <v>163</v>
      </c>
      <c r="AH7" s="8" t="s">
        <v>164</v>
      </c>
      <c r="AI7" s="8" t="s">
        <v>165</v>
      </c>
      <c r="AJ7" s="8" t="s">
        <v>166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7">
      <c r="B8" s="9"/>
      <c r="D8" s="10">
        <v>37226</v>
      </c>
      <c r="E8" s="11">
        <v>2.3869920480389599E-2</v>
      </c>
      <c r="F8" s="11">
        <v>3.29</v>
      </c>
      <c r="G8" s="11">
        <v>0.875</v>
      </c>
      <c r="H8" s="11">
        <v>-0.34</v>
      </c>
      <c r="I8" s="11">
        <v>-0.01</v>
      </c>
      <c r="J8" s="11">
        <v>0.875</v>
      </c>
      <c r="K8" s="11">
        <v>-0.22500000000000001</v>
      </c>
      <c r="L8" s="11">
        <v>-2.75E-2</v>
      </c>
      <c r="M8" s="11">
        <v>0.875</v>
      </c>
      <c r="N8" s="11">
        <v>-0.48</v>
      </c>
      <c r="O8" s="11">
        <v>1.4999999999999999E-2</v>
      </c>
      <c r="P8" s="11">
        <v>0.875</v>
      </c>
      <c r="Q8" s="11">
        <v>-0.48</v>
      </c>
      <c r="R8" s="11">
        <v>0</v>
      </c>
      <c r="S8" s="11">
        <v>-0.625</v>
      </c>
      <c r="T8" s="11">
        <v>4.9000000000000002E-2</v>
      </c>
      <c r="U8" s="11">
        <v>-0.52500000000000002</v>
      </c>
      <c r="V8" s="11">
        <v>0.02</v>
      </c>
      <c r="W8" s="11">
        <v>-0.46469358130261001</v>
      </c>
      <c r="X8" s="11">
        <v>0</v>
      </c>
      <c r="Y8" s="11">
        <v>-0.02</v>
      </c>
      <c r="Z8" s="11">
        <v>0.04</v>
      </c>
      <c r="AA8" s="11">
        <v>0.89300000000000002</v>
      </c>
      <c r="AB8" s="11">
        <v>-9.5000000000000001E-2</v>
      </c>
      <c r="AC8" s="11">
        <v>0.02</v>
      </c>
      <c r="AD8" s="10">
        <v>-6.5000000000000002E-2</v>
      </c>
      <c r="AE8" s="11">
        <v>-0.01</v>
      </c>
      <c r="AF8" s="11">
        <v>0.94499999999999995</v>
      </c>
      <c r="AG8" s="11">
        <v>0.06</v>
      </c>
      <c r="AH8" s="11">
        <v>0.01</v>
      </c>
      <c r="AI8" s="11">
        <v>-0.04</v>
      </c>
      <c r="AJ8" s="11">
        <v>0</v>
      </c>
    </row>
    <row r="9" spans="1:57">
      <c r="B9" s="12"/>
      <c r="D9" s="10">
        <v>37257</v>
      </c>
      <c r="E9" s="11">
        <v>2.3271378449290801E-2</v>
      </c>
      <c r="F9" s="11">
        <v>3.4340000000000002</v>
      </c>
      <c r="G9" s="11">
        <v>0.83</v>
      </c>
      <c r="H9" s="11">
        <v>-0.28499999999999998</v>
      </c>
      <c r="I9" s="11">
        <v>-0.01</v>
      </c>
      <c r="J9" s="11">
        <v>0.83</v>
      </c>
      <c r="K9" s="11">
        <v>-0.19</v>
      </c>
      <c r="L9" s="11">
        <v>-2.75E-2</v>
      </c>
      <c r="M9" s="11">
        <v>0.83</v>
      </c>
      <c r="N9" s="11">
        <v>-0.41499999999999998</v>
      </c>
      <c r="O9" s="11">
        <v>1.4999999999999999E-2</v>
      </c>
      <c r="P9" s="11">
        <v>0.83</v>
      </c>
      <c r="Q9" s="11">
        <v>-0.41499999999999998</v>
      </c>
      <c r="R9" s="11">
        <v>2.5000000000000001E-2</v>
      </c>
      <c r="S9" s="11">
        <v>-0.56000000000000005</v>
      </c>
      <c r="T9" s="11">
        <v>4.9000000000000002E-2</v>
      </c>
      <c r="U9" s="11">
        <v>-0.46</v>
      </c>
      <c r="V9" s="11">
        <v>0.02</v>
      </c>
      <c r="W9" s="11">
        <v>-0.47499999999999998</v>
      </c>
      <c r="X9" s="11">
        <v>-1.3225908338935E-3</v>
      </c>
      <c r="Y9" s="11">
        <v>0.09</v>
      </c>
      <c r="Z9" s="11">
        <v>0.04</v>
      </c>
      <c r="AA9" s="11">
        <v>0.84699999999999998</v>
      </c>
      <c r="AB9" s="11">
        <v>-3.5000000000000003E-2</v>
      </c>
      <c r="AC9" s="11">
        <v>0.02</v>
      </c>
      <c r="AD9" s="10">
        <v>-0.02</v>
      </c>
      <c r="AE9" s="11">
        <v>-0.01</v>
      </c>
      <c r="AF9" s="11">
        <v>0.89600000000000002</v>
      </c>
      <c r="AG9" s="11">
        <v>0.13500000000000001</v>
      </c>
      <c r="AH9" s="11">
        <v>0.01</v>
      </c>
      <c r="AI9" s="11">
        <v>3.5000000000000003E-2</v>
      </c>
      <c r="AJ9" s="11">
        <v>0</v>
      </c>
    </row>
    <row r="10" spans="1:57">
      <c r="D10" s="10">
        <v>37288</v>
      </c>
      <c r="E10" s="11">
        <v>2.2731278875428401E-2</v>
      </c>
      <c r="F10" s="11">
        <v>3.4239999999999999</v>
      </c>
      <c r="G10" s="11">
        <v>0.75749999999999995</v>
      </c>
      <c r="H10" s="11">
        <v>-0.28999999999999998</v>
      </c>
      <c r="I10" s="11">
        <v>-0.01</v>
      </c>
      <c r="J10" s="11">
        <v>0.75800000000000001</v>
      </c>
      <c r="K10" s="11">
        <v>-0.185</v>
      </c>
      <c r="L10" s="11">
        <v>-2.75E-2</v>
      </c>
      <c r="M10" s="11">
        <v>0.75800000000000001</v>
      </c>
      <c r="N10" s="11">
        <v>-0.41499999999999998</v>
      </c>
      <c r="O10" s="11">
        <v>1.4999999999999999E-2</v>
      </c>
      <c r="P10" s="11">
        <v>0.75800000000000001</v>
      </c>
      <c r="Q10" s="11">
        <v>-0.41499999999999998</v>
      </c>
      <c r="R10" s="11">
        <v>2.5000000000000001E-2</v>
      </c>
      <c r="S10" s="11">
        <v>-0.56000000000000005</v>
      </c>
      <c r="T10" s="11">
        <v>4.9000000000000002E-2</v>
      </c>
      <c r="U10" s="11">
        <v>-0.46</v>
      </c>
      <c r="V10" s="11">
        <v>0.02</v>
      </c>
      <c r="W10" s="11">
        <v>-0.48</v>
      </c>
      <c r="X10" s="11">
        <v>-1.3226247875177E-3</v>
      </c>
      <c r="Y10" s="11">
        <v>-0.14000000000000001</v>
      </c>
      <c r="Z10" s="11">
        <v>0.03</v>
      </c>
      <c r="AA10" s="11">
        <v>0.77300000000000002</v>
      </c>
      <c r="AB10" s="11">
        <v>-8.5000000000000006E-2</v>
      </c>
      <c r="AC10" s="11">
        <v>0.02</v>
      </c>
      <c r="AD10" s="10">
        <v>-0.04</v>
      </c>
      <c r="AE10" s="11">
        <v>-0.01</v>
      </c>
      <c r="AF10" s="11">
        <v>0.81799999999999995</v>
      </c>
      <c r="AG10" s="11">
        <v>0.11</v>
      </c>
      <c r="AH10" s="11">
        <v>0.01</v>
      </c>
      <c r="AI10" s="11">
        <v>0.01</v>
      </c>
      <c r="AJ10" s="11">
        <v>0</v>
      </c>
    </row>
    <row r="11" spans="1:57">
      <c r="D11" s="10">
        <v>37316</v>
      </c>
      <c r="E11" s="11">
        <v>2.23314782867425E-2</v>
      </c>
      <c r="F11" s="11">
        <v>3.359</v>
      </c>
      <c r="G11" s="11">
        <v>0.66749999999999998</v>
      </c>
      <c r="H11" s="11">
        <v>-0.32500000000000001</v>
      </c>
      <c r="I11" s="11">
        <v>-0.01</v>
      </c>
      <c r="J11" s="11">
        <v>0.66800000000000004</v>
      </c>
      <c r="K11" s="11">
        <v>-0.185</v>
      </c>
      <c r="L11" s="11">
        <v>-2.75E-2</v>
      </c>
      <c r="M11" s="11">
        <v>0.66800000000000004</v>
      </c>
      <c r="N11" s="11">
        <v>-0.48</v>
      </c>
      <c r="O11" s="11">
        <v>1.4999999999999999E-2</v>
      </c>
      <c r="P11" s="11">
        <v>0.66800000000000004</v>
      </c>
      <c r="Q11" s="11">
        <v>-0.48</v>
      </c>
      <c r="R11" s="11">
        <v>0</v>
      </c>
      <c r="S11" s="11">
        <v>-0.625</v>
      </c>
      <c r="T11" s="11">
        <v>2.9000000000000001E-2</v>
      </c>
      <c r="U11" s="11">
        <v>-0.52500000000000002</v>
      </c>
      <c r="V11" s="11">
        <v>0.02</v>
      </c>
      <c r="W11" s="11">
        <v>-0.505</v>
      </c>
      <c r="X11" s="11">
        <v>-1.3223689501918E-3</v>
      </c>
      <c r="Y11" s="11">
        <v>-0.36499999999999999</v>
      </c>
      <c r="Z11" s="11">
        <v>1.4999999999999999E-2</v>
      </c>
      <c r="AA11" s="11">
        <v>0.68100000000000005</v>
      </c>
      <c r="AB11" s="11">
        <v>-0.16</v>
      </c>
      <c r="AC11" s="11">
        <v>0.02</v>
      </c>
      <c r="AD11" s="10">
        <v>-0.06</v>
      </c>
      <c r="AE11" s="11">
        <v>-0.01</v>
      </c>
      <c r="AF11" s="11">
        <v>0.72099999999999997</v>
      </c>
      <c r="AG11" s="11">
        <v>0</v>
      </c>
      <c r="AH11" s="11">
        <v>0.01</v>
      </c>
      <c r="AI11" s="11">
        <v>-0.1</v>
      </c>
      <c r="AJ11" s="11">
        <v>0</v>
      </c>
    </row>
    <row r="12" spans="1:57">
      <c r="D12" s="10">
        <v>37347</v>
      </c>
      <c r="E12" s="11">
        <v>2.2064482499972699E-2</v>
      </c>
      <c r="F12" s="11">
        <v>3.254</v>
      </c>
      <c r="G12" s="11">
        <v>0.53500000000000003</v>
      </c>
      <c r="H12" s="11">
        <v>-0.36499999999999999</v>
      </c>
      <c r="I12" s="11">
        <v>0</v>
      </c>
      <c r="J12" s="11">
        <v>0.53500000000000003</v>
      </c>
      <c r="K12" s="11">
        <v>-0.1575</v>
      </c>
      <c r="L12" s="11">
        <v>-0.01</v>
      </c>
      <c r="M12" s="11">
        <v>0.53500000000000003</v>
      </c>
      <c r="N12" s="11">
        <v>-0.56499999999999995</v>
      </c>
      <c r="O12" s="11">
        <v>0.02</v>
      </c>
      <c r="P12" s="11">
        <v>0.53500000000000003</v>
      </c>
      <c r="Q12" s="11">
        <v>-0.56499999999999995</v>
      </c>
      <c r="R12" s="11">
        <v>0</v>
      </c>
      <c r="S12" s="11">
        <v>-0.66500000000000004</v>
      </c>
      <c r="T12" s="11">
        <v>1.2E-2</v>
      </c>
      <c r="U12" s="11">
        <v>-0.66500000000000004</v>
      </c>
      <c r="V12" s="11">
        <v>0.01</v>
      </c>
      <c r="W12" s="11">
        <v>-0.505</v>
      </c>
      <c r="X12" s="11">
        <v>-1.3221296089356001E-3</v>
      </c>
      <c r="Y12" s="11">
        <v>-0.34</v>
      </c>
      <c r="Z12" s="11">
        <v>0.02</v>
      </c>
      <c r="AA12" s="11">
        <v>0.54600000000000004</v>
      </c>
      <c r="AB12" s="11">
        <v>-0.14000000000000001</v>
      </c>
      <c r="AC12" s="11">
        <v>0.02</v>
      </c>
      <c r="AD12" s="10">
        <v>1.4999999999999999E-2</v>
      </c>
      <c r="AE12" s="11">
        <v>-0.01</v>
      </c>
      <c r="AF12" s="11">
        <v>0.53500000000000003</v>
      </c>
      <c r="AG12" s="11">
        <v>0.04</v>
      </c>
      <c r="AH12" s="11">
        <v>0.03</v>
      </c>
      <c r="AI12" s="11">
        <v>-0.16</v>
      </c>
      <c r="AJ12" s="11">
        <v>0</v>
      </c>
    </row>
    <row r="13" spans="1:57">
      <c r="B13" s="1" t="s">
        <v>27</v>
      </c>
      <c r="D13" s="10">
        <v>37377</v>
      </c>
      <c r="E13" s="11">
        <v>2.20263632358026E-2</v>
      </c>
      <c r="F13" s="11">
        <v>3.2829999999999999</v>
      </c>
      <c r="G13" s="11">
        <v>0.47499999999999998</v>
      </c>
      <c r="H13" s="11">
        <v>-0.36499999999999999</v>
      </c>
      <c r="I13" s="11">
        <v>0</v>
      </c>
      <c r="J13" s="11">
        <v>0.47499999999999998</v>
      </c>
      <c r="K13" s="11">
        <v>-0.1525</v>
      </c>
      <c r="L13" s="11">
        <v>-0.01</v>
      </c>
      <c r="M13" s="11">
        <v>0.47499999999999998</v>
      </c>
      <c r="N13" s="11">
        <v>-0.56499999999999995</v>
      </c>
      <c r="O13" s="11">
        <v>0.02</v>
      </c>
      <c r="P13" s="11">
        <v>0.47499999999999998</v>
      </c>
      <c r="Q13" s="11">
        <v>-0.56499999999999995</v>
      </c>
      <c r="R13" s="11">
        <v>0</v>
      </c>
      <c r="S13" s="11">
        <v>-0.66500000000000004</v>
      </c>
      <c r="T13" s="11">
        <v>1.2E-2</v>
      </c>
      <c r="U13" s="11">
        <v>-0.66500000000000004</v>
      </c>
      <c r="V13" s="11">
        <v>0.01</v>
      </c>
      <c r="W13" s="11">
        <v>-0.505</v>
      </c>
      <c r="X13" s="11">
        <v>-1.3220280001384999E-3</v>
      </c>
      <c r="Y13" s="11">
        <v>-0.34</v>
      </c>
      <c r="Z13" s="11">
        <v>0.02</v>
      </c>
      <c r="AA13" s="11">
        <v>0.48499999999999999</v>
      </c>
      <c r="AB13" s="11">
        <v>-0.14000000000000001</v>
      </c>
      <c r="AC13" s="11">
        <v>0.02</v>
      </c>
      <c r="AD13" s="10">
        <v>4.4999999999999998E-2</v>
      </c>
      <c r="AE13" s="11">
        <v>-0.01</v>
      </c>
      <c r="AF13" s="11">
        <v>0.47499999999999998</v>
      </c>
      <c r="AG13" s="11">
        <v>0.11</v>
      </c>
      <c r="AH13" s="11">
        <v>0.03</v>
      </c>
      <c r="AI13" s="11">
        <v>-0.09</v>
      </c>
      <c r="AJ13" s="11">
        <v>0</v>
      </c>
    </row>
    <row r="14" spans="1:57">
      <c r="D14" s="10">
        <v>37408</v>
      </c>
      <c r="E14" s="11">
        <v>2.1986973330010401E-2</v>
      </c>
      <c r="F14" s="11">
        <v>3.319</v>
      </c>
      <c r="G14" s="11">
        <v>0.46</v>
      </c>
      <c r="H14" s="11">
        <v>-0.36499999999999999</v>
      </c>
      <c r="I14" s="11">
        <v>0</v>
      </c>
      <c r="J14" s="11">
        <v>0.46</v>
      </c>
      <c r="K14" s="11">
        <v>-0.14249999999999999</v>
      </c>
      <c r="L14" s="11">
        <v>-0.01</v>
      </c>
      <c r="M14" s="11">
        <v>0.46</v>
      </c>
      <c r="N14" s="11">
        <v>-0.56499999999999995</v>
      </c>
      <c r="O14" s="11">
        <v>0.02</v>
      </c>
      <c r="P14" s="11">
        <v>0.46</v>
      </c>
      <c r="Q14" s="11">
        <v>-0.56499999999999995</v>
      </c>
      <c r="R14" s="11">
        <v>0</v>
      </c>
      <c r="S14" s="11">
        <v>-0.66500000000000004</v>
      </c>
      <c r="T14" s="11">
        <v>1.2E-2</v>
      </c>
      <c r="U14" s="11">
        <v>-0.66500000000000004</v>
      </c>
      <c r="V14" s="11">
        <v>0.01</v>
      </c>
      <c r="W14" s="11">
        <v>-0.505</v>
      </c>
      <c r="X14" s="11">
        <v>-1.3219580593974E-3</v>
      </c>
      <c r="Y14" s="11">
        <v>-0.34</v>
      </c>
      <c r="Z14" s="11">
        <v>0.02</v>
      </c>
      <c r="AA14" s="11">
        <v>0.46899999999999997</v>
      </c>
      <c r="AB14" s="11">
        <v>-0.14000000000000001</v>
      </c>
      <c r="AC14" s="11">
        <v>0.02</v>
      </c>
      <c r="AD14" s="10">
        <v>8.5000000000000006E-2</v>
      </c>
      <c r="AE14" s="11">
        <v>-0.01</v>
      </c>
      <c r="AF14" s="11">
        <v>0.46</v>
      </c>
      <c r="AG14" s="11">
        <v>0.19</v>
      </c>
      <c r="AH14" s="11">
        <v>0.03</v>
      </c>
      <c r="AI14" s="11">
        <v>-0.01</v>
      </c>
      <c r="AJ14" s="11">
        <v>0</v>
      </c>
    </row>
    <row r="15" spans="1:57" ht="13.5" thickBot="1">
      <c r="D15" s="10">
        <v>37438</v>
      </c>
      <c r="E15" s="11">
        <v>2.2048127935986501E-2</v>
      </c>
      <c r="F15" s="11">
        <v>3.359</v>
      </c>
      <c r="G15" s="11">
        <v>0.46</v>
      </c>
      <c r="H15" s="11">
        <v>-0.32</v>
      </c>
      <c r="I15" s="11">
        <v>0</v>
      </c>
      <c r="J15" s="11">
        <v>0.46</v>
      </c>
      <c r="K15" s="11">
        <v>-0.11749999999999999</v>
      </c>
      <c r="L15" s="11">
        <v>-0.01</v>
      </c>
      <c r="M15" s="11">
        <v>0.46</v>
      </c>
      <c r="N15" s="11">
        <v>-0.56499999999999995</v>
      </c>
      <c r="O15" s="11">
        <v>0.02</v>
      </c>
      <c r="P15" s="11">
        <v>0.46</v>
      </c>
      <c r="Q15" s="11">
        <v>-0.56499999999999995</v>
      </c>
      <c r="R15" s="11">
        <v>0</v>
      </c>
      <c r="S15" s="11">
        <v>-0.66500000000000004</v>
      </c>
      <c r="T15" s="11">
        <v>1.2E-2</v>
      </c>
      <c r="U15" s="11">
        <v>-0.66500000000000004</v>
      </c>
      <c r="V15" s="11">
        <v>0.01</v>
      </c>
      <c r="W15" s="11">
        <v>-0.505</v>
      </c>
      <c r="X15" s="11">
        <v>-1.3218954078171E-3</v>
      </c>
      <c r="Y15" s="11">
        <v>-0.39500000000000002</v>
      </c>
      <c r="Z15" s="11">
        <v>0.02</v>
      </c>
      <c r="AA15" s="11">
        <v>0.46899999999999997</v>
      </c>
      <c r="AB15" s="11">
        <v>-0.01</v>
      </c>
      <c r="AC15" s="11">
        <v>0.02</v>
      </c>
      <c r="AD15" s="10">
        <v>0.21</v>
      </c>
      <c r="AE15" s="11">
        <v>-0.01</v>
      </c>
      <c r="AF15" s="11">
        <v>0.46</v>
      </c>
      <c r="AG15" s="11">
        <v>0.255</v>
      </c>
      <c r="AH15" s="11">
        <v>0.03</v>
      </c>
      <c r="AI15" s="11">
        <v>5.5E-2</v>
      </c>
      <c r="AJ15" s="11">
        <v>0</v>
      </c>
    </row>
    <row r="16" spans="1:57" ht="13.5" thickBot="1">
      <c r="B16" s="13" t="s">
        <v>28</v>
      </c>
      <c r="D16" s="10">
        <v>37469</v>
      </c>
      <c r="E16" s="11">
        <v>2.2271737877362301E-2</v>
      </c>
      <c r="F16" s="11">
        <v>3.399</v>
      </c>
      <c r="G16" s="11">
        <v>0.46</v>
      </c>
      <c r="H16" s="11">
        <v>-0.32</v>
      </c>
      <c r="I16" s="11">
        <v>0</v>
      </c>
      <c r="J16" s="11">
        <v>0.46</v>
      </c>
      <c r="K16" s="11">
        <v>-0.11</v>
      </c>
      <c r="L16" s="11">
        <v>-0.01</v>
      </c>
      <c r="M16" s="11">
        <v>0.46</v>
      </c>
      <c r="N16" s="11">
        <v>-0.56499999999999995</v>
      </c>
      <c r="O16" s="11">
        <v>0.02</v>
      </c>
      <c r="P16" s="11">
        <v>0.46</v>
      </c>
      <c r="Q16" s="11">
        <v>-0.56499999999999995</v>
      </c>
      <c r="R16" s="11">
        <v>0</v>
      </c>
      <c r="S16" s="11">
        <v>-0.66500000000000004</v>
      </c>
      <c r="T16" s="11">
        <v>1.2E-2</v>
      </c>
      <c r="U16" s="11">
        <v>-0.66500000000000004</v>
      </c>
      <c r="V16" s="11">
        <v>0.01</v>
      </c>
      <c r="W16" s="11">
        <v>-0.505</v>
      </c>
      <c r="X16" s="11">
        <v>-1.3218556748213E-3</v>
      </c>
      <c r="Y16" s="11">
        <v>-0.39500000000000002</v>
      </c>
      <c r="Z16" s="11">
        <v>0.02</v>
      </c>
      <c r="AA16" s="11">
        <v>0.46899999999999997</v>
      </c>
      <c r="AB16" s="11">
        <v>-0.01</v>
      </c>
      <c r="AC16" s="11">
        <v>0.02</v>
      </c>
      <c r="AD16" s="10">
        <v>0.22500000000000001</v>
      </c>
      <c r="AE16" s="11">
        <v>-0.01</v>
      </c>
      <c r="AF16" s="11">
        <v>0.46</v>
      </c>
      <c r="AG16" s="11">
        <v>0.26</v>
      </c>
      <c r="AH16" s="11">
        <v>0.03</v>
      </c>
      <c r="AI16" s="11">
        <v>0.06</v>
      </c>
      <c r="AJ16" s="11">
        <v>0</v>
      </c>
    </row>
    <row r="17" spans="2:36">
      <c r="B17" s="14">
        <v>36892</v>
      </c>
      <c r="D17" s="10">
        <v>37500</v>
      </c>
      <c r="E17" s="11">
        <v>2.2495347835661799E-2</v>
      </c>
      <c r="F17" s="11">
        <v>3.399</v>
      </c>
      <c r="G17" s="11">
        <v>0.46</v>
      </c>
      <c r="H17" s="11">
        <v>-0.32</v>
      </c>
      <c r="I17" s="11">
        <v>0</v>
      </c>
      <c r="J17" s="11">
        <v>0.46</v>
      </c>
      <c r="K17" s="11">
        <v>-0.12</v>
      </c>
      <c r="L17" s="11">
        <v>-0.01</v>
      </c>
      <c r="M17" s="11">
        <v>0.46</v>
      </c>
      <c r="N17" s="11">
        <v>-0.56499999999999995</v>
      </c>
      <c r="O17" s="11">
        <v>0</v>
      </c>
      <c r="P17" s="11">
        <v>0.46</v>
      </c>
      <c r="Q17" s="11">
        <v>-0.56499999999999995</v>
      </c>
      <c r="R17" s="11">
        <v>0</v>
      </c>
      <c r="S17" s="11">
        <v>-0.66500000000000004</v>
      </c>
      <c r="T17" s="11">
        <v>1.2E-2</v>
      </c>
      <c r="U17" s="11">
        <v>-0.66500000000000004</v>
      </c>
      <c r="V17" s="11">
        <v>1.2500000000000001E-2</v>
      </c>
      <c r="W17" s="11">
        <v>-0.505</v>
      </c>
      <c r="X17" s="11">
        <v>-1.3218433155938001E-3</v>
      </c>
      <c r="Y17" s="11">
        <v>-0.39500000000000002</v>
      </c>
      <c r="Z17" s="11">
        <v>0.02</v>
      </c>
      <c r="AA17" s="11">
        <v>0.46899999999999997</v>
      </c>
      <c r="AB17" s="11">
        <v>-0.01</v>
      </c>
      <c r="AC17" s="11">
        <v>0.02</v>
      </c>
      <c r="AD17" s="10">
        <v>0.21</v>
      </c>
      <c r="AE17" s="11">
        <v>-0.01</v>
      </c>
      <c r="AF17" s="11">
        <v>0.46</v>
      </c>
      <c r="AG17" s="11">
        <v>0.2</v>
      </c>
      <c r="AH17" s="11">
        <v>0.03</v>
      </c>
      <c r="AI17" s="11">
        <v>0</v>
      </c>
      <c r="AJ17" s="11">
        <v>0</v>
      </c>
    </row>
    <row r="18" spans="2:36">
      <c r="B18" s="15">
        <v>36910</v>
      </c>
      <c r="D18" s="10">
        <v>37530</v>
      </c>
      <c r="E18" s="11">
        <v>2.2779490489795301E-2</v>
      </c>
      <c r="F18" s="11">
        <v>3.4289999999999998</v>
      </c>
      <c r="G18" s="11">
        <v>0.46</v>
      </c>
      <c r="H18" s="11">
        <v>-0.33</v>
      </c>
      <c r="I18" s="11">
        <v>0</v>
      </c>
      <c r="J18" s="11">
        <v>0.46</v>
      </c>
      <c r="K18" s="11">
        <v>-0.16250000000000001</v>
      </c>
      <c r="L18" s="11">
        <v>-0.01</v>
      </c>
      <c r="M18" s="11">
        <v>0.46</v>
      </c>
      <c r="N18" s="11">
        <v>-0.56499999999999995</v>
      </c>
      <c r="O18" s="11">
        <v>0.02</v>
      </c>
      <c r="P18" s="11">
        <v>0.46</v>
      </c>
      <c r="Q18" s="11">
        <v>-0.56499999999999995</v>
      </c>
      <c r="R18" s="11">
        <v>0</v>
      </c>
      <c r="S18" s="11">
        <v>-0.66500000000000004</v>
      </c>
      <c r="T18" s="11">
        <v>1.2E-2</v>
      </c>
      <c r="U18" s="11">
        <v>-0.66500000000000004</v>
      </c>
      <c r="V18" s="11">
        <v>0.03</v>
      </c>
      <c r="W18" s="11">
        <v>-0.505</v>
      </c>
      <c r="X18" s="11">
        <v>-1.3218251839420001E-3</v>
      </c>
      <c r="Y18" s="11">
        <v>-0.24</v>
      </c>
      <c r="Z18" s="11">
        <v>0.02</v>
      </c>
      <c r="AA18" s="11">
        <v>0.46899999999999997</v>
      </c>
      <c r="AB18" s="11">
        <v>-0.06</v>
      </c>
      <c r="AC18" s="11">
        <v>0.02</v>
      </c>
      <c r="AD18" s="10">
        <v>9.5000000000000001E-2</v>
      </c>
      <c r="AE18" s="11">
        <v>-0.01</v>
      </c>
      <c r="AF18" s="11">
        <v>0.46</v>
      </c>
      <c r="AG18" s="11">
        <v>0.17499999999999999</v>
      </c>
      <c r="AH18" s="11">
        <v>0.03</v>
      </c>
      <c r="AI18" s="11">
        <v>-2.5000000000000001E-2</v>
      </c>
      <c r="AJ18" s="11">
        <v>0</v>
      </c>
    </row>
    <row r="19" spans="2:36">
      <c r="B19" s="15">
        <v>36994</v>
      </c>
      <c r="D19" s="10">
        <v>37561</v>
      </c>
      <c r="E19" s="11">
        <v>2.3169244203794299E-2</v>
      </c>
      <c r="F19" s="11">
        <v>3.6040000000000001</v>
      </c>
      <c r="G19" s="11">
        <v>0.45750000000000002</v>
      </c>
      <c r="H19" s="11">
        <v>-0.2</v>
      </c>
      <c r="I19" s="11">
        <v>0</v>
      </c>
      <c r="J19" s="11">
        <v>0.45800000000000002</v>
      </c>
      <c r="K19" s="11">
        <v>-0.14000000000000001</v>
      </c>
      <c r="L19" s="11">
        <v>0</v>
      </c>
      <c r="M19" s="11">
        <v>0.45800000000000002</v>
      </c>
      <c r="N19" s="11">
        <v>-0.27750000000000002</v>
      </c>
      <c r="O19" s="11">
        <v>2.75E-2</v>
      </c>
      <c r="P19" s="11">
        <v>0.45800000000000002</v>
      </c>
      <c r="Q19" s="11">
        <v>-0.27750000000000002</v>
      </c>
      <c r="R19" s="11">
        <v>0.14000000000000001</v>
      </c>
      <c r="S19" s="11">
        <v>-0.32250000000000001</v>
      </c>
      <c r="T19" s="11">
        <v>0.152</v>
      </c>
      <c r="U19" s="11">
        <v>-0.32250000000000001</v>
      </c>
      <c r="V19" s="11">
        <v>0.03</v>
      </c>
      <c r="W19" s="11">
        <v>-0.42</v>
      </c>
      <c r="X19" s="11">
        <v>-1.3218187577443E-3</v>
      </c>
      <c r="Y19" s="11">
        <v>0</v>
      </c>
      <c r="Z19" s="11">
        <v>0.06</v>
      </c>
      <c r="AA19" s="11">
        <v>0.46700000000000003</v>
      </c>
      <c r="AB19" s="11">
        <v>0.1</v>
      </c>
      <c r="AC19" s="11">
        <v>0.04</v>
      </c>
      <c r="AD19" s="10">
        <v>0.155</v>
      </c>
      <c r="AE19" s="11">
        <v>0.02</v>
      </c>
      <c r="AF19" s="11">
        <v>0.45800000000000002</v>
      </c>
      <c r="AG19" s="11">
        <v>0.26</v>
      </c>
      <c r="AH19" s="11">
        <v>0.04</v>
      </c>
      <c r="AI19" s="11">
        <v>0.06</v>
      </c>
      <c r="AJ19" s="11">
        <v>0.02</v>
      </c>
    </row>
    <row r="20" spans="2:36">
      <c r="B20" s="15"/>
      <c r="D20" s="10">
        <v>37591</v>
      </c>
      <c r="E20" s="11">
        <v>2.35464252662747E-2</v>
      </c>
      <c r="F20" s="11">
        <v>3.794</v>
      </c>
      <c r="G20" s="11">
        <v>0.45500000000000002</v>
      </c>
      <c r="H20" s="11">
        <v>-0.2</v>
      </c>
      <c r="I20" s="11">
        <v>0</v>
      </c>
      <c r="J20" s="11">
        <v>0.45500000000000002</v>
      </c>
      <c r="K20" s="11">
        <v>-0.14000000000000001</v>
      </c>
      <c r="L20" s="11">
        <v>0</v>
      </c>
      <c r="M20" s="11">
        <v>0.45500000000000002</v>
      </c>
      <c r="N20" s="11">
        <v>-0.27750000000000002</v>
      </c>
      <c r="O20" s="11">
        <v>2.75E-2</v>
      </c>
      <c r="P20" s="11">
        <v>0.45500000000000002</v>
      </c>
      <c r="Q20" s="11">
        <v>-0.27750000000000002</v>
      </c>
      <c r="R20" s="11">
        <v>0</v>
      </c>
      <c r="S20" s="11">
        <v>-0.32250000000000001</v>
      </c>
      <c r="T20" s="11">
        <v>5.0999999999999997E-2</v>
      </c>
      <c r="U20" s="11">
        <v>-0.32250000000000001</v>
      </c>
      <c r="V20" s="11">
        <v>0.03</v>
      </c>
      <c r="W20" s="11">
        <v>-0.42</v>
      </c>
      <c r="X20" s="11">
        <v>-1.3218313034731E-3</v>
      </c>
      <c r="Y20" s="11">
        <v>0.34</v>
      </c>
      <c r="Z20" s="11">
        <v>0.06</v>
      </c>
      <c r="AA20" s="11">
        <v>0.46400000000000002</v>
      </c>
      <c r="AB20" s="11">
        <v>0.1</v>
      </c>
      <c r="AC20" s="11">
        <v>0.04</v>
      </c>
      <c r="AD20" s="10">
        <v>0.155</v>
      </c>
      <c r="AE20" s="11">
        <v>0.02</v>
      </c>
      <c r="AF20" s="11">
        <v>0.45500000000000002</v>
      </c>
      <c r="AG20" s="11">
        <v>0.33</v>
      </c>
      <c r="AH20" s="11">
        <v>0.04</v>
      </c>
      <c r="AI20" s="11">
        <v>0.13</v>
      </c>
      <c r="AJ20" s="11">
        <v>0.02</v>
      </c>
    </row>
    <row r="21" spans="2:36">
      <c r="B21" s="15"/>
      <c r="D21" s="10">
        <v>37622</v>
      </c>
      <c r="E21" s="11">
        <v>2.39911924734941E-2</v>
      </c>
      <c r="F21" s="11">
        <v>3.9140000000000001</v>
      </c>
      <c r="G21" s="11">
        <v>0.45500000000000002</v>
      </c>
      <c r="H21" s="11">
        <v>-0.2</v>
      </c>
      <c r="I21" s="11">
        <v>0</v>
      </c>
      <c r="J21" s="11">
        <v>0.45500000000000002</v>
      </c>
      <c r="K21" s="11">
        <v>-0.13750000000000001</v>
      </c>
      <c r="L21" s="11">
        <v>0</v>
      </c>
      <c r="M21" s="11">
        <v>0.45500000000000002</v>
      </c>
      <c r="N21" s="11">
        <v>-0.27750000000000002</v>
      </c>
      <c r="O21" s="11">
        <v>2.75E-2</v>
      </c>
      <c r="P21" s="11">
        <v>0.45500000000000002</v>
      </c>
      <c r="Q21" s="11">
        <v>-0.27750000000000002</v>
      </c>
      <c r="R21" s="11">
        <v>2.5000000000000001E-2</v>
      </c>
      <c r="S21" s="11">
        <v>-0.32250000000000001</v>
      </c>
      <c r="T21" s="11">
        <v>5.0999999999999997E-2</v>
      </c>
      <c r="U21" s="11">
        <v>-0.32250000000000001</v>
      </c>
      <c r="V21" s="11">
        <v>0.03</v>
      </c>
      <c r="W21" s="11">
        <v>-0.42</v>
      </c>
      <c r="X21" s="11">
        <v>5.2870927169073002E-3</v>
      </c>
      <c r="Y21" s="11">
        <v>0.37</v>
      </c>
      <c r="Z21" s="11">
        <v>0.06</v>
      </c>
      <c r="AA21" s="11">
        <v>0.46400000000000002</v>
      </c>
      <c r="AB21" s="11">
        <v>0.16500000000000001</v>
      </c>
      <c r="AC21" s="11">
        <v>0.04</v>
      </c>
      <c r="AD21" s="10">
        <v>0.14499999999999999</v>
      </c>
      <c r="AE21" s="11">
        <v>0.02</v>
      </c>
      <c r="AF21" s="11">
        <v>0.45500000000000002</v>
      </c>
      <c r="AG21" s="11">
        <v>0.47499999999999998</v>
      </c>
      <c r="AH21" s="11">
        <v>0.04</v>
      </c>
      <c r="AI21" s="11">
        <v>0.27500000000000002</v>
      </c>
      <c r="AJ21" s="11">
        <v>0.02</v>
      </c>
    </row>
    <row r="22" spans="2:36">
      <c r="B22" s="15"/>
      <c r="D22" s="10">
        <v>37653</v>
      </c>
      <c r="E22" s="11">
        <v>2.4502761735158501E-2</v>
      </c>
      <c r="F22" s="11">
        <v>3.8290000000000002</v>
      </c>
      <c r="G22" s="11">
        <v>0.44750000000000001</v>
      </c>
      <c r="H22" s="11">
        <v>-0.2</v>
      </c>
      <c r="I22" s="11">
        <v>0</v>
      </c>
      <c r="J22" s="11">
        <v>0.44800000000000001</v>
      </c>
      <c r="K22" s="11">
        <v>-0.13750000000000001</v>
      </c>
      <c r="L22" s="11">
        <v>0</v>
      </c>
      <c r="M22" s="11">
        <v>0.44800000000000001</v>
      </c>
      <c r="N22" s="11">
        <v>-0.27750000000000002</v>
      </c>
      <c r="O22" s="11">
        <v>2.75E-2</v>
      </c>
      <c r="P22" s="11">
        <v>0.44800000000000001</v>
      </c>
      <c r="Q22" s="11">
        <v>-0.27750000000000002</v>
      </c>
      <c r="R22" s="11">
        <v>2.5000000000000001E-2</v>
      </c>
      <c r="S22" s="11">
        <v>-0.32250000000000001</v>
      </c>
      <c r="T22" s="11">
        <v>5.0999999999999997E-2</v>
      </c>
      <c r="U22" s="11">
        <v>-0.32250000000000001</v>
      </c>
      <c r="V22" s="11">
        <v>0.03</v>
      </c>
      <c r="W22" s="11">
        <v>-0.42</v>
      </c>
      <c r="X22" s="11">
        <v>5.2866221208854002E-3</v>
      </c>
      <c r="Y22" s="11">
        <v>0.05</v>
      </c>
      <c r="Z22" s="11">
        <v>0.06</v>
      </c>
      <c r="AA22" s="11">
        <v>0.45600000000000002</v>
      </c>
      <c r="AB22" s="11">
        <v>0.15</v>
      </c>
      <c r="AC22" s="11">
        <v>0.04</v>
      </c>
      <c r="AD22" s="10">
        <v>0.14499999999999999</v>
      </c>
      <c r="AE22" s="11">
        <v>0.02</v>
      </c>
      <c r="AF22" s="11">
        <v>0.44800000000000001</v>
      </c>
      <c r="AG22" s="11">
        <v>0.44</v>
      </c>
      <c r="AH22" s="11">
        <v>0.04</v>
      </c>
      <c r="AI22" s="11">
        <v>0.24</v>
      </c>
      <c r="AJ22" s="11">
        <v>0.02</v>
      </c>
    </row>
    <row r="23" spans="2:36">
      <c r="B23" s="15"/>
      <c r="D23" s="10">
        <v>37681</v>
      </c>
      <c r="E23" s="11">
        <v>2.4964824370130999E-2</v>
      </c>
      <c r="F23" s="11">
        <v>3.7240000000000002</v>
      </c>
      <c r="G23" s="11">
        <v>0.42499999999999999</v>
      </c>
      <c r="H23" s="11">
        <v>-0.2</v>
      </c>
      <c r="I23" s="11">
        <v>0</v>
      </c>
      <c r="J23" s="11">
        <v>0.42499999999999999</v>
      </c>
      <c r="K23" s="11">
        <v>-0.13750000000000001</v>
      </c>
      <c r="L23" s="11">
        <v>0</v>
      </c>
      <c r="M23" s="11">
        <v>0.42499999999999999</v>
      </c>
      <c r="N23" s="11">
        <v>-0.27750000000000002</v>
      </c>
      <c r="O23" s="11">
        <v>2.75E-2</v>
      </c>
      <c r="P23" s="11">
        <v>0.42499999999999999</v>
      </c>
      <c r="Q23" s="11">
        <v>-0.27750000000000002</v>
      </c>
      <c r="R23" s="11">
        <v>0</v>
      </c>
      <c r="S23" s="11">
        <v>-0.32250000000000001</v>
      </c>
      <c r="T23" s="11">
        <v>3.1E-2</v>
      </c>
      <c r="U23" s="11">
        <v>-0.32250000000000001</v>
      </c>
      <c r="V23" s="11">
        <v>0.03</v>
      </c>
      <c r="W23" s="11">
        <v>-0.42</v>
      </c>
      <c r="X23" s="11">
        <v>5.2861888943511997E-3</v>
      </c>
      <c r="Y23" s="11">
        <v>-0.26</v>
      </c>
      <c r="Z23" s="11">
        <v>0.06</v>
      </c>
      <c r="AA23" s="11">
        <v>0.434</v>
      </c>
      <c r="AB23" s="11">
        <v>7.0000000000000007E-2</v>
      </c>
      <c r="AC23" s="11">
        <v>0.04</v>
      </c>
      <c r="AD23" s="10">
        <v>0.14499999999999999</v>
      </c>
      <c r="AE23" s="11">
        <v>0.02</v>
      </c>
      <c r="AF23" s="11">
        <v>0.42499999999999999</v>
      </c>
      <c r="AG23" s="11">
        <v>0.38</v>
      </c>
      <c r="AH23" s="11">
        <v>0.04</v>
      </c>
      <c r="AI23" s="11">
        <v>0.18</v>
      </c>
      <c r="AJ23" s="11">
        <v>0.02</v>
      </c>
    </row>
    <row r="24" spans="2:36">
      <c r="B24" s="15"/>
      <c r="D24" s="10">
        <v>37712</v>
      </c>
      <c r="E24" s="11">
        <v>2.54890960619387E-2</v>
      </c>
      <c r="F24" s="11">
        <v>3.5990000000000002</v>
      </c>
      <c r="G24" s="11">
        <v>0.38</v>
      </c>
      <c r="H24" s="11">
        <v>-0.27500000000000002</v>
      </c>
      <c r="I24" s="11">
        <v>2.5000000000000001E-3</v>
      </c>
      <c r="J24" s="11">
        <v>0.38</v>
      </c>
      <c r="K24" s="11">
        <v>-0.105</v>
      </c>
      <c r="L24" s="11">
        <v>5.0000000000000001E-3</v>
      </c>
      <c r="M24" s="11">
        <v>0.38</v>
      </c>
      <c r="N24" s="11">
        <v>-0.45500000000000002</v>
      </c>
      <c r="O24" s="11">
        <v>0.02</v>
      </c>
      <c r="P24" s="11">
        <v>0.38</v>
      </c>
      <c r="Q24" s="11">
        <v>-0.45500000000000002</v>
      </c>
      <c r="R24" s="11">
        <v>0</v>
      </c>
      <c r="S24" s="11">
        <v>-0.54500000000000004</v>
      </c>
      <c r="T24" s="11">
        <v>1.4E-2</v>
      </c>
      <c r="U24" s="11">
        <v>-0.54500000000000004</v>
      </c>
      <c r="V24" s="11">
        <v>0.01</v>
      </c>
      <c r="W24" s="11">
        <v>-0.435</v>
      </c>
      <c r="X24" s="11">
        <v>1.6518105846614001E-3</v>
      </c>
      <c r="Y24" s="11">
        <v>-0.255</v>
      </c>
      <c r="Z24" s="11">
        <v>0.02</v>
      </c>
      <c r="AA24" s="11">
        <v>0.38800000000000001</v>
      </c>
      <c r="AB24" s="11">
        <v>0.1</v>
      </c>
      <c r="AC24" s="11">
        <v>0.03</v>
      </c>
      <c r="AD24" s="10">
        <v>0.25</v>
      </c>
      <c r="AE24" s="11">
        <v>0.02</v>
      </c>
      <c r="AF24" s="11">
        <v>0.38</v>
      </c>
      <c r="AG24" s="11">
        <v>0.38500000000000001</v>
      </c>
      <c r="AH24" s="11">
        <v>0.02</v>
      </c>
      <c r="AI24" s="11">
        <v>0.185</v>
      </c>
      <c r="AJ24" s="11">
        <v>0.01</v>
      </c>
    </row>
    <row r="25" spans="2:36">
      <c r="B25" s="15"/>
      <c r="C25" s="11"/>
      <c r="D25" s="10">
        <v>37742</v>
      </c>
      <c r="E25" s="11">
        <v>2.6003998451144601E-2</v>
      </c>
      <c r="F25" s="11">
        <v>3.5990000000000002</v>
      </c>
      <c r="G25" s="11">
        <v>0.36249999999999999</v>
      </c>
      <c r="H25" s="11">
        <v>-0.27500000000000002</v>
      </c>
      <c r="I25" s="11">
        <v>2.5000000000000001E-3</v>
      </c>
      <c r="J25" s="11">
        <v>0.36299999999999999</v>
      </c>
      <c r="K25" s="11">
        <v>-0.105</v>
      </c>
      <c r="L25" s="11">
        <v>5.0000000000000001E-3</v>
      </c>
      <c r="M25" s="11">
        <v>0.36299999999999999</v>
      </c>
      <c r="N25" s="11">
        <v>-0.45500000000000002</v>
      </c>
      <c r="O25" s="11">
        <v>0.02</v>
      </c>
      <c r="P25" s="11">
        <v>0.36299999999999999</v>
      </c>
      <c r="Q25" s="11">
        <v>-0.45500000000000002</v>
      </c>
      <c r="R25" s="11">
        <v>0</v>
      </c>
      <c r="S25" s="11">
        <v>-0.54500000000000004</v>
      </c>
      <c r="T25" s="11">
        <v>1.4E-2</v>
      </c>
      <c r="U25" s="11">
        <v>-0.54500000000000004</v>
      </c>
      <c r="V25" s="11">
        <v>0.01</v>
      </c>
      <c r="W25" s="11">
        <v>-0.435</v>
      </c>
      <c r="X25" s="11">
        <v>1.6517100112709E-3</v>
      </c>
      <c r="Y25" s="11">
        <v>-0.255</v>
      </c>
      <c r="Z25" s="11">
        <v>0.02</v>
      </c>
      <c r="AA25" s="11">
        <v>0.37</v>
      </c>
      <c r="AB25" s="11">
        <v>0.1</v>
      </c>
      <c r="AC25" s="11">
        <v>0.03</v>
      </c>
      <c r="AD25" s="10">
        <v>0.25</v>
      </c>
      <c r="AE25" s="11">
        <v>0.02</v>
      </c>
      <c r="AF25" s="11">
        <v>0.36299999999999999</v>
      </c>
      <c r="AG25" s="11">
        <v>0.38500000000000001</v>
      </c>
      <c r="AH25" s="11">
        <v>0.02</v>
      </c>
      <c r="AI25" s="11">
        <v>0.185</v>
      </c>
      <c r="AJ25" s="11">
        <v>0.01</v>
      </c>
    </row>
    <row r="26" spans="2:36">
      <c r="B26" s="15"/>
      <c r="D26" s="10">
        <v>37773</v>
      </c>
      <c r="E26" s="11">
        <v>2.6536064347421302E-2</v>
      </c>
      <c r="F26" s="11">
        <v>3.6240000000000001</v>
      </c>
      <c r="G26" s="11">
        <v>0.35749999999999998</v>
      </c>
      <c r="H26" s="11">
        <v>-0.27500000000000002</v>
      </c>
      <c r="I26" s="11">
        <v>2.5000000000000001E-3</v>
      </c>
      <c r="J26" s="11">
        <v>0.35799999999999998</v>
      </c>
      <c r="K26" s="11">
        <v>-0.105</v>
      </c>
      <c r="L26" s="11">
        <v>5.0000000000000001E-3</v>
      </c>
      <c r="M26" s="11">
        <v>0.35799999999999998</v>
      </c>
      <c r="N26" s="11">
        <v>-0.45500000000000002</v>
      </c>
      <c r="O26" s="11">
        <v>0.02</v>
      </c>
      <c r="P26" s="11">
        <v>0.35799999999999998</v>
      </c>
      <c r="Q26" s="11">
        <v>-0.45500000000000002</v>
      </c>
      <c r="R26" s="11">
        <v>0</v>
      </c>
      <c r="S26" s="11">
        <v>-0.54500000000000004</v>
      </c>
      <c r="T26" s="11">
        <v>1.4E-2</v>
      </c>
      <c r="U26" s="11">
        <v>-0.54500000000000004</v>
      </c>
      <c r="V26" s="11">
        <v>0.01</v>
      </c>
      <c r="W26" s="11">
        <v>-0.435</v>
      </c>
      <c r="X26" s="11">
        <v>1.6516087162973001E-3</v>
      </c>
      <c r="Y26" s="11">
        <v>-0.255</v>
      </c>
      <c r="Z26" s="11">
        <v>0.02</v>
      </c>
      <c r="AA26" s="11">
        <v>0.36499999999999999</v>
      </c>
      <c r="AB26" s="11">
        <v>0.1</v>
      </c>
      <c r="AC26" s="11">
        <v>0.03</v>
      </c>
      <c r="AD26" s="10">
        <v>0.25</v>
      </c>
      <c r="AE26" s="11">
        <v>0.02</v>
      </c>
      <c r="AF26" s="11">
        <v>0.35799999999999998</v>
      </c>
      <c r="AG26" s="11">
        <v>0.38500000000000001</v>
      </c>
      <c r="AH26" s="11">
        <v>0.02</v>
      </c>
      <c r="AI26" s="11">
        <v>0.185</v>
      </c>
      <c r="AJ26" s="11">
        <v>0.01</v>
      </c>
    </row>
    <row r="27" spans="2:36">
      <c r="B27" s="15"/>
      <c r="D27" s="10">
        <v>37803</v>
      </c>
      <c r="E27" s="11">
        <v>2.70613807895188E-2</v>
      </c>
      <c r="F27" s="11">
        <v>3.6589999999999998</v>
      </c>
      <c r="G27" s="11">
        <v>0.35749999999999998</v>
      </c>
      <c r="H27" s="11">
        <v>-0.27500000000000002</v>
      </c>
      <c r="I27" s="11">
        <v>2.5000000000000001E-3</v>
      </c>
      <c r="J27" s="11">
        <v>0.35799999999999998</v>
      </c>
      <c r="K27" s="11">
        <v>-0.105</v>
      </c>
      <c r="L27" s="11">
        <v>5.0000000000000001E-3</v>
      </c>
      <c r="M27" s="11">
        <v>0.35799999999999998</v>
      </c>
      <c r="N27" s="11">
        <v>-0.45500000000000002</v>
      </c>
      <c r="O27" s="11">
        <v>0.02</v>
      </c>
      <c r="P27" s="11">
        <v>0.35799999999999998</v>
      </c>
      <c r="Q27" s="11">
        <v>-0.45500000000000002</v>
      </c>
      <c r="R27" s="11">
        <v>0</v>
      </c>
      <c r="S27" s="11">
        <v>-0.54500000000000004</v>
      </c>
      <c r="T27" s="11">
        <v>1.4E-2</v>
      </c>
      <c r="U27" s="11">
        <v>-0.54500000000000004</v>
      </c>
      <c r="V27" s="11">
        <v>0.01</v>
      </c>
      <c r="W27" s="11">
        <v>-0.435</v>
      </c>
      <c r="X27" s="11">
        <v>1.6515414332528E-3</v>
      </c>
      <c r="Y27" s="11">
        <v>-0.255</v>
      </c>
      <c r="Z27" s="11">
        <v>0.02</v>
      </c>
      <c r="AA27" s="11">
        <v>0.36499999999999999</v>
      </c>
      <c r="AB27" s="11">
        <v>0.1</v>
      </c>
      <c r="AC27" s="11">
        <v>0.03</v>
      </c>
      <c r="AD27" s="10">
        <v>0.25</v>
      </c>
      <c r="AE27" s="11">
        <v>0.02</v>
      </c>
      <c r="AF27" s="11">
        <v>0.35799999999999998</v>
      </c>
      <c r="AG27" s="11">
        <v>0.43</v>
      </c>
      <c r="AH27" s="11">
        <v>0.02</v>
      </c>
      <c r="AI27" s="11">
        <v>0.23</v>
      </c>
      <c r="AJ27" s="11">
        <v>0.01</v>
      </c>
    </row>
    <row r="28" spans="2:36">
      <c r="B28" s="15"/>
      <c r="D28" s="10">
        <v>37834</v>
      </c>
      <c r="E28" s="11">
        <v>2.7619119750419901E-2</v>
      </c>
      <c r="F28" s="11">
        <v>3.694</v>
      </c>
      <c r="G28" s="11">
        <v>0.35749999999999998</v>
      </c>
      <c r="H28" s="11">
        <v>-0.27500000000000002</v>
      </c>
      <c r="I28" s="11">
        <v>2.5000000000000001E-3</v>
      </c>
      <c r="J28" s="11">
        <v>0.35799999999999998</v>
      </c>
      <c r="K28" s="11">
        <v>-0.105</v>
      </c>
      <c r="L28" s="11">
        <v>5.0000000000000001E-3</v>
      </c>
      <c r="M28" s="11">
        <v>0.35799999999999998</v>
      </c>
      <c r="N28" s="11">
        <v>-0.45500000000000002</v>
      </c>
      <c r="O28" s="11">
        <v>0.02</v>
      </c>
      <c r="P28" s="11">
        <v>0.35799999999999998</v>
      </c>
      <c r="Q28" s="11">
        <v>-0.45500000000000002</v>
      </c>
      <c r="R28" s="11">
        <v>0</v>
      </c>
      <c r="S28" s="11">
        <v>-0.54500000000000004</v>
      </c>
      <c r="T28" s="11">
        <v>1.4E-2</v>
      </c>
      <c r="U28" s="11">
        <v>-0.54500000000000004</v>
      </c>
      <c r="V28" s="11">
        <v>0.01</v>
      </c>
      <c r="W28" s="11">
        <v>-0.435</v>
      </c>
      <c r="X28" s="11">
        <v>1.651519874212E-3</v>
      </c>
      <c r="Y28" s="11">
        <v>-0.255</v>
      </c>
      <c r="Z28" s="11">
        <v>0.02</v>
      </c>
      <c r="AA28" s="11">
        <v>0.36499999999999999</v>
      </c>
      <c r="AB28" s="11">
        <v>0.1</v>
      </c>
      <c r="AC28" s="11">
        <v>0.03</v>
      </c>
      <c r="AD28" s="10">
        <v>0.25</v>
      </c>
      <c r="AE28" s="11">
        <v>0.02</v>
      </c>
      <c r="AF28" s="11">
        <v>0.35799999999999998</v>
      </c>
      <c r="AG28" s="11">
        <v>0.45</v>
      </c>
      <c r="AH28" s="11">
        <v>0.02</v>
      </c>
      <c r="AI28" s="11">
        <v>0.25</v>
      </c>
      <c r="AJ28" s="11">
        <v>0.01</v>
      </c>
    </row>
    <row r="29" spans="2:36" ht="13.5" thickBot="1">
      <c r="B29" s="16"/>
      <c r="D29" s="10">
        <v>37865</v>
      </c>
      <c r="E29" s="11">
        <v>2.8176858816330301E-2</v>
      </c>
      <c r="F29" s="11">
        <v>3.7010000000000001</v>
      </c>
      <c r="G29" s="11">
        <v>0.35749999999999998</v>
      </c>
      <c r="H29" s="11">
        <v>-0.27500000000000002</v>
      </c>
      <c r="I29" s="11">
        <v>2.5000000000000001E-3</v>
      </c>
      <c r="J29" s="11">
        <v>0.35799999999999998</v>
      </c>
      <c r="K29" s="11">
        <v>-0.105</v>
      </c>
      <c r="L29" s="11">
        <v>5.0000000000000001E-3</v>
      </c>
      <c r="M29" s="11">
        <v>0.35799999999999998</v>
      </c>
      <c r="N29" s="11">
        <v>-0.45500000000000002</v>
      </c>
      <c r="O29" s="11">
        <v>0.02</v>
      </c>
      <c r="P29" s="11">
        <v>0.35799999999999998</v>
      </c>
      <c r="Q29" s="11">
        <v>-0.45500000000000002</v>
      </c>
      <c r="R29" s="11">
        <v>0</v>
      </c>
      <c r="S29" s="11">
        <v>-0.54500000000000004</v>
      </c>
      <c r="T29" s="11">
        <v>1.4E-2</v>
      </c>
      <c r="U29" s="11">
        <v>-0.54500000000000004</v>
      </c>
      <c r="V29" s="11">
        <v>1.2500000000000001E-2</v>
      </c>
      <c r="W29" s="11">
        <v>-0.435</v>
      </c>
      <c r="X29" s="11">
        <v>1.6515080337850001E-3</v>
      </c>
      <c r="Y29" s="11">
        <v>-0.255</v>
      </c>
      <c r="Z29" s="11">
        <v>0.02</v>
      </c>
      <c r="AA29" s="11">
        <v>0.36499999999999999</v>
      </c>
      <c r="AB29" s="11">
        <v>0.1</v>
      </c>
      <c r="AC29" s="11">
        <v>0.03</v>
      </c>
      <c r="AD29" s="10">
        <v>0.25</v>
      </c>
      <c r="AE29" s="11">
        <v>0.02</v>
      </c>
      <c r="AF29" s="11">
        <v>0.35799999999999998</v>
      </c>
      <c r="AG29" s="11">
        <v>0.42</v>
      </c>
      <c r="AH29" s="11">
        <v>0.02</v>
      </c>
      <c r="AI29" s="11">
        <v>0.22</v>
      </c>
      <c r="AJ29" s="11">
        <v>0.01</v>
      </c>
    </row>
    <row r="30" spans="2:36">
      <c r="D30" s="10">
        <v>37895</v>
      </c>
      <c r="E30" s="11">
        <v>2.8715037007064102E-2</v>
      </c>
      <c r="F30" s="11">
        <v>3.7290000000000001</v>
      </c>
      <c r="G30" s="11">
        <v>0.35749999999999998</v>
      </c>
      <c r="H30" s="11">
        <v>-0.27500000000000002</v>
      </c>
      <c r="I30" s="11">
        <v>2.5000000000000001E-3</v>
      </c>
      <c r="J30" s="11">
        <v>0.35799999999999998</v>
      </c>
      <c r="K30" s="11">
        <v>-0.105</v>
      </c>
      <c r="L30" s="11">
        <v>5.0000000000000001E-3</v>
      </c>
      <c r="M30" s="11">
        <v>0.35799999999999998</v>
      </c>
      <c r="N30" s="11">
        <v>-0.45500000000000002</v>
      </c>
      <c r="O30" s="11">
        <v>0.02</v>
      </c>
      <c r="P30" s="11">
        <v>0.35799999999999998</v>
      </c>
      <c r="Q30" s="11">
        <v>-0.45500000000000002</v>
      </c>
      <c r="R30" s="11">
        <v>0</v>
      </c>
      <c r="S30" s="11">
        <v>-0.54500000000000004</v>
      </c>
      <c r="T30" s="11">
        <v>1.4E-2</v>
      </c>
      <c r="U30" s="11">
        <v>-0.54500000000000004</v>
      </c>
      <c r="V30" s="11">
        <v>0.03</v>
      </c>
      <c r="W30" s="11">
        <v>-0.435</v>
      </c>
      <c r="X30" s="11">
        <v>1.6515009312422001E-3</v>
      </c>
      <c r="Y30" s="11">
        <v>-0.255</v>
      </c>
      <c r="Z30" s="11">
        <v>0.02</v>
      </c>
      <c r="AA30" s="11">
        <v>0.36499999999999999</v>
      </c>
      <c r="AB30" s="11">
        <v>0.1</v>
      </c>
      <c r="AC30" s="11">
        <v>0.03</v>
      </c>
      <c r="AD30" s="10">
        <v>0.25</v>
      </c>
      <c r="AE30" s="11">
        <v>0.02</v>
      </c>
      <c r="AF30" s="11">
        <v>0.35799999999999998</v>
      </c>
      <c r="AG30" s="11">
        <v>0.42</v>
      </c>
      <c r="AH30" s="11">
        <v>0.02</v>
      </c>
      <c r="AI30" s="11">
        <v>0.22</v>
      </c>
      <c r="AJ30" s="11">
        <v>0.01</v>
      </c>
    </row>
    <row r="31" spans="2:36">
      <c r="D31" s="10">
        <v>37926</v>
      </c>
      <c r="E31" s="11">
        <v>2.9269192084716799E-2</v>
      </c>
      <c r="F31" s="11">
        <v>3.9020000000000001</v>
      </c>
      <c r="G31" s="11">
        <v>0.35749999999999998</v>
      </c>
      <c r="H31" s="11">
        <v>-0.155</v>
      </c>
      <c r="I31" s="11">
        <v>5.0000000000000001E-3</v>
      </c>
      <c r="J31" s="11">
        <v>0.35799999999999998</v>
      </c>
      <c r="K31" s="11">
        <v>-0.105</v>
      </c>
      <c r="L31" s="11">
        <v>5.0000000000000001E-3</v>
      </c>
      <c r="M31" s="11">
        <v>0.35799999999999998</v>
      </c>
      <c r="N31" s="11">
        <v>-0.25</v>
      </c>
      <c r="O31" s="11">
        <v>0.03</v>
      </c>
      <c r="P31" s="11">
        <v>0.35799999999999998</v>
      </c>
      <c r="Q31" s="11">
        <v>-0.25</v>
      </c>
      <c r="R31" s="11">
        <v>0.14000000000000001</v>
      </c>
      <c r="S31" s="11">
        <v>-0.33</v>
      </c>
      <c r="T31" s="11">
        <v>0.154</v>
      </c>
      <c r="U31" s="11">
        <v>-0.33</v>
      </c>
      <c r="V31" s="11">
        <v>0.03</v>
      </c>
      <c r="W31" s="11">
        <v>-0.4</v>
      </c>
      <c r="X31" s="11">
        <v>5.2847882115411001E-3</v>
      </c>
      <c r="Y31" s="11">
        <v>9.5000000000000001E-2</v>
      </c>
      <c r="Z31" s="11">
        <v>0.06</v>
      </c>
      <c r="AA31" s="11">
        <v>0.36499999999999999</v>
      </c>
      <c r="AB31" s="11">
        <v>0.25</v>
      </c>
      <c r="AC31" s="11">
        <v>0.04</v>
      </c>
      <c r="AD31" s="10">
        <v>0.24</v>
      </c>
      <c r="AE31" s="11">
        <v>0.03</v>
      </c>
      <c r="AF31" s="11">
        <v>0.35799999999999998</v>
      </c>
      <c r="AG31" s="11">
        <v>0.47499999999999998</v>
      </c>
      <c r="AH31" s="11">
        <v>0.03</v>
      </c>
      <c r="AI31" s="11">
        <v>0.27500000000000002</v>
      </c>
      <c r="AJ31" s="11">
        <v>0.01</v>
      </c>
    </row>
    <row r="32" spans="2:36">
      <c r="D32" s="10">
        <v>37956</v>
      </c>
      <c r="E32" s="11">
        <v>2.9805471290744699E-2</v>
      </c>
      <c r="F32" s="11">
        <v>4.0540000000000003</v>
      </c>
      <c r="G32" s="11">
        <v>0.35749999999999998</v>
      </c>
      <c r="H32" s="11">
        <v>-0.155</v>
      </c>
      <c r="I32" s="11">
        <v>5.0000000000000001E-3</v>
      </c>
      <c r="J32" s="11">
        <v>0.35799999999999998</v>
      </c>
      <c r="K32" s="11">
        <v>-0.105</v>
      </c>
      <c r="L32" s="11">
        <v>5.0000000000000001E-3</v>
      </c>
      <c r="M32" s="11">
        <v>0.35799999999999998</v>
      </c>
      <c r="N32" s="11">
        <v>-0.25</v>
      </c>
      <c r="O32" s="11">
        <v>0.03</v>
      </c>
      <c r="P32" s="11">
        <v>0.35799999999999998</v>
      </c>
      <c r="Q32" s="11">
        <v>-0.25</v>
      </c>
      <c r="R32" s="11">
        <v>0</v>
      </c>
      <c r="S32" s="11">
        <v>-0.33</v>
      </c>
      <c r="T32" s="11">
        <v>5.2999999999999999E-2</v>
      </c>
      <c r="U32" s="11">
        <v>-0.33</v>
      </c>
      <c r="V32" s="11">
        <v>0.03</v>
      </c>
      <c r="W32" s="11">
        <v>-0.4</v>
      </c>
      <c r="X32" s="11">
        <v>5.2850480328716001E-3</v>
      </c>
      <c r="Y32" s="11">
        <v>0.435</v>
      </c>
      <c r="Z32" s="11">
        <v>0.06</v>
      </c>
      <c r="AA32" s="11">
        <v>0.36499999999999999</v>
      </c>
      <c r="AB32" s="11">
        <v>0.25</v>
      </c>
      <c r="AC32" s="11">
        <v>0.04</v>
      </c>
      <c r="AD32" s="10">
        <v>0.24</v>
      </c>
      <c r="AE32" s="11">
        <v>0.03</v>
      </c>
      <c r="AF32" s="11">
        <v>0.35799999999999998</v>
      </c>
      <c r="AG32" s="11">
        <v>0.51</v>
      </c>
      <c r="AH32" s="11">
        <v>0.03</v>
      </c>
      <c r="AI32" s="11">
        <v>0.31</v>
      </c>
      <c r="AJ32" s="11">
        <v>0.01</v>
      </c>
    </row>
    <row r="33" spans="4:36">
      <c r="D33" s="10">
        <v>37987</v>
      </c>
      <c r="E33" s="11">
        <v>3.0361701596499601E-2</v>
      </c>
      <c r="F33" s="11">
        <v>4.1040000000000001</v>
      </c>
      <c r="G33" s="11">
        <v>0.35249999999999998</v>
      </c>
      <c r="H33" s="11">
        <v>-0.155</v>
      </c>
      <c r="I33" s="11">
        <v>5.0000000000000001E-3</v>
      </c>
      <c r="J33" s="11">
        <v>0.35299999999999998</v>
      </c>
      <c r="K33" s="11">
        <v>-9.5000000000000001E-2</v>
      </c>
      <c r="L33" s="11">
        <v>5.0000000000000001E-3</v>
      </c>
      <c r="M33" s="11">
        <v>0.35299999999999998</v>
      </c>
      <c r="N33" s="11">
        <v>-0.25</v>
      </c>
      <c r="O33" s="11">
        <v>0.03</v>
      </c>
      <c r="P33" s="11">
        <v>0.35299999999999998</v>
      </c>
      <c r="Q33" s="11">
        <v>-0.25</v>
      </c>
      <c r="R33" s="11">
        <v>2.5000000000000001E-2</v>
      </c>
      <c r="S33" s="11">
        <v>-0.33</v>
      </c>
      <c r="T33" s="11">
        <v>5.2999999999999999E-2</v>
      </c>
      <c r="U33" s="11">
        <v>-0.33</v>
      </c>
      <c r="V33" s="11">
        <v>0.03</v>
      </c>
      <c r="W33" s="11">
        <v>-0.4</v>
      </c>
      <c r="X33" s="11">
        <v>5.2854067524852003E-3</v>
      </c>
      <c r="Y33" s="11">
        <v>0.46500000000000002</v>
      </c>
      <c r="Z33" s="11">
        <v>0.06</v>
      </c>
      <c r="AA33" s="11">
        <v>0.36</v>
      </c>
      <c r="AB33" s="11">
        <v>0.28000000000000003</v>
      </c>
      <c r="AC33" s="11">
        <v>0.04</v>
      </c>
      <c r="AD33" s="10">
        <v>0.24</v>
      </c>
      <c r="AE33" s="11">
        <v>0.03</v>
      </c>
      <c r="AF33" s="11">
        <v>0.35299999999999998</v>
      </c>
      <c r="AG33" s="11">
        <v>0.52</v>
      </c>
      <c r="AH33" s="11">
        <v>0.03</v>
      </c>
      <c r="AI33" s="11">
        <v>0.32</v>
      </c>
      <c r="AJ33" s="11">
        <v>0.01</v>
      </c>
    </row>
    <row r="34" spans="4:36">
      <c r="D34" s="10">
        <v>38018</v>
      </c>
      <c r="E34" s="11">
        <v>3.0920145366236398E-2</v>
      </c>
      <c r="F34" s="11">
        <v>4.016</v>
      </c>
      <c r="G34" s="11">
        <v>0.34749999999999998</v>
      </c>
      <c r="H34" s="11">
        <v>-0.155</v>
      </c>
      <c r="I34" s="11">
        <v>5.0000000000000001E-3</v>
      </c>
      <c r="J34" s="11">
        <v>0.34799999999999998</v>
      </c>
      <c r="K34" s="11">
        <v>-9.5000000000000001E-2</v>
      </c>
      <c r="L34" s="11">
        <v>5.0000000000000001E-3</v>
      </c>
      <c r="M34" s="11">
        <v>0.34799999999999998</v>
      </c>
      <c r="N34" s="11">
        <v>-0.25</v>
      </c>
      <c r="O34" s="11">
        <v>0.03</v>
      </c>
      <c r="P34" s="11">
        <v>0.34799999999999998</v>
      </c>
      <c r="Q34" s="11">
        <v>-0.25</v>
      </c>
      <c r="R34" s="11">
        <v>2.5000000000000001E-2</v>
      </c>
      <c r="S34" s="11">
        <v>-0.33</v>
      </c>
      <c r="T34" s="11">
        <v>5.2999999999999999E-2</v>
      </c>
      <c r="U34" s="11">
        <v>-0.33</v>
      </c>
      <c r="V34" s="11">
        <v>0.03</v>
      </c>
      <c r="W34" s="11">
        <v>-0.4</v>
      </c>
      <c r="X34" s="11">
        <v>5.2858432901440001E-3</v>
      </c>
      <c r="Y34" s="11">
        <v>0.14499999999999999</v>
      </c>
      <c r="Z34" s="11">
        <v>0.06</v>
      </c>
      <c r="AA34" s="11">
        <v>0.35399999999999998</v>
      </c>
      <c r="AB34" s="11">
        <v>0.28000000000000003</v>
      </c>
      <c r="AC34" s="11">
        <v>0.04</v>
      </c>
      <c r="AD34" s="10">
        <v>0.24</v>
      </c>
      <c r="AE34" s="11">
        <v>0.03</v>
      </c>
      <c r="AF34" s="11">
        <v>0.34799999999999998</v>
      </c>
      <c r="AG34" s="11">
        <v>0.47</v>
      </c>
      <c r="AH34" s="11">
        <v>0.03</v>
      </c>
      <c r="AI34" s="11">
        <v>0.27</v>
      </c>
      <c r="AJ34" s="11">
        <v>0.01</v>
      </c>
    </row>
    <row r="35" spans="4:36">
      <c r="D35" s="10">
        <v>38047</v>
      </c>
      <c r="E35" s="11">
        <v>3.1442560600819298E-2</v>
      </c>
      <c r="F35" s="11">
        <v>3.8769999999999998</v>
      </c>
      <c r="G35" s="11">
        <v>0.33500000000000002</v>
      </c>
      <c r="H35" s="11">
        <v>-0.155</v>
      </c>
      <c r="I35" s="11">
        <v>5.0000000000000001E-3</v>
      </c>
      <c r="J35" s="11">
        <v>0.33500000000000002</v>
      </c>
      <c r="K35" s="11">
        <v>-9.5000000000000001E-2</v>
      </c>
      <c r="L35" s="11">
        <v>5.0000000000000001E-3</v>
      </c>
      <c r="M35" s="11">
        <v>0.33500000000000002</v>
      </c>
      <c r="N35" s="11">
        <v>-0.25</v>
      </c>
      <c r="O35" s="11">
        <v>0.03</v>
      </c>
      <c r="P35" s="11">
        <v>0.33500000000000002</v>
      </c>
      <c r="Q35" s="11">
        <v>-0.25</v>
      </c>
      <c r="R35" s="11">
        <v>0</v>
      </c>
      <c r="S35" s="11">
        <v>-0.33</v>
      </c>
      <c r="T35" s="11">
        <v>3.3000000000000002E-2</v>
      </c>
      <c r="U35" s="11">
        <v>-0.33</v>
      </c>
      <c r="V35" s="11">
        <v>0.03</v>
      </c>
      <c r="W35" s="11">
        <v>-0.4</v>
      </c>
      <c r="X35" s="11">
        <v>5.2863003762091999E-3</v>
      </c>
      <c r="Y35" s="11">
        <v>-0.16500000000000001</v>
      </c>
      <c r="Z35" s="11">
        <v>0.06</v>
      </c>
      <c r="AA35" s="11">
        <v>0.34200000000000003</v>
      </c>
      <c r="AB35" s="11">
        <v>0.28000000000000003</v>
      </c>
      <c r="AC35" s="11">
        <v>0.04</v>
      </c>
      <c r="AD35" s="10">
        <v>0.24</v>
      </c>
      <c r="AE35" s="11">
        <v>0.03</v>
      </c>
      <c r="AF35" s="11">
        <v>0.33500000000000002</v>
      </c>
      <c r="AG35" s="11">
        <v>0.46</v>
      </c>
      <c r="AH35" s="11">
        <v>0.03</v>
      </c>
      <c r="AI35" s="11">
        <v>0.26</v>
      </c>
      <c r="AJ35" s="11">
        <v>0.01</v>
      </c>
    </row>
    <row r="36" spans="4:36">
      <c r="D36" s="10">
        <v>38078</v>
      </c>
      <c r="E36" s="11">
        <v>3.1971658072825503E-2</v>
      </c>
      <c r="F36" s="11">
        <v>3.7229999999999999</v>
      </c>
      <c r="G36" s="11">
        <v>0.3075</v>
      </c>
      <c r="H36" s="11">
        <v>-0.22</v>
      </c>
      <c r="I36" s="11">
        <v>2.5000000000000001E-3</v>
      </c>
      <c r="J36" s="11">
        <v>0.308</v>
      </c>
      <c r="K36" s="11">
        <v>-9.5000000000000001E-2</v>
      </c>
      <c r="L36" s="11">
        <v>5.0000000000000001E-3</v>
      </c>
      <c r="M36" s="11">
        <v>0.308</v>
      </c>
      <c r="N36" s="11">
        <v>-0.37</v>
      </c>
      <c r="O36" s="11">
        <v>0.02</v>
      </c>
      <c r="P36" s="11">
        <v>0.308</v>
      </c>
      <c r="Q36" s="11">
        <v>-0.37</v>
      </c>
      <c r="R36" s="11">
        <v>0</v>
      </c>
      <c r="S36" s="11">
        <v>-0.46</v>
      </c>
      <c r="T36" s="11">
        <v>1.6E-2</v>
      </c>
      <c r="U36" s="11">
        <v>-0.46</v>
      </c>
      <c r="V36" s="11">
        <v>0.01</v>
      </c>
      <c r="W36" s="11">
        <v>-0.43</v>
      </c>
      <c r="X36" s="11">
        <v>1.652022589832E-3</v>
      </c>
      <c r="Y36" s="11">
        <v>-0.3</v>
      </c>
      <c r="Z36" s="11">
        <v>0.02</v>
      </c>
      <c r="AA36" s="11">
        <v>0.314</v>
      </c>
      <c r="AB36" s="11">
        <v>0.16500000000000001</v>
      </c>
      <c r="AC36" s="11">
        <v>0.03</v>
      </c>
      <c r="AD36" s="10">
        <v>0.26</v>
      </c>
      <c r="AE36" s="11">
        <v>0.03</v>
      </c>
      <c r="AF36" s="11">
        <v>0.308</v>
      </c>
      <c r="AG36" s="11">
        <v>0.44</v>
      </c>
      <c r="AH36" s="11">
        <v>0.03</v>
      </c>
      <c r="AI36" s="11">
        <v>0.24</v>
      </c>
      <c r="AJ36" s="11">
        <v>0</v>
      </c>
    </row>
    <row r="37" spans="4:36">
      <c r="D37" s="10">
        <v>38108</v>
      </c>
      <c r="E37" s="11">
        <v>3.2453394806852803E-2</v>
      </c>
      <c r="F37" s="11">
        <v>3.7280000000000002</v>
      </c>
      <c r="G37" s="11">
        <v>0.30249999999999999</v>
      </c>
      <c r="H37" s="11">
        <v>-0.22</v>
      </c>
      <c r="I37" s="11">
        <v>2.5000000000000001E-3</v>
      </c>
      <c r="J37" s="11">
        <v>0.30299999999999999</v>
      </c>
      <c r="K37" s="11">
        <v>-9.5000000000000001E-2</v>
      </c>
      <c r="L37" s="11">
        <v>5.0000000000000001E-3</v>
      </c>
      <c r="M37" s="11">
        <v>0.30299999999999999</v>
      </c>
      <c r="N37" s="11">
        <v>-0.37</v>
      </c>
      <c r="O37" s="11">
        <v>0.02</v>
      </c>
      <c r="P37" s="11">
        <v>0.30299999999999999</v>
      </c>
      <c r="Q37" s="11">
        <v>-0.37</v>
      </c>
      <c r="R37" s="11">
        <v>0</v>
      </c>
      <c r="S37" s="11">
        <v>-0.46</v>
      </c>
      <c r="T37" s="11">
        <v>1.6E-2</v>
      </c>
      <c r="U37" s="11">
        <v>-0.46</v>
      </c>
      <c r="V37" s="11">
        <v>0.01</v>
      </c>
      <c r="W37" s="11">
        <v>-0.43</v>
      </c>
      <c r="X37" s="11">
        <v>1.6519599429652E-3</v>
      </c>
      <c r="Y37" s="11">
        <v>-0.3</v>
      </c>
      <c r="Z37" s="11">
        <v>0.02</v>
      </c>
      <c r="AA37" s="11">
        <v>0.309</v>
      </c>
      <c r="AB37" s="11">
        <v>0.16500000000000001</v>
      </c>
      <c r="AC37" s="11">
        <v>0.03</v>
      </c>
      <c r="AD37" s="10">
        <v>0.26</v>
      </c>
      <c r="AE37" s="11">
        <v>0.03</v>
      </c>
      <c r="AF37" s="11">
        <v>0.30299999999999999</v>
      </c>
      <c r="AG37" s="11">
        <v>0.44</v>
      </c>
      <c r="AH37" s="11">
        <v>0.03</v>
      </c>
      <c r="AI37" s="11">
        <v>0.24</v>
      </c>
      <c r="AJ37" s="11">
        <v>0</v>
      </c>
    </row>
    <row r="38" spans="4:36">
      <c r="D38" s="10">
        <v>38139</v>
      </c>
      <c r="E38" s="11">
        <v>3.2951189514118802E-2</v>
      </c>
      <c r="F38" s="11">
        <v>3.766</v>
      </c>
      <c r="G38" s="11">
        <v>0.30249999999999999</v>
      </c>
      <c r="H38" s="11">
        <v>-0.22</v>
      </c>
      <c r="I38" s="11">
        <v>2.5000000000000001E-3</v>
      </c>
      <c r="J38" s="11">
        <v>0.30299999999999999</v>
      </c>
      <c r="K38" s="11">
        <v>-9.5000000000000001E-2</v>
      </c>
      <c r="L38" s="11">
        <v>5.0000000000000001E-3</v>
      </c>
      <c r="M38" s="11">
        <v>0.30299999999999999</v>
      </c>
      <c r="N38" s="11">
        <v>-0.37</v>
      </c>
      <c r="O38" s="11">
        <v>0.02</v>
      </c>
      <c r="P38" s="11">
        <v>0.30299999999999999</v>
      </c>
      <c r="Q38" s="11">
        <v>-0.37</v>
      </c>
      <c r="R38" s="11">
        <v>0</v>
      </c>
      <c r="S38" s="11">
        <v>-0.46</v>
      </c>
      <c r="T38" s="11">
        <v>1.6E-2</v>
      </c>
      <c r="U38" s="11">
        <v>-0.46</v>
      </c>
      <c r="V38" s="11">
        <v>0.01</v>
      </c>
      <c r="W38" s="11">
        <v>-0.43</v>
      </c>
      <c r="X38" s="11">
        <v>1.6518953719945001E-3</v>
      </c>
      <c r="Y38" s="11">
        <v>-0.3</v>
      </c>
      <c r="Z38" s="11">
        <v>0.02</v>
      </c>
      <c r="AA38" s="11">
        <v>0.309</v>
      </c>
      <c r="AB38" s="11">
        <v>0.16500000000000001</v>
      </c>
      <c r="AC38" s="11">
        <v>0.03</v>
      </c>
      <c r="AD38" s="10">
        <v>0.26</v>
      </c>
      <c r="AE38" s="11">
        <v>0.03</v>
      </c>
      <c r="AF38" s="11">
        <v>0.30299999999999999</v>
      </c>
      <c r="AG38" s="11">
        <v>0.44</v>
      </c>
      <c r="AH38" s="11">
        <v>0.03</v>
      </c>
      <c r="AI38" s="11">
        <v>0.24</v>
      </c>
      <c r="AJ38" s="11">
        <v>0</v>
      </c>
    </row>
    <row r="39" spans="4:36">
      <c r="D39" s="10">
        <v>38169</v>
      </c>
      <c r="E39" s="11">
        <v>3.3417640945320397E-2</v>
      </c>
      <c r="F39" s="11">
        <v>3.8109999999999999</v>
      </c>
      <c r="G39" s="11">
        <v>0.30249999999999999</v>
      </c>
      <c r="H39" s="11">
        <v>-0.22</v>
      </c>
      <c r="I39" s="11">
        <v>2.5000000000000001E-3</v>
      </c>
      <c r="J39" s="11">
        <v>0.30299999999999999</v>
      </c>
      <c r="K39" s="11">
        <v>-9.5000000000000001E-2</v>
      </c>
      <c r="L39" s="11">
        <v>5.0000000000000001E-3</v>
      </c>
      <c r="M39" s="11">
        <v>0.30299999999999999</v>
      </c>
      <c r="N39" s="11">
        <v>-0.37</v>
      </c>
      <c r="O39" s="11">
        <v>0.02</v>
      </c>
      <c r="P39" s="11">
        <v>0.30299999999999999</v>
      </c>
      <c r="Q39" s="11">
        <v>-0.37</v>
      </c>
      <c r="R39" s="11">
        <v>0</v>
      </c>
      <c r="S39" s="11">
        <v>-0.46</v>
      </c>
      <c r="T39" s="11">
        <v>1.6E-2</v>
      </c>
      <c r="U39" s="11">
        <v>-0.46</v>
      </c>
      <c r="V39" s="11">
        <v>0.01</v>
      </c>
      <c r="W39" s="11">
        <v>-0.43</v>
      </c>
      <c r="X39" s="11">
        <v>1.6517668880041E-3</v>
      </c>
      <c r="Y39" s="11">
        <v>-0.3</v>
      </c>
      <c r="Z39" s="11">
        <v>0.02</v>
      </c>
      <c r="AA39" s="11">
        <v>0.309</v>
      </c>
      <c r="AB39" s="11">
        <v>0.16500000000000001</v>
      </c>
      <c r="AC39" s="11">
        <v>0.03</v>
      </c>
      <c r="AD39" s="10">
        <v>0.26</v>
      </c>
      <c r="AE39" s="11">
        <v>0.03</v>
      </c>
      <c r="AF39" s="11">
        <v>0.30299999999999999</v>
      </c>
      <c r="AG39" s="11">
        <v>0.44</v>
      </c>
      <c r="AH39" s="11">
        <v>0.03</v>
      </c>
      <c r="AI39" s="11">
        <v>0.24</v>
      </c>
      <c r="AJ39" s="11">
        <v>0</v>
      </c>
    </row>
    <row r="40" spans="4:36">
      <c r="D40" s="10">
        <v>38200</v>
      </c>
      <c r="E40" s="11">
        <v>3.3882871493837299E-2</v>
      </c>
      <c r="F40" s="11">
        <v>3.8490000000000002</v>
      </c>
      <c r="G40" s="11">
        <v>0.30249999999999999</v>
      </c>
      <c r="H40" s="11">
        <v>-0.22</v>
      </c>
      <c r="I40" s="11">
        <v>2.5000000000000001E-3</v>
      </c>
      <c r="J40" s="11">
        <v>0.30299999999999999</v>
      </c>
      <c r="K40" s="11">
        <v>-9.5000000000000001E-2</v>
      </c>
      <c r="L40" s="11">
        <v>5.0000000000000001E-3</v>
      </c>
      <c r="M40" s="11">
        <v>0.30299999999999999</v>
      </c>
      <c r="N40" s="11">
        <v>-0.37</v>
      </c>
      <c r="O40" s="11">
        <v>0.02</v>
      </c>
      <c r="P40" s="11">
        <v>0.30299999999999999</v>
      </c>
      <c r="Q40" s="11">
        <v>-0.37</v>
      </c>
      <c r="R40" s="11">
        <v>0</v>
      </c>
      <c r="S40" s="11">
        <v>-0.46</v>
      </c>
      <c r="T40" s="11">
        <v>1.6E-2</v>
      </c>
      <c r="U40" s="11">
        <v>-0.46</v>
      </c>
      <c r="V40" s="11">
        <v>0.01</v>
      </c>
      <c r="W40" s="11">
        <v>-0.43</v>
      </c>
      <c r="X40" s="11">
        <v>1.6515551787033001E-3</v>
      </c>
      <c r="Y40" s="11">
        <v>-0.3</v>
      </c>
      <c r="Z40" s="11">
        <v>0.02</v>
      </c>
      <c r="AA40" s="11">
        <v>0.309</v>
      </c>
      <c r="AB40" s="11">
        <v>0.16500000000000001</v>
      </c>
      <c r="AC40" s="11">
        <v>0.03</v>
      </c>
      <c r="AD40" s="10">
        <v>0.26</v>
      </c>
      <c r="AE40" s="11">
        <v>0.03</v>
      </c>
      <c r="AF40" s="11">
        <v>0.30299999999999999</v>
      </c>
      <c r="AG40" s="11">
        <v>0.44</v>
      </c>
      <c r="AH40" s="11">
        <v>0.03</v>
      </c>
      <c r="AI40" s="11">
        <v>0.24</v>
      </c>
      <c r="AJ40" s="11">
        <v>0</v>
      </c>
    </row>
    <row r="41" spans="4:36">
      <c r="D41" s="10">
        <v>38231</v>
      </c>
      <c r="E41" s="11">
        <v>3.4348102115191903E-2</v>
      </c>
      <c r="F41" s="11">
        <v>3.843</v>
      </c>
      <c r="G41" s="11">
        <v>0.30249999999999999</v>
      </c>
      <c r="H41" s="11">
        <v>-0.22</v>
      </c>
      <c r="I41" s="11">
        <v>2.5000000000000001E-3</v>
      </c>
      <c r="J41" s="11">
        <v>0.30299999999999999</v>
      </c>
      <c r="K41" s="11">
        <v>-9.5000000000000001E-2</v>
      </c>
      <c r="L41" s="11">
        <v>5.0000000000000001E-3</v>
      </c>
      <c r="M41" s="11">
        <v>0.30299999999999999</v>
      </c>
      <c r="N41" s="11">
        <v>-0.37</v>
      </c>
      <c r="O41" s="11">
        <v>0.02</v>
      </c>
      <c r="P41" s="11">
        <v>0.30299999999999999</v>
      </c>
      <c r="Q41" s="11">
        <v>-0.37</v>
      </c>
      <c r="R41" s="11">
        <v>0</v>
      </c>
      <c r="S41" s="11">
        <v>-0.46</v>
      </c>
      <c r="T41" s="11">
        <v>1.6E-2</v>
      </c>
      <c r="U41" s="11">
        <v>-0.46</v>
      </c>
      <c r="V41" s="11">
        <v>1.2500000000000001E-2</v>
      </c>
      <c r="W41" s="11">
        <v>-0.43</v>
      </c>
      <c r="X41" s="11">
        <v>1.6513347563617E-3</v>
      </c>
      <c r="Y41" s="11">
        <v>-0.3</v>
      </c>
      <c r="Z41" s="11">
        <v>0.02</v>
      </c>
      <c r="AA41" s="11">
        <v>0.309</v>
      </c>
      <c r="AB41" s="11">
        <v>0.16500000000000001</v>
      </c>
      <c r="AC41" s="11">
        <v>0.03</v>
      </c>
      <c r="AD41" s="10">
        <v>0.26</v>
      </c>
      <c r="AE41" s="11">
        <v>0.03</v>
      </c>
      <c r="AF41" s="11">
        <v>0.30299999999999999</v>
      </c>
      <c r="AG41" s="11">
        <v>0.44</v>
      </c>
      <c r="AH41" s="11">
        <v>0.03</v>
      </c>
      <c r="AI41" s="11">
        <v>0.24</v>
      </c>
      <c r="AJ41" s="11">
        <v>0</v>
      </c>
    </row>
    <row r="42" spans="4:36">
      <c r="D42" s="10">
        <v>38261</v>
      </c>
      <c r="E42" s="11">
        <v>3.4781795136841001E-2</v>
      </c>
      <c r="F42" s="11">
        <v>3.843</v>
      </c>
      <c r="G42" s="11">
        <v>0.30249999999999999</v>
      </c>
      <c r="H42" s="11">
        <v>-0.22</v>
      </c>
      <c r="I42" s="11">
        <v>2.5000000000000001E-3</v>
      </c>
      <c r="J42" s="11">
        <v>0.30299999999999999</v>
      </c>
      <c r="K42" s="11">
        <v>-9.5000000000000001E-2</v>
      </c>
      <c r="L42" s="11">
        <v>5.0000000000000001E-3</v>
      </c>
      <c r="M42" s="11">
        <v>0.30299999999999999</v>
      </c>
      <c r="N42" s="11">
        <v>-0.37</v>
      </c>
      <c r="O42" s="11">
        <v>0.02</v>
      </c>
      <c r="P42" s="11">
        <v>0.30299999999999999</v>
      </c>
      <c r="Q42" s="11">
        <v>-0.37</v>
      </c>
      <c r="R42" s="11">
        <v>0</v>
      </c>
      <c r="S42" s="11">
        <v>-0.46</v>
      </c>
      <c r="T42" s="11">
        <v>1.6E-2</v>
      </c>
      <c r="U42" s="11">
        <v>-0.46</v>
      </c>
      <c r="V42" s="11">
        <v>0.03</v>
      </c>
      <c r="W42" s="11">
        <v>-0.43</v>
      </c>
      <c r="X42" s="11">
        <v>1.651034938039E-3</v>
      </c>
      <c r="Y42" s="11">
        <v>-0.3</v>
      </c>
      <c r="Z42" s="11">
        <v>0.02</v>
      </c>
      <c r="AA42" s="11">
        <v>0.309</v>
      </c>
      <c r="AB42" s="11">
        <v>0.16500000000000001</v>
      </c>
      <c r="AC42" s="11">
        <v>0.03</v>
      </c>
      <c r="AD42" s="10">
        <v>0.26</v>
      </c>
      <c r="AE42" s="11">
        <v>0.03</v>
      </c>
      <c r="AF42" s="11">
        <v>0.30299999999999999</v>
      </c>
      <c r="AG42" s="11">
        <v>0.44</v>
      </c>
      <c r="AH42" s="11">
        <v>0.03</v>
      </c>
      <c r="AI42" s="11">
        <v>0.24</v>
      </c>
      <c r="AJ42" s="11">
        <v>0</v>
      </c>
    </row>
    <row r="43" spans="4:36">
      <c r="D43" s="10">
        <v>38292</v>
      </c>
      <c r="E43" s="11">
        <v>3.521405726271E-2</v>
      </c>
      <c r="F43" s="11">
        <v>4.0129999999999999</v>
      </c>
      <c r="G43" s="11">
        <v>0.3</v>
      </c>
      <c r="H43" s="11">
        <v>-0.14499999999999999</v>
      </c>
      <c r="I43" s="11">
        <v>5.0000000000000001E-3</v>
      </c>
      <c r="J43" s="11">
        <v>0.3</v>
      </c>
      <c r="K43" s="11">
        <v>-9.5000000000000001E-2</v>
      </c>
      <c r="L43" s="11">
        <v>5.0000000000000001E-3</v>
      </c>
      <c r="M43" s="11">
        <v>0.3</v>
      </c>
      <c r="N43" s="11">
        <v>-0.24</v>
      </c>
      <c r="O43" s="11">
        <v>3.5000000000000003E-2</v>
      </c>
      <c r="P43" s="11">
        <v>0.3</v>
      </c>
      <c r="Q43" s="11">
        <v>-0.24</v>
      </c>
      <c r="R43" s="11">
        <v>0.14000000000000001</v>
      </c>
      <c r="S43" s="11">
        <v>-0.32</v>
      </c>
      <c r="T43" s="11">
        <v>0.156</v>
      </c>
      <c r="U43" s="11">
        <v>-0.32</v>
      </c>
      <c r="V43" s="11">
        <v>0.03</v>
      </c>
      <c r="W43" s="11">
        <v>-0.4</v>
      </c>
      <c r="X43" s="11">
        <v>5.2820309645670999E-3</v>
      </c>
      <c r="Y43" s="11">
        <v>0.248</v>
      </c>
      <c r="Z43" s="11">
        <v>0.06</v>
      </c>
      <c r="AA43" s="11">
        <v>0.30599999999999999</v>
      </c>
      <c r="AB43" s="11">
        <v>0.19</v>
      </c>
      <c r="AC43" s="11">
        <v>0.04</v>
      </c>
      <c r="AD43" s="10">
        <v>0.25</v>
      </c>
      <c r="AE43" s="11">
        <v>0.03</v>
      </c>
      <c r="AF43" s="11">
        <v>0.3</v>
      </c>
      <c r="AG43" s="11">
        <v>0.5</v>
      </c>
      <c r="AH43" s="11">
        <v>0.03</v>
      </c>
      <c r="AI43" s="11">
        <v>0.3</v>
      </c>
      <c r="AJ43" s="11">
        <v>0</v>
      </c>
    </row>
    <row r="44" spans="4:36">
      <c r="D44" s="10">
        <v>38322</v>
      </c>
      <c r="E44" s="11">
        <v>3.5632375508866797E-2</v>
      </c>
      <c r="F44" s="11">
        <v>4.1440000000000001</v>
      </c>
      <c r="G44" s="11">
        <v>0.29749999999999999</v>
      </c>
      <c r="H44" s="11">
        <v>-0.14499999999999999</v>
      </c>
      <c r="I44" s="11">
        <v>5.0000000000000001E-3</v>
      </c>
      <c r="J44" s="11">
        <v>0.29799999999999999</v>
      </c>
      <c r="K44" s="11">
        <v>-9.5000000000000001E-2</v>
      </c>
      <c r="L44" s="11">
        <v>5.0000000000000001E-3</v>
      </c>
      <c r="M44" s="11">
        <v>0.29799999999999999</v>
      </c>
      <c r="N44" s="11">
        <v>-0.24</v>
      </c>
      <c r="O44" s="11">
        <v>3.5000000000000003E-2</v>
      </c>
      <c r="P44" s="11">
        <v>0.29799999999999999</v>
      </c>
      <c r="Q44" s="11">
        <v>-0.24</v>
      </c>
      <c r="R44" s="11">
        <v>0</v>
      </c>
      <c r="S44" s="11">
        <v>-0.32</v>
      </c>
      <c r="T44" s="11">
        <v>5.5E-2</v>
      </c>
      <c r="U44" s="11">
        <v>-0.32</v>
      </c>
      <c r="V44" s="11">
        <v>0.03</v>
      </c>
      <c r="W44" s="11">
        <v>-0.4</v>
      </c>
      <c r="X44" s="11">
        <v>5.2831194797241E-3</v>
      </c>
      <c r="Y44" s="11">
        <v>0.308</v>
      </c>
      <c r="Z44" s="11">
        <v>0.06</v>
      </c>
      <c r="AA44" s="11">
        <v>0.30299999999999999</v>
      </c>
      <c r="AB44" s="11">
        <v>0.19</v>
      </c>
      <c r="AC44" s="11">
        <v>0.04</v>
      </c>
      <c r="AD44" s="10">
        <v>0.25</v>
      </c>
      <c r="AE44" s="11">
        <v>0.03</v>
      </c>
      <c r="AF44" s="11">
        <v>0.29799999999999999</v>
      </c>
      <c r="AG44" s="11">
        <v>0.56999999999999995</v>
      </c>
      <c r="AH44" s="11">
        <v>0.03</v>
      </c>
      <c r="AI44" s="11">
        <v>0.37</v>
      </c>
      <c r="AJ44" s="11">
        <v>0</v>
      </c>
    </row>
    <row r="45" spans="4:36">
      <c r="D45" s="10">
        <v>38353</v>
      </c>
      <c r="E45" s="11">
        <v>3.6054961191346498E-2</v>
      </c>
      <c r="F45" s="11">
        <v>4.1989999999999998</v>
      </c>
      <c r="G45" s="11">
        <v>0.29749999999999999</v>
      </c>
      <c r="H45" s="11">
        <v>-0.14499999999999999</v>
      </c>
      <c r="I45" s="11">
        <v>5.0000000000000001E-3</v>
      </c>
      <c r="J45" s="11">
        <v>0.29799999999999999</v>
      </c>
      <c r="K45" s="11">
        <v>-8.5000000000000006E-2</v>
      </c>
      <c r="L45" s="11">
        <v>5.0000000000000001E-3</v>
      </c>
      <c r="M45" s="11">
        <v>0.29799999999999999</v>
      </c>
      <c r="N45" s="11">
        <v>-0.24</v>
      </c>
      <c r="O45" s="11">
        <v>3.5000000000000003E-2</v>
      </c>
      <c r="P45" s="11">
        <v>0.29799999999999999</v>
      </c>
      <c r="Q45" s="11">
        <v>-0.24</v>
      </c>
      <c r="R45" s="11">
        <v>2.5000000000000001E-2</v>
      </c>
      <c r="S45" s="11">
        <v>-0.32</v>
      </c>
      <c r="T45" s="11">
        <v>5.5E-2</v>
      </c>
      <c r="U45" s="11">
        <v>-0.32</v>
      </c>
      <c r="V45" s="11">
        <v>0.03</v>
      </c>
      <c r="W45" s="11">
        <v>-0.4</v>
      </c>
      <c r="X45" s="11">
        <v>5.2841619876037001E-3</v>
      </c>
      <c r="Y45" s="11">
        <v>0.378</v>
      </c>
      <c r="Z45" s="11">
        <v>0.06</v>
      </c>
      <c r="AA45" s="11">
        <v>0.30299999999999999</v>
      </c>
      <c r="AB45" s="11">
        <v>0.19</v>
      </c>
      <c r="AC45" s="11">
        <v>0.04</v>
      </c>
      <c r="AD45" s="10">
        <v>0.25</v>
      </c>
      <c r="AE45" s="11">
        <v>0.03</v>
      </c>
      <c r="AF45" s="11">
        <v>0.29799999999999999</v>
      </c>
      <c r="AG45" s="11">
        <v>0.56999999999999995</v>
      </c>
      <c r="AH45" s="11">
        <v>0.03</v>
      </c>
      <c r="AI45" s="11">
        <v>0.37</v>
      </c>
      <c r="AJ45" s="11">
        <v>0</v>
      </c>
    </row>
    <row r="46" spans="4:36">
      <c r="D46" s="10">
        <v>38384</v>
      </c>
      <c r="E46" s="11">
        <v>3.64695779951969E-2</v>
      </c>
      <c r="F46" s="11">
        <v>4.1109999999999998</v>
      </c>
      <c r="G46" s="11">
        <v>0.29499999999999998</v>
      </c>
      <c r="H46" s="11">
        <v>-0.14499999999999999</v>
      </c>
      <c r="I46" s="11">
        <v>5.0000000000000001E-3</v>
      </c>
      <c r="J46" s="11">
        <v>0.29499999999999998</v>
      </c>
      <c r="K46" s="11">
        <v>-8.5000000000000006E-2</v>
      </c>
      <c r="L46" s="11">
        <v>5.0000000000000001E-3</v>
      </c>
      <c r="M46" s="11">
        <v>0.29499999999999998</v>
      </c>
      <c r="N46" s="11">
        <v>-0.24</v>
      </c>
      <c r="O46" s="11">
        <v>3.5000000000000003E-2</v>
      </c>
      <c r="P46" s="11">
        <v>0.29499999999999998</v>
      </c>
      <c r="Q46" s="11">
        <v>-0.24</v>
      </c>
      <c r="R46" s="11">
        <v>2.5000000000000001E-2</v>
      </c>
      <c r="S46" s="11">
        <v>-0.32</v>
      </c>
      <c r="T46" s="11">
        <v>5.5E-2</v>
      </c>
      <c r="U46" s="11">
        <v>-0.32</v>
      </c>
      <c r="V46" s="11">
        <v>0.03</v>
      </c>
      <c r="W46" s="11">
        <v>-0.4</v>
      </c>
      <c r="X46" s="11">
        <v>5.2851395104597998E-3</v>
      </c>
      <c r="Y46" s="11">
        <v>0.248</v>
      </c>
      <c r="Z46" s="11">
        <v>0.06</v>
      </c>
      <c r="AA46" s="11">
        <v>0.30099999999999999</v>
      </c>
      <c r="AB46" s="11">
        <v>0.19</v>
      </c>
      <c r="AC46" s="11">
        <v>0.04</v>
      </c>
      <c r="AD46" s="10">
        <v>0.25</v>
      </c>
      <c r="AE46" s="11">
        <v>0.03</v>
      </c>
      <c r="AF46" s="11">
        <v>0.29499999999999998</v>
      </c>
      <c r="AG46" s="11">
        <v>0.56999999999999995</v>
      </c>
      <c r="AH46" s="11">
        <v>0.03</v>
      </c>
      <c r="AI46" s="11">
        <v>0.37</v>
      </c>
      <c r="AJ46" s="11">
        <v>0</v>
      </c>
    </row>
    <row r="47" spans="4:36">
      <c r="D47" s="10">
        <v>38412</v>
      </c>
      <c r="E47" s="11">
        <v>3.68440706418856E-2</v>
      </c>
      <c r="F47" s="11">
        <v>3.972</v>
      </c>
      <c r="G47" s="11">
        <v>0.28000000000000003</v>
      </c>
      <c r="H47" s="11">
        <v>-0.14499999999999999</v>
      </c>
      <c r="I47" s="11">
        <v>5.0000000000000001E-3</v>
      </c>
      <c r="J47" s="11">
        <v>0.28000000000000003</v>
      </c>
      <c r="K47" s="11">
        <v>-8.5000000000000006E-2</v>
      </c>
      <c r="L47" s="11">
        <v>5.0000000000000001E-3</v>
      </c>
      <c r="M47" s="11">
        <v>0.28000000000000003</v>
      </c>
      <c r="N47" s="11">
        <v>-0.24</v>
      </c>
      <c r="O47" s="11">
        <v>3.5000000000000003E-2</v>
      </c>
      <c r="P47" s="11">
        <v>0.28000000000000003</v>
      </c>
      <c r="Q47" s="11">
        <v>-0.24</v>
      </c>
      <c r="R47" s="11">
        <v>0</v>
      </c>
      <c r="S47" s="11">
        <v>-0.32</v>
      </c>
      <c r="T47" s="11">
        <v>3.5000000000000003E-2</v>
      </c>
      <c r="U47" s="11">
        <v>-0.32</v>
      </c>
      <c r="V47" s="11">
        <v>0.03</v>
      </c>
      <c r="W47" s="11">
        <v>-0.4</v>
      </c>
      <c r="X47" s="11">
        <v>5.2860761832148996E-3</v>
      </c>
      <c r="Y47" s="11">
        <v>6.8000000000000005E-2</v>
      </c>
      <c r="Z47" s="11">
        <v>0.06</v>
      </c>
      <c r="AA47" s="11">
        <v>0.28599999999999998</v>
      </c>
      <c r="AB47" s="11">
        <v>0.19</v>
      </c>
      <c r="AC47" s="11">
        <v>0.04</v>
      </c>
      <c r="AD47" s="10">
        <v>0.25</v>
      </c>
      <c r="AE47" s="11">
        <v>0.03</v>
      </c>
      <c r="AF47" s="11">
        <v>0.28000000000000003</v>
      </c>
      <c r="AG47" s="11">
        <v>0.56999999999999995</v>
      </c>
      <c r="AH47" s="11">
        <v>0.03</v>
      </c>
      <c r="AI47" s="11">
        <v>0.37</v>
      </c>
      <c r="AJ47" s="11">
        <v>0</v>
      </c>
    </row>
    <row r="48" spans="4:36">
      <c r="D48" s="10">
        <v>38443</v>
      </c>
      <c r="E48" s="11">
        <v>3.7231074649266997E-2</v>
      </c>
      <c r="F48" s="11">
        <v>3.8180000000000001</v>
      </c>
      <c r="G48" s="11">
        <v>0.27</v>
      </c>
      <c r="H48" s="11">
        <v>-0.21</v>
      </c>
      <c r="I48" s="11">
        <v>2.5000000000000001E-3</v>
      </c>
      <c r="J48" s="11">
        <v>0.27</v>
      </c>
      <c r="K48" s="11">
        <v>-8.5000000000000006E-2</v>
      </c>
      <c r="L48" s="11">
        <v>5.0000000000000001E-3</v>
      </c>
      <c r="M48" s="11">
        <v>0.27</v>
      </c>
      <c r="N48" s="11">
        <v>-0.34</v>
      </c>
      <c r="O48" s="11">
        <v>0.02</v>
      </c>
      <c r="P48" s="11">
        <v>0.27</v>
      </c>
      <c r="Q48" s="11">
        <v>-0.34</v>
      </c>
      <c r="R48" s="11">
        <v>0</v>
      </c>
      <c r="S48" s="11">
        <v>-0.42</v>
      </c>
      <c r="T48" s="11">
        <v>1.7999999999999999E-2</v>
      </c>
      <c r="U48" s="11">
        <v>-0.42</v>
      </c>
      <c r="V48" s="11">
        <v>0.01</v>
      </c>
      <c r="W48" s="11">
        <v>-0.44</v>
      </c>
      <c r="X48" s="11">
        <v>1.6520885686082999E-3</v>
      </c>
      <c r="Y48" s="11">
        <v>-0.25</v>
      </c>
      <c r="Z48" s="11">
        <v>0.02</v>
      </c>
      <c r="AA48" s="11">
        <v>0.27500000000000002</v>
      </c>
      <c r="AB48" s="11">
        <v>0.16500000000000001</v>
      </c>
      <c r="AC48" s="11">
        <v>0.03</v>
      </c>
      <c r="AD48" s="10">
        <v>0.26</v>
      </c>
      <c r="AE48" s="11">
        <v>0.03</v>
      </c>
      <c r="AF48" s="11">
        <v>0.27</v>
      </c>
      <c r="AG48" s="11">
        <v>0.44</v>
      </c>
      <c r="AH48" s="11">
        <v>0.03</v>
      </c>
      <c r="AI48" s="11">
        <v>0.24</v>
      </c>
      <c r="AJ48" s="11">
        <v>0</v>
      </c>
    </row>
    <row r="49" spans="4:36">
      <c r="D49" s="10">
        <v>38473</v>
      </c>
      <c r="E49" s="11">
        <v>3.7581565617722697E-2</v>
      </c>
      <c r="F49" s="11">
        <v>3.823</v>
      </c>
      <c r="G49" s="11">
        <v>0.26250000000000001</v>
      </c>
      <c r="H49" s="11">
        <v>-0.21</v>
      </c>
      <c r="I49" s="11">
        <v>2.5000000000000001E-3</v>
      </c>
      <c r="J49" s="11">
        <v>0.26300000000000001</v>
      </c>
      <c r="K49" s="11">
        <v>-8.5000000000000006E-2</v>
      </c>
      <c r="L49" s="11">
        <v>5.0000000000000001E-3</v>
      </c>
      <c r="M49" s="11">
        <v>0.26300000000000001</v>
      </c>
      <c r="N49" s="11">
        <v>-0.34</v>
      </c>
      <c r="O49" s="11">
        <v>0.02</v>
      </c>
      <c r="P49" s="11">
        <v>0.26300000000000001</v>
      </c>
      <c r="Q49" s="11">
        <v>-0.34</v>
      </c>
      <c r="R49" s="11">
        <v>0</v>
      </c>
      <c r="S49" s="11">
        <v>-0.42</v>
      </c>
      <c r="T49" s="11">
        <v>1.7999999999999999E-2</v>
      </c>
      <c r="U49" s="11">
        <v>-0.42</v>
      </c>
      <c r="V49" s="11">
        <v>0.01</v>
      </c>
      <c r="W49" s="11">
        <v>-0.44</v>
      </c>
      <c r="X49" s="11">
        <v>1.6521473420192999E-3</v>
      </c>
      <c r="Y49" s="11">
        <v>-0.25</v>
      </c>
      <c r="Z49" s="11">
        <v>0.02</v>
      </c>
      <c r="AA49" s="11">
        <v>0.26800000000000002</v>
      </c>
      <c r="AB49" s="11">
        <v>0.16500000000000001</v>
      </c>
      <c r="AC49" s="11">
        <v>0.03</v>
      </c>
      <c r="AD49" s="10">
        <v>0.26</v>
      </c>
      <c r="AE49" s="11">
        <v>0.03</v>
      </c>
      <c r="AF49" s="11">
        <v>0.26300000000000001</v>
      </c>
      <c r="AG49" s="11">
        <v>0.44</v>
      </c>
      <c r="AH49" s="11">
        <v>0.03</v>
      </c>
      <c r="AI49" s="11">
        <v>0.24</v>
      </c>
      <c r="AJ49" s="11">
        <v>0</v>
      </c>
    </row>
    <row r="50" spans="4:36">
      <c r="D50" s="10">
        <v>38504</v>
      </c>
      <c r="E50" s="11">
        <v>3.7943739661812102E-2</v>
      </c>
      <c r="F50" s="11">
        <v>3.8610000000000002</v>
      </c>
      <c r="G50" s="11">
        <v>0.25750000000000001</v>
      </c>
      <c r="H50" s="11">
        <v>-0.21</v>
      </c>
      <c r="I50" s="11">
        <v>2.5000000000000001E-3</v>
      </c>
      <c r="J50" s="11">
        <v>0.25800000000000001</v>
      </c>
      <c r="K50" s="11">
        <v>-8.5000000000000006E-2</v>
      </c>
      <c r="L50" s="11">
        <v>5.0000000000000001E-3</v>
      </c>
      <c r="M50" s="11">
        <v>0.25800000000000001</v>
      </c>
      <c r="N50" s="11">
        <v>-0.34</v>
      </c>
      <c r="O50" s="11">
        <v>0.02</v>
      </c>
      <c r="P50" s="11">
        <v>0.25800000000000001</v>
      </c>
      <c r="Q50" s="11">
        <v>-0.34</v>
      </c>
      <c r="R50" s="11">
        <v>0</v>
      </c>
      <c r="S50" s="11">
        <v>-0.42</v>
      </c>
      <c r="T50" s="11">
        <v>1.7999999999999999E-2</v>
      </c>
      <c r="U50" s="11">
        <v>-0.42</v>
      </c>
      <c r="V50" s="11">
        <v>0.01</v>
      </c>
      <c r="W50" s="11">
        <v>-0.44</v>
      </c>
      <c r="X50" s="11">
        <v>1.6522131321833999E-3</v>
      </c>
      <c r="Y50" s="11">
        <v>-0.25</v>
      </c>
      <c r="Z50" s="11">
        <v>0.02</v>
      </c>
      <c r="AA50" s="11">
        <v>0.26300000000000001</v>
      </c>
      <c r="AB50" s="11">
        <v>0.16500000000000001</v>
      </c>
      <c r="AC50" s="11">
        <v>0.03</v>
      </c>
      <c r="AD50" s="10">
        <v>0.26</v>
      </c>
      <c r="AE50" s="11">
        <v>0.03</v>
      </c>
      <c r="AF50" s="11">
        <v>0.25800000000000001</v>
      </c>
      <c r="AG50" s="11">
        <v>0.44</v>
      </c>
      <c r="AH50" s="11">
        <v>0.03</v>
      </c>
      <c r="AI50" s="11">
        <v>0.24</v>
      </c>
      <c r="AJ50" s="11">
        <v>0</v>
      </c>
    </row>
    <row r="51" spans="4:36">
      <c r="D51" s="10">
        <v>38534</v>
      </c>
      <c r="E51" s="11">
        <v>3.8280448218051898E-2</v>
      </c>
      <c r="F51" s="11">
        <v>3.9060000000000001</v>
      </c>
      <c r="G51" s="11">
        <v>0.25750000000000001</v>
      </c>
      <c r="H51" s="11">
        <v>-0.21</v>
      </c>
      <c r="I51" s="11">
        <v>2.5000000000000001E-3</v>
      </c>
      <c r="J51" s="11">
        <v>0.25800000000000001</v>
      </c>
      <c r="K51" s="11">
        <v>-8.5000000000000006E-2</v>
      </c>
      <c r="L51" s="11">
        <v>5.0000000000000001E-3</v>
      </c>
      <c r="M51" s="11">
        <v>0.25800000000000001</v>
      </c>
      <c r="N51" s="11">
        <v>-0.34</v>
      </c>
      <c r="O51" s="11">
        <v>0.02</v>
      </c>
      <c r="P51" s="11">
        <v>0.25800000000000001</v>
      </c>
      <c r="Q51" s="11">
        <v>-0.34</v>
      </c>
      <c r="R51" s="11">
        <v>0</v>
      </c>
      <c r="S51" s="11">
        <v>-0.42</v>
      </c>
      <c r="T51" s="11">
        <v>1.7999999999999999E-2</v>
      </c>
      <c r="U51" s="11">
        <v>-0.42</v>
      </c>
      <c r="V51" s="11">
        <v>0.01</v>
      </c>
      <c r="W51" s="11">
        <v>-0.44</v>
      </c>
      <c r="X51" s="11">
        <v>1.6521998402105999E-3</v>
      </c>
      <c r="Y51" s="11">
        <v>-0.25</v>
      </c>
      <c r="Z51" s="11">
        <v>0.02</v>
      </c>
      <c r="AA51" s="11">
        <v>0.26300000000000001</v>
      </c>
      <c r="AB51" s="11">
        <v>0.16500000000000001</v>
      </c>
      <c r="AC51" s="11">
        <v>0.03</v>
      </c>
      <c r="AD51" s="10">
        <v>0.26</v>
      </c>
      <c r="AE51" s="11">
        <v>0.03</v>
      </c>
      <c r="AF51" s="11">
        <v>0.25800000000000001</v>
      </c>
      <c r="AG51" s="11">
        <v>0.44</v>
      </c>
      <c r="AH51" s="11">
        <v>0.03</v>
      </c>
      <c r="AI51" s="11">
        <v>0.24</v>
      </c>
      <c r="AJ51" s="11">
        <v>0</v>
      </c>
    </row>
    <row r="52" spans="4:36">
      <c r="D52" s="10">
        <v>38565</v>
      </c>
      <c r="E52" s="11">
        <v>3.8615118681207199E-2</v>
      </c>
      <c r="F52" s="11">
        <v>3.944</v>
      </c>
      <c r="G52" s="11">
        <v>0.25750000000000001</v>
      </c>
      <c r="H52" s="11">
        <v>-0.21</v>
      </c>
      <c r="I52" s="11">
        <v>2.5000000000000001E-3</v>
      </c>
      <c r="J52" s="11">
        <v>0.25800000000000001</v>
      </c>
      <c r="K52" s="11">
        <v>-8.5000000000000006E-2</v>
      </c>
      <c r="L52" s="11">
        <v>5.0000000000000001E-3</v>
      </c>
      <c r="M52" s="11">
        <v>0.25800000000000001</v>
      </c>
      <c r="N52" s="11">
        <v>-0.34</v>
      </c>
      <c r="O52" s="11">
        <v>0.02</v>
      </c>
      <c r="P52" s="11">
        <v>0.25800000000000001</v>
      </c>
      <c r="Q52" s="11">
        <v>-0.34</v>
      </c>
      <c r="R52" s="11">
        <v>0</v>
      </c>
      <c r="S52" s="11">
        <v>-0.42</v>
      </c>
      <c r="T52" s="11">
        <v>1.7999999999999999E-2</v>
      </c>
      <c r="U52" s="11">
        <v>-0.42</v>
      </c>
      <c r="V52" s="11">
        <v>0.01</v>
      </c>
      <c r="W52" s="11">
        <v>-0.44</v>
      </c>
      <c r="X52" s="11">
        <v>1.6521067623713999E-3</v>
      </c>
      <c r="Y52" s="11">
        <v>-0.25</v>
      </c>
      <c r="Z52" s="11">
        <v>0.02</v>
      </c>
      <c r="AA52" s="11">
        <v>0.26300000000000001</v>
      </c>
      <c r="AB52" s="11">
        <v>0.16500000000000001</v>
      </c>
      <c r="AC52" s="11">
        <v>0.03</v>
      </c>
      <c r="AD52" s="10">
        <v>0.26</v>
      </c>
      <c r="AE52" s="11">
        <v>0.03</v>
      </c>
      <c r="AF52" s="11">
        <v>0.25800000000000001</v>
      </c>
      <c r="AG52" s="11">
        <v>0.44</v>
      </c>
      <c r="AH52" s="11">
        <v>0.03</v>
      </c>
      <c r="AI52" s="11">
        <v>0.24</v>
      </c>
      <c r="AJ52" s="11">
        <v>0</v>
      </c>
    </row>
    <row r="53" spans="4:36">
      <c r="D53" s="10">
        <v>38596</v>
      </c>
      <c r="E53" s="11">
        <v>3.8949789181967898E-2</v>
      </c>
      <c r="F53" s="11">
        <v>3.9380000000000002</v>
      </c>
      <c r="G53" s="11">
        <v>0.25750000000000001</v>
      </c>
      <c r="H53" s="11">
        <v>-0.21</v>
      </c>
      <c r="I53" s="11">
        <v>2.5000000000000001E-3</v>
      </c>
      <c r="J53" s="11">
        <v>0.25800000000000001</v>
      </c>
      <c r="K53" s="11">
        <v>-8.5000000000000006E-2</v>
      </c>
      <c r="L53" s="11">
        <v>5.0000000000000001E-3</v>
      </c>
      <c r="M53" s="11">
        <v>0.25800000000000001</v>
      </c>
      <c r="N53" s="11">
        <v>-0.34</v>
      </c>
      <c r="O53" s="11">
        <v>0.02</v>
      </c>
      <c r="P53" s="11">
        <v>0.25800000000000001</v>
      </c>
      <c r="Q53" s="11">
        <v>-0.34</v>
      </c>
      <c r="R53" s="11">
        <v>0</v>
      </c>
      <c r="S53" s="11">
        <v>-0.42</v>
      </c>
      <c r="T53" s="11">
        <v>1.7999999999999999E-2</v>
      </c>
      <c r="U53" s="11">
        <v>-0.42</v>
      </c>
      <c r="V53" s="11">
        <v>1.2500000000000001E-2</v>
      </c>
      <c r="W53" s="11">
        <v>-0.44</v>
      </c>
      <c r="X53" s="11">
        <v>1.652011312084E-3</v>
      </c>
      <c r="Y53" s="11">
        <v>-0.25</v>
      </c>
      <c r="Z53" s="11">
        <v>0.02</v>
      </c>
      <c r="AA53" s="11">
        <v>0.26300000000000001</v>
      </c>
      <c r="AB53" s="11">
        <v>0.16500000000000001</v>
      </c>
      <c r="AC53" s="11">
        <v>0.03</v>
      </c>
      <c r="AD53" s="10">
        <v>0.26</v>
      </c>
      <c r="AE53" s="11">
        <v>0.03</v>
      </c>
      <c r="AF53" s="11">
        <v>0.25800000000000001</v>
      </c>
      <c r="AG53" s="11">
        <v>0.44</v>
      </c>
      <c r="AH53" s="11">
        <v>0.03</v>
      </c>
      <c r="AI53" s="11">
        <v>0.24</v>
      </c>
      <c r="AJ53" s="11">
        <v>0</v>
      </c>
    </row>
    <row r="54" spans="4:36">
      <c r="D54" s="10">
        <v>38626</v>
      </c>
      <c r="E54" s="11">
        <v>3.9265281938853001E-2</v>
      </c>
      <c r="F54" s="11">
        <v>3.9380000000000002</v>
      </c>
      <c r="G54" s="11">
        <v>0.25750000000000001</v>
      </c>
      <c r="H54" s="11">
        <v>-0.21</v>
      </c>
      <c r="I54" s="11">
        <v>2.5000000000000001E-3</v>
      </c>
      <c r="J54" s="11">
        <v>0.25800000000000001</v>
      </c>
      <c r="K54" s="11">
        <v>-8.5000000000000006E-2</v>
      </c>
      <c r="L54" s="11">
        <v>5.0000000000000001E-3</v>
      </c>
      <c r="M54" s="11">
        <v>0.25800000000000001</v>
      </c>
      <c r="N54" s="11">
        <v>-0.34</v>
      </c>
      <c r="O54" s="11">
        <v>0.02</v>
      </c>
      <c r="P54" s="11">
        <v>0.25800000000000001</v>
      </c>
      <c r="Q54" s="11">
        <v>-0.34</v>
      </c>
      <c r="R54" s="11">
        <v>0</v>
      </c>
      <c r="S54" s="11">
        <v>-0.42</v>
      </c>
      <c r="T54" s="11">
        <v>1.7999999999999999E-2</v>
      </c>
      <c r="U54" s="11">
        <v>-0.42</v>
      </c>
      <c r="V54" s="11">
        <v>0.03</v>
      </c>
      <c r="W54" s="11">
        <v>-0.44</v>
      </c>
      <c r="X54" s="11">
        <v>1.651863518216E-3</v>
      </c>
      <c r="Y54" s="11">
        <v>-0.25</v>
      </c>
      <c r="Z54" s="11">
        <v>0.02</v>
      </c>
      <c r="AA54" s="11">
        <v>0.26300000000000001</v>
      </c>
      <c r="AB54" s="11">
        <v>0.16500000000000001</v>
      </c>
      <c r="AC54" s="11">
        <v>0.03</v>
      </c>
      <c r="AD54" s="10">
        <v>0.26</v>
      </c>
      <c r="AE54" s="11">
        <v>0.03</v>
      </c>
      <c r="AF54" s="11">
        <v>0.25800000000000001</v>
      </c>
      <c r="AG54" s="11">
        <v>0.44</v>
      </c>
      <c r="AH54" s="11">
        <v>0.03</v>
      </c>
      <c r="AI54" s="11">
        <v>0.24</v>
      </c>
      <c r="AJ54" s="11">
        <v>0</v>
      </c>
    </row>
    <row r="55" spans="4:36">
      <c r="D55" s="10">
        <v>38657</v>
      </c>
      <c r="E55" s="11">
        <v>3.9573023063374201E-2</v>
      </c>
      <c r="F55" s="11">
        <v>4.1079999999999997</v>
      </c>
      <c r="G55" s="11">
        <v>0.25750000000000001</v>
      </c>
      <c r="H55" s="11">
        <v>-0.13</v>
      </c>
      <c r="I55" s="11">
        <v>5.0000000000000001E-3</v>
      </c>
      <c r="J55" s="11">
        <v>0.25800000000000001</v>
      </c>
      <c r="K55" s="11">
        <v>-8.5000000000000006E-2</v>
      </c>
      <c r="L55" s="11">
        <v>5.0000000000000001E-3</v>
      </c>
      <c r="M55" s="11">
        <v>0.25800000000000001</v>
      </c>
      <c r="N55" s="11">
        <v>-0.24</v>
      </c>
      <c r="O55" s="11">
        <v>3.5000000000000003E-2</v>
      </c>
      <c r="P55" s="11">
        <v>0.25800000000000001</v>
      </c>
      <c r="Q55" s="11">
        <v>-0.24</v>
      </c>
      <c r="R55" s="11">
        <v>0.14000000000000001</v>
      </c>
      <c r="S55" s="11">
        <v>-0.32</v>
      </c>
      <c r="T55" s="11">
        <v>0.158</v>
      </c>
      <c r="U55" s="11">
        <v>-0.32</v>
      </c>
      <c r="V55" s="11">
        <v>0.03</v>
      </c>
      <c r="W55" s="11">
        <v>-0.4</v>
      </c>
      <c r="X55" s="11">
        <v>5.2850809673063003E-3</v>
      </c>
      <c r="Y55" s="11">
        <v>0.248</v>
      </c>
      <c r="Z55" s="11">
        <v>0.06</v>
      </c>
      <c r="AA55" s="11">
        <v>0.26300000000000001</v>
      </c>
      <c r="AB55" s="11">
        <v>0.19</v>
      </c>
      <c r="AC55" s="11">
        <v>0.03</v>
      </c>
      <c r="AD55" s="10">
        <v>0.25</v>
      </c>
      <c r="AE55" s="11">
        <v>3.2000000000000001E-2</v>
      </c>
      <c r="AF55" s="11">
        <v>0.25800000000000001</v>
      </c>
      <c r="AG55" s="11">
        <v>0.5</v>
      </c>
      <c r="AH55" s="11">
        <v>3.2000000000000001E-2</v>
      </c>
      <c r="AI55" s="11">
        <v>0.3</v>
      </c>
      <c r="AJ55" s="11">
        <v>0</v>
      </c>
    </row>
    <row r="56" spans="4:36">
      <c r="D56" s="10">
        <v>38687</v>
      </c>
      <c r="E56" s="11">
        <v>3.9870837085107101E-2</v>
      </c>
      <c r="F56" s="11">
        <v>4.2389999999999999</v>
      </c>
      <c r="G56" s="11">
        <v>0.25750000000000001</v>
      </c>
      <c r="H56" s="11">
        <v>-0.13</v>
      </c>
      <c r="I56" s="11">
        <v>5.0000000000000001E-3</v>
      </c>
      <c r="J56" s="11">
        <v>0.25800000000000001</v>
      </c>
      <c r="K56" s="11">
        <v>-8.5000000000000006E-2</v>
      </c>
      <c r="L56" s="11">
        <v>5.0000000000000001E-3</v>
      </c>
      <c r="M56" s="11">
        <v>0.25800000000000001</v>
      </c>
      <c r="N56" s="11">
        <v>-0.24</v>
      </c>
      <c r="O56" s="11">
        <v>3.5000000000000003E-2</v>
      </c>
      <c r="P56" s="11">
        <v>0.25800000000000001</v>
      </c>
      <c r="Q56" s="11">
        <v>-0.24</v>
      </c>
      <c r="R56" s="11">
        <v>0</v>
      </c>
      <c r="S56" s="11">
        <v>-0.32</v>
      </c>
      <c r="T56" s="11">
        <v>5.7000000000000002E-2</v>
      </c>
      <c r="U56" s="11">
        <v>-0.32</v>
      </c>
      <c r="V56" s="11">
        <v>0.03</v>
      </c>
      <c r="W56" s="11">
        <v>-0.4</v>
      </c>
      <c r="X56" s="11">
        <v>5.2841976661601002E-3</v>
      </c>
      <c r="Y56" s="11">
        <v>0.308</v>
      </c>
      <c r="Z56" s="11">
        <v>0.06</v>
      </c>
      <c r="AA56" s="11">
        <v>0.26300000000000001</v>
      </c>
      <c r="AB56" s="11">
        <v>0.19</v>
      </c>
      <c r="AC56" s="11">
        <v>0.03</v>
      </c>
      <c r="AD56" s="10">
        <v>0.25</v>
      </c>
      <c r="AE56" s="11">
        <v>3.2000000000000001E-2</v>
      </c>
      <c r="AF56" s="11">
        <v>0.25800000000000001</v>
      </c>
      <c r="AG56" s="11">
        <v>0.56999999999999995</v>
      </c>
      <c r="AH56" s="11">
        <v>3.2000000000000001E-2</v>
      </c>
      <c r="AI56" s="11">
        <v>0.37</v>
      </c>
      <c r="AJ56" s="11">
        <v>0</v>
      </c>
    </row>
    <row r="57" spans="4:36">
      <c r="D57" s="10">
        <v>38718</v>
      </c>
      <c r="E57" s="11">
        <v>4.0161871005656401E-2</v>
      </c>
      <c r="F57" s="11">
        <v>4.2965</v>
      </c>
      <c r="G57" s="11">
        <v>0.25750000000000001</v>
      </c>
      <c r="H57" s="11">
        <v>-0.13</v>
      </c>
      <c r="I57" s="11">
        <v>5.0000000000000001E-3</v>
      </c>
      <c r="J57" s="11">
        <v>0.25800000000000001</v>
      </c>
      <c r="K57" s="11">
        <v>-7.4999999999999997E-2</v>
      </c>
      <c r="L57" s="11">
        <v>5.0000000000000001E-3</v>
      </c>
      <c r="M57" s="11">
        <v>0.25800000000000001</v>
      </c>
      <c r="N57" s="11">
        <v>-0.24</v>
      </c>
      <c r="O57" s="11">
        <v>3.5000000000000003E-2</v>
      </c>
      <c r="P57" s="11">
        <v>0.25800000000000001</v>
      </c>
      <c r="Q57" s="11">
        <v>-0.24</v>
      </c>
      <c r="R57" s="11">
        <v>2.5000000000000001E-2</v>
      </c>
      <c r="S57" s="11">
        <v>-0.32</v>
      </c>
      <c r="T57" s="11">
        <v>5.7000000000000002E-2</v>
      </c>
      <c r="U57" s="11">
        <v>-0.32</v>
      </c>
      <c r="V57" s="11">
        <v>0.03</v>
      </c>
      <c r="W57" s="11">
        <v>-0.4</v>
      </c>
      <c r="X57" s="11">
        <v>5.2828939360996998E-3</v>
      </c>
      <c r="Y57" s="11">
        <v>0.378</v>
      </c>
      <c r="Z57" s="11">
        <v>0.06</v>
      </c>
      <c r="AA57" s="11">
        <v>0.26300000000000001</v>
      </c>
      <c r="AB57" s="11">
        <v>0.19</v>
      </c>
      <c r="AC57" s="11">
        <v>0.03</v>
      </c>
      <c r="AD57" s="10">
        <v>0.25</v>
      </c>
      <c r="AE57" s="11">
        <v>3.2000000000000001E-2</v>
      </c>
      <c r="AF57" s="11">
        <v>0.25800000000000001</v>
      </c>
      <c r="AG57" s="11">
        <v>0.56999999999999995</v>
      </c>
      <c r="AH57" s="11">
        <v>3.2000000000000001E-2</v>
      </c>
      <c r="AI57" s="11">
        <v>0.37</v>
      </c>
      <c r="AJ57" s="11">
        <v>0</v>
      </c>
    </row>
    <row r="58" spans="4:36">
      <c r="D58" s="10">
        <v>38749</v>
      </c>
      <c r="E58" s="11">
        <v>4.0422528103703802E-2</v>
      </c>
      <c r="F58" s="11">
        <v>4.2084999999999999</v>
      </c>
      <c r="G58" s="11">
        <v>0.25</v>
      </c>
      <c r="H58" s="11">
        <v>-0.13</v>
      </c>
      <c r="I58" s="11">
        <v>5.0000000000000001E-3</v>
      </c>
      <c r="J58" s="11">
        <v>0.25</v>
      </c>
      <c r="K58" s="11">
        <v>-7.4999999999999997E-2</v>
      </c>
      <c r="L58" s="11">
        <v>5.0000000000000001E-3</v>
      </c>
      <c r="M58" s="11">
        <v>0.25</v>
      </c>
      <c r="N58" s="11">
        <v>-0.24</v>
      </c>
      <c r="O58" s="11">
        <v>3.5000000000000003E-2</v>
      </c>
      <c r="P58" s="11">
        <v>0.25</v>
      </c>
      <c r="Q58" s="11">
        <v>-0.24</v>
      </c>
      <c r="R58" s="11">
        <v>2.5000000000000001E-2</v>
      </c>
      <c r="S58" s="11">
        <v>-0.32</v>
      </c>
      <c r="T58" s="11">
        <v>5.7000000000000002E-2</v>
      </c>
      <c r="U58" s="11">
        <v>-0.32</v>
      </c>
      <c r="V58" s="11">
        <v>0.03</v>
      </c>
      <c r="W58" s="11">
        <v>-0.4</v>
      </c>
      <c r="X58" s="11">
        <v>5.2808763003387004E-3</v>
      </c>
      <c r="Y58" s="11">
        <v>0.248</v>
      </c>
      <c r="Z58" s="11">
        <v>0.06</v>
      </c>
      <c r="AA58" s="11">
        <v>0.255</v>
      </c>
      <c r="AB58" s="11">
        <v>0.19</v>
      </c>
      <c r="AC58" s="11">
        <v>0.03</v>
      </c>
      <c r="AD58" s="10">
        <v>0.25</v>
      </c>
      <c r="AE58" s="11">
        <v>3.2000000000000001E-2</v>
      </c>
      <c r="AF58" s="11">
        <v>0.25</v>
      </c>
      <c r="AG58" s="11">
        <v>0.56999999999999995</v>
      </c>
      <c r="AH58" s="11">
        <v>3.2000000000000001E-2</v>
      </c>
      <c r="AI58" s="11">
        <v>0.37</v>
      </c>
      <c r="AJ58" s="11">
        <v>0</v>
      </c>
    </row>
    <row r="59" spans="4:36">
      <c r="D59" s="10">
        <v>38777</v>
      </c>
      <c r="E59" s="11">
        <v>4.0657960340885001E-2</v>
      </c>
      <c r="F59" s="11">
        <v>4.0694999999999997</v>
      </c>
      <c r="G59" s="11">
        <v>0.24249999999999999</v>
      </c>
      <c r="H59" s="11">
        <v>-0.13</v>
      </c>
      <c r="I59" s="11">
        <v>5.0000000000000001E-3</v>
      </c>
      <c r="J59" s="11">
        <v>0.24299999999999999</v>
      </c>
      <c r="K59" s="11">
        <v>-7.4999999999999997E-2</v>
      </c>
      <c r="L59" s="11">
        <v>5.0000000000000001E-3</v>
      </c>
      <c r="M59" s="11">
        <v>0.24299999999999999</v>
      </c>
      <c r="N59" s="11">
        <v>-0.24</v>
      </c>
      <c r="O59" s="11">
        <v>3.5000000000000003E-2</v>
      </c>
      <c r="P59" s="11">
        <v>0.24299999999999999</v>
      </c>
      <c r="Q59" s="11">
        <v>-0.24</v>
      </c>
      <c r="R59" s="11">
        <v>0</v>
      </c>
      <c r="S59" s="11">
        <v>-0.32</v>
      </c>
      <c r="T59" s="11">
        <v>3.6999999999999998E-2</v>
      </c>
      <c r="U59" s="11">
        <v>-0.32</v>
      </c>
      <c r="V59" s="11">
        <v>0.03</v>
      </c>
      <c r="W59" s="11">
        <v>-0.4</v>
      </c>
      <c r="X59" s="11">
        <v>5.2789926228567997E-3</v>
      </c>
      <c r="Y59" s="11">
        <v>6.8000000000000005E-2</v>
      </c>
      <c r="Z59" s="11">
        <v>0.06</v>
      </c>
      <c r="AA59" s="11">
        <v>0.247</v>
      </c>
      <c r="AB59" s="11">
        <v>0.19</v>
      </c>
      <c r="AC59" s="11">
        <v>0.03</v>
      </c>
      <c r="AD59" s="10">
        <v>0.25</v>
      </c>
      <c r="AE59" s="11">
        <v>3.2000000000000001E-2</v>
      </c>
      <c r="AF59" s="11">
        <v>0.24299999999999999</v>
      </c>
      <c r="AG59" s="11">
        <v>0.56999999999999995</v>
      </c>
      <c r="AH59" s="11">
        <v>3.2000000000000001E-2</v>
      </c>
      <c r="AI59" s="11">
        <v>0.37</v>
      </c>
      <c r="AJ59" s="11">
        <v>0</v>
      </c>
    </row>
    <row r="60" spans="4:36">
      <c r="D60" s="10">
        <v>38808</v>
      </c>
      <c r="E60" s="11">
        <v>4.0918617482307101E-2</v>
      </c>
      <c r="F60" s="11">
        <v>3.9155000000000002</v>
      </c>
      <c r="G60" s="11">
        <v>0.24</v>
      </c>
      <c r="H60" s="11">
        <v>-0.2</v>
      </c>
      <c r="I60" s="11">
        <v>2.5000000000000001E-3</v>
      </c>
      <c r="J60" s="11">
        <v>0.24</v>
      </c>
      <c r="K60" s="11">
        <v>-7.4999999999999997E-2</v>
      </c>
      <c r="L60" s="11">
        <v>5.0000000000000001E-3</v>
      </c>
      <c r="M60" s="11">
        <v>0.24</v>
      </c>
      <c r="N60" s="11">
        <v>-0.34</v>
      </c>
      <c r="O60" s="11">
        <v>0.02</v>
      </c>
      <c r="P60" s="11">
        <v>0.24</v>
      </c>
      <c r="Q60" s="11">
        <v>-0.34</v>
      </c>
      <c r="R60" s="11">
        <v>0</v>
      </c>
      <c r="S60" s="11">
        <v>-0.42</v>
      </c>
      <c r="T60" s="11">
        <v>0.02</v>
      </c>
      <c r="U60" s="11">
        <v>-0.42</v>
      </c>
      <c r="V60" s="11">
        <v>0.01</v>
      </c>
      <c r="W60" s="11">
        <v>-0.44</v>
      </c>
      <c r="X60" s="11">
        <v>1.6490123019655999E-3</v>
      </c>
      <c r="Y60" s="11">
        <v>-0.25</v>
      </c>
      <c r="Z60" s="11">
        <v>0.02</v>
      </c>
      <c r="AA60" s="11">
        <v>0.245</v>
      </c>
      <c r="AB60" s="11">
        <v>0.16500000000000001</v>
      </c>
      <c r="AC60" s="11">
        <v>0.03</v>
      </c>
      <c r="AD60" s="10">
        <v>0.26</v>
      </c>
      <c r="AE60" s="11">
        <v>3.2000000000000001E-2</v>
      </c>
      <c r="AF60" s="11">
        <v>0.24</v>
      </c>
      <c r="AG60" s="11">
        <v>0.44</v>
      </c>
      <c r="AH60" s="11">
        <v>3.2000000000000001E-2</v>
      </c>
      <c r="AI60" s="11">
        <v>0.24</v>
      </c>
      <c r="AJ60" s="11">
        <v>0</v>
      </c>
    </row>
    <row r="61" spans="4:36">
      <c r="D61" s="10">
        <v>38838</v>
      </c>
      <c r="E61" s="11">
        <v>4.1170866350540403E-2</v>
      </c>
      <c r="F61" s="11">
        <v>3.9205000000000001</v>
      </c>
      <c r="G61" s="11">
        <v>0.23749999999999999</v>
      </c>
      <c r="H61" s="11">
        <v>-0.2</v>
      </c>
      <c r="I61" s="11">
        <v>2.5000000000000001E-3</v>
      </c>
      <c r="J61" s="11">
        <v>0.23799999999999999</v>
      </c>
      <c r="K61" s="11">
        <v>-7.4999999999999997E-2</v>
      </c>
      <c r="L61" s="11">
        <v>5.0000000000000001E-3</v>
      </c>
      <c r="M61" s="11">
        <v>0.23799999999999999</v>
      </c>
      <c r="N61" s="11">
        <v>-0.34</v>
      </c>
      <c r="O61" s="11">
        <v>0.02</v>
      </c>
      <c r="P61" s="11">
        <v>0.23799999999999999</v>
      </c>
      <c r="Q61" s="11">
        <v>-0.34</v>
      </c>
      <c r="R61" s="11">
        <v>0</v>
      </c>
      <c r="S61" s="11">
        <v>-0.42</v>
      </c>
      <c r="T61" s="11">
        <v>0.02</v>
      </c>
      <c r="U61" s="11">
        <v>-0.42</v>
      </c>
      <c r="V61" s="11">
        <v>0.01</v>
      </c>
      <c r="W61" s="11">
        <v>-0.44</v>
      </c>
      <c r="X61" s="11">
        <v>1.6483399641307999E-3</v>
      </c>
      <c r="Y61" s="11">
        <v>-0.25</v>
      </c>
      <c r="Z61" s="11">
        <v>0.02</v>
      </c>
      <c r="AA61" s="11">
        <v>0.24199999999999999</v>
      </c>
      <c r="AB61" s="11">
        <v>0.16500000000000001</v>
      </c>
      <c r="AC61" s="11">
        <v>0.03</v>
      </c>
      <c r="AD61" s="10">
        <v>0.26</v>
      </c>
      <c r="AE61" s="11">
        <v>3.2000000000000001E-2</v>
      </c>
      <c r="AF61" s="11">
        <v>0.23799999999999999</v>
      </c>
      <c r="AG61" s="11">
        <v>0.44</v>
      </c>
      <c r="AH61" s="11">
        <v>3.2000000000000001E-2</v>
      </c>
      <c r="AI61" s="11">
        <v>0.24</v>
      </c>
      <c r="AJ61" s="11">
        <v>0</v>
      </c>
    </row>
    <row r="62" spans="4:36">
      <c r="D62" s="10">
        <v>38869</v>
      </c>
      <c r="E62" s="11">
        <v>4.1431523536795897E-2</v>
      </c>
      <c r="F62" s="11">
        <v>3.9584999999999999</v>
      </c>
      <c r="G62" s="11">
        <v>0.23749999999999999</v>
      </c>
      <c r="H62" s="11">
        <v>-0.2</v>
      </c>
      <c r="I62" s="11">
        <v>2.5000000000000001E-3</v>
      </c>
      <c r="J62" s="11">
        <v>0.23799999999999999</v>
      </c>
      <c r="K62" s="11">
        <v>-7.4999999999999997E-2</v>
      </c>
      <c r="L62" s="11">
        <v>5.0000000000000001E-3</v>
      </c>
      <c r="M62" s="11">
        <v>0.23799999999999999</v>
      </c>
      <c r="N62" s="11">
        <v>-0.34</v>
      </c>
      <c r="O62" s="11">
        <v>0.02</v>
      </c>
      <c r="P62" s="11">
        <v>0.23799999999999999</v>
      </c>
      <c r="Q62" s="11">
        <v>-0.34</v>
      </c>
      <c r="R62" s="11">
        <v>0</v>
      </c>
      <c r="S62" s="11">
        <v>-0.42</v>
      </c>
      <c r="T62" s="11">
        <v>0.02</v>
      </c>
      <c r="U62" s="11">
        <v>-0.42</v>
      </c>
      <c r="V62" s="11">
        <v>0.01</v>
      </c>
      <c r="W62" s="11">
        <v>-0.44</v>
      </c>
      <c r="X62" s="11">
        <v>1.6476233958747E-3</v>
      </c>
      <c r="Y62" s="11">
        <v>-0.25</v>
      </c>
      <c r="Z62" s="11">
        <v>0.02</v>
      </c>
      <c r="AA62" s="11">
        <v>0.24199999999999999</v>
      </c>
      <c r="AB62" s="11">
        <v>0.16500000000000001</v>
      </c>
      <c r="AC62" s="11">
        <v>0.03</v>
      </c>
      <c r="AD62" s="10">
        <v>0.26</v>
      </c>
      <c r="AE62" s="11">
        <v>3.2000000000000001E-2</v>
      </c>
      <c r="AF62" s="11">
        <v>0.23799999999999999</v>
      </c>
      <c r="AG62" s="11">
        <v>0.44</v>
      </c>
      <c r="AH62" s="11">
        <v>3.2000000000000001E-2</v>
      </c>
      <c r="AI62" s="11">
        <v>0.24</v>
      </c>
      <c r="AJ62" s="11">
        <v>0</v>
      </c>
    </row>
    <row r="63" spans="4:36">
      <c r="D63" s="10">
        <v>38899</v>
      </c>
      <c r="E63" s="11">
        <v>4.1683772448410497E-2</v>
      </c>
      <c r="F63" s="11">
        <v>4.0034999999999998</v>
      </c>
      <c r="G63" s="11">
        <v>0.23749999999999999</v>
      </c>
      <c r="H63" s="11">
        <v>-0.2</v>
      </c>
      <c r="I63" s="11">
        <v>2.5000000000000001E-3</v>
      </c>
      <c r="J63" s="11">
        <v>0.23799999999999999</v>
      </c>
      <c r="K63" s="11">
        <v>-7.4999999999999997E-2</v>
      </c>
      <c r="L63" s="11">
        <v>5.0000000000000001E-3</v>
      </c>
      <c r="M63" s="11">
        <v>0.23799999999999999</v>
      </c>
      <c r="N63" s="11">
        <v>-0.34</v>
      </c>
      <c r="O63" s="11">
        <v>0.02</v>
      </c>
      <c r="P63" s="11">
        <v>0.23799999999999999</v>
      </c>
      <c r="Q63" s="11">
        <v>-0.34</v>
      </c>
      <c r="R63" s="11">
        <v>0</v>
      </c>
      <c r="S63" s="11">
        <v>-0.42</v>
      </c>
      <c r="T63" s="11">
        <v>0.02</v>
      </c>
      <c r="U63" s="11">
        <v>-0.42</v>
      </c>
      <c r="V63" s="11">
        <v>0.01</v>
      </c>
      <c r="W63" s="11">
        <v>-0.44</v>
      </c>
      <c r="X63" s="11">
        <v>1.6469088638711999E-3</v>
      </c>
      <c r="Y63" s="11">
        <v>-0.25</v>
      </c>
      <c r="Z63" s="11">
        <v>0.02</v>
      </c>
      <c r="AA63" s="11">
        <v>0.24199999999999999</v>
      </c>
      <c r="AB63" s="11">
        <v>0.16500000000000001</v>
      </c>
      <c r="AC63" s="11">
        <v>0.03</v>
      </c>
      <c r="AD63" s="10">
        <v>0.26</v>
      </c>
      <c r="AE63" s="11">
        <v>3.2000000000000001E-2</v>
      </c>
      <c r="AF63" s="11">
        <v>0.23799999999999999</v>
      </c>
      <c r="AG63" s="11">
        <v>0.44</v>
      </c>
      <c r="AH63" s="11">
        <v>3.2000000000000001E-2</v>
      </c>
      <c r="AI63" s="11">
        <v>0.24</v>
      </c>
      <c r="AJ63" s="11">
        <v>0</v>
      </c>
    </row>
    <row r="64" spans="4:36">
      <c r="D64" s="10">
        <v>38930</v>
      </c>
      <c r="E64" s="11">
        <v>4.1944429679488901E-2</v>
      </c>
      <c r="F64" s="11">
        <v>4.0415000000000001</v>
      </c>
      <c r="G64" s="11">
        <v>0.23749999999999999</v>
      </c>
      <c r="H64" s="11">
        <v>-0.2</v>
      </c>
      <c r="I64" s="11">
        <v>2.5000000000000001E-3</v>
      </c>
      <c r="J64" s="11">
        <v>0.23799999999999999</v>
      </c>
      <c r="K64" s="11">
        <v>-7.4999999999999997E-2</v>
      </c>
      <c r="L64" s="11">
        <v>5.0000000000000001E-3</v>
      </c>
      <c r="M64" s="11">
        <v>0.23799999999999999</v>
      </c>
      <c r="N64" s="11">
        <v>-0.34</v>
      </c>
      <c r="O64" s="11">
        <v>0.02</v>
      </c>
      <c r="P64" s="11">
        <v>0.23799999999999999</v>
      </c>
      <c r="Q64" s="11">
        <v>-0.34</v>
      </c>
      <c r="R64" s="11">
        <v>0</v>
      </c>
      <c r="S64" s="11">
        <v>-0.42</v>
      </c>
      <c r="T64" s="11">
        <v>0.02</v>
      </c>
      <c r="U64" s="11">
        <v>-0.42</v>
      </c>
      <c r="V64" s="11">
        <v>0.01</v>
      </c>
      <c r="W64" s="11">
        <v>-0.44</v>
      </c>
      <c r="X64" s="11">
        <v>1.6461487715790999E-3</v>
      </c>
      <c r="Y64" s="11">
        <v>-0.25</v>
      </c>
      <c r="Z64" s="11">
        <v>0.02</v>
      </c>
      <c r="AA64" s="11">
        <v>0.24199999999999999</v>
      </c>
      <c r="AB64" s="11">
        <v>0.16500000000000001</v>
      </c>
      <c r="AC64" s="11">
        <v>0.03</v>
      </c>
      <c r="AD64" s="10">
        <v>0.26</v>
      </c>
      <c r="AE64" s="11">
        <v>3.2000000000000001E-2</v>
      </c>
      <c r="AF64" s="11">
        <v>0.23799999999999999</v>
      </c>
      <c r="AG64" s="11">
        <v>0.44</v>
      </c>
      <c r="AH64" s="11">
        <v>3.2000000000000001E-2</v>
      </c>
      <c r="AI64" s="11">
        <v>0.24</v>
      </c>
      <c r="AJ64" s="11">
        <v>0</v>
      </c>
    </row>
    <row r="65" spans="4:36">
      <c r="D65" s="10">
        <v>38961</v>
      </c>
      <c r="E65" s="11">
        <v>4.2205086933341497E-2</v>
      </c>
      <c r="F65" s="11">
        <v>4.0354999999999999</v>
      </c>
      <c r="G65" s="11">
        <v>0.23749999999999999</v>
      </c>
      <c r="H65" s="11">
        <v>-0.2</v>
      </c>
      <c r="I65" s="11">
        <v>2.5000000000000001E-3</v>
      </c>
      <c r="J65" s="11">
        <v>0.23799999999999999</v>
      </c>
      <c r="K65" s="11">
        <v>-7.4999999999999997E-2</v>
      </c>
      <c r="L65" s="11">
        <v>5.0000000000000001E-3</v>
      </c>
      <c r="M65" s="11">
        <v>0.23799999999999999</v>
      </c>
      <c r="N65" s="11">
        <v>-0.34</v>
      </c>
      <c r="O65" s="11">
        <v>0.02</v>
      </c>
      <c r="P65" s="11">
        <v>0.23799999999999999</v>
      </c>
      <c r="Q65" s="11">
        <v>-0.34</v>
      </c>
      <c r="R65" s="11">
        <v>0</v>
      </c>
      <c r="S65" s="11">
        <v>-0.42</v>
      </c>
      <c r="T65" s="11">
        <v>0.02</v>
      </c>
      <c r="U65" s="11">
        <v>-0.42</v>
      </c>
      <c r="V65" s="11">
        <v>1.2500000000000001E-2</v>
      </c>
      <c r="W65" s="11">
        <v>-0.44</v>
      </c>
      <c r="X65" s="11">
        <v>1.6453666207092001E-3</v>
      </c>
      <c r="Y65" s="11">
        <v>-0.25</v>
      </c>
      <c r="Z65" s="11">
        <v>0.02</v>
      </c>
      <c r="AA65" s="11">
        <v>0.24199999999999999</v>
      </c>
      <c r="AB65" s="11">
        <v>0.16500000000000001</v>
      </c>
      <c r="AC65" s="11">
        <v>0.03</v>
      </c>
      <c r="AD65" s="10">
        <v>0.26</v>
      </c>
      <c r="AE65" s="11">
        <v>3.2000000000000001E-2</v>
      </c>
      <c r="AF65" s="11">
        <v>0.23799999999999999</v>
      </c>
      <c r="AG65" s="11">
        <v>0.44</v>
      </c>
      <c r="AH65" s="11">
        <v>3.2000000000000001E-2</v>
      </c>
      <c r="AI65" s="11">
        <v>0.24</v>
      </c>
      <c r="AJ65" s="11">
        <v>0</v>
      </c>
    </row>
    <row r="66" spans="4:36">
      <c r="D66" s="10">
        <v>38991</v>
      </c>
      <c r="E66" s="11">
        <v>4.24573359103642E-2</v>
      </c>
      <c r="F66" s="11">
        <v>4.0354999999999999</v>
      </c>
      <c r="G66" s="11">
        <v>0.23749999999999999</v>
      </c>
      <c r="H66" s="11">
        <v>-0.2</v>
      </c>
      <c r="I66" s="11">
        <v>2.5000000000000001E-3</v>
      </c>
      <c r="J66" s="11">
        <v>0.23799999999999999</v>
      </c>
      <c r="K66" s="11">
        <v>-7.4999999999999997E-2</v>
      </c>
      <c r="L66" s="11">
        <v>5.0000000000000001E-3</v>
      </c>
      <c r="M66" s="11">
        <v>0.23799999999999999</v>
      </c>
      <c r="N66" s="11">
        <v>-0.34</v>
      </c>
      <c r="O66" s="11">
        <v>0.02</v>
      </c>
      <c r="P66" s="11">
        <v>0.23799999999999999</v>
      </c>
      <c r="Q66" s="11">
        <v>-0.34</v>
      </c>
      <c r="R66" s="11">
        <v>0</v>
      </c>
      <c r="S66" s="11">
        <v>-0.42</v>
      </c>
      <c r="T66" s="11">
        <v>0.02</v>
      </c>
      <c r="U66" s="11">
        <v>-0.42</v>
      </c>
      <c r="V66" s="11">
        <v>0.03</v>
      </c>
      <c r="W66" s="11">
        <v>-0.44</v>
      </c>
      <c r="X66" s="11">
        <v>1.6445887370856E-3</v>
      </c>
      <c r="Y66" s="11">
        <v>-0.25</v>
      </c>
      <c r="Z66" s="11">
        <v>0.02</v>
      </c>
      <c r="AA66" s="11">
        <v>0.24199999999999999</v>
      </c>
      <c r="AB66" s="11">
        <v>0.16500000000000001</v>
      </c>
      <c r="AC66" s="11">
        <v>0.03</v>
      </c>
      <c r="AD66" s="10">
        <v>0.26</v>
      </c>
      <c r="AE66" s="11">
        <v>3.2000000000000001E-2</v>
      </c>
      <c r="AF66" s="11">
        <v>0.23799999999999999</v>
      </c>
      <c r="AG66" s="11">
        <v>0.44</v>
      </c>
      <c r="AH66" s="11">
        <v>3.2000000000000001E-2</v>
      </c>
      <c r="AI66" s="11">
        <v>0.24</v>
      </c>
      <c r="AJ66" s="11">
        <v>0</v>
      </c>
    </row>
    <row r="67" spans="4:36">
      <c r="D67" s="10">
        <v>39022</v>
      </c>
      <c r="E67" s="11">
        <v>4.2717993209022698E-2</v>
      </c>
      <c r="F67" s="11">
        <v>4.2054999999999998</v>
      </c>
      <c r="G67" s="11">
        <v>0.23749999999999999</v>
      </c>
      <c r="H67" s="11">
        <v>-0.13</v>
      </c>
      <c r="I67" s="11">
        <v>5.0000000000000001E-3</v>
      </c>
      <c r="J67" s="11">
        <v>0.23799999999999999</v>
      </c>
      <c r="K67" s="11">
        <v>-7.4999999999999997E-2</v>
      </c>
      <c r="L67" s="11">
        <v>5.0000000000000001E-3</v>
      </c>
      <c r="M67" s="11">
        <v>0.23799999999999999</v>
      </c>
      <c r="N67" s="11">
        <v>-0.24</v>
      </c>
      <c r="O67" s="11">
        <v>3.5000000000000003E-2</v>
      </c>
      <c r="P67" s="11">
        <v>0.23799999999999999</v>
      </c>
      <c r="Q67" s="11">
        <v>-0.24</v>
      </c>
      <c r="R67" s="11">
        <v>0.14000000000000001</v>
      </c>
      <c r="S67" s="11">
        <v>-0.32</v>
      </c>
      <c r="T67" s="11">
        <v>0.16</v>
      </c>
      <c r="U67" s="11">
        <v>-0.32</v>
      </c>
      <c r="V67" s="11">
        <v>0.03</v>
      </c>
      <c r="W67" s="11">
        <v>-0.4</v>
      </c>
      <c r="X67" s="11">
        <v>5.2600425702905001E-3</v>
      </c>
      <c r="Y67" s="11">
        <v>0.248</v>
      </c>
      <c r="Z67" s="11">
        <v>0.06</v>
      </c>
      <c r="AA67" s="11">
        <v>0.24199999999999999</v>
      </c>
      <c r="AB67" s="11">
        <v>0.19</v>
      </c>
      <c r="AC67" s="11">
        <v>0.03</v>
      </c>
      <c r="AD67" s="10">
        <v>0.25</v>
      </c>
      <c r="AE67" s="11">
        <v>3.4000000000000002E-2</v>
      </c>
      <c r="AF67" s="11">
        <v>0.23799999999999999</v>
      </c>
      <c r="AG67" s="11">
        <v>0.5</v>
      </c>
      <c r="AH67" s="11">
        <v>3.4000000000000002E-2</v>
      </c>
      <c r="AI67" s="11">
        <v>0.3</v>
      </c>
      <c r="AJ67" s="11">
        <v>0</v>
      </c>
    </row>
    <row r="68" spans="4:36">
      <c r="D68" s="10">
        <v>39052</v>
      </c>
      <c r="E68" s="11">
        <v>4.2893105921094403E-2</v>
      </c>
      <c r="F68" s="11">
        <v>4.3365</v>
      </c>
      <c r="G68" s="11">
        <v>0.24</v>
      </c>
      <c r="H68" s="11">
        <v>-0.13</v>
      </c>
      <c r="I68" s="11">
        <v>5.0000000000000001E-3</v>
      </c>
      <c r="J68" s="11">
        <v>0.24</v>
      </c>
      <c r="K68" s="11">
        <v>-7.4999999999999997E-2</v>
      </c>
      <c r="L68" s="11">
        <v>5.0000000000000001E-3</v>
      </c>
      <c r="M68" s="11">
        <v>0.24</v>
      </c>
      <c r="N68" s="11">
        <v>-0.24</v>
      </c>
      <c r="O68" s="11">
        <v>3.5000000000000003E-2</v>
      </c>
      <c r="P68" s="11">
        <v>0.24</v>
      </c>
      <c r="Q68" s="11">
        <v>-0.24</v>
      </c>
      <c r="R68" s="11">
        <v>0</v>
      </c>
      <c r="S68" s="11">
        <v>-0.32</v>
      </c>
      <c r="T68" s="11">
        <v>5.8999999999999997E-2</v>
      </c>
      <c r="U68" s="11">
        <v>-0.32</v>
      </c>
      <c r="V68" s="11">
        <v>0.03</v>
      </c>
      <c r="W68" s="11">
        <v>-0.4</v>
      </c>
      <c r="X68" s="11">
        <v>5.2598824272022003E-3</v>
      </c>
      <c r="Y68" s="11">
        <v>0.308</v>
      </c>
      <c r="Z68" s="11">
        <v>0.06</v>
      </c>
      <c r="AA68" s="11">
        <v>0.245</v>
      </c>
      <c r="AB68" s="11">
        <v>0.19</v>
      </c>
      <c r="AC68" s="11">
        <v>0.03</v>
      </c>
      <c r="AD68" s="10">
        <v>0.25</v>
      </c>
      <c r="AE68" s="11">
        <v>3.4000000000000002E-2</v>
      </c>
      <c r="AF68" s="11">
        <v>0.24</v>
      </c>
      <c r="AG68" s="11">
        <v>0.56999999999999995</v>
      </c>
      <c r="AH68" s="11">
        <v>3.4000000000000002E-2</v>
      </c>
      <c r="AI68" s="11">
        <v>0.37</v>
      </c>
      <c r="AJ68" s="11">
        <v>0</v>
      </c>
    </row>
    <row r="69" spans="4:36">
      <c r="D69" s="10">
        <v>39083</v>
      </c>
      <c r="E69" s="11">
        <v>4.3058114229928897E-2</v>
      </c>
      <c r="F69" s="11">
        <v>4.3964999999999996</v>
      </c>
      <c r="G69" s="11">
        <v>0.24249999999999999</v>
      </c>
      <c r="H69" s="11">
        <v>-0.13</v>
      </c>
      <c r="I69" s="11">
        <v>5.0000000000000001E-3</v>
      </c>
      <c r="J69" s="11">
        <v>0.24299999999999999</v>
      </c>
      <c r="K69" s="11">
        <v>-7.0000000000000007E-2</v>
      </c>
      <c r="L69" s="11">
        <v>5.0000000000000001E-3</v>
      </c>
      <c r="M69" s="11">
        <v>0.24299999999999999</v>
      </c>
      <c r="N69" s="11">
        <v>-0.24</v>
      </c>
      <c r="O69" s="11">
        <v>3.5000000000000003E-2</v>
      </c>
      <c r="P69" s="11">
        <v>0.24299999999999999</v>
      </c>
      <c r="Q69" s="11">
        <v>-0.24</v>
      </c>
      <c r="R69" s="11">
        <v>2.5000000000000001E-2</v>
      </c>
      <c r="S69" s="11">
        <v>-0.32</v>
      </c>
      <c r="T69" s="11">
        <v>5.8999999999999997E-2</v>
      </c>
      <c r="U69" s="11">
        <v>-0.32</v>
      </c>
      <c r="V69" s="11">
        <v>0.03</v>
      </c>
      <c r="W69" s="11">
        <v>-0.4</v>
      </c>
      <c r="X69" s="11">
        <v>5.2593055137642002E-3</v>
      </c>
      <c r="Y69" s="11">
        <v>0.378</v>
      </c>
      <c r="Z69" s="11">
        <v>0.06</v>
      </c>
      <c r="AA69" s="11">
        <v>0.247</v>
      </c>
      <c r="AB69" s="11">
        <v>0.19</v>
      </c>
      <c r="AC69" s="11">
        <v>0.03</v>
      </c>
      <c r="AD69" s="10">
        <v>0.25</v>
      </c>
      <c r="AE69" s="11">
        <v>3.4000000000000002E-2</v>
      </c>
      <c r="AF69" s="11">
        <v>0.24299999999999999</v>
      </c>
      <c r="AG69" s="11">
        <v>0.56999999999999995</v>
      </c>
      <c r="AH69" s="11">
        <v>3.4000000000000002E-2</v>
      </c>
      <c r="AI69" s="11">
        <v>0.37</v>
      </c>
      <c r="AJ69" s="11">
        <v>0</v>
      </c>
    </row>
    <row r="70" spans="4:36">
      <c r="D70" s="10">
        <v>39114</v>
      </c>
      <c r="E70" s="11">
        <v>4.3223122547884497E-2</v>
      </c>
      <c r="F70" s="11">
        <v>4.3085000000000004</v>
      </c>
      <c r="G70" s="11">
        <v>0.23749999999999999</v>
      </c>
      <c r="H70" s="11">
        <v>-0.13</v>
      </c>
      <c r="I70" s="11">
        <v>5.0000000000000001E-3</v>
      </c>
      <c r="J70" s="11">
        <v>0.23799999999999999</v>
      </c>
      <c r="K70" s="11">
        <v>-7.0000000000000007E-2</v>
      </c>
      <c r="L70" s="11">
        <v>5.0000000000000001E-3</v>
      </c>
      <c r="M70" s="11">
        <v>0.23799999999999999</v>
      </c>
      <c r="N70" s="11">
        <v>-0.24</v>
      </c>
      <c r="O70" s="11">
        <v>3.5000000000000003E-2</v>
      </c>
      <c r="P70" s="11">
        <v>0.23799999999999999</v>
      </c>
      <c r="Q70" s="11">
        <v>-0.24</v>
      </c>
      <c r="R70" s="11">
        <v>2.5000000000000001E-2</v>
      </c>
      <c r="S70" s="11">
        <v>-0.32</v>
      </c>
      <c r="T70" s="11">
        <v>5.8999999999999997E-2</v>
      </c>
      <c r="U70" s="11">
        <v>-0.32</v>
      </c>
      <c r="V70" s="11">
        <v>0.03</v>
      </c>
      <c r="W70" s="11">
        <v>-0.4</v>
      </c>
      <c r="X70" s="11">
        <v>5.2587276075066001E-3</v>
      </c>
      <c r="Y70" s="11">
        <v>0.248</v>
      </c>
      <c r="Z70" s="11">
        <v>0.06</v>
      </c>
      <c r="AA70" s="11">
        <v>0.24199999999999999</v>
      </c>
      <c r="AB70" s="11">
        <v>0.19</v>
      </c>
      <c r="AC70" s="11">
        <v>0.03</v>
      </c>
      <c r="AD70" s="10">
        <v>0.25</v>
      </c>
      <c r="AE70" s="11">
        <v>3.4000000000000002E-2</v>
      </c>
      <c r="AF70" s="11">
        <v>0.23799999999999999</v>
      </c>
      <c r="AG70" s="11">
        <v>0.56999999999999995</v>
      </c>
      <c r="AH70" s="11">
        <v>3.4000000000000002E-2</v>
      </c>
      <c r="AI70" s="11">
        <v>0.37</v>
      </c>
      <c r="AJ70" s="11">
        <v>0</v>
      </c>
    </row>
    <row r="71" spans="4:36">
      <c r="D71" s="10">
        <v>39142</v>
      </c>
      <c r="E71" s="11">
        <v>4.3372162326781101E-2</v>
      </c>
      <c r="F71" s="11">
        <v>4.1695000000000002</v>
      </c>
      <c r="G71" s="11">
        <v>0.23250000000000001</v>
      </c>
      <c r="H71" s="11">
        <v>-0.13</v>
      </c>
      <c r="I71" s="11">
        <v>5.0000000000000001E-3</v>
      </c>
      <c r="J71" s="11">
        <v>0.23300000000000001</v>
      </c>
      <c r="K71" s="11">
        <v>-7.0000000000000007E-2</v>
      </c>
      <c r="L71" s="11">
        <v>5.0000000000000001E-3</v>
      </c>
      <c r="M71" s="11">
        <v>0.23300000000000001</v>
      </c>
      <c r="N71" s="11">
        <v>-0.24</v>
      </c>
      <c r="O71" s="11">
        <v>3.5000000000000003E-2</v>
      </c>
      <c r="P71" s="11">
        <v>0.23300000000000001</v>
      </c>
      <c r="Q71" s="11">
        <v>-0.24</v>
      </c>
      <c r="R71" s="11">
        <v>0</v>
      </c>
      <c r="S71" s="11">
        <v>-0.32</v>
      </c>
      <c r="T71" s="11">
        <v>3.9E-2</v>
      </c>
      <c r="U71" s="11">
        <v>-0.32</v>
      </c>
      <c r="V71" s="11">
        <v>0.03</v>
      </c>
      <c r="W71" s="11">
        <v>-0.4</v>
      </c>
      <c r="X71" s="11">
        <v>5.2582047748085999E-3</v>
      </c>
      <c r="Y71" s="11">
        <v>6.8000000000000005E-2</v>
      </c>
      <c r="Z71" s="11">
        <v>0.06</v>
      </c>
      <c r="AA71" s="11">
        <v>0.23699999999999999</v>
      </c>
      <c r="AB71" s="11">
        <v>0.19</v>
      </c>
      <c r="AC71" s="11">
        <v>0.03</v>
      </c>
      <c r="AD71" s="10">
        <v>0.25</v>
      </c>
      <c r="AE71" s="11">
        <v>3.4000000000000002E-2</v>
      </c>
      <c r="AF71" s="11">
        <v>0.23300000000000001</v>
      </c>
      <c r="AG71" s="11">
        <v>0.56999999999999995</v>
      </c>
      <c r="AH71" s="11">
        <v>3.4000000000000002E-2</v>
      </c>
      <c r="AI71" s="11">
        <v>0.37</v>
      </c>
      <c r="AJ71" s="11">
        <v>0</v>
      </c>
    </row>
    <row r="72" spans="4:36">
      <c r="D72" s="10">
        <v>39173</v>
      </c>
      <c r="E72" s="11">
        <v>4.3537170662095302E-2</v>
      </c>
      <c r="F72" s="11">
        <v>4.0155000000000003</v>
      </c>
      <c r="G72" s="11">
        <v>0.23250000000000001</v>
      </c>
      <c r="H72" s="11">
        <v>-0.2</v>
      </c>
      <c r="I72" s="11">
        <v>2.5000000000000001E-3</v>
      </c>
      <c r="J72" s="11">
        <v>0.23300000000000001</v>
      </c>
      <c r="K72" s="11">
        <v>-7.0000000000000007E-2</v>
      </c>
      <c r="L72" s="11">
        <v>5.0000000000000001E-3</v>
      </c>
      <c r="M72" s="11">
        <v>0.23300000000000001</v>
      </c>
      <c r="N72" s="11">
        <v>-0.34</v>
      </c>
      <c r="O72" s="11">
        <v>0.02</v>
      </c>
      <c r="P72" s="11">
        <v>0.23300000000000001</v>
      </c>
      <c r="Q72" s="11">
        <v>-0.34</v>
      </c>
      <c r="R72" s="11">
        <v>0</v>
      </c>
      <c r="S72" s="11">
        <v>-0.42</v>
      </c>
      <c r="T72" s="11">
        <v>2.1999999999999999E-2</v>
      </c>
      <c r="U72" s="11">
        <v>-0.42</v>
      </c>
      <c r="V72" s="11">
        <v>0.01</v>
      </c>
      <c r="W72" s="11">
        <v>-0.45</v>
      </c>
      <c r="X72" s="11">
        <v>1.6430078064508999E-3</v>
      </c>
      <c r="Y72" s="11">
        <v>-0.25</v>
      </c>
      <c r="Z72" s="11">
        <v>0.02</v>
      </c>
      <c r="AA72" s="11">
        <v>0.23699999999999999</v>
      </c>
      <c r="AB72" s="11">
        <v>0.16500000000000001</v>
      </c>
      <c r="AC72" s="11">
        <v>0.03</v>
      </c>
      <c r="AD72" s="10">
        <v>0.26</v>
      </c>
      <c r="AE72" s="11">
        <v>3.4000000000000002E-2</v>
      </c>
      <c r="AF72" s="11">
        <v>0.23300000000000001</v>
      </c>
      <c r="AG72" s="11">
        <v>0.44</v>
      </c>
      <c r="AH72" s="11">
        <v>3.4000000000000002E-2</v>
      </c>
      <c r="AI72" s="11">
        <v>0.24</v>
      </c>
      <c r="AJ72" s="11">
        <v>0</v>
      </c>
    </row>
    <row r="73" spans="4:36">
      <c r="D73" s="10">
        <v>39203</v>
      </c>
      <c r="E73" s="11">
        <v>4.3696856156566703E-2</v>
      </c>
      <c r="F73" s="11">
        <v>4.0205000000000002</v>
      </c>
      <c r="G73" s="11">
        <v>0.23250000000000001</v>
      </c>
      <c r="H73" s="11">
        <v>-0.2</v>
      </c>
      <c r="I73" s="11">
        <v>2.5000000000000001E-3</v>
      </c>
      <c r="J73" s="11">
        <v>0.23300000000000001</v>
      </c>
      <c r="K73" s="11">
        <v>-7.0000000000000007E-2</v>
      </c>
      <c r="L73" s="11">
        <v>5.0000000000000001E-3</v>
      </c>
      <c r="M73" s="11">
        <v>0.23300000000000001</v>
      </c>
      <c r="N73" s="11">
        <v>-0.34</v>
      </c>
      <c r="O73" s="11">
        <v>0.02</v>
      </c>
      <c r="P73" s="11">
        <v>0.23300000000000001</v>
      </c>
      <c r="Q73" s="11">
        <v>-0.34</v>
      </c>
      <c r="R73" s="11">
        <v>0</v>
      </c>
      <c r="S73" s="11">
        <v>-0.42</v>
      </c>
      <c r="T73" s="11">
        <v>2.1999999999999999E-2</v>
      </c>
      <c r="U73" s="11">
        <v>-0.42</v>
      </c>
      <c r="V73" s="11">
        <v>0.01</v>
      </c>
      <c r="W73" s="11">
        <v>-0.45</v>
      </c>
      <c r="X73" s="11">
        <v>1.6428321705828999E-3</v>
      </c>
      <c r="Y73" s="11">
        <v>-0.25</v>
      </c>
      <c r="Z73" s="11">
        <v>0.02</v>
      </c>
      <c r="AA73" s="11">
        <v>0.23699999999999999</v>
      </c>
      <c r="AB73" s="11">
        <v>0.16500000000000001</v>
      </c>
      <c r="AC73" s="11">
        <v>0.03</v>
      </c>
      <c r="AD73" s="10">
        <v>0.26</v>
      </c>
      <c r="AE73" s="11">
        <v>3.4000000000000002E-2</v>
      </c>
      <c r="AF73" s="11">
        <v>0.23300000000000001</v>
      </c>
      <c r="AG73" s="11">
        <v>0.44</v>
      </c>
      <c r="AH73" s="11">
        <v>3.4000000000000002E-2</v>
      </c>
      <c r="AI73" s="11">
        <v>0.24</v>
      </c>
      <c r="AJ73" s="11">
        <v>0</v>
      </c>
    </row>
    <row r="74" spans="4:36">
      <c r="D74" s="10">
        <v>39234</v>
      </c>
      <c r="E74" s="11">
        <v>4.3861864509826098E-2</v>
      </c>
      <c r="F74" s="11">
        <v>4.0585000000000004</v>
      </c>
      <c r="G74" s="11">
        <v>0.23250000000000001</v>
      </c>
      <c r="H74" s="11">
        <v>-0.2</v>
      </c>
      <c r="I74" s="11">
        <v>2.5000000000000001E-3</v>
      </c>
      <c r="J74" s="11">
        <v>0.23300000000000001</v>
      </c>
      <c r="K74" s="11">
        <v>-7.0000000000000007E-2</v>
      </c>
      <c r="L74" s="11">
        <v>5.0000000000000001E-3</v>
      </c>
      <c r="M74" s="11">
        <v>0.23300000000000001</v>
      </c>
      <c r="N74" s="11">
        <v>-0.34</v>
      </c>
      <c r="O74" s="11">
        <v>0.02</v>
      </c>
      <c r="P74" s="11">
        <v>0.23300000000000001</v>
      </c>
      <c r="Q74" s="11">
        <v>-0.34</v>
      </c>
      <c r="R74" s="11">
        <v>0</v>
      </c>
      <c r="S74" s="11">
        <v>-0.42</v>
      </c>
      <c r="T74" s="11">
        <v>2.1999999999999999E-2</v>
      </c>
      <c r="U74" s="11">
        <v>-0.42</v>
      </c>
      <c r="V74" s="11">
        <v>0.01</v>
      </c>
      <c r="W74" s="11">
        <v>-0.45</v>
      </c>
      <c r="X74" s="11">
        <v>1.6426503756480999E-3</v>
      </c>
      <c r="Y74" s="11">
        <v>-0.25</v>
      </c>
      <c r="Z74" s="11">
        <v>0.02</v>
      </c>
      <c r="AA74" s="11">
        <v>0.23699999999999999</v>
      </c>
      <c r="AB74" s="11">
        <v>0.16500000000000001</v>
      </c>
      <c r="AC74" s="11">
        <v>0.03</v>
      </c>
      <c r="AD74" s="10">
        <v>0.26</v>
      </c>
      <c r="AE74" s="11">
        <v>3.4000000000000002E-2</v>
      </c>
      <c r="AF74" s="11">
        <v>0.23300000000000001</v>
      </c>
      <c r="AG74" s="11">
        <v>0.44</v>
      </c>
      <c r="AH74" s="11">
        <v>3.4000000000000002E-2</v>
      </c>
      <c r="AI74" s="11">
        <v>0.24</v>
      </c>
      <c r="AJ74" s="11">
        <v>0</v>
      </c>
    </row>
    <row r="75" spans="4:36">
      <c r="D75" s="10">
        <v>39264</v>
      </c>
      <c r="E75" s="11">
        <v>4.4021550021661401E-2</v>
      </c>
      <c r="F75" s="11">
        <v>4.1035000000000004</v>
      </c>
      <c r="G75" s="11">
        <v>0.23250000000000001</v>
      </c>
      <c r="H75" s="11">
        <v>-0.2</v>
      </c>
      <c r="I75" s="11">
        <v>2.5000000000000001E-3</v>
      </c>
      <c r="J75" s="11">
        <v>0.23300000000000001</v>
      </c>
      <c r="K75" s="11">
        <v>-7.0000000000000007E-2</v>
      </c>
      <c r="L75" s="11">
        <v>5.0000000000000001E-3</v>
      </c>
      <c r="M75" s="11">
        <v>0.23300000000000001</v>
      </c>
      <c r="N75" s="11">
        <v>-0.34</v>
      </c>
      <c r="O75" s="11">
        <v>0.02</v>
      </c>
      <c r="P75" s="11">
        <v>0.23300000000000001</v>
      </c>
      <c r="Q75" s="11">
        <v>-0.34</v>
      </c>
      <c r="R75" s="11">
        <v>0</v>
      </c>
      <c r="S75" s="11">
        <v>-0.42</v>
      </c>
      <c r="T75" s="11">
        <v>2.1999999999999999E-2</v>
      </c>
      <c r="U75" s="11">
        <v>-0.42</v>
      </c>
      <c r="V75" s="11">
        <v>0.01</v>
      </c>
      <c r="W75" s="11">
        <v>-0.45</v>
      </c>
      <c r="X75" s="11">
        <v>1.6424741505264E-3</v>
      </c>
      <c r="Y75" s="11">
        <v>-0.25</v>
      </c>
      <c r="Z75" s="11">
        <v>0.02</v>
      </c>
      <c r="AA75" s="11">
        <v>0.23699999999999999</v>
      </c>
      <c r="AB75" s="11">
        <v>0.16500000000000001</v>
      </c>
      <c r="AC75" s="11">
        <v>0.03</v>
      </c>
      <c r="AD75" s="10">
        <v>0.26</v>
      </c>
      <c r="AE75" s="11">
        <v>3.4000000000000002E-2</v>
      </c>
      <c r="AF75" s="11">
        <v>0.23300000000000001</v>
      </c>
      <c r="AG75" s="11">
        <v>0.44</v>
      </c>
      <c r="AH75" s="11">
        <v>3.4000000000000002E-2</v>
      </c>
      <c r="AI75" s="11">
        <v>0.24</v>
      </c>
      <c r="AJ75" s="11">
        <v>0</v>
      </c>
    </row>
    <row r="76" spans="4:36">
      <c r="D76" s="10">
        <v>39295</v>
      </c>
      <c r="E76" s="11">
        <v>4.4186558392862403E-2</v>
      </c>
      <c r="F76" s="11">
        <v>4.1414999999999997</v>
      </c>
      <c r="G76" s="11">
        <v>0.23250000000000001</v>
      </c>
      <c r="H76" s="11">
        <v>-0.2</v>
      </c>
      <c r="I76" s="11">
        <v>2.5000000000000001E-3</v>
      </c>
      <c r="J76" s="11">
        <v>0.23300000000000001</v>
      </c>
      <c r="K76" s="11">
        <v>-7.0000000000000007E-2</v>
      </c>
      <c r="L76" s="11">
        <v>5.0000000000000001E-3</v>
      </c>
      <c r="M76" s="11">
        <v>0.23300000000000001</v>
      </c>
      <c r="N76" s="11">
        <v>-0.34</v>
      </c>
      <c r="O76" s="11">
        <v>0.02</v>
      </c>
      <c r="P76" s="11">
        <v>0.23300000000000001</v>
      </c>
      <c r="Q76" s="11">
        <v>-0.34</v>
      </c>
      <c r="R76" s="11">
        <v>0</v>
      </c>
      <c r="S76" s="11">
        <v>-0.42</v>
      </c>
      <c r="T76" s="11">
        <v>2.1999999999999999E-2</v>
      </c>
      <c r="U76" s="11">
        <v>-0.42</v>
      </c>
      <c r="V76" s="11">
        <v>0.01</v>
      </c>
      <c r="W76" s="11">
        <v>-0.45</v>
      </c>
      <c r="X76" s="11">
        <v>1.6422917470586E-3</v>
      </c>
      <c r="Y76" s="11">
        <v>-0.25</v>
      </c>
      <c r="Z76" s="11">
        <v>0.02</v>
      </c>
      <c r="AA76" s="11">
        <v>0.23699999999999999</v>
      </c>
      <c r="AB76" s="11">
        <v>0.16500000000000001</v>
      </c>
      <c r="AC76" s="11">
        <v>0.03</v>
      </c>
      <c r="AD76" s="10">
        <v>0.26</v>
      </c>
      <c r="AE76" s="11">
        <v>3.4000000000000002E-2</v>
      </c>
      <c r="AF76" s="11">
        <v>0.23300000000000001</v>
      </c>
      <c r="AG76" s="11">
        <v>0.44</v>
      </c>
      <c r="AH76" s="11">
        <v>3.4000000000000002E-2</v>
      </c>
      <c r="AI76" s="11">
        <v>0.24</v>
      </c>
      <c r="AJ76" s="11">
        <v>0</v>
      </c>
    </row>
    <row r="77" spans="4:36">
      <c r="D77" s="10">
        <v>39326</v>
      </c>
      <c r="E77" s="11">
        <v>4.43515667731793E-2</v>
      </c>
      <c r="F77" s="11">
        <v>4.1355000000000004</v>
      </c>
      <c r="G77" s="11">
        <v>0.23250000000000001</v>
      </c>
      <c r="H77" s="11">
        <v>-0.2</v>
      </c>
      <c r="I77" s="11">
        <v>2.5000000000000001E-3</v>
      </c>
      <c r="J77" s="11">
        <v>0.23300000000000001</v>
      </c>
      <c r="K77" s="11">
        <v>-7.0000000000000007E-2</v>
      </c>
      <c r="L77" s="11">
        <v>5.0000000000000001E-3</v>
      </c>
      <c r="M77" s="11">
        <v>0.23300000000000001</v>
      </c>
      <c r="N77" s="11">
        <v>-0.34</v>
      </c>
      <c r="O77" s="11">
        <v>0.02</v>
      </c>
      <c r="P77" s="11">
        <v>0.23300000000000001</v>
      </c>
      <c r="Q77" s="11">
        <v>-0.34</v>
      </c>
      <c r="R77" s="11">
        <v>0</v>
      </c>
      <c r="S77" s="11">
        <v>-0.42</v>
      </c>
      <c r="T77" s="11">
        <v>2.1999999999999999E-2</v>
      </c>
      <c r="U77" s="11">
        <v>-0.42</v>
      </c>
      <c r="V77" s="11">
        <v>1.2500000000000001E-2</v>
      </c>
      <c r="W77" s="11">
        <v>-0.45</v>
      </c>
      <c r="X77" s="11">
        <v>1.6421090346144E-3</v>
      </c>
      <c r="Y77" s="11">
        <v>-0.25</v>
      </c>
      <c r="Z77" s="11">
        <v>0.02</v>
      </c>
      <c r="AA77" s="11">
        <v>0.23699999999999999</v>
      </c>
      <c r="AB77" s="11">
        <v>0.16500000000000001</v>
      </c>
      <c r="AC77" s="11">
        <v>0.03</v>
      </c>
      <c r="AD77" s="10">
        <v>0.26</v>
      </c>
      <c r="AE77" s="11">
        <v>3.4000000000000002E-2</v>
      </c>
      <c r="AF77" s="11">
        <v>0.23300000000000001</v>
      </c>
      <c r="AG77" s="11">
        <v>0.44</v>
      </c>
      <c r="AH77" s="11">
        <v>3.4000000000000002E-2</v>
      </c>
      <c r="AI77" s="11">
        <v>0.24</v>
      </c>
      <c r="AJ77" s="11">
        <v>0</v>
      </c>
    </row>
    <row r="78" spans="4:36">
      <c r="D78" s="10">
        <v>39356</v>
      </c>
      <c r="E78" s="11">
        <v>4.4511252311198998E-2</v>
      </c>
      <c r="F78" s="11">
        <v>4.1355000000000004</v>
      </c>
      <c r="G78" s="11">
        <v>0.23250000000000001</v>
      </c>
      <c r="H78" s="11">
        <v>-0.2</v>
      </c>
      <c r="I78" s="11">
        <v>2.5000000000000001E-3</v>
      </c>
      <c r="J78" s="11">
        <v>0.23300000000000001</v>
      </c>
      <c r="K78" s="11">
        <v>-7.0000000000000007E-2</v>
      </c>
      <c r="L78" s="11">
        <v>5.0000000000000001E-3</v>
      </c>
      <c r="M78" s="11">
        <v>0.23300000000000001</v>
      </c>
      <c r="N78" s="11">
        <v>-0.34</v>
      </c>
      <c r="O78" s="11">
        <v>0.02</v>
      </c>
      <c r="P78" s="11">
        <v>0.23300000000000001</v>
      </c>
      <c r="Q78" s="11">
        <v>-0.34</v>
      </c>
      <c r="R78" s="11">
        <v>0</v>
      </c>
      <c r="S78" s="11">
        <v>-0.42</v>
      </c>
      <c r="T78" s="11">
        <v>2.1999999999999999E-2</v>
      </c>
      <c r="U78" s="11">
        <v>-0.42</v>
      </c>
      <c r="V78" s="11">
        <v>0.03</v>
      </c>
      <c r="W78" s="11">
        <v>-0.45</v>
      </c>
      <c r="X78" s="11">
        <v>1.6419319221101E-3</v>
      </c>
      <c r="Y78" s="11">
        <v>-0.25</v>
      </c>
      <c r="Z78" s="11">
        <v>0.02</v>
      </c>
      <c r="AA78" s="11">
        <v>0.23699999999999999</v>
      </c>
      <c r="AB78" s="11">
        <v>0.16500000000000001</v>
      </c>
      <c r="AC78" s="11">
        <v>0.03</v>
      </c>
      <c r="AD78" s="10">
        <v>0.26</v>
      </c>
      <c r="AE78" s="11">
        <v>3.4000000000000002E-2</v>
      </c>
      <c r="AF78" s="11">
        <v>0.23300000000000001</v>
      </c>
      <c r="AG78" s="11">
        <v>0.44</v>
      </c>
      <c r="AH78" s="11">
        <v>3.4000000000000002E-2</v>
      </c>
      <c r="AI78" s="11">
        <v>0.24</v>
      </c>
      <c r="AJ78" s="11">
        <v>0</v>
      </c>
    </row>
    <row r="79" spans="4:36">
      <c r="D79" s="10">
        <v>39387</v>
      </c>
      <c r="E79" s="11">
        <v>4.4676260709453498E-2</v>
      </c>
      <c r="F79" s="11">
        <v>4.3055000000000003</v>
      </c>
      <c r="G79" s="11">
        <v>0.23250000000000001</v>
      </c>
      <c r="H79" s="11">
        <v>-0.13</v>
      </c>
      <c r="I79" s="11">
        <v>5.0000000000000001E-3</v>
      </c>
      <c r="J79" s="11">
        <v>0.23300000000000001</v>
      </c>
      <c r="K79" s="11">
        <v>-7.0000000000000007E-2</v>
      </c>
      <c r="L79" s="11">
        <v>5.0000000000000001E-3</v>
      </c>
      <c r="M79" s="11">
        <v>0.23300000000000001</v>
      </c>
      <c r="N79" s="11">
        <v>-0.24</v>
      </c>
      <c r="O79" s="11">
        <v>0</v>
      </c>
      <c r="P79" s="11">
        <v>0.23300000000000001</v>
      </c>
      <c r="Q79" s="11">
        <v>0</v>
      </c>
      <c r="R79" s="11">
        <v>0</v>
      </c>
      <c r="S79" s="11">
        <v>0</v>
      </c>
      <c r="T79" s="11">
        <v>0</v>
      </c>
      <c r="U79" s="11">
        <v>-0.32</v>
      </c>
      <c r="V79" s="11">
        <v>0</v>
      </c>
      <c r="W79" s="11">
        <v>-0.41</v>
      </c>
      <c r="X79" s="11">
        <v>5.2535955271296999E-3</v>
      </c>
      <c r="Y79" s="11">
        <v>0.248</v>
      </c>
      <c r="Z79" s="11">
        <v>0.06</v>
      </c>
      <c r="AA79" s="11">
        <v>0.23699999999999999</v>
      </c>
      <c r="AB79" s="11">
        <v>0.19</v>
      </c>
      <c r="AC79" s="11">
        <v>0.03</v>
      </c>
      <c r="AD79" s="10">
        <v>0.25</v>
      </c>
      <c r="AE79" s="11">
        <v>3.5999999999999997E-2</v>
      </c>
      <c r="AF79" s="11">
        <v>0.23300000000000001</v>
      </c>
      <c r="AG79" s="11">
        <v>0.5</v>
      </c>
      <c r="AH79" s="11">
        <v>3.5999999999999997E-2</v>
      </c>
      <c r="AI79" s="11">
        <v>0.3</v>
      </c>
      <c r="AJ79" s="11">
        <v>0</v>
      </c>
    </row>
    <row r="80" spans="4:36">
      <c r="D80" s="10">
        <v>39417</v>
      </c>
      <c r="E80" s="11">
        <v>4.4835946264829597E-2</v>
      </c>
      <c r="F80" s="11">
        <v>4.4364999999999997</v>
      </c>
      <c r="G80" s="11">
        <v>0.23250000000000001</v>
      </c>
      <c r="H80" s="11">
        <v>-0.13</v>
      </c>
      <c r="I80" s="11">
        <v>5.0000000000000001E-3</v>
      </c>
      <c r="J80" s="11">
        <v>0.23300000000000001</v>
      </c>
      <c r="K80" s="11">
        <v>-7.0000000000000007E-2</v>
      </c>
      <c r="L80" s="11">
        <v>5.0000000000000001E-3</v>
      </c>
      <c r="M80" s="11">
        <v>0.23300000000000001</v>
      </c>
      <c r="N80" s="11">
        <v>-0.24</v>
      </c>
      <c r="O80" s="11">
        <v>0</v>
      </c>
      <c r="P80" s="11">
        <v>0.23300000000000001</v>
      </c>
      <c r="Q80" s="11">
        <v>0</v>
      </c>
      <c r="R80" s="11">
        <v>0</v>
      </c>
      <c r="S80" s="11">
        <v>0</v>
      </c>
      <c r="T80" s="11">
        <v>0</v>
      </c>
      <c r="U80" s="11">
        <v>-0.32</v>
      </c>
      <c r="V80" s="11">
        <v>0</v>
      </c>
      <c r="W80" s="11">
        <v>-0.41</v>
      </c>
      <c r="X80" s="11">
        <v>5.2530268871435002E-3</v>
      </c>
      <c r="Y80" s="11">
        <v>0.308</v>
      </c>
      <c r="Z80" s="11">
        <v>0.06</v>
      </c>
      <c r="AA80" s="11">
        <v>0.23699999999999999</v>
      </c>
      <c r="AB80" s="11">
        <v>0.19</v>
      </c>
      <c r="AC80" s="11">
        <v>0.03</v>
      </c>
      <c r="AD80" s="10">
        <v>0.25</v>
      </c>
      <c r="AE80" s="11">
        <v>3.5999999999999997E-2</v>
      </c>
      <c r="AF80" s="11">
        <v>0.23300000000000001</v>
      </c>
      <c r="AG80" s="11">
        <v>0.56999999999999995</v>
      </c>
      <c r="AH80" s="11">
        <v>3.5999999999999997E-2</v>
      </c>
      <c r="AI80" s="11">
        <v>0.37</v>
      </c>
      <c r="AJ80" s="11">
        <v>0</v>
      </c>
    </row>
    <row r="81" spans="4:36">
      <c r="D81" s="10">
        <v>39448</v>
      </c>
      <c r="E81" s="11">
        <v>4.5000954681019098E-2</v>
      </c>
      <c r="F81" s="11">
        <v>4.4989999999999997</v>
      </c>
      <c r="G81" s="11">
        <v>0.23250000000000001</v>
      </c>
      <c r="H81" s="11">
        <v>-0.13</v>
      </c>
      <c r="I81" s="11">
        <v>5.0000000000000001E-3</v>
      </c>
      <c r="J81" s="11">
        <v>0.23300000000000001</v>
      </c>
      <c r="K81" s="11">
        <v>-7.0000000000000007E-2</v>
      </c>
      <c r="L81" s="11">
        <v>5.0000000000000001E-3</v>
      </c>
      <c r="M81" s="11">
        <v>0.23300000000000001</v>
      </c>
      <c r="N81" s="11">
        <v>-0.24</v>
      </c>
      <c r="O81" s="11">
        <v>0</v>
      </c>
      <c r="P81" s="11">
        <v>0.23300000000000001</v>
      </c>
      <c r="Q81" s="11">
        <v>0</v>
      </c>
      <c r="R81" s="11">
        <v>0</v>
      </c>
      <c r="S81" s="11">
        <v>0</v>
      </c>
      <c r="T81" s="11">
        <v>0</v>
      </c>
      <c r="U81" s="11">
        <v>-0.32</v>
      </c>
      <c r="V81" s="11">
        <v>0</v>
      </c>
      <c r="W81" s="11">
        <v>-0.41</v>
      </c>
      <c r="X81" s="11">
        <v>5.2524383220466002E-3</v>
      </c>
      <c r="Y81" s="11">
        <v>0.378</v>
      </c>
      <c r="Z81" s="11">
        <v>0.06</v>
      </c>
      <c r="AA81" s="11">
        <v>0.23699999999999999</v>
      </c>
      <c r="AB81" s="11">
        <v>0.19</v>
      </c>
      <c r="AC81" s="11">
        <v>0.03</v>
      </c>
      <c r="AD81" s="10">
        <v>0.25</v>
      </c>
      <c r="AE81" s="11">
        <v>3.5999999999999997E-2</v>
      </c>
      <c r="AF81" s="11">
        <v>0.23300000000000001</v>
      </c>
      <c r="AG81" s="11">
        <v>0.56999999999999995</v>
      </c>
      <c r="AH81" s="11">
        <v>3.5999999999999997E-2</v>
      </c>
      <c r="AI81" s="11">
        <v>0.37</v>
      </c>
      <c r="AJ81" s="11">
        <v>0</v>
      </c>
    </row>
    <row r="82" spans="4:36">
      <c r="D82" s="10">
        <v>39479</v>
      </c>
      <c r="E82" s="11">
        <v>4.5165963106321302E-2</v>
      </c>
      <c r="F82" s="11">
        <v>4.4109999999999996</v>
      </c>
      <c r="G82" s="11">
        <v>0.23250000000000001</v>
      </c>
      <c r="H82" s="11">
        <v>-0.13</v>
      </c>
      <c r="I82" s="11">
        <v>5.0000000000000001E-3</v>
      </c>
      <c r="J82" s="11">
        <v>0.23300000000000001</v>
      </c>
      <c r="K82" s="11">
        <v>-7.0000000000000007E-2</v>
      </c>
      <c r="L82" s="11">
        <v>5.0000000000000001E-3</v>
      </c>
      <c r="M82" s="11">
        <v>0.23300000000000001</v>
      </c>
      <c r="N82" s="11">
        <v>-0.24</v>
      </c>
      <c r="O82" s="11">
        <v>0</v>
      </c>
      <c r="P82" s="11">
        <v>0.23300000000000001</v>
      </c>
      <c r="Q82" s="11">
        <v>0</v>
      </c>
      <c r="R82" s="11">
        <v>0</v>
      </c>
      <c r="S82" s="11">
        <v>0</v>
      </c>
      <c r="T82" s="11">
        <v>0</v>
      </c>
      <c r="U82" s="11">
        <v>-0.32</v>
      </c>
      <c r="V82" s="11">
        <v>0</v>
      </c>
      <c r="W82" s="11">
        <v>-0.41</v>
      </c>
      <c r="X82" s="11">
        <v>5.2518487711913E-3</v>
      </c>
      <c r="Y82" s="11">
        <v>0.248</v>
      </c>
      <c r="Z82" s="11">
        <v>0.06</v>
      </c>
      <c r="AA82" s="11">
        <v>0.23699999999999999</v>
      </c>
      <c r="AB82" s="11">
        <v>0.19</v>
      </c>
      <c r="AC82" s="11">
        <v>0.03</v>
      </c>
      <c r="AD82" s="10">
        <v>0.25</v>
      </c>
      <c r="AE82" s="11">
        <v>3.5999999999999997E-2</v>
      </c>
      <c r="AF82" s="11">
        <v>0.23300000000000001</v>
      </c>
      <c r="AG82" s="11">
        <v>0.56999999999999995</v>
      </c>
      <c r="AH82" s="11">
        <v>3.5999999999999997E-2</v>
      </c>
      <c r="AI82" s="11">
        <v>0.37</v>
      </c>
      <c r="AJ82" s="11">
        <v>0</v>
      </c>
    </row>
    <row r="83" spans="4:36">
      <c r="D83" s="10">
        <v>39508</v>
      </c>
      <c r="E83" s="11">
        <v>4.5320325835014802E-2</v>
      </c>
      <c r="F83" s="11">
        <v>4.2720000000000002</v>
      </c>
      <c r="G83" s="11">
        <v>0.2225</v>
      </c>
      <c r="H83" s="11">
        <v>-0.13</v>
      </c>
      <c r="I83" s="11">
        <v>5.0000000000000001E-3</v>
      </c>
      <c r="J83" s="11">
        <v>0.223</v>
      </c>
      <c r="K83" s="11">
        <v>-7.0000000000000007E-2</v>
      </c>
      <c r="L83" s="11">
        <v>5.0000000000000001E-3</v>
      </c>
      <c r="M83" s="11">
        <v>0.223</v>
      </c>
      <c r="N83" s="11">
        <v>-0.24</v>
      </c>
      <c r="O83" s="11">
        <v>0</v>
      </c>
      <c r="P83" s="11">
        <v>0.223</v>
      </c>
      <c r="Q83" s="11">
        <v>0</v>
      </c>
      <c r="R83" s="11">
        <v>0</v>
      </c>
      <c r="S83" s="11">
        <v>0</v>
      </c>
      <c r="T83" s="11">
        <v>0</v>
      </c>
      <c r="U83" s="11">
        <v>-0.32</v>
      </c>
      <c r="V83" s="11">
        <v>0</v>
      </c>
      <c r="W83" s="11">
        <v>-0.41</v>
      </c>
      <c r="X83" s="11">
        <v>5.2512963639946E-3</v>
      </c>
      <c r="Y83" s="11">
        <v>6.8000000000000005E-2</v>
      </c>
      <c r="Z83" s="11">
        <v>0.06</v>
      </c>
      <c r="AA83" s="11">
        <v>0.22700000000000001</v>
      </c>
      <c r="AB83" s="11">
        <v>0.19</v>
      </c>
      <c r="AC83" s="11">
        <v>0.03</v>
      </c>
      <c r="AD83" s="10">
        <v>0.25</v>
      </c>
      <c r="AE83" s="11">
        <v>3.5999999999999997E-2</v>
      </c>
      <c r="AF83" s="11">
        <v>0.223</v>
      </c>
      <c r="AG83" s="11">
        <v>0.56999999999999995</v>
      </c>
      <c r="AH83" s="11">
        <v>3.5999999999999997E-2</v>
      </c>
      <c r="AI83" s="11">
        <v>0.37</v>
      </c>
      <c r="AJ83" s="11">
        <v>0</v>
      </c>
    </row>
    <row r="84" spans="4:36">
      <c r="D84" s="10">
        <v>39539</v>
      </c>
      <c r="E84" s="11">
        <v>4.5485334277953503E-2</v>
      </c>
      <c r="F84" s="11">
        <v>4.1180000000000003</v>
      </c>
      <c r="G84" s="11">
        <v>0.2225</v>
      </c>
      <c r="H84" s="11">
        <v>-0.2</v>
      </c>
      <c r="I84" s="11">
        <v>2.5000000000000001E-3</v>
      </c>
      <c r="J84" s="11">
        <v>0.223</v>
      </c>
      <c r="K84" s="11">
        <v>-7.0000000000000007E-2</v>
      </c>
      <c r="L84" s="11">
        <v>5.0000000000000001E-3</v>
      </c>
      <c r="M84" s="11">
        <v>0.223</v>
      </c>
      <c r="N84" s="11">
        <v>-0.34</v>
      </c>
      <c r="O84" s="11">
        <v>0</v>
      </c>
      <c r="P84" s="11">
        <v>0.223</v>
      </c>
      <c r="Q84" s="11">
        <v>0</v>
      </c>
      <c r="R84" s="11">
        <v>0</v>
      </c>
      <c r="S84" s="11">
        <v>0</v>
      </c>
      <c r="T84" s="11">
        <v>0</v>
      </c>
      <c r="U84" s="11">
        <v>-0.42</v>
      </c>
      <c r="V84" s="11">
        <v>0</v>
      </c>
      <c r="W84" s="11">
        <v>-0.46500000000000002</v>
      </c>
      <c r="X84" s="11">
        <v>1.6408452834158001E-3</v>
      </c>
      <c r="Y84" s="11">
        <v>-0.25</v>
      </c>
      <c r="Z84" s="11">
        <v>0.02</v>
      </c>
      <c r="AA84" s="11">
        <v>0.22700000000000001</v>
      </c>
      <c r="AB84" s="11">
        <v>0.16500000000000001</v>
      </c>
      <c r="AC84" s="11">
        <v>0.03</v>
      </c>
      <c r="AD84" s="10">
        <v>0.26</v>
      </c>
      <c r="AE84" s="11">
        <v>3.5999999999999997E-2</v>
      </c>
      <c r="AF84" s="11">
        <v>0.223</v>
      </c>
      <c r="AG84" s="11">
        <v>0.44</v>
      </c>
      <c r="AH84" s="11">
        <v>3.5999999999999997E-2</v>
      </c>
      <c r="AI84" s="11">
        <v>0.24</v>
      </c>
      <c r="AJ84" s="11">
        <v>0</v>
      </c>
    </row>
    <row r="85" spans="4:36">
      <c r="D85" s="10">
        <v>39569</v>
      </c>
      <c r="E85" s="11">
        <v>4.5645019876568799E-2</v>
      </c>
      <c r="F85" s="11">
        <v>4.1230000000000002</v>
      </c>
      <c r="G85" s="11">
        <v>0.2225</v>
      </c>
      <c r="H85" s="11">
        <v>-0.2</v>
      </c>
      <c r="I85" s="11">
        <v>2.5000000000000001E-3</v>
      </c>
      <c r="J85" s="11">
        <v>0.223</v>
      </c>
      <c r="K85" s="11">
        <v>-7.0000000000000007E-2</v>
      </c>
      <c r="L85" s="11">
        <v>5.0000000000000001E-3</v>
      </c>
      <c r="M85" s="11">
        <v>0.223</v>
      </c>
      <c r="N85" s="11">
        <v>-0.34</v>
      </c>
      <c r="O85" s="11">
        <v>0</v>
      </c>
      <c r="P85" s="11">
        <v>0.223</v>
      </c>
      <c r="Q85" s="11">
        <v>0</v>
      </c>
      <c r="R85" s="11">
        <v>0</v>
      </c>
      <c r="S85" s="11">
        <v>0</v>
      </c>
      <c r="T85" s="11">
        <v>0</v>
      </c>
      <c r="U85" s="11">
        <v>-0.42</v>
      </c>
      <c r="V85" s="11">
        <v>0</v>
      </c>
      <c r="W85" s="11">
        <v>-0.46500000000000002</v>
      </c>
      <c r="X85" s="11">
        <v>1.6406661225722E-3</v>
      </c>
      <c r="Y85" s="11">
        <v>-0.25</v>
      </c>
      <c r="Z85" s="11">
        <v>0.02</v>
      </c>
      <c r="AA85" s="11">
        <v>0.22700000000000001</v>
      </c>
      <c r="AB85" s="11">
        <v>0.16500000000000001</v>
      </c>
      <c r="AC85" s="11">
        <v>0.03</v>
      </c>
      <c r="AD85" s="10">
        <v>0.26</v>
      </c>
      <c r="AE85" s="11">
        <v>3.5999999999999997E-2</v>
      </c>
      <c r="AF85" s="11">
        <v>0.223</v>
      </c>
      <c r="AG85" s="11">
        <v>0.44</v>
      </c>
      <c r="AH85" s="11">
        <v>3.5999999999999997E-2</v>
      </c>
      <c r="AI85" s="11">
        <v>0.24</v>
      </c>
      <c r="AJ85" s="11">
        <v>0</v>
      </c>
    </row>
    <row r="86" spans="4:36">
      <c r="D86" s="10">
        <v>39600</v>
      </c>
      <c r="E86" s="11">
        <v>4.5810028337434999E-2</v>
      </c>
      <c r="F86" s="11">
        <v>4.1609999999999996</v>
      </c>
      <c r="G86" s="11">
        <v>0.2225</v>
      </c>
      <c r="H86" s="11">
        <v>-0.2</v>
      </c>
      <c r="I86" s="11">
        <v>2.5000000000000001E-3</v>
      </c>
      <c r="J86" s="11">
        <v>0.223</v>
      </c>
      <c r="K86" s="11">
        <v>-7.0000000000000007E-2</v>
      </c>
      <c r="L86" s="11">
        <v>5.0000000000000001E-3</v>
      </c>
      <c r="M86" s="11">
        <v>0.223</v>
      </c>
      <c r="N86" s="11">
        <v>-0.34</v>
      </c>
      <c r="O86" s="11">
        <v>0</v>
      </c>
      <c r="P86" s="11">
        <v>0.223</v>
      </c>
      <c r="Q86" s="11">
        <v>0</v>
      </c>
      <c r="R86" s="11">
        <v>0</v>
      </c>
      <c r="S86" s="11">
        <v>0</v>
      </c>
      <c r="T86" s="11">
        <v>0</v>
      </c>
      <c r="U86" s="11">
        <v>-0.42</v>
      </c>
      <c r="V86" s="11">
        <v>0</v>
      </c>
      <c r="W86" s="11">
        <v>-0.46500000000000002</v>
      </c>
      <c r="X86" s="11">
        <v>1.6404806873446E-3</v>
      </c>
      <c r="Y86" s="11">
        <v>-0.25</v>
      </c>
      <c r="Z86" s="11">
        <v>0.02</v>
      </c>
      <c r="AA86" s="11">
        <v>0.22700000000000001</v>
      </c>
      <c r="AB86" s="11">
        <v>0.16500000000000001</v>
      </c>
      <c r="AC86" s="11">
        <v>0.03</v>
      </c>
      <c r="AD86" s="10">
        <v>0.26</v>
      </c>
      <c r="AE86" s="11">
        <v>3.5999999999999997E-2</v>
      </c>
      <c r="AF86" s="11">
        <v>0.223</v>
      </c>
      <c r="AG86" s="11">
        <v>0.44</v>
      </c>
      <c r="AH86" s="11">
        <v>3.5999999999999997E-2</v>
      </c>
      <c r="AI86" s="11">
        <v>0.24</v>
      </c>
      <c r="AJ86" s="11">
        <v>0</v>
      </c>
    </row>
    <row r="87" spans="4:36">
      <c r="D87" s="10">
        <v>39630</v>
      </c>
      <c r="E87" s="11">
        <v>4.5969713953397703E-2</v>
      </c>
      <c r="F87" s="11">
        <v>4.2060000000000004</v>
      </c>
      <c r="G87" s="11">
        <v>0.22</v>
      </c>
      <c r="H87" s="11">
        <v>-0.2</v>
      </c>
      <c r="I87" s="11">
        <v>2.5000000000000001E-3</v>
      </c>
      <c r="J87" s="11">
        <v>0.22</v>
      </c>
      <c r="K87" s="11">
        <v>-7.0000000000000007E-2</v>
      </c>
      <c r="L87" s="11">
        <v>5.0000000000000001E-3</v>
      </c>
      <c r="M87" s="11">
        <v>0.22</v>
      </c>
      <c r="N87" s="11">
        <v>-0.34</v>
      </c>
      <c r="O87" s="11">
        <v>0</v>
      </c>
      <c r="P87" s="11">
        <v>0.22</v>
      </c>
      <c r="Q87" s="11">
        <v>0</v>
      </c>
      <c r="R87" s="11">
        <v>0</v>
      </c>
      <c r="S87" s="11">
        <v>0</v>
      </c>
      <c r="T87" s="11">
        <v>0</v>
      </c>
      <c r="U87" s="11">
        <v>-0.42</v>
      </c>
      <c r="V87" s="11">
        <v>0</v>
      </c>
      <c r="W87" s="11">
        <v>-0.46500000000000002</v>
      </c>
      <c r="X87" s="11">
        <v>1.6403009414718999E-3</v>
      </c>
      <c r="Y87" s="11">
        <v>-0.25</v>
      </c>
      <c r="Z87" s="11">
        <v>0.02</v>
      </c>
      <c r="AA87" s="11">
        <v>0.224</v>
      </c>
      <c r="AB87" s="11">
        <v>0.16500000000000001</v>
      </c>
      <c r="AC87" s="11">
        <v>0.03</v>
      </c>
      <c r="AD87" s="10">
        <v>0.26</v>
      </c>
      <c r="AE87" s="11">
        <v>3.5999999999999997E-2</v>
      </c>
      <c r="AF87" s="11">
        <v>0.22</v>
      </c>
      <c r="AG87" s="11">
        <v>0.44</v>
      </c>
      <c r="AH87" s="11">
        <v>3.5999999999999997E-2</v>
      </c>
      <c r="AI87" s="11">
        <v>0.24</v>
      </c>
      <c r="AJ87" s="11">
        <v>0</v>
      </c>
    </row>
    <row r="88" spans="4:36">
      <c r="D88" s="10">
        <v>39661</v>
      </c>
      <c r="E88" s="11">
        <v>4.61347224321886E-2</v>
      </c>
      <c r="F88" s="11">
        <v>4.2439999999999998</v>
      </c>
      <c r="G88" s="11">
        <v>0.22</v>
      </c>
      <c r="H88" s="11">
        <v>-0.2</v>
      </c>
      <c r="I88" s="11">
        <v>2.5000000000000001E-3</v>
      </c>
      <c r="J88" s="11">
        <v>0.22</v>
      </c>
      <c r="K88" s="11">
        <v>-7.0000000000000007E-2</v>
      </c>
      <c r="L88" s="11">
        <v>5.0000000000000001E-3</v>
      </c>
      <c r="M88" s="11">
        <v>0.22</v>
      </c>
      <c r="N88" s="11">
        <v>-0.34</v>
      </c>
      <c r="O88" s="11">
        <v>0</v>
      </c>
      <c r="P88" s="11">
        <v>0.22</v>
      </c>
      <c r="Q88" s="11">
        <v>0</v>
      </c>
      <c r="R88" s="11">
        <v>0</v>
      </c>
      <c r="S88" s="11">
        <v>0</v>
      </c>
      <c r="T88" s="11">
        <v>0</v>
      </c>
      <c r="U88" s="11">
        <v>-0.42</v>
      </c>
      <c r="V88" s="11">
        <v>0</v>
      </c>
      <c r="W88" s="11">
        <v>-0.46500000000000002</v>
      </c>
      <c r="X88" s="11">
        <v>1.6401149020793E-3</v>
      </c>
      <c r="Y88" s="11">
        <v>-0.25</v>
      </c>
      <c r="Z88" s="11">
        <v>0.02</v>
      </c>
      <c r="AA88" s="11">
        <v>0.224</v>
      </c>
      <c r="AB88" s="11">
        <v>0.16500000000000001</v>
      </c>
      <c r="AC88" s="11">
        <v>0.03</v>
      </c>
      <c r="AD88" s="10">
        <v>0.26</v>
      </c>
      <c r="AE88" s="11">
        <v>3.5999999999999997E-2</v>
      </c>
      <c r="AF88" s="11">
        <v>0.22</v>
      </c>
      <c r="AG88" s="11">
        <v>0.44</v>
      </c>
      <c r="AH88" s="11">
        <v>3.5999999999999997E-2</v>
      </c>
      <c r="AI88" s="11">
        <v>0.24</v>
      </c>
      <c r="AJ88" s="11">
        <v>0</v>
      </c>
    </row>
    <row r="89" spans="4:36">
      <c r="D89" s="10">
        <v>39692</v>
      </c>
      <c r="E89" s="11">
        <v>4.6299730920086997E-2</v>
      </c>
      <c r="F89" s="11">
        <v>4.2380000000000004</v>
      </c>
      <c r="G89" s="11">
        <v>0.22</v>
      </c>
      <c r="H89" s="11">
        <v>-0.2</v>
      </c>
      <c r="I89" s="11">
        <v>2.5000000000000001E-3</v>
      </c>
      <c r="J89" s="11">
        <v>0.22</v>
      </c>
      <c r="K89" s="11">
        <v>-7.0000000000000007E-2</v>
      </c>
      <c r="L89" s="11">
        <v>5.0000000000000001E-3</v>
      </c>
      <c r="M89" s="11">
        <v>0.22</v>
      </c>
      <c r="N89" s="11">
        <v>-0.34</v>
      </c>
      <c r="O89" s="11">
        <v>0</v>
      </c>
      <c r="P89" s="11">
        <v>0.22</v>
      </c>
      <c r="Q89" s="11">
        <v>0</v>
      </c>
      <c r="R89" s="11">
        <v>0</v>
      </c>
      <c r="S89" s="11">
        <v>0</v>
      </c>
      <c r="T89" s="11">
        <v>0</v>
      </c>
      <c r="U89" s="11">
        <v>-0.42</v>
      </c>
      <c r="V89" s="11">
        <v>0</v>
      </c>
      <c r="W89" s="11">
        <v>-0.46500000000000002</v>
      </c>
      <c r="X89" s="11">
        <v>1.6399285559321999E-3</v>
      </c>
      <c r="Y89" s="11">
        <v>-0.25</v>
      </c>
      <c r="Z89" s="11">
        <v>0.02</v>
      </c>
      <c r="AA89" s="11">
        <v>0.224</v>
      </c>
      <c r="AB89" s="11">
        <v>0.16500000000000001</v>
      </c>
      <c r="AC89" s="11">
        <v>0.03</v>
      </c>
      <c r="AD89" s="10">
        <v>0.26</v>
      </c>
      <c r="AE89" s="11">
        <v>3.5999999999999997E-2</v>
      </c>
      <c r="AF89" s="11">
        <v>0.22</v>
      </c>
      <c r="AG89" s="11">
        <v>0.44</v>
      </c>
      <c r="AH89" s="11">
        <v>3.5999999999999997E-2</v>
      </c>
      <c r="AI89" s="11">
        <v>0.24</v>
      </c>
      <c r="AJ89" s="11">
        <v>0</v>
      </c>
    </row>
    <row r="90" spans="4:36">
      <c r="D90" s="10">
        <v>39722</v>
      </c>
      <c r="E90" s="11">
        <v>4.6459416562208797E-2</v>
      </c>
      <c r="F90" s="11">
        <v>4.2380000000000004</v>
      </c>
      <c r="G90" s="11">
        <v>0.22</v>
      </c>
      <c r="H90" s="11">
        <v>-0.2</v>
      </c>
      <c r="I90" s="11">
        <v>2.5000000000000001E-3</v>
      </c>
      <c r="J90" s="11">
        <v>0.22</v>
      </c>
      <c r="K90" s="11">
        <v>-7.0000000000000007E-2</v>
      </c>
      <c r="L90" s="11">
        <v>5.0000000000000001E-3</v>
      </c>
      <c r="M90" s="11">
        <v>0.22</v>
      </c>
      <c r="N90" s="11">
        <v>-0.34</v>
      </c>
      <c r="O90" s="11">
        <v>0</v>
      </c>
      <c r="P90" s="11">
        <v>0.22</v>
      </c>
      <c r="Q90" s="11">
        <v>0</v>
      </c>
      <c r="R90" s="11">
        <v>0</v>
      </c>
      <c r="S90" s="11">
        <v>0</v>
      </c>
      <c r="T90" s="11">
        <v>0</v>
      </c>
      <c r="U90" s="11">
        <v>-0.42</v>
      </c>
      <c r="V90" s="11">
        <v>0</v>
      </c>
      <c r="W90" s="11">
        <v>-0.46500000000000002</v>
      </c>
      <c r="X90" s="11">
        <v>1.6397479290579E-3</v>
      </c>
      <c r="Y90" s="11">
        <v>-0.25</v>
      </c>
      <c r="Z90" s="11">
        <v>0.02</v>
      </c>
      <c r="AA90" s="11">
        <v>0.224</v>
      </c>
      <c r="AB90" s="11">
        <v>0.16500000000000001</v>
      </c>
      <c r="AC90" s="11">
        <v>0.03</v>
      </c>
      <c r="AD90" s="10">
        <v>0.26</v>
      </c>
      <c r="AE90" s="11">
        <v>3.5999999999999997E-2</v>
      </c>
      <c r="AF90" s="11">
        <v>0.22</v>
      </c>
      <c r="AG90" s="11">
        <v>0.44</v>
      </c>
      <c r="AH90" s="11">
        <v>3.5999999999999997E-2</v>
      </c>
      <c r="AI90" s="11">
        <v>0.24</v>
      </c>
      <c r="AJ90" s="11">
        <v>0</v>
      </c>
    </row>
    <row r="91" spans="4:36">
      <c r="D91" s="10">
        <v>39753</v>
      </c>
      <c r="E91" s="11">
        <v>4.66244250680274E-2</v>
      </c>
      <c r="F91" s="11">
        <v>4.4080000000000004</v>
      </c>
      <c r="G91" s="11">
        <v>0.22</v>
      </c>
      <c r="H91" s="11">
        <v>-0.13</v>
      </c>
      <c r="I91" s="11">
        <v>5.0000000000000001E-3</v>
      </c>
      <c r="J91" s="11">
        <v>0.22</v>
      </c>
      <c r="K91" s="11">
        <v>-7.0000000000000007E-2</v>
      </c>
      <c r="L91" s="11">
        <v>5.0000000000000001E-3</v>
      </c>
      <c r="M91" s="11">
        <v>0.22</v>
      </c>
      <c r="N91" s="11">
        <v>-0.24</v>
      </c>
      <c r="O91" s="11">
        <v>0</v>
      </c>
      <c r="P91" s="11">
        <v>0.22</v>
      </c>
      <c r="Q91" s="11">
        <v>0</v>
      </c>
      <c r="R91" s="11">
        <v>0</v>
      </c>
      <c r="S91" s="11">
        <v>0</v>
      </c>
      <c r="T91" s="11">
        <v>0</v>
      </c>
      <c r="U91" s="11">
        <v>-0.32</v>
      </c>
      <c r="V91" s="11">
        <v>0</v>
      </c>
      <c r="W91" s="11">
        <v>-0.44</v>
      </c>
      <c r="X91" s="11">
        <v>5.2465951355156002E-3</v>
      </c>
      <c r="Y91" s="11">
        <v>0.248</v>
      </c>
      <c r="Z91" s="11">
        <v>0.06</v>
      </c>
      <c r="AA91" s="11">
        <v>0.224</v>
      </c>
      <c r="AB91" s="11">
        <v>0</v>
      </c>
      <c r="AC91" s="11">
        <v>0.03</v>
      </c>
      <c r="AD91" s="10">
        <v>0.25</v>
      </c>
      <c r="AE91" s="11">
        <v>3.7999999999999999E-2</v>
      </c>
      <c r="AF91" s="11">
        <v>0.22</v>
      </c>
      <c r="AG91" s="11">
        <v>0.5</v>
      </c>
      <c r="AH91" s="11">
        <v>3.7999999999999999E-2</v>
      </c>
      <c r="AI91" s="11">
        <v>0.3</v>
      </c>
      <c r="AJ91" s="11">
        <v>0</v>
      </c>
    </row>
    <row r="92" spans="4:36">
      <c r="D92" s="10">
        <v>39783</v>
      </c>
      <c r="E92" s="11">
        <v>4.6726127043882598E-2</v>
      </c>
      <c r="F92" s="11">
        <v>4.5389999999999997</v>
      </c>
      <c r="G92" s="11">
        <v>0.2225</v>
      </c>
      <c r="H92" s="11">
        <v>-0.13</v>
      </c>
      <c r="I92" s="11">
        <v>5.0000000000000001E-3</v>
      </c>
      <c r="J92" s="11">
        <v>0.223</v>
      </c>
      <c r="K92" s="11">
        <v>-7.0000000000000007E-2</v>
      </c>
      <c r="L92" s="11">
        <v>5.0000000000000001E-3</v>
      </c>
      <c r="M92" s="11">
        <v>0.223</v>
      </c>
      <c r="N92" s="11">
        <v>-0.24</v>
      </c>
      <c r="O92" s="11">
        <v>0</v>
      </c>
      <c r="P92" s="11">
        <v>0.223</v>
      </c>
      <c r="Q92" s="11">
        <v>0</v>
      </c>
      <c r="R92" s="11">
        <v>0</v>
      </c>
      <c r="S92" s="11">
        <v>0</v>
      </c>
      <c r="T92" s="11">
        <v>0</v>
      </c>
      <c r="U92" s="11">
        <v>-0.32</v>
      </c>
      <c r="V92" s="11">
        <v>0</v>
      </c>
      <c r="W92" s="11">
        <v>-0.44</v>
      </c>
      <c r="X92" s="11">
        <v>5.2439104258262996E-3</v>
      </c>
      <c r="Y92" s="11">
        <v>0.308</v>
      </c>
      <c r="Z92" s="11">
        <v>0.06</v>
      </c>
      <c r="AA92" s="11">
        <v>0.22700000000000001</v>
      </c>
      <c r="AB92" s="11">
        <v>0</v>
      </c>
      <c r="AC92" s="11">
        <v>0.03</v>
      </c>
      <c r="AD92" s="10">
        <v>0.25</v>
      </c>
      <c r="AE92" s="11">
        <v>3.7999999999999999E-2</v>
      </c>
      <c r="AF92" s="11">
        <v>0.223</v>
      </c>
      <c r="AG92" s="11">
        <v>0.56999999999999995</v>
      </c>
      <c r="AH92" s="11">
        <v>3.7999999999999999E-2</v>
      </c>
      <c r="AI92" s="11">
        <v>0.37</v>
      </c>
      <c r="AJ92" s="11">
        <v>0</v>
      </c>
    </row>
    <row r="93" spans="4:36">
      <c r="D93" s="10">
        <v>39814</v>
      </c>
      <c r="E93" s="11">
        <v>4.6822001170080597E-2</v>
      </c>
      <c r="F93" s="11">
        <v>4.6040000000000001</v>
      </c>
      <c r="G93" s="11">
        <v>0.22500000000000001</v>
      </c>
      <c r="H93" s="11">
        <v>-0.13</v>
      </c>
      <c r="I93" s="11">
        <v>5.0000000000000001E-3</v>
      </c>
      <c r="J93" s="11">
        <v>0.22500000000000001</v>
      </c>
      <c r="K93" s="11">
        <v>-7.0000000000000007E-2</v>
      </c>
      <c r="L93" s="11">
        <v>5.0000000000000001E-3</v>
      </c>
      <c r="M93" s="11">
        <v>0.22500000000000001</v>
      </c>
      <c r="N93" s="11">
        <v>-0.24</v>
      </c>
      <c r="O93" s="11">
        <v>0</v>
      </c>
      <c r="P93" s="11">
        <v>0.22500000000000001</v>
      </c>
      <c r="Q93" s="11">
        <v>0</v>
      </c>
      <c r="R93" s="11">
        <v>0</v>
      </c>
      <c r="S93" s="11">
        <v>0</v>
      </c>
      <c r="T93" s="11">
        <v>0</v>
      </c>
      <c r="U93" s="11">
        <v>-0.32</v>
      </c>
      <c r="V93" s="11">
        <v>0</v>
      </c>
      <c r="W93" s="11">
        <v>-0.44</v>
      </c>
      <c r="X93" s="11">
        <v>5.2407473250906996E-3</v>
      </c>
      <c r="Y93" s="11">
        <v>0.378</v>
      </c>
      <c r="Z93" s="11">
        <v>0.06</v>
      </c>
      <c r="AA93" s="11">
        <v>0.23</v>
      </c>
      <c r="AB93" s="11">
        <v>0</v>
      </c>
      <c r="AC93" s="11">
        <v>0.03</v>
      </c>
      <c r="AD93" s="10">
        <v>0.25</v>
      </c>
      <c r="AE93" s="11">
        <v>3.7999999999999999E-2</v>
      </c>
      <c r="AF93" s="11">
        <v>0.22500000000000001</v>
      </c>
      <c r="AG93" s="11">
        <v>0.56999999999999995</v>
      </c>
      <c r="AH93" s="11">
        <v>3.7999999999999999E-2</v>
      </c>
      <c r="AI93" s="11">
        <v>0.37</v>
      </c>
      <c r="AJ93" s="11">
        <v>0</v>
      </c>
    </row>
    <row r="94" spans="4:36">
      <c r="D94" s="10">
        <v>39845</v>
      </c>
      <c r="E94" s="11">
        <v>4.6917875299352603E-2</v>
      </c>
      <c r="F94" s="11">
        <v>4.516</v>
      </c>
      <c r="G94" s="11">
        <v>0.22</v>
      </c>
      <c r="H94" s="11">
        <v>-0.13</v>
      </c>
      <c r="I94" s="11">
        <v>5.0000000000000001E-3</v>
      </c>
      <c r="J94" s="11">
        <v>0.22</v>
      </c>
      <c r="K94" s="11">
        <v>-7.0000000000000007E-2</v>
      </c>
      <c r="L94" s="11">
        <v>5.0000000000000001E-3</v>
      </c>
      <c r="M94" s="11">
        <v>0.22</v>
      </c>
      <c r="N94" s="11">
        <v>-0.24</v>
      </c>
      <c r="O94" s="11">
        <v>0</v>
      </c>
      <c r="P94" s="11">
        <v>0.22</v>
      </c>
      <c r="Q94" s="11">
        <v>0</v>
      </c>
      <c r="R94" s="11">
        <v>0</v>
      </c>
      <c r="S94" s="11">
        <v>0</v>
      </c>
      <c r="T94" s="11">
        <v>0</v>
      </c>
      <c r="U94" s="11">
        <v>-0.32</v>
      </c>
      <c r="V94" s="11">
        <v>0</v>
      </c>
      <c r="W94" s="11">
        <v>-0.44</v>
      </c>
      <c r="X94" s="11">
        <v>5.2375253598688004E-3</v>
      </c>
      <c r="Y94" s="11">
        <v>0.248</v>
      </c>
      <c r="Z94" s="11">
        <v>0.06</v>
      </c>
      <c r="AA94" s="11">
        <v>0.224</v>
      </c>
      <c r="AB94" s="11">
        <v>0</v>
      </c>
      <c r="AC94" s="11">
        <v>0.03</v>
      </c>
      <c r="AD94" s="10">
        <v>0.25</v>
      </c>
      <c r="AE94" s="11">
        <v>3.7999999999999999E-2</v>
      </c>
      <c r="AF94" s="11">
        <v>0.22</v>
      </c>
      <c r="AG94" s="11">
        <v>0.56999999999999995</v>
      </c>
      <c r="AH94" s="11">
        <v>3.7999999999999999E-2</v>
      </c>
      <c r="AI94" s="11">
        <v>0.37</v>
      </c>
      <c r="AJ94" s="11">
        <v>0</v>
      </c>
    </row>
    <row r="95" spans="4:36">
      <c r="D95" s="10">
        <v>39873</v>
      </c>
      <c r="E95" s="11">
        <v>4.7004471289723501E-2</v>
      </c>
      <c r="F95" s="11">
        <v>4.3769999999999998</v>
      </c>
      <c r="G95" s="11">
        <v>0.20499999999999999</v>
      </c>
      <c r="H95" s="11">
        <v>-0.13</v>
      </c>
      <c r="I95" s="11">
        <v>5.0000000000000001E-3</v>
      </c>
      <c r="J95" s="11">
        <v>0.20499999999999999</v>
      </c>
      <c r="K95" s="11">
        <v>-7.0000000000000007E-2</v>
      </c>
      <c r="L95" s="11">
        <v>5.0000000000000001E-3</v>
      </c>
      <c r="M95" s="11">
        <v>0.20499999999999999</v>
      </c>
      <c r="N95" s="11">
        <v>-0.24</v>
      </c>
      <c r="O95" s="11">
        <v>0</v>
      </c>
      <c r="P95" s="11">
        <v>0.20499999999999999</v>
      </c>
      <c r="Q95" s="11">
        <v>0</v>
      </c>
      <c r="R95" s="11">
        <v>0</v>
      </c>
      <c r="S95" s="11">
        <v>0</v>
      </c>
      <c r="T95" s="11">
        <v>0</v>
      </c>
      <c r="U95" s="11">
        <v>-0.32</v>
      </c>
      <c r="V95" s="11">
        <v>0</v>
      </c>
      <c r="W95" s="11">
        <v>-0.44</v>
      </c>
      <c r="X95" s="11">
        <v>5.2345647043821998E-3</v>
      </c>
      <c r="Y95" s="11">
        <v>6.8000000000000005E-2</v>
      </c>
      <c r="Z95" s="11">
        <v>0.06</v>
      </c>
      <c r="AA95" s="11">
        <v>0.20899999999999999</v>
      </c>
      <c r="AB95" s="11">
        <v>0</v>
      </c>
      <c r="AC95" s="11">
        <v>0.03</v>
      </c>
      <c r="AD95" s="10">
        <v>0.25</v>
      </c>
      <c r="AE95" s="11">
        <v>3.7999999999999999E-2</v>
      </c>
      <c r="AF95" s="11">
        <v>0.20499999999999999</v>
      </c>
      <c r="AG95" s="11">
        <v>0.56999999999999995</v>
      </c>
      <c r="AH95" s="11">
        <v>3.7999999999999999E-2</v>
      </c>
      <c r="AI95" s="11">
        <v>0.37</v>
      </c>
      <c r="AJ95" s="11">
        <v>0</v>
      </c>
    </row>
    <row r="96" spans="4:36">
      <c r="D96" s="10">
        <v>39904</v>
      </c>
      <c r="E96" s="11">
        <v>4.7100345424845098E-2</v>
      </c>
      <c r="F96" s="11">
        <v>4.2229999999999999</v>
      </c>
      <c r="G96" s="11">
        <v>0.19500000000000001</v>
      </c>
      <c r="H96" s="11">
        <v>-0.2</v>
      </c>
      <c r="I96" s="11">
        <v>2.5000000000000001E-3</v>
      </c>
      <c r="J96" s="11">
        <v>0.19500000000000001</v>
      </c>
      <c r="K96" s="11">
        <v>-7.0000000000000007E-2</v>
      </c>
      <c r="L96" s="11">
        <v>5.0000000000000001E-3</v>
      </c>
      <c r="M96" s="11">
        <v>0.19500000000000001</v>
      </c>
      <c r="N96" s="11">
        <v>-0.34</v>
      </c>
      <c r="O96" s="11">
        <v>0</v>
      </c>
      <c r="P96" s="11">
        <v>0.19500000000000001</v>
      </c>
      <c r="Q96" s="11">
        <v>0</v>
      </c>
      <c r="R96" s="11">
        <v>0</v>
      </c>
      <c r="S96" s="11">
        <v>0</v>
      </c>
      <c r="T96" s="11">
        <v>0</v>
      </c>
      <c r="U96" s="11">
        <v>-0.42</v>
      </c>
      <c r="V96" s="11">
        <v>0</v>
      </c>
      <c r="W96" s="11">
        <v>-0.53</v>
      </c>
      <c r="X96" s="11">
        <v>1.6347597022040999E-3</v>
      </c>
      <c r="Y96" s="11">
        <v>-0.25</v>
      </c>
      <c r="Z96" s="11">
        <v>0.02</v>
      </c>
      <c r="AA96" s="11">
        <v>0.19900000000000001</v>
      </c>
      <c r="AB96" s="11">
        <v>0</v>
      </c>
      <c r="AC96" s="11">
        <v>0.03</v>
      </c>
      <c r="AD96" s="10">
        <v>0.26</v>
      </c>
      <c r="AE96" s="11">
        <v>3.7999999999999999E-2</v>
      </c>
      <c r="AF96" s="11">
        <v>0.19500000000000001</v>
      </c>
      <c r="AG96" s="11">
        <v>0.44</v>
      </c>
      <c r="AH96" s="11">
        <v>3.7999999999999999E-2</v>
      </c>
      <c r="AI96" s="11">
        <v>0.24</v>
      </c>
      <c r="AJ96" s="11">
        <v>0</v>
      </c>
    </row>
    <row r="97" spans="4:36">
      <c r="D97" s="10">
        <v>39934</v>
      </c>
      <c r="E97" s="11">
        <v>4.7193126848856397E-2</v>
      </c>
      <c r="F97" s="11">
        <v>4.2279999999999998</v>
      </c>
      <c r="G97" s="11">
        <v>0.19500000000000001</v>
      </c>
      <c r="H97" s="11">
        <v>-0.2</v>
      </c>
      <c r="I97" s="11">
        <v>2.5000000000000001E-3</v>
      </c>
      <c r="J97" s="11">
        <v>0.19500000000000001</v>
      </c>
      <c r="K97" s="11">
        <v>-7.0000000000000007E-2</v>
      </c>
      <c r="L97" s="11">
        <v>5.0000000000000001E-3</v>
      </c>
      <c r="M97" s="11">
        <v>0.19500000000000001</v>
      </c>
      <c r="N97" s="11">
        <v>-0.34</v>
      </c>
      <c r="O97" s="11">
        <v>0</v>
      </c>
      <c r="P97" s="11">
        <v>0.19500000000000001</v>
      </c>
      <c r="Q97" s="11">
        <v>0</v>
      </c>
      <c r="R97" s="11">
        <v>0</v>
      </c>
      <c r="S97" s="11">
        <v>0</v>
      </c>
      <c r="T97" s="11">
        <v>0</v>
      </c>
      <c r="U97" s="11">
        <v>-0.42</v>
      </c>
      <c r="V97" s="11">
        <v>0</v>
      </c>
      <c r="W97" s="11">
        <v>-0.53</v>
      </c>
      <c r="X97" s="11">
        <v>1.6337341321543001E-3</v>
      </c>
      <c r="Y97" s="11">
        <v>-0.25</v>
      </c>
      <c r="Z97" s="11">
        <v>0.02</v>
      </c>
      <c r="AA97" s="11">
        <v>0.19900000000000001</v>
      </c>
      <c r="AB97" s="11">
        <v>0</v>
      </c>
      <c r="AC97" s="11">
        <v>0.03</v>
      </c>
      <c r="AD97" s="10">
        <v>0.26</v>
      </c>
      <c r="AE97" s="11">
        <v>3.7999999999999999E-2</v>
      </c>
      <c r="AF97" s="11">
        <v>0.19500000000000001</v>
      </c>
      <c r="AG97" s="11">
        <v>0.44</v>
      </c>
      <c r="AH97" s="11">
        <v>3.7999999999999999E-2</v>
      </c>
      <c r="AI97" s="11">
        <v>0.24</v>
      </c>
      <c r="AJ97" s="11">
        <v>0</v>
      </c>
    </row>
    <row r="98" spans="4:36">
      <c r="D98" s="10">
        <v>39965</v>
      </c>
      <c r="E98" s="11">
        <v>4.7289000990025497E-2</v>
      </c>
      <c r="F98" s="11">
        <v>4.266</v>
      </c>
      <c r="G98" s="11">
        <v>0.19500000000000001</v>
      </c>
      <c r="H98" s="11">
        <v>-0.2</v>
      </c>
      <c r="I98" s="11">
        <v>2.5000000000000001E-3</v>
      </c>
      <c r="J98" s="11">
        <v>0.19500000000000001</v>
      </c>
      <c r="K98" s="11">
        <v>-7.0000000000000007E-2</v>
      </c>
      <c r="L98" s="11">
        <v>5.0000000000000001E-3</v>
      </c>
      <c r="M98" s="11">
        <v>0.19500000000000001</v>
      </c>
      <c r="N98" s="11">
        <v>-0.34</v>
      </c>
      <c r="O98" s="11">
        <v>0</v>
      </c>
      <c r="P98" s="11">
        <v>0.19500000000000001</v>
      </c>
      <c r="Q98" s="11">
        <v>0</v>
      </c>
      <c r="R98" s="11">
        <v>0</v>
      </c>
      <c r="S98" s="11">
        <v>0</v>
      </c>
      <c r="T98" s="11">
        <v>0</v>
      </c>
      <c r="U98" s="11">
        <v>-0.42</v>
      </c>
      <c r="V98" s="11">
        <v>0</v>
      </c>
      <c r="W98" s="11">
        <v>-0.53</v>
      </c>
      <c r="X98" s="11">
        <v>1.6326564276194001E-3</v>
      </c>
      <c r="Y98" s="11">
        <v>-0.25</v>
      </c>
      <c r="Z98" s="11">
        <v>0.02</v>
      </c>
      <c r="AA98" s="11">
        <v>0.19900000000000001</v>
      </c>
      <c r="AB98" s="11">
        <v>0</v>
      </c>
      <c r="AC98" s="11">
        <v>0.03</v>
      </c>
      <c r="AD98" s="10">
        <v>0.26</v>
      </c>
      <c r="AE98" s="11">
        <v>3.7999999999999999E-2</v>
      </c>
      <c r="AF98" s="11">
        <v>0.19500000000000001</v>
      </c>
      <c r="AG98" s="11">
        <v>0.44</v>
      </c>
      <c r="AH98" s="11">
        <v>3.7999999999999999E-2</v>
      </c>
      <c r="AI98" s="11">
        <v>0.24</v>
      </c>
      <c r="AJ98" s="11">
        <v>0</v>
      </c>
    </row>
    <row r="99" spans="4:36">
      <c r="D99" s="10">
        <v>39995</v>
      </c>
      <c r="E99" s="11">
        <v>4.7381782419889003E-2</v>
      </c>
      <c r="F99" s="11">
        <v>4.3109999999999999</v>
      </c>
      <c r="G99" s="11">
        <v>0.19500000000000001</v>
      </c>
      <c r="H99" s="11">
        <v>-0.2</v>
      </c>
      <c r="I99" s="11">
        <v>2.5000000000000001E-3</v>
      </c>
      <c r="J99" s="11">
        <v>0.19500000000000001</v>
      </c>
      <c r="K99" s="11">
        <v>-7.0000000000000007E-2</v>
      </c>
      <c r="L99" s="11">
        <v>5.0000000000000001E-3</v>
      </c>
      <c r="M99" s="11">
        <v>0.19500000000000001</v>
      </c>
      <c r="N99" s="11">
        <v>-0.34</v>
      </c>
      <c r="O99" s="11">
        <v>0</v>
      </c>
      <c r="P99" s="11">
        <v>0.19500000000000001</v>
      </c>
      <c r="Q99" s="11">
        <v>0</v>
      </c>
      <c r="R99" s="11">
        <v>0</v>
      </c>
      <c r="S99" s="11">
        <v>0</v>
      </c>
      <c r="T99" s="11">
        <v>0</v>
      </c>
      <c r="U99" s="11">
        <v>-0.42</v>
      </c>
      <c r="V99" s="11">
        <v>0</v>
      </c>
      <c r="W99" s="11">
        <v>-0.53</v>
      </c>
      <c r="X99" s="11">
        <v>1.6315961557924999E-3</v>
      </c>
      <c r="Y99" s="11">
        <v>-0.25</v>
      </c>
      <c r="Z99" s="11">
        <v>0.02</v>
      </c>
      <c r="AA99" s="11">
        <v>0.19900000000000001</v>
      </c>
      <c r="AB99" s="11">
        <v>0</v>
      </c>
      <c r="AC99" s="11">
        <v>0.03</v>
      </c>
      <c r="AD99" s="10">
        <v>0.26</v>
      </c>
      <c r="AE99" s="11">
        <v>3.7999999999999999E-2</v>
      </c>
      <c r="AF99" s="11">
        <v>0.19500000000000001</v>
      </c>
      <c r="AG99" s="11">
        <v>0.44</v>
      </c>
      <c r="AH99" s="11">
        <v>3.7999999999999999E-2</v>
      </c>
      <c r="AI99" s="11">
        <v>0.24</v>
      </c>
      <c r="AJ99" s="11">
        <v>0</v>
      </c>
    </row>
    <row r="100" spans="4:36">
      <c r="D100" s="10">
        <v>40026</v>
      </c>
      <c r="E100" s="11">
        <v>4.7477656567104502E-2</v>
      </c>
      <c r="F100" s="11">
        <v>4.3490000000000002</v>
      </c>
      <c r="G100" s="11">
        <v>0.19500000000000001</v>
      </c>
      <c r="H100" s="11">
        <v>-0.2</v>
      </c>
      <c r="I100" s="11">
        <v>2.5000000000000001E-3</v>
      </c>
      <c r="J100" s="11">
        <v>0.19500000000000001</v>
      </c>
      <c r="K100" s="11">
        <v>-7.0000000000000007E-2</v>
      </c>
      <c r="L100" s="11">
        <v>5.0000000000000001E-3</v>
      </c>
      <c r="M100" s="11">
        <v>0.19500000000000001</v>
      </c>
      <c r="N100" s="11">
        <v>-0.34</v>
      </c>
      <c r="O100" s="11">
        <v>0</v>
      </c>
      <c r="P100" s="11">
        <v>0.19500000000000001</v>
      </c>
      <c r="Q100" s="11">
        <v>0</v>
      </c>
      <c r="R100" s="11">
        <v>0</v>
      </c>
      <c r="S100" s="11">
        <v>0</v>
      </c>
      <c r="T100" s="11">
        <v>0</v>
      </c>
      <c r="U100" s="11">
        <v>-0.42</v>
      </c>
      <c r="V100" s="11">
        <v>0</v>
      </c>
      <c r="W100" s="11">
        <v>-0.53</v>
      </c>
      <c r="X100" s="11">
        <v>1.6304826720178001E-3</v>
      </c>
      <c r="Y100" s="11">
        <v>-0.25</v>
      </c>
      <c r="Z100" s="11">
        <v>0.02</v>
      </c>
      <c r="AA100" s="11">
        <v>0.19900000000000001</v>
      </c>
      <c r="AB100" s="11">
        <v>0</v>
      </c>
      <c r="AC100" s="11">
        <v>0.03</v>
      </c>
      <c r="AD100" s="10">
        <v>0.26</v>
      </c>
      <c r="AE100" s="11">
        <v>3.7999999999999999E-2</v>
      </c>
      <c r="AF100" s="11">
        <v>0.19500000000000001</v>
      </c>
      <c r="AG100" s="11">
        <v>0.44</v>
      </c>
      <c r="AH100" s="11">
        <v>3.7999999999999999E-2</v>
      </c>
      <c r="AI100" s="11">
        <v>0.24</v>
      </c>
      <c r="AJ100" s="11">
        <v>0</v>
      </c>
    </row>
    <row r="101" spans="4:36">
      <c r="D101" s="10">
        <v>40057</v>
      </c>
      <c r="E101" s="11">
        <v>4.7573530717393002E-2</v>
      </c>
      <c r="F101" s="11">
        <v>4.343</v>
      </c>
      <c r="G101" s="11">
        <v>0.19500000000000001</v>
      </c>
      <c r="H101" s="11">
        <v>-0.2</v>
      </c>
      <c r="I101" s="11">
        <v>2.5000000000000001E-3</v>
      </c>
      <c r="J101" s="11">
        <v>0.19500000000000001</v>
      </c>
      <c r="K101" s="11">
        <v>-7.0000000000000007E-2</v>
      </c>
      <c r="L101" s="11">
        <v>5.0000000000000001E-3</v>
      </c>
      <c r="M101" s="11">
        <v>0.19500000000000001</v>
      </c>
      <c r="N101" s="11">
        <v>-0.34</v>
      </c>
      <c r="O101" s="11">
        <v>0</v>
      </c>
      <c r="P101" s="11">
        <v>0.19500000000000001</v>
      </c>
      <c r="Q101" s="11">
        <v>0</v>
      </c>
      <c r="R101" s="11">
        <v>0</v>
      </c>
      <c r="S101" s="11">
        <v>0</v>
      </c>
      <c r="T101" s="11">
        <v>0</v>
      </c>
      <c r="U101" s="11">
        <v>-0.42</v>
      </c>
      <c r="V101" s="11">
        <v>0</v>
      </c>
      <c r="W101" s="11">
        <v>-0.53</v>
      </c>
      <c r="X101" s="11">
        <v>1.6293510671208E-3</v>
      </c>
      <c r="Y101" s="11">
        <v>-0.25</v>
      </c>
      <c r="Z101" s="11">
        <v>0.02</v>
      </c>
      <c r="AA101" s="11">
        <v>0.19900000000000001</v>
      </c>
      <c r="AB101" s="11">
        <v>0</v>
      </c>
      <c r="AC101" s="11">
        <v>0.03</v>
      </c>
      <c r="AD101" s="10">
        <v>0.26</v>
      </c>
      <c r="AE101" s="11">
        <v>3.7999999999999999E-2</v>
      </c>
      <c r="AF101" s="11">
        <v>0.19500000000000001</v>
      </c>
      <c r="AG101" s="11">
        <v>0.44</v>
      </c>
      <c r="AH101" s="11">
        <v>3.7999999999999999E-2</v>
      </c>
      <c r="AI101" s="11">
        <v>0.24</v>
      </c>
      <c r="AJ101" s="11">
        <v>0</v>
      </c>
    </row>
    <row r="102" spans="4:36">
      <c r="D102" s="10">
        <v>40087</v>
      </c>
      <c r="E102" s="11">
        <v>4.76663121560819E-2</v>
      </c>
      <c r="F102" s="11">
        <v>4.343</v>
      </c>
      <c r="G102" s="11">
        <v>0.19500000000000001</v>
      </c>
      <c r="H102" s="11">
        <v>-0.2</v>
      </c>
      <c r="I102" s="11">
        <v>2.5000000000000001E-3</v>
      </c>
      <c r="J102" s="11">
        <v>0.19500000000000001</v>
      </c>
      <c r="K102" s="11">
        <v>-7.0000000000000007E-2</v>
      </c>
      <c r="L102" s="11">
        <v>5.0000000000000001E-3</v>
      </c>
      <c r="M102" s="11">
        <v>0.19500000000000001</v>
      </c>
      <c r="N102" s="11">
        <v>-0.34</v>
      </c>
      <c r="O102" s="11">
        <v>0</v>
      </c>
      <c r="P102" s="11">
        <v>0.19500000000000001</v>
      </c>
      <c r="Q102" s="11">
        <v>0</v>
      </c>
      <c r="R102" s="11">
        <v>0</v>
      </c>
      <c r="S102" s="11">
        <v>0</v>
      </c>
      <c r="T102" s="11">
        <v>0</v>
      </c>
      <c r="U102" s="11">
        <v>-0.42</v>
      </c>
      <c r="V102" s="11">
        <v>0</v>
      </c>
      <c r="W102" s="11">
        <v>-0.53</v>
      </c>
      <c r="X102" s="11">
        <v>1.6282387518287999E-3</v>
      </c>
      <c r="Y102" s="11">
        <v>-0.25</v>
      </c>
      <c r="Z102" s="11">
        <v>0.02</v>
      </c>
      <c r="AA102" s="11">
        <v>0.19900000000000001</v>
      </c>
      <c r="AB102" s="11">
        <v>0</v>
      </c>
      <c r="AC102" s="11">
        <v>0.03</v>
      </c>
      <c r="AD102" s="10">
        <v>0.26</v>
      </c>
      <c r="AE102" s="11">
        <v>3.7999999999999999E-2</v>
      </c>
      <c r="AF102" s="11">
        <v>0.19500000000000001</v>
      </c>
      <c r="AG102" s="11">
        <v>0.44</v>
      </c>
      <c r="AH102" s="11">
        <v>3.7999999999999999E-2</v>
      </c>
      <c r="AI102" s="11">
        <v>0.24</v>
      </c>
      <c r="AJ102" s="11">
        <v>0</v>
      </c>
    </row>
    <row r="103" spans="4:36">
      <c r="D103" s="10">
        <v>40118</v>
      </c>
      <c r="E103" s="11">
        <v>4.7762186312416202E-2</v>
      </c>
      <c r="F103" s="11">
        <v>4.5129999999999999</v>
      </c>
      <c r="G103" s="11">
        <v>0.19500000000000001</v>
      </c>
      <c r="H103" s="11">
        <v>-0.13</v>
      </c>
      <c r="I103" s="11">
        <v>5.0000000000000001E-3</v>
      </c>
      <c r="J103" s="11">
        <v>0.19500000000000001</v>
      </c>
      <c r="K103" s="11">
        <v>-7.0000000000000007E-2</v>
      </c>
      <c r="L103" s="11">
        <v>5.0000000000000001E-3</v>
      </c>
      <c r="M103" s="11">
        <v>0.19500000000000001</v>
      </c>
      <c r="N103" s="11">
        <v>-0.24</v>
      </c>
      <c r="O103" s="11">
        <v>0</v>
      </c>
      <c r="P103" s="11">
        <v>0.19500000000000001</v>
      </c>
      <c r="Q103" s="11">
        <v>0</v>
      </c>
      <c r="R103" s="11">
        <v>0</v>
      </c>
      <c r="S103" s="11">
        <v>0</v>
      </c>
      <c r="T103" s="11">
        <v>0</v>
      </c>
      <c r="U103" s="11">
        <v>-0.32</v>
      </c>
      <c r="V103" s="11">
        <v>0</v>
      </c>
      <c r="W103" s="11">
        <v>-0.47</v>
      </c>
      <c r="X103" s="11">
        <v>5.2066291636260996E-3</v>
      </c>
      <c r="Y103" s="11">
        <v>0.248</v>
      </c>
      <c r="Z103" s="11">
        <v>0.06</v>
      </c>
      <c r="AA103" s="11">
        <v>0.19900000000000001</v>
      </c>
      <c r="AB103" s="11">
        <v>0</v>
      </c>
      <c r="AC103" s="11">
        <v>0.03</v>
      </c>
      <c r="AD103" s="10">
        <v>0.25</v>
      </c>
      <c r="AE103" s="11">
        <v>0.04</v>
      </c>
      <c r="AF103" s="11">
        <v>0.19500000000000001</v>
      </c>
      <c r="AG103" s="11">
        <v>0.5</v>
      </c>
      <c r="AH103" s="11">
        <v>0.04</v>
      </c>
      <c r="AI103" s="11">
        <v>0.3</v>
      </c>
      <c r="AJ103" s="11">
        <v>0</v>
      </c>
    </row>
    <row r="104" spans="4:36">
      <c r="D104" s="10">
        <v>40148</v>
      </c>
      <c r="E104" s="11">
        <v>4.7854967756956003E-2</v>
      </c>
      <c r="F104" s="11">
        <v>4.6440000000000001</v>
      </c>
      <c r="G104" s="11">
        <v>0.19500000000000001</v>
      </c>
      <c r="H104" s="11">
        <v>-0.13</v>
      </c>
      <c r="I104" s="11">
        <v>5.0000000000000001E-3</v>
      </c>
      <c r="J104" s="11">
        <v>0.19500000000000001</v>
      </c>
      <c r="K104" s="11">
        <v>-7.0000000000000007E-2</v>
      </c>
      <c r="L104" s="11">
        <v>5.0000000000000001E-3</v>
      </c>
      <c r="M104" s="11">
        <v>0.19500000000000001</v>
      </c>
      <c r="N104" s="11">
        <v>-0.24</v>
      </c>
      <c r="O104" s="11">
        <v>0</v>
      </c>
      <c r="P104" s="11">
        <v>0.19500000000000001</v>
      </c>
      <c r="Q104" s="11">
        <v>0</v>
      </c>
      <c r="R104" s="11">
        <v>0</v>
      </c>
      <c r="S104" s="11">
        <v>0</v>
      </c>
      <c r="T104" s="11">
        <v>0</v>
      </c>
      <c r="U104" s="11">
        <v>-0.32</v>
      </c>
      <c r="V104" s="11">
        <v>0</v>
      </c>
      <c r="W104" s="11">
        <v>-0.47</v>
      </c>
      <c r="X104" s="11">
        <v>5.2029599755679997E-3</v>
      </c>
      <c r="Y104" s="11">
        <v>0.308</v>
      </c>
      <c r="Z104" s="11">
        <v>0.06</v>
      </c>
      <c r="AA104" s="11">
        <v>0.19900000000000001</v>
      </c>
      <c r="AB104" s="11">
        <v>0</v>
      </c>
      <c r="AC104" s="11">
        <v>0.03</v>
      </c>
      <c r="AD104" s="10">
        <v>0.25</v>
      </c>
      <c r="AE104" s="11">
        <v>0.04</v>
      </c>
      <c r="AF104" s="11">
        <v>0.19500000000000001</v>
      </c>
      <c r="AG104" s="11">
        <v>0.56999999999999995</v>
      </c>
      <c r="AH104" s="11">
        <v>0.04</v>
      </c>
      <c r="AI104" s="11">
        <v>0.37</v>
      </c>
      <c r="AJ104" s="11">
        <v>0</v>
      </c>
    </row>
    <row r="105" spans="4:36">
      <c r="D105" s="10">
        <v>40179</v>
      </c>
      <c r="E105" s="11">
        <v>4.7950841919335699E-2</v>
      </c>
      <c r="F105" s="11">
        <v>4.7115</v>
      </c>
      <c r="G105" s="11">
        <v>0.19500000000000001</v>
      </c>
      <c r="H105" s="11">
        <v>-0.13</v>
      </c>
      <c r="I105" s="11">
        <v>5.0000000000000001E-3</v>
      </c>
      <c r="J105" s="11">
        <v>0.19500000000000001</v>
      </c>
      <c r="K105" s="11">
        <v>-7.0000000000000007E-2</v>
      </c>
      <c r="L105" s="11">
        <v>5.0000000000000001E-3</v>
      </c>
      <c r="M105" s="11">
        <v>0.19500000000000001</v>
      </c>
      <c r="N105" s="11">
        <v>-0.24</v>
      </c>
      <c r="O105" s="11">
        <v>0</v>
      </c>
      <c r="P105" s="11">
        <v>0.19500000000000001</v>
      </c>
      <c r="Q105" s="11">
        <v>0</v>
      </c>
      <c r="R105" s="11">
        <v>0</v>
      </c>
      <c r="S105" s="11">
        <v>0</v>
      </c>
      <c r="T105" s="11">
        <v>0</v>
      </c>
      <c r="U105" s="11">
        <v>-0.32</v>
      </c>
      <c r="V105" s="11">
        <v>0</v>
      </c>
      <c r="W105" s="11">
        <v>-0.47</v>
      </c>
      <c r="X105" s="11">
        <v>5.1991119666338001E-3</v>
      </c>
      <c r="Y105" s="11">
        <v>0.378</v>
      </c>
      <c r="Z105" s="11">
        <v>0.06</v>
      </c>
      <c r="AA105" s="11">
        <v>0.19900000000000001</v>
      </c>
      <c r="AB105" s="11">
        <v>0</v>
      </c>
      <c r="AC105" s="11">
        <v>0.03</v>
      </c>
      <c r="AD105" s="10">
        <v>0.25</v>
      </c>
      <c r="AE105" s="11">
        <v>0.04</v>
      </c>
      <c r="AF105" s="11">
        <v>0.19500000000000001</v>
      </c>
      <c r="AG105" s="11">
        <v>0.56999999999999995</v>
      </c>
      <c r="AH105" s="11">
        <v>0.04</v>
      </c>
      <c r="AI105" s="11">
        <v>0.37</v>
      </c>
      <c r="AJ105" s="11">
        <v>0</v>
      </c>
    </row>
    <row r="106" spans="4:36">
      <c r="D106" s="10">
        <v>40210</v>
      </c>
      <c r="E106" s="11">
        <v>4.8046716084787701E-2</v>
      </c>
      <c r="F106" s="11">
        <v>4.6234999999999999</v>
      </c>
      <c r="G106" s="11">
        <v>0.19</v>
      </c>
      <c r="H106" s="11">
        <v>-0.13</v>
      </c>
      <c r="I106" s="11">
        <v>5.0000000000000001E-3</v>
      </c>
      <c r="J106" s="11">
        <v>0.19</v>
      </c>
      <c r="K106" s="11">
        <v>-7.0000000000000007E-2</v>
      </c>
      <c r="L106" s="11">
        <v>5.0000000000000001E-3</v>
      </c>
      <c r="M106" s="11">
        <v>0.19</v>
      </c>
      <c r="N106" s="11">
        <v>-0.24</v>
      </c>
      <c r="O106" s="11">
        <v>0</v>
      </c>
      <c r="P106" s="11">
        <v>0.19</v>
      </c>
      <c r="Q106" s="11">
        <v>0</v>
      </c>
      <c r="R106" s="11">
        <v>0</v>
      </c>
      <c r="S106" s="11">
        <v>0</v>
      </c>
      <c r="T106" s="11">
        <v>0</v>
      </c>
      <c r="U106" s="11">
        <v>-0.32</v>
      </c>
      <c r="V106" s="11">
        <v>0</v>
      </c>
      <c r="W106" s="11">
        <v>-0.47</v>
      </c>
      <c r="X106" s="11">
        <v>5.1952066581978998E-3</v>
      </c>
      <c r="Y106" s="11">
        <v>0.248</v>
      </c>
      <c r="Z106" s="11">
        <v>0.06</v>
      </c>
      <c r="AA106" s="11">
        <v>0.19400000000000001</v>
      </c>
      <c r="AB106" s="11">
        <v>0</v>
      </c>
      <c r="AC106" s="11">
        <v>0.03</v>
      </c>
      <c r="AD106" s="10">
        <v>0.25</v>
      </c>
      <c r="AE106" s="11">
        <v>0.04</v>
      </c>
      <c r="AF106" s="11">
        <v>0.19</v>
      </c>
      <c r="AG106" s="11">
        <v>0.56999999999999995</v>
      </c>
      <c r="AH106" s="11">
        <v>0.04</v>
      </c>
      <c r="AI106" s="11">
        <v>0.37</v>
      </c>
      <c r="AJ106" s="11">
        <v>0</v>
      </c>
    </row>
    <row r="107" spans="4:36">
      <c r="D107" s="10">
        <v>40238</v>
      </c>
      <c r="E107" s="11">
        <v>4.8133312107836897E-2</v>
      </c>
      <c r="F107" s="11">
        <v>4.4844999999999997</v>
      </c>
      <c r="G107" s="11">
        <v>0.1875</v>
      </c>
      <c r="H107" s="11">
        <v>-0.13</v>
      </c>
      <c r="I107" s="11">
        <v>5.0000000000000001E-3</v>
      </c>
      <c r="J107" s="11">
        <v>0.188</v>
      </c>
      <c r="K107" s="11">
        <v>-7.0000000000000007E-2</v>
      </c>
      <c r="L107" s="11">
        <v>5.0000000000000001E-3</v>
      </c>
      <c r="M107" s="11">
        <v>0.188</v>
      </c>
      <c r="N107" s="11">
        <v>-0.24</v>
      </c>
      <c r="O107" s="11">
        <v>0</v>
      </c>
      <c r="P107" s="11">
        <v>0.188</v>
      </c>
      <c r="Q107" s="11">
        <v>0</v>
      </c>
      <c r="R107" s="11">
        <v>0</v>
      </c>
      <c r="S107" s="11">
        <v>0</v>
      </c>
      <c r="T107" s="11">
        <v>0</v>
      </c>
      <c r="U107" s="11">
        <v>-0.32</v>
      </c>
      <c r="V107" s="11">
        <v>0</v>
      </c>
      <c r="W107" s="11">
        <v>-0.47</v>
      </c>
      <c r="X107" s="11">
        <v>5.1916301532258999E-3</v>
      </c>
      <c r="Y107" s="11">
        <v>6.8000000000000005E-2</v>
      </c>
      <c r="Z107" s="11">
        <v>0.06</v>
      </c>
      <c r="AA107" s="11">
        <v>0.191</v>
      </c>
      <c r="AB107" s="11">
        <v>0</v>
      </c>
      <c r="AC107" s="11">
        <v>0.03</v>
      </c>
      <c r="AD107" s="10">
        <v>0.25</v>
      </c>
      <c r="AE107" s="11">
        <v>0.04</v>
      </c>
      <c r="AF107" s="11">
        <v>0.188</v>
      </c>
      <c r="AG107" s="11">
        <v>0.56999999999999995</v>
      </c>
      <c r="AH107" s="11">
        <v>0.04</v>
      </c>
      <c r="AI107" s="11">
        <v>0.37</v>
      </c>
      <c r="AJ107" s="11">
        <v>0</v>
      </c>
    </row>
    <row r="108" spans="4:36">
      <c r="D108" s="10">
        <v>40269</v>
      </c>
      <c r="E108" s="11">
        <v>4.8229186279135298E-2</v>
      </c>
      <c r="F108" s="11">
        <v>4.3304999999999998</v>
      </c>
      <c r="G108" s="11">
        <v>0.185</v>
      </c>
      <c r="H108" s="11">
        <v>-0.2</v>
      </c>
      <c r="I108" s="11">
        <v>2.5000000000000001E-3</v>
      </c>
      <c r="J108" s="11">
        <v>0.185</v>
      </c>
      <c r="K108" s="11">
        <v>-7.0000000000000007E-2</v>
      </c>
      <c r="L108" s="11">
        <v>5.0000000000000001E-3</v>
      </c>
      <c r="M108" s="11">
        <v>0.185</v>
      </c>
      <c r="N108" s="11">
        <v>-0.32</v>
      </c>
      <c r="O108" s="11">
        <v>0</v>
      </c>
      <c r="P108" s="11">
        <v>0.185</v>
      </c>
      <c r="Q108" s="11">
        <v>0</v>
      </c>
      <c r="R108" s="11">
        <v>0</v>
      </c>
      <c r="S108" s="11">
        <v>0</v>
      </c>
      <c r="T108" s="11">
        <v>0</v>
      </c>
      <c r="U108" s="11">
        <v>-0.4</v>
      </c>
      <c r="V108" s="11">
        <v>0</v>
      </c>
      <c r="W108" s="11">
        <v>-0.59499999999999997</v>
      </c>
      <c r="X108" s="11">
        <v>1.6211300602815999E-3</v>
      </c>
      <c r="Y108" s="11">
        <v>-0.25</v>
      </c>
      <c r="Z108" s="11">
        <v>0.02</v>
      </c>
      <c r="AA108" s="11">
        <v>0.189</v>
      </c>
      <c r="AB108" s="11">
        <v>0</v>
      </c>
      <c r="AC108" s="11">
        <v>0.03</v>
      </c>
      <c r="AD108" s="10">
        <v>0.26</v>
      </c>
      <c r="AE108" s="11">
        <v>0.04</v>
      </c>
      <c r="AF108" s="11">
        <v>0.185</v>
      </c>
      <c r="AG108" s="11">
        <v>0.44</v>
      </c>
      <c r="AH108" s="11">
        <v>0.04</v>
      </c>
      <c r="AI108" s="11">
        <v>0.24</v>
      </c>
      <c r="AJ108" s="11">
        <v>0</v>
      </c>
    </row>
    <row r="109" spans="4:36">
      <c r="D109" s="10">
        <v>40299</v>
      </c>
      <c r="E109" s="11">
        <v>4.8321967738155003E-2</v>
      </c>
      <c r="F109" s="11">
        <v>4.3354999999999997</v>
      </c>
      <c r="G109" s="11">
        <v>0.185</v>
      </c>
      <c r="H109" s="11">
        <v>-0.2</v>
      </c>
      <c r="I109" s="11">
        <v>2.5000000000000001E-3</v>
      </c>
      <c r="J109" s="11">
        <v>0.185</v>
      </c>
      <c r="K109" s="11">
        <v>-7.0000000000000007E-2</v>
      </c>
      <c r="L109" s="11">
        <v>5.0000000000000001E-3</v>
      </c>
      <c r="M109" s="11">
        <v>0.185</v>
      </c>
      <c r="N109" s="11">
        <v>-0.32</v>
      </c>
      <c r="O109" s="11">
        <v>0</v>
      </c>
      <c r="P109" s="11">
        <v>0.185</v>
      </c>
      <c r="Q109" s="11">
        <v>0</v>
      </c>
      <c r="R109" s="11">
        <v>0</v>
      </c>
      <c r="S109" s="11">
        <v>0</v>
      </c>
      <c r="T109" s="11">
        <v>0</v>
      </c>
      <c r="U109" s="11">
        <v>-0.4</v>
      </c>
      <c r="V109" s="11">
        <v>0</v>
      </c>
      <c r="W109" s="11">
        <v>-0.59499999999999997</v>
      </c>
      <c r="X109" s="11">
        <v>1.6198992382524999E-3</v>
      </c>
      <c r="Y109" s="11">
        <v>-0.25</v>
      </c>
      <c r="Z109" s="11">
        <v>0.02</v>
      </c>
      <c r="AA109" s="11">
        <v>0.189</v>
      </c>
      <c r="AB109" s="11">
        <v>0</v>
      </c>
      <c r="AC109" s="11">
        <v>0.03</v>
      </c>
      <c r="AD109" s="10">
        <v>0.26</v>
      </c>
      <c r="AE109" s="11">
        <v>0.04</v>
      </c>
      <c r="AF109" s="11">
        <v>0.185</v>
      </c>
      <c r="AG109" s="11">
        <v>0.44</v>
      </c>
      <c r="AH109" s="11">
        <v>0.04</v>
      </c>
      <c r="AI109" s="11">
        <v>0.24</v>
      </c>
      <c r="AJ109" s="11">
        <v>0</v>
      </c>
    </row>
    <row r="110" spans="4:36">
      <c r="D110" s="10">
        <v>40330</v>
      </c>
      <c r="E110" s="11">
        <v>4.8417841915497903E-2</v>
      </c>
      <c r="F110" s="11">
        <v>4.3734999999999999</v>
      </c>
      <c r="G110" s="11">
        <v>0.185</v>
      </c>
      <c r="H110" s="11">
        <v>-0.2</v>
      </c>
      <c r="I110" s="11">
        <v>2.5000000000000001E-3</v>
      </c>
      <c r="J110" s="11">
        <v>0.185</v>
      </c>
      <c r="K110" s="11">
        <v>-7.0000000000000007E-2</v>
      </c>
      <c r="L110" s="11">
        <v>5.0000000000000001E-3</v>
      </c>
      <c r="M110" s="11">
        <v>0.185</v>
      </c>
      <c r="N110" s="11">
        <v>-0.32</v>
      </c>
      <c r="O110" s="11">
        <v>0</v>
      </c>
      <c r="P110" s="11">
        <v>0.185</v>
      </c>
      <c r="Q110" s="11">
        <v>0</v>
      </c>
      <c r="R110" s="11">
        <v>0</v>
      </c>
      <c r="S110" s="11">
        <v>0</v>
      </c>
      <c r="T110" s="11">
        <v>0</v>
      </c>
      <c r="U110" s="11">
        <v>-0.4</v>
      </c>
      <c r="V110" s="11">
        <v>0</v>
      </c>
      <c r="W110" s="11">
        <v>-0.59499999999999997</v>
      </c>
      <c r="X110" s="11">
        <v>1.6186099476943E-3</v>
      </c>
      <c r="Y110" s="11">
        <v>-0.25</v>
      </c>
      <c r="Z110" s="11">
        <v>0.02</v>
      </c>
      <c r="AA110" s="11">
        <v>0.189</v>
      </c>
      <c r="AB110" s="11">
        <v>0</v>
      </c>
      <c r="AC110" s="11">
        <v>0.03</v>
      </c>
      <c r="AD110" s="10">
        <v>0.26</v>
      </c>
      <c r="AE110" s="11">
        <v>0.04</v>
      </c>
      <c r="AF110" s="11">
        <v>0.185</v>
      </c>
      <c r="AG110" s="11">
        <v>0.44</v>
      </c>
      <c r="AH110" s="11">
        <v>0.04</v>
      </c>
      <c r="AI110" s="11">
        <v>0.24</v>
      </c>
      <c r="AJ110" s="11">
        <v>0</v>
      </c>
    </row>
    <row r="111" spans="4:36">
      <c r="D111" s="10">
        <v>40360</v>
      </c>
      <c r="E111" s="11">
        <v>4.8510623380367199E-2</v>
      </c>
      <c r="F111" s="11">
        <v>4.4184999999999999</v>
      </c>
      <c r="G111" s="11">
        <v>0.185</v>
      </c>
      <c r="H111" s="11">
        <v>-0.2</v>
      </c>
      <c r="I111" s="11">
        <v>2.5000000000000001E-3</v>
      </c>
      <c r="J111" s="11">
        <v>0.185</v>
      </c>
      <c r="K111" s="11">
        <v>-7.0000000000000007E-2</v>
      </c>
      <c r="L111" s="11">
        <v>5.0000000000000001E-3</v>
      </c>
      <c r="M111" s="11">
        <v>0.185</v>
      </c>
      <c r="N111" s="11">
        <v>-0.32</v>
      </c>
      <c r="O111" s="11">
        <v>0</v>
      </c>
      <c r="P111" s="11">
        <v>0.185</v>
      </c>
      <c r="Q111" s="11">
        <v>0</v>
      </c>
      <c r="R111" s="11">
        <v>0</v>
      </c>
      <c r="S111" s="11">
        <v>0</v>
      </c>
      <c r="T111" s="11">
        <v>0</v>
      </c>
      <c r="U111" s="11">
        <v>-0.4</v>
      </c>
      <c r="V111" s="11">
        <v>0</v>
      </c>
      <c r="W111" s="11">
        <v>-0.59499999999999997</v>
      </c>
      <c r="X111" s="11">
        <v>1.6173454129096E-3</v>
      </c>
      <c r="Y111" s="11">
        <v>-0.25</v>
      </c>
      <c r="Z111" s="11">
        <v>0.02</v>
      </c>
      <c r="AA111" s="11">
        <v>0.189</v>
      </c>
      <c r="AB111" s="11">
        <v>0</v>
      </c>
      <c r="AC111" s="11">
        <v>0.03</v>
      </c>
      <c r="AD111" s="10">
        <v>0.26</v>
      </c>
      <c r="AE111" s="11">
        <v>0.04</v>
      </c>
      <c r="AF111" s="11">
        <v>0.185</v>
      </c>
      <c r="AG111" s="11">
        <v>0.44</v>
      </c>
      <c r="AH111" s="11">
        <v>0.04</v>
      </c>
      <c r="AI111" s="11">
        <v>0.24</v>
      </c>
      <c r="AJ111" s="11">
        <v>0</v>
      </c>
    </row>
    <row r="112" spans="4:36">
      <c r="D112" s="10">
        <v>40391</v>
      </c>
      <c r="E112" s="11">
        <v>4.8606497563753702E-2</v>
      </c>
      <c r="F112" s="11">
        <v>4.4565000000000001</v>
      </c>
      <c r="G112" s="11">
        <v>0.185</v>
      </c>
      <c r="H112" s="11">
        <v>-0.2</v>
      </c>
      <c r="I112" s="11">
        <v>2.5000000000000001E-3</v>
      </c>
      <c r="J112" s="11">
        <v>0.185</v>
      </c>
      <c r="K112" s="11">
        <v>-7.0000000000000007E-2</v>
      </c>
      <c r="L112" s="11">
        <v>5.0000000000000001E-3</v>
      </c>
      <c r="M112" s="11">
        <v>0.185</v>
      </c>
      <c r="N112" s="11">
        <v>-0.32</v>
      </c>
      <c r="O112" s="11">
        <v>0</v>
      </c>
      <c r="P112" s="11">
        <v>0.185</v>
      </c>
      <c r="Q112" s="11">
        <v>0</v>
      </c>
      <c r="R112" s="11">
        <v>0</v>
      </c>
      <c r="S112" s="11">
        <v>0</v>
      </c>
      <c r="T112" s="11">
        <v>0</v>
      </c>
      <c r="U112" s="11">
        <v>-0.4</v>
      </c>
      <c r="V112" s="11">
        <v>0</v>
      </c>
      <c r="W112" s="11">
        <v>-0.59499999999999997</v>
      </c>
      <c r="X112" s="11">
        <v>1.6160213783658001E-3</v>
      </c>
      <c r="Y112" s="11">
        <v>-0.25</v>
      </c>
      <c r="Z112" s="11">
        <v>0.02</v>
      </c>
      <c r="AA112" s="11">
        <v>0.189</v>
      </c>
      <c r="AB112" s="11">
        <v>0</v>
      </c>
      <c r="AC112" s="11">
        <v>0.03</v>
      </c>
      <c r="AD112" s="10">
        <v>0.26</v>
      </c>
      <c r="AE112" s="11">
        <v>0.04</v>
      </c>
      <c r="AF112" s="11">
        <v>0.185</v>
      </c>
      <c r="AG112" s="11">
        <v>0.44</v>
      </c>
      <c r="AH112" s="11">
        <v>0.04</v>
      </c>
      <c r="AI112" s="11">
        <v>0.24</v>
      </c>
      <c r="AJ112" s="11">
        <v>0</v>
      </c>
    </row>
    <row r="113" spans="4:36">
      <c r="D113" s="10">
        <v>40422</v>
      </c>
      <c r="E113" s="11">
        <v>4.8702371750211103E-2</v>
      </c>
      <c r="F113" s="11">
        <v>4.4504999999999999</v>
      </c>
      <c r="G113" s="11">
        <v>0.185</v>
      </c>
      <c r="H113" s="11">
        <v>-0.2</v>
      </c>
      <c r="I113" s="11">
        <v>2.5000000000000001E-3</v>
      </c>
      <c r="J113" s="11">
        <v>0.185</v>
      </c>
      <c r="K113" s="11">
        <v>-7.0000000000000007E-2</v>
      </c>
      <c r="L113" s="11">
        <v>5.0000000000000001E-3</v>
      </c>
      <c r="M113" s="11">
        <v>0.185</v>
      </c>
      <c r="N113" s="11">
        <v>-0.32</v>
      </c>
      <c r="O113" s="11">
        <v>0</v>
      </c>
      <c r="P113" s="11">
        <v>0.185</v>
      </c>
      <c r="Q113" s="11">
        <v>0</v>
      </c>
      <c r="R113" s="11">
        <v>0</v>
      </c>
      <c r="S113" s="11">
        <v>0</v>
      </c>
      <c r="T113" s="11">
        <v>0</v>
      </c>
      <c r="U113" s="11">
        <v>-0.4</v>
      </c>
      <c r="V113" s="11">
        <v>0</v>
      </c>
      <c r="W113" s="11">
        <v>-0.59499999999999997</v>
      </c>
      <c r="X113" s="11">
        <v>1.6146797589246999E-3</v>
      </c>
      <c r="Y113" s="11">
        <v>-0.25</v>
      </c>
      <c r="Z113" s="11">
        <v>0.02</v>
      </c>
      <c r="AA113" s="11">
        <v>0.189</v>
      </c>
      <c r="AB113" s="11">
        <v>0</v>
      </c>
      <c r="AC113" s="11">
        <v>0.03</v>
      </c>
      <c r="AD113" s="10">
        <v>0.26</v>
      </c>
      <c r="AE113" s="11">
        <v>0.04</v>
      </c>
      <c r="AF113" s="11">
        <v>0.185</v>
      </c>
      <c r="AG113" s="11">
        <v>0.44</v>
      </c>
      <c r="AH113" s="11">
        <v>0.04</v>
      </c>
      <c r="AI113" s="11">
        <v>0.24</v>
      </c>
      <c r="AJ113" s="11">
        <v>0</v>
      </c>
    </row>
    <row r="114" spans="4:36">
      <c r="D114" s="10">
        <v>40452</v>
      </c>
      <c r="E114" s="11">
        <v>4.8795153223900399E-2</v>
      </c>
      <c r="F114" s="11">
        <v>4.4504999999999999</v>
      </c>
      <c r="G114" s="11">
        <v>0.185</v>
      </c>
      <c r="H114" s="11">
        <v>-0.2</v>
      </c>
      <c r="I114" s="11">
        <v>2.5000000000000001E-3</v>
      </c>
      <c r="J114" s="11">
        <v>0.185</v>
      </c>
      <c r="K114" s="11">
        <v>-7.0000000000000007E-2</v>
      </c>
      <c r="L114" s="11">
        <v>5.0000000000000001E-3</v>
      </c>
      <c r="M114" s="11">
        <v>0.185</v>
      </c>
      <c r="N114" s="11">
        <v>-0.32</v>
      </c>
      <c r="O114" s="11">
        <v>0</v>
      </c>
      <c r="P114" s="11">
        <v>0.185</v>
      </c>
      <c r="Q114" s="11">
        <v>0</v>
      </c>
      <c r="R114" s="11">
        <v>0</v>
      </c>
      <c r="S114" s="11">
        <v>0</v>
      </c>
      <c r="T114" s="11">
        <v>0</v>
      </c>
      <c r="U114" s="11">
        <v>-0.4</v>
      </c>
      <c r="V114" s="11">
        <v>0</v>
      </c>
      <c r="W114" s="11">
        <v>-0.59499999999999997</v>
      </c>
      <c r="X114" s="11">
        <v>1.6133647206872999E-3</v>
      </c>
      <c r="Y114" s="11">
        <v>-0.25</v>
      </c>
      <c r="Z114" s="11">
        <v>0.02</v>
      </c>
      <c r="AA114" s="11">
        <v>0.189</v>
      </c>
      <c r="AB114" s="11">
        <v>0</v>
      </c>
      <c r="AC114" s="11">
        <v>0.03</v>
      </c>
      <c r="AD114" s="10">
        <v>0.26</v>
      </c>
      <c r="AE114" s="11">
        <v>0.04</v>
      </c>
      <c r="AF114" s="11">
        <v>0.185</v>
      </c>
      <c r="AG114" s="11">
        <v>0.44</v>
      </c>
      <c r="AH114" s="11">
        <v>0.04</v>
      </c>
      <c r="AI114" s="11">
        <v>0.24</v>
      </c>
      <c r="AJ114" s="11">
        <v>0</v>
      </c>
    </row>
    <row r="115" spans="4:36">
      <c r="D115" s="10">
        <v>40483</v>
      </c>
      <c r="E115" s="11">
        <v>4.8891027416400099E-2</v>
      </c>
      <c r="F115" s="11">
        <v>4.6204999999999998</v>
      </c>
      <c r="G115" s="11">
        <v>0.185</v>
      </c>
      <c r="H115" s="11">
        <v>-0.13</v>
      </c>
      <c r="I115" s="11">
        <v>5.0000000000000001E-3</v>
      </c>
      <c r="J115" s="11">
        <v>0.185</v>
      </c>
      <c r="K115" s="11">
        <v>-7.0000000000000007E-2</v>
      </c>
      <c r="L115" s="11">
        <v>5.0000000000000001E-3</v>
      </c>
      <c r="M115" s="11">
        <v>0.185</v>
      </c>
      <c r="N115" s="11">
        <v>-0.24</v>
      </c>
      <c r="O115" s="11">
        <v>0</v>
      </c>
      <c r="P115" s="11">
        <v>0.185</v>
      </c>
      <c r="Q115" s="11">
        <v>0</v>
      </c>
      <c r="R115" s="11">
        <v>0</v>
      </c>
      <c r="S115" s="11">
        <v>0</v>
      </c>
      <c r="T115" s="11">
        <v>0</v>
      </c>
      <c r="U115" s="11">
        <v>-0.32</v>
      </c>
      <c r="V115" s="11">
        <v>0</v>
      </c>
      <c r="W115" s="11">
        <v>-0.56499999999999995</v>
      </c>
      <c r="X115" s="11">
        <v>5.1583636570919E-3</v>
      </c>
      <c r="Y115" s="11">
        <v>0.248</v>
      </c>
      <c r="Z115" s="11">
        <v>0.06</v>
      </c>
      <c r="AA115" s="11">
        <v>0.189</v>
      </c>
      <c r="AB115" s="11">
        <v>0</v>
      </c>
      <c r="AC115" s="11">
        <v>0.03</v>
      </c>
      <c r="AD115" s="10">
        <v>0.35</v>
      </c>
      <c r="AE115" s="11">
        <v>4.2000000000000003E-2</v>
      </c>
      <c r="AF115" s="11">
        <v>0.185</v>
      </c>
      <c r="AG115" s="11">
        <v>0.5</v>
      </c>
      <c r="AH115" s="11">
        <v>4.2000000000000003E-2</v>
      </c>
      <c r="AI115" s="11">
        <v>0.3</v>
      </c>
      <c r="AJ115" s="11">
        <v>0</v>
      </c>
    </row>
    <row r="116" spans="4:36">
      <c r="D116" s="10">
        <v>40513</v>
      </c>
      <c r="E116" s="11">
        <v>4.8983808895936697E-2</v>
      </c>
      <c r="F116" s="11">
        <v>4.7515000000000001</v>
      </c>
      <c r="G116" s="11">
        <v>0.185</v>
      </c>
      <c r="H116" s="11">
        <v>-0.13</v>
      </c>
      <c r="I116" s="11">
        <v>5.0000000000000001E-3</v>
      </c>
      <c r="J116" s="11">
        <v>0.185</v>
      </c>
      <c r="K116" s="11">
        <v>-7.0000000000000007E-2</v>
      </c>
      <c r="L116" s="11">
        <v>5.0000000000000001E-3</v>
      </c>
      <c r="M116" s="11">
        <v>0.185</v>
      </c>
      <c r="N116" s="11">
        <v>-0.24</v>
      </c>
      <c r="O116" s="11">
        <v>0</v>
      </c>
      <c r="P116" s="11">
        <v>0.185</v>
      </c>
      <c r="Q116" s="11">
        <v>0</v>
      </c>
      <c r="R116" s="11">
        <v>0</v>
      </c>
      <c r="S116" s="11">
        <v>0</v>
      </c>
      <c r="T116" s="11">
        <v>0</v>
      </c>
      <c r="U116" s="11">
        <v>-0.32</v>
      </c>
      <c r="V116" s="11">
        <v>0</v>
      </c>
      <c r="W116" s="11">
        <v>-0.56499999999999995</v>
      </c>
      <c r="X116" s="11">
        <v>5.1540491246169001E-3</v>
      </c>
      <c r="Y116" s="11">
        <v>0.308</v>
      </c>
      <c r="Z116" s="11">
        <v>0.06</v>
      </c>
      <c r="AA116" s="11">
        <v>0.189</v>
      </c>
      <c r="AB116" s="11">
        <v>0</v>
      </c>
      <c r="AC116" s="11">
        <v>0.03</v>
      </c>
      <c r="AD116" s="10">
        <v>0.35</v>
      </c>
      <c r="AE116" s="11">
        <v>4.2000000000000003E-2</v>
      </c>
      <c r="AF116" s="11">
        <v>0.185</v>
      </c>
      <c r="AG116" s="11">
        <v>0.56999999999999995</v>
      </c>
      <c r="AH116" s="11">
        <v>4.2000000000000003E-2</v>
      </c>
      <c r="AI116" s="11">
        <v>0.37</v>
      </c>
      <c r="AJ116" s="11">
        <v>0</v>
      </c>
    </row>
    <row r="117" spans="4:36">
      <c r="D117" s="10">
        <v>40544</v>
      </c>
      <c r="E117" s="11">
        <v>4.9079683094479097E-2</v>
      </c>
      <c r="F117" s="11">
        <v>4.8215000000000003</v>
      </c>
      <c r="G117" s="11">
        <v>0.185</v>
      </c>
      <c r="H117" s="11">
        <v>-0.13</v>
      </c>
      <c r="I117" s="11">
        <v>5.0000000000000001E-3</v>
      </c>
      <c r="J117" s="11">
        <v>0.185</v>
      </c>
      <c r="K117" s="11">
        <v>-7.0000000000000007E-2</v>
      </c>
      <c r="L117" s="11">
        <v>5.0000000000000001E-3</v>
      </c>
      <c r="M117" s="11">
        <v>0.185</v>
      </c>
      <c r="N117" s="11">
        <v>-0.24</v>
      </c>
      <c r="O117" s="11">
        <v>0</v>
      </c>
      <c r="P117" s="11">
        <v>0.185</v>
      </c>
      <c r="Q117" s="11">
        <v>0</v>
      </c>
      <c r="R117" s="11">
        <v>0</v>
      </c>
      <c r="S117" s="11">
        <v>0</v>
      </c>
      <c r="T117" s="11">
        <v>0</v>
      </c>
      <c r="U117" s="11">
        <v>-0.32</v>
      </c>
      <c r="V117" s="11">
        <v>0</v>
      </c>
      <c r="W117" s="11">
        <v>-0.56499999999999995</v>
      </c>
      <c r="X117" s="11">
        <v>5.1495360315525996E-3</v>
      </c>
      <c r="Y117" s="11">
        <v>0.378</v>
      </c>
      <c r="Z117" s="11">
        <v>0.06</v>
      </c>
      <c r="AA117" s="11">
        <v>0.189</v>
      </c>
      <c r="AB117" s="11">
        <v>0</v>
      </c>
      <c r="AC117" s="11">
        <v>0.03</v>
      </c>
      <c r="AD117" s="10">
        <v>0.35</v>
      </c>
      <c r="AE117" s="11">
        <v>4.2000000000000003E-2</v>
      </c>
      <c r="AF117" s="11">
        <v>0.185</v>
      </c>
      <c r="AG117" s="11">
        <v>0.56999999999999995</v>
      </c>
      <c r="AH117" s="11">
        <v>4.2000000000000003E-2</v>
      </c>
      <c r="AI117" s="11">
        <v>0.37</v>
      </c>
      <c r="AJ117" s="11">
        <v>0</v>
      </c>
    </row>
    <row r="118" spans="4:36">
      <c r="D118" s="10">
        <v>40575</v>
      </c>
      <c r="E118" s="11">
        <v>4.9175557296091903E-2</v>
      </c>
      <c r="F118" s="11">
        <v>4.7335000000000003</v>
      </c>
      <c r="G118" s="11">
        <v>0.185</v>
      </c>
      <c r="H118" s="11">
        <v>-0.13</v>
      </c>
      <c r="I118" s="11">
        <v>5.0000000000000001E-3</v>
      </c>
      <c r="J118" s="11">
        <v>0.185</v>
      </c>
      <c r="K118" s="11">
        <v>-7.0000000000000007E-2</v>
      </c>
      <c r="L118" s="11">
        <v>5.0000000000000001E-3</v>
      </c>
      <c r="M118" s="11">
        <v>0.185</v>
      </c>
      <c r="N118" s="11">
        <v>-0.24</v>
      </c>
      <c r="O118" s="11">
        <v>0</v>
      </c>
      <c r="P118" s="11">
        <v>0.185</v>
      </c>
      <c r="Q118" s="11">
        <v>0</v>
      </c>
      <c r="R118" s="11">
        <v>0</v>
      </c>
      <c r="S118" s="11">
        <v>0</v>
      </c>
      <c r="T118" s="11">
        <v>0</v>
      </c>
      <c r="U118" s="11">
        <v>-0.32</v>
      </c>
      <c r="V118" s="11">
        <v>0</v>
      </c>
      <c r="W118" s="11">
        <v>-0.56499999999999995</v>
      </c>
      <c r="X118" s="11">
        <v>5.1449674608161E-3</v>
      </c>
      <c r="Y118" s="11">
        <v>0.248</v>
      </c>
      <c r="Z118" s="11">
        <v>0.06</v>
      </c>
      <c r="AA118" s="11">
        <v>0.189</v>
      </c>
      <c r="AB118" s="11">
        <v>0</v>
      </c>
      <c r="AC118" s="11">
        <v>0.03</v>
      </c>
      <c r="AD118" s="10">
        <v>0.35</v>
      </c>
      <c r="AE118" s="11">
        <v>4.2000000000000003E-2</v>
      </c>
      <c r="AF118" s="11">
        <v>0.185</v>
      </c>
      <c r="AG118" s="11">
        <v>0.56999999999999995</v>
      </c>
      <c r="AH118" s="11">
        <v>4.2000000000000003E-2</v>
      </c>
      <c r="AI118" s="11">
        <v>0.37</v>
      </c>
      <c r="AJ118" s="11">
        <v>0</v>
      </c>
    </row>
    <row r="119" spans="4:36">
      <c r="D119" s="10">
        <v>40603</v>
      </c>
      <c r="E119" s="11">
        <v>4.92621533518003E-2</v>
      </c>
      <c r="F119" s="11">
        <v>4.5945</v>
      </c>
      <c r="G119" s="11">
        <v>0.18</v>
      </c>
      <c r="H119" s="11">
        <v>-0.13</v>
      </c>
      <c r="I119" s="11">
        <v>5.0000000000000001E-3</v>
      </c>
      <c r="J119" s="11">
        <v>0.18</v>
      </c>
      <c r="K119" s="11">
        <v>-7.0000000000000007E-2</v>
      </c>
      <c r="L119" s="11">
        <v>5.0000000000000001E-3</v>
      </c>
      <c r="M119" s="11">
        <v>0.18</v>
      </c>
      <c r="N119" s="11">
        <v>-0.24</v>
      </c>
      <c r="O119" s="11">
        <v>0</v>
      </c>
      <c r="P119" s="11">
        <v>0.18</v>
      </c>
      <c r="Q119" s="11">
        <v>0</v>
      </c>
      <c r="R119" s="11">
        <v>0</v>
      </c>
      <c r="S119" s="11">
        <v>0</v>
      </c>
      <c r="T119" s="11">
        <v>0</v>
      </c>
      <c r="U119" s="11">
        <v>-0.32</v>
      </c>
      <c r="V119" s="11">
        <v>0</v>
      </c>
      <c r="W119" s="11">
        <v>-0.56499999999999995</v>
      </c>
      <c r="X119" s="11">
        <v>5.1407934637021004E-3</v>
      </c>
      <c r="Y119" s="11">
        <v>6.8000000000000005E-2</v>
      </c>
      <c r="Z119" s="11">
        <v>0.06</v>
      </c>
      <c r="AA119" s="11">
        <v>0.184</v>
      </c>
      <c r="AB119" s="11">
        <v>0</v>
      </c>
      <c r="AC119" s="11">
        <v>0.03</v>
      </c>
      <c r="AD119" s="10">
        <v>0.35</v>
      </c>
      <c r="AE119" s="11">
        <v>4.2000000000000003E-2</v>
      </c>
      <c r="AF119" s="11">
        <v>0.18</v>
      </c>
      <c r="AG119" s="11">
        <v>0.56999999999999995</v>
      </c>
      <c r="AH119" s="11">
        <v>4.2000000000000003E-2</v>
      </c>
      <c r="AI119" s="11">
        <v>0.37</v>
      </c>
      <c r="AJ119" s="11">
        <v>0</v>
      </c>
    </row>
    <row r="120" spans="4:36">
      <c r="D120" s="10">
        <v>40634</v>
      </c>
      <c r="E120" s="11">
        <v>4.9358027559256397E-2</v>
      </c>
      <c r="F120" s="11">
        <v>4.4405000000000001</v>
      </c>
      <c r="G120" s="11">
        <v>0.18</v>
      </c>
      <c r="H120" s="11">
        <v>-0.2</v>
      </c>
      <c r="I120" s="11">
        <v>2.5000000000000001E-3</v>
      </c>
      <c r="J120" s="11">
        <v>0.18</v>
      </c>
      <c r="K120" s="11">
        <v>-7.0000000000000007E-2</v>
      </c>
      <c r="L120" s="11">
        <v>5.0000000000000001E-3</v>
      </c>
      <c r="M120" s="11">
        <v>0.18</v>
      </c>
      <c r="N120" s="11">
        <v>-0.32</v>
      </c>
      <c r="O120" s="11">
        <v>0</v>
      </c>
      <c r="P120" s="11">
        <v>0.18</v>
      </c>
      <c r="Q120" s="11">
        <v>0</v>
      </c>
      <c r="R120" s="11">
        <v>0</v>
      </c>
      <c r="S120" s="11">
        <v>0</v>
      </c>
      <c r="T120" s="11">
        <v>0</v>
      </c>
      <c r="U120" s="11">
        <v>-0.4</v>
      </c>
      <c r="V120" s="11">
        <v>0</v>
      </c>
      <c r="W120" s="11">
        <v>-0.56499999999999995</v>
      </c>
      <c r="X120" s="11">
        <v>1.6050374271032999E-3</v>
      </c>
      <c r="Y120" s="11">
        <v>-0.25</v>
      </c>
      <c r="Z120" s="11">
        <v>0.02</v>
      </c>
      <c r="AA120" s="11">
        <v>0.184</v>
      </c>
      <c r="AB120" s="11">
        <v>0</v>
      </c>
      <c r="AC120" s="11">
        <v>0.03</v>
      </c>
      <c r="AD120" s="10">
        <v>0.43</v>
      </c>
      <c r="AE120" s="11">
        <v>4.2000000000000003E-2</v>
      </c>
      <c r="AF120" s="11">
        <v>0.18</v>
      </c>
      <c r="AG120" s="11">
        <v>0.44</v>
      </c>
      <c r="AH120" s="11">
        <v>4.2000000000000003E-2</v>
      </c>
      <c r="AI120" s="11">
        <v>0.24</v>
      </c>
      <c r="AJ120" s="11">
        <v>0</v>
      </c>
    </row>
    <row r="121" spans="4:36">
      <c r="D121" s="10">
        <v>40664</v>
      </c>
      <c r="E121" s="11">
        <v>4.9450809053265897E-2</v>
      </c>
      <c r="F121" s="11">
        <v>4.4455</v>
      </c>
      <c r="G121" s="11">
        <v>0.18</v>
      </c>
      <c r="H121" s="11">
        <v>-0.2</v>
      </c>
      <c r="I121" s="11">
        <v>2.5000000000000001E-3</v>
      </c>
      <c r="J121" s="11">
        <v>0.18</v>
      </c>
      <c r="K121" s="11">
        <v>-7.0000000000000007E-2</v>
      </c>
      <c r="L121" s="11">
        <v>5.0000000000000001E-3</v>
      </c>
      <c r="M121" s="11">
        <v>0.18</v>
      </c>
      <c r="N121" s="11">
        <v>-0.32</v>
      </c>
      <c r="O121" s="11">
        <v>0</v>
      </c>
      <c r="P121" s="11">
        <v>0.18</v>
      </c>
      <c r="Q121" s="11">
        <v>0</v>
      </c>
      <c r="R121" s="11">
        <v>0</v>
      </c>
      <c r="S121" s="11">
        <v>0</v>
      </c>
      <c r="T121" s="11">
        <v>0</v>
      </c>
      <c r="U121" s="11">
        <v>-0.4</v>
      </c>
      <c r="V121" s="11">
        <v>0</v>
      </c>
      <c r="W121" s="11">
        <v>-0.56499999999999995</v>
      </c>
      <c r="X121" s="11">
        <v>1.6036076481127E-3</v>
      </c>
      <c r="Y121" s="11">
        <v>-0.1</v>
      </c>
      <c r="Z121" s="11">
        <v>0.02</v>
      </c>
      <c r="AA121" s="11">
        <v>0.184</v>
      </c>
      <c r="AB121" s="11">
        <v>0</v>
      </c>
      <c r="AC121" s="11">
        <v>0.03</v>
      </c>
      <c r="AD121" s="10">
        <v>0.43</v>
      </c>
      <c r="AE121" s="11">
        <v>0</v>
      </c>
      <c r="AF121" s="11">
        <v>0.18</v>
      </c>
      <c r="AG121" s="11">
        <v>0.44</v>
      </c>
      <c r="AH121" s="11">
        <v>0</v>
      </c>
      <c r="AI121" s="11">
        <v>0.24</v>
      </c>
      <c r="AJ121" s="11">
        <v>0</v>
      </c>
    </row>
    <row r="122" spans="4:36">
      <c r="D122" s="10">
        <v>40695</v>
      </c>
      <c r="E122" s="11">
        <v>4.9546683266762599E-2</v>
      </c>
      <c r="F122" s="11">
        <v>4.4835000000000003</v>
      </c>
      <c r="G122" s="11">
        <v>0.18</v>
      </c>
      <c r="H122" s="11">
        <v>-0.2</v>
      </c>
      <c r="I122" s="11">
        <v>2.5000000000000001E-3</v>
      </c>
      <c r="J122" s="11">
        <v>0.18</v>
      </c>
      <c r="K122" s="11">
        <v>-7.0000000000000007E-2</v>
      </c>
      <c r="L122" s="11">
        <v>5.0000000000000001E-3</v>
      </c>
      <c r="M122" s="11">
        <v>0.18</v>
      </c>
      <c r="N122" s="11">
        <v>-0.32</v>
      </c>
      <c r="O122" s="11">
        <v>0</v>
      </c>
      <c r="P122" s="11">
        <v>0.18</v>
      </c>
      <c r="Q122" s="11">
        <v>0</v>
      </c>
      <c r="R122" s="11">
        <v>0</v>
      </c>
      <c r="S122" s="11">
        <v>0</v>
      </c>
      <c r="T122" s="11">
        <v>0</v>
      </c>
      <c r="U122" s="11">
        <v>-0.4</v>
      </c>
      <c r="V122" s="11">
        <v>0</v>
      </c>
      <c r="W122" s="11">
        <v>-0.56499999999999995</v>
      </c>
      <c r="X122" s="11">
        <v>1.6021133538662001E-3</v>
      </c>
      <c r="Y122" s="11">
        <v>-0.1</v>
      </c>
      <c r="Z122" s="11">
        <v>0.02</v>
      </c>
      <c r="AA122" s="11">
        <v>0.184</v>
      </c>
      <c r="AB122" s="11">
        <v>0</v>
      </c>
      <c r="AC122" s="11">
        <v>0.03</v>
      </c>
      <c r="AD122" s="10">
        <v>0.43</v>
      </c>
      <c r="AE122" s="11">
        <v>0</v>
      </c>
      <c r="AF122" s="11">
        <v>0.18</v>
      </c>
      <c r="AG122" s="11">
        <v>0.44</v>
      </c>
      <c r="AH122" s="11">
        <v>0</v>
      </c>
      <c r="AI122" s="11">
        <v>0.24</v>
      </c>
      <c r="AJ122" s="11">
        <v>0</v>
      </c>
    </row>
    <row r="123" spans="4:36">
      <c r="D123" s="10">
        <v>40725</v>
      </c>
      <c r="E123" s="11">
        <v>4.9639464766617597E-2</v>
      </c>
      <c r="F123" s="11">
        <v>4.5285000000000002</v>
      </c>
      <c r="G123" s="11">
        <v>0.18</v>
      </c>
      <c r="H123" s="11">
        <v>-0.2</v>
      </c>
      <c r="I123" s="11">
        <v>2.5000000000000001E-3</v>
      </c>
      <c r="J123" s="11">
        <v>0.18</v>
      </c>
      <c r="K123" s="11">
        <v>-7.0000000000000007E-2</v>
      </c>
      <c r="L123" s="11">
        <v>5.0000000000000001E-3</v>
      </c>
      <c r="M123" s="11">
        <v>0.18</v>
      </c>
      <c r="N123" s="11">
        <v>-0.32</v>
      </c>
      <c r="O123" s="11">
        <v>0</v>
      </c>
      <c r="P123" s="11">
        <v>0.18</v>
      </c>
      <c r="Q123" s="11">
        <v>0</v>
      </c>
      <c r="R123" s="11">
        <v>0</v>
      </c>
      <c r="S123" s="11">
        <v>0</v>
      </c>
      <c r="T123" s="11">
        <v>0</v>
      </c>
      <c r="U123" s="11">
        <v>-0.4</v>
      </c>
      <c r="V123" s="11">
        <v>0</v>
      </c>
      <c r="W123" s="11">
        <v>-0.56499999999999995</v>
      </c>
      <c r="X123" s="11">
        <v>1.6006510007373E-3</v>
      </c>
      <c r="Y123" s="11">
        <v>-0.1</v>
      </c>
      <c r="Z123" s="11">
        <v>0.02</v>
      </c>
      <c r="AA123" s="11">
        <v>0.184</v>
      </c>
      <c r="AB123" s="11">
        <v>0</v>
      </c>
      <c r="AC123" s="11">
        <v>0.03</v>
      </c>
      <c r="AD123" s="10">
        <v>0.43</v>
      </c>
      <c r="AE123" s="11">
        <v>0</v>
      </c>
      <c r="AF123" s="11">
        <v>0.18</v>
      </c>
      <c r="AG123" s="11">
        <v>0.44</v>
      </c>
      <c r="AH123" s="11">
        <v>0</v>
      </c>
      <c r="AI123" s="11">
        <v>0.24</v>
      </c>
      <c r="AJ123" s="11">
        <v>0</v>
      </c>
    </row>
    <row r="124" spans="4:36">
      <c r="D124" s="10">
        <v>40756</v>
      </c>
      <c r="E124" s="11">
        <v>4.9735338986154301E-2</v>
      </c>
      <c r="F124" s="11">
        <v>4.5664999999999996</v>
      </c>
      <c r="G124" s="11">
        <v>0.18</v>
      </c>
      <c r="H124" s="11">
        <v>-0.2</v>
      </c>
      <c r="I124" s="11">
        <v>2.5000000000000001E-3</v>
      </c>
      <c r="J124" s="11">
        <v>0.18</v>
      </c>
      <c r="K124" s="11">
        <v>-7.0000000000000007E-2</v>
      </c>
      <c r="L124" s="11">
        <v>5.0000000000000001E-3</v>
      </c>
      <c r="M124" s="11">
        <v>0.18</v>
      </c>
      <c r="N124" s="11">
        <v>-0.32</v>
      </c>
      <c r="O124" s="11">
        <v>0</v>
      </c>
      <c r="P124" s="11">
        <v>0.18</v>
      </c>
      <c r="Q124" s="11">
        <v>0</v>
      </c>
      <c r="R124" s="11">
        <v>0</v>
      </c>
      <c r="S124" s="11">
        <v>0</v>
      </c>
      <c r="T124" s="11">
        <v>0</v>
      </c>
      <c r="U124" s="11">
        <v>-0.4</v>
      </c>
      <c r="V124" s="11">
        <v>0</v>
      </c>
      <c r="W124" s="11">
        <v>-0.56499999999999995</v>
      </c>
      <c r="X124" s="11">
        <v>1.5991231515649E-3</v>
      </c>
      <c r="Y124" s="11">
        <v>-0.1</v>
      </c>
      <c r="Z124" s="11">
        <v>0.02</v>
      </c>
      <c r="AA124" s="11">
        <v>0.184</v>
      </c>
      <c r="AB124" s="11">
        <v>0</v>
      </c>
      <c r="AC124" s="11">
        <v>0.03</v>
      </c>
      <c r="AD124" s="10">
        <v>0.43</v>
      </c>
      <c r="AE124" s="11">
        <v>0</v>
      </c>
      <c r="AF124" s="11">
        <v>0.18</v>
      </c>
      <c r="AG124" s="11">
        <v>0.44</v>
      </c>
      <c r="AH124" s="11">
        <v>0</v>
      </c>
      <c r="AI124" s="11">
        <v>0.24</v>
      </c>
      <c r="AJ124" s="11">
        <v>0</v>
      </c>
    </row>
    <row r="125" spans="4:36">
      <c r="D125" s="10">
        <v>40787</v>
      </c>
      <c r="E125" s="11">
        <v>4.9831213208761001E-2</v>
      </c>
      <c r="F125" s="11">
        <v>4.5605000000000002</v>
      </c>
      <c r="G125" s="11">
        <v>0.18</v>
      </c>
      <c r="H125" s="11">
        <v>-0.2</v>
      </c>
      <c r="I125" s="11">
        <v>2.5000000000000001E-3</v>
      </c>
      <c r="J125" s="11">
        <v>0.18</v>
      </c>
      <c r="K125" s="11">
        <v>-7.0000000000000007E-2</v>
      </c>
      <c r="L125" s="11">
        <v>5.0000000000000001E-3</v>
      </c>
      <c r="M125" s="11">
        <v>0.18</v>
      </c>
      <c r="N125" s="11">
        <v>-0.32</v>
      </c>
      <c r="O125" s="11">
        <v>0</v>
      </c>
      <c r="P125" s="11">
        <v>0.18</v>
      </c>
      <c r="Q125" s="11">
        <v>0</v>
      </c>
      <c r="R125" s="11">
        <v>0</v>
      </c>
      <c r="S125" s="11">
        <v>0</v>
      </c>
      <c r="T125" s="11">
        <v>0</v>
      </c>
      <c r="U125" s="11">
        <v>-0.4</v>
      </c>
      <c r="V125" s="11">
        <v>0</v>
      </c>
      <c r="W125" s="11">
        <v>-0.56499999999999995</v>
      </c>
      <c r="X125" s="11">
        <v>1.5975783312815E-3</v>
      </c>
      <c r="Y125" s="11">
        <v>-0.1</v>
      </c>
      <c r="Z125" s="11">
        <v>0.02</v>
      </c>
      <c r="AA125" s="11">
        <v>0.184</v>
      </c>
      <c r="AB125" s="11">
        <v>0</v>
      </c>
      <c r="AC125" s="11">
        <v>0.03</v>
      </c>
      <c r="AD125" s="10">
        <v>0.43</v>
      </c>
      <c r="AE125" s="11">
        <v>0</v>
      </c>
      <c r="AF125" s="11">
        <v>0.18</v>
      </c>
      <c r="AG125" s="11">
        <v>0.44</v>
      </c>
      <c r="AH125" s="11">
        <v>0</v>
      </c>
      <c r="AI125" s="11">
        <v>0.24</v>
      </c>
      <c r="AJ125" s="11">
        <v>0</v>
      </c>
    </row>
    <row r="126" spans="4:36">
      <c r="D126" s="10">
        <v>40817</v>
      </c>
      <c r="E126" s="11">
        <v>4.9923994717431697E-2</v>
      </c>
      <c r="F126" s="11">
        <v>4.5605000000000002</v>
      </c>
      <c r="G126" s="11">
        <v>0.18</v>
      </c>
      <c r="H126" s="11">
        <v>-0.2</v>
      </c>
      <c r="I126" s="11">
        <v>2.5000000000000001E-3</v>
      </c>
      <c r="J126" s="11">
        <v>0.18</v>
      </c>
      <c r="K126" s="11">
        <v>-7.0000000000000007E-2</v>
      </c>
      <c r="L126" s="11">
        <v>5.0000000000000001E-3</v>
      </c>
      <c r="M126" s="11">
        <v>0.18</v>
      </c>
      <c r="N126" s="11">
        <v>-0.32</v>
      </c>
      <c r="O126" s="11">
        <v>0</v>
      </c>
      <c r="P126" s="11">
        <v>0.18</v>
      </c>
      <c r="Q126" s="11">
        <v>0</v>
      </c>
      <c r="R126" s="11">
        <v>0</v>
      </c>
      <c r="S126" s="11">
        <v>0</v>
      </c>
      <c r="T126" s="11">
        <v>0</v>
      </c>
      <c r="U126" s="11">
        <v>-0.4</v>
      </c>
      <c r="V126" s="11">
        <v>0</v>
      </c>
      <c r="W126" s="11">
        <v>-0.56499999999999995</v>
      </c>
      <c r="X126" s="11">
        <v>1.5960672374654E-3</v>
      </c>
      <c r="Y126" s="11">
        <v>-0.1</v>
      </c>
      <c r="Z126" s="11">
        <v>0.02</v>
      </c>
      <c r="AA126" s="11">
        <v>0.184</v>
      </c>
      <c r="AB126" s="11">
        <v>0</v>
      </c>
      <c r="AC126" s="11">
        <v>0.03</v>
      </c>
      <c r="AD126" s="10">
        <v>0.43</v>
      </c>
      <c r="AE126" s="11">
        <v>0</v>
      </c>
      <c r="AF126" s="11">
        <v>0.18</v>
      </c>
      <c r="AG126" s="11">
        <v>0.44</v>
      </c>
      <c r="AH126" s="11">
        <v>0</v>
      </c>
      <c r="AI126" s="11">
        <v>0.24</v>
      </c>
      <c r="AJ126" s="11">
        <v>0</v>
      </c>
    </row>
    <row r="127" spans="4:36">
      <c r="D127" s="10">
        <v>40848</v>
      </c>
      <c r="E127" s="11">
        <v>5.00198689460776E-2</v>
      </c>
      <c r="F127" s="11">
        <v>4.7305000000000001</v>
      </c>
      <c r="G127" s="11">
        <v>0.18</v>
      </c>
      <c r="H127" s="11">
        <v>-0.13</v>
      </c>
      <c r="I127" s="11">
        <v>5.0000000000000001E-3</v>
      </c>
      <c r="J127" s="11">
        <v>0.18</v>
      </c>
      <c r="K127" s="11">
        <v>-7.0000000000000007E-2</v>
      </c>
      <c r="L127" s="11">
        <v>5.0000000000000001E-3</v>
      </c>
      <c r="M127" s="11">
        <v>0.18</v>
      </c>
      <c r="N127" s="11">
        <v>-0.24</v>
      </c>
      <c r="O127" s="11">
        <v>0</v>
      </c>
      <c r="P127" s="11">
        <v>0.18</v>
      </c>
      <c r="Q127" s="11">
        <v>0</v>
      </c>
      <c r="R127" s="11">
        <v>0</v>
      </c>
      <c r="S127" s="11">
        <v>0</v>
      </c>
      <c r="T127" s="11">
        <v>0</v>
      </c>
      <c r="U127" s="11">
        <v>-0.32</v>
      </c>
      <c r="V127" s="11">
        <v>0</v>
      </c>
      <c r="W127" s="11">
        <v>-0.52</v>
      </c>
      <c r="X127" s="11">
        <v>5.1023653922793004E-3</v>
      </c>
      <c r="Y127" s="11">
        <v>0.248</v>
      </c>
      <c r="Z127" s="11">
        <v>0.06</v>
      </c>
      <c r="AA127" s="11">
        <v>0.184</v>
      </c>
      <c r="AB127" s="11">
        <v>0</v>
      </c>
      <c r="AC127" s="11">
        <v>0.03</v>
      </c>
      <c r="AD127" s="10">
        <v>0.35</v>
      </c>
      <c r="AE127" s="11">
        <v>0</v>
      </c>
      <c r="AF127" s="11">
        <v>0.18</v>
      </c>
      <c r="AG127" s="11">
        <v>0.5</v>
      </c>
      <c r="AH127" s="11">
        <v>0</v>
      </c>
      <c r="AI127" s="11">
        <v>0.3</v>
      </c>
      <c r="AJ127" s="11">
        <v>0</v>
      </c>
    </row>
    <row r="128" spans="4:36">
      <c r="D128" s="10">
        <v>40878</v>
      </c>
      <c r="E128" s="11">
        <v>5.0081824508970002E-2</v>
      </c>
      <c r="F128" s="11">
        <v>4.8615000000000004</v>
      </c>
      <c r="G128" s="11">
        <v>0.18</v>
      </c>
      <c r="H128" s="11">
        <v>-0.13</v>
      </c>
      <c r="I128" s="11">
        <v>5.0000000000000001E-3</v>
      </c>
      <c r="J128" s="11">
        <v>0.18</v>
      </c>
      <c r="K128" s="11">
        <v>-7.0000000000000007E-2</v>
      </c>
      <c r="L128" s="11">
        <v>5.0000000000000001E-3</v>
      </c>
      <c r="M128" s="11">
        <v>0.18</v>
      </c>
      <c r="N128" s="11">
        <v>-0.24</v>
      </c>
      <c r="O128" s="11">
        <v>0</v>
      </c>
      <c r="P128" s="11">
        <v>0.18</v>
      </c>
      <c r="Q128" s="11">
        <v>0</v>
      </c>
      <c r="R128" s="11">
        <v>0</v>
      </c>
      <c r="S128" s="11">
        <v>0</v>
      </c>
      <c r="T128" s="11">
        <v>0</v>
      </c>
      <c r="U128" s="11">
        <v>-0.32</v>
      </c>
      <c r="V128" s="11">
        <v>0</v>
      </c>
      <c r="W128" s="11">
        <v>-0.52</v>
      </c>
      <c r="X128" s="11">
        <v>5.1005192904858996E-3</v>
      </c>
      <c r="Y128" s="11">
        <v>0.308</v>
      </c>
      <c r="Z128" s="11">
        <v>0.06</v>
      </c>
      <c r="AA128" s="11">
        <v>0.184</v>
      </c>
      <c r="AB128" s="11">
        <v>0</v>
      </c>
      <c r="AC128" s="11">
        <v>0.03</v>
      </c>
      <c r="AD128" s="10">
        <v>0.35</v>
      </c>
      <c r="AE128" s="11">
        <v>0</v>
      </c>
      <c r="AF128" s="11">
        <v>0.18</v>
      </c>
      <c r="AG128" s="11">
        <v>0.56999999999999995</v>
      </c>
      <c r="AH128" s="11">
        <v>0</v>
      </c>
      <c r="AI128" s="11">
        <v>0.37</v>
      </c>
      <c r="AJ128" s="11">
        <v>0</v>
      </c>
    </row>
    <row r="129" spans="4:36">
      <c r="D129" s="10">
        <v>40909</v>
      </c>
      <c r="E129" s="11">
        <v>5.0137881887684498E-2</v>
      </c>
      <c r="F129" s="11">
        <v>4.9340000000000002</v>
      </c>
      <c r="G129" s="11">
        <v>0.18</v>
      </c>
      <c r="H129" s="11">
        <v>-0.13</v>
      </c>
      <c r="I129" s="11">
        <v>5.0000000000000001E-3</v>
      </c>
      <c r="J129" s="11">
        <v>0.18</v>
      </c>
      <c r="K129" s="11">
        <v>-7.0000000000000007E-2</v>
      </c>
      <c r="L129" s="11">
        <v>5.0000000000000001E-3</v>
      </c>
      <c r="M129" s="11">
        <v>0.18</v>
      </c>
      <c r="N129" s="11">
        <v>-0.24</v>
      </c>
      <c r="O129" s="11">
        <v>0</v>
      </c>
      <c r="P129" s="11">
        <v>0.18</v>
      </c>
      <c r="Q129" s="11">
        <v>0</v>
      </c>
      <c r="R129" s="11">
        <v>0</v>
      </c>
      <c r="S129" s="11">
        <v>0</v>
      </c>
      <c r="T129" s="11">
        <v>0</v>
      </c>
      <c r="U129" s="11">
        <v>-0.32</v>
      </c>
      <c r="V129" s="11">
        <v>0</v>
      </c>
      <c r="W129" s="11">
        <v>-0.52</v>
      </c>
      <c r="X129" s="11">
        <v>5.0982043980856004E-3</v>
      </c>
      <c r="Y129" s="11">
        <v>0.378</v>
      </c>
      <c r="Z129" s="11">
        <v>0.06</v>
      </c>
      <c r="AA129" s="11">
        <v>0.184</v>
      </c>
      <c r="AB129" s="11">
        <v>0</v>
      </c>
      <c r="AC129" s="11">
        <v>0.03</v>
      </c>
      <c r="AD129" s="10">
        <v>0.35</v>
      </c>
      <c r="AE129" s="11">
        <v>0</v>
      </c>
      <c r="AF129" s="11">
        <v>0.18</v>
      </c>
      <c r="AG129" s="11">
        <v>0.56999999999999995</v>
      </c>
      <c r="AH129" s="11">
        <v>0</v>
      </c>
      <c r="AI129" s="11">
        <v>0.37</v>
      </c>
      <c r="AJ129" s="11">
        <v>0</v>
      </c>
    </row>
    <row r="130" spans="4:36">
      <c r="D130" s="10">
        <v>40940</v>
      </c>
      <c r="E130" s="11">
        <v>5.0193939267447502E-2</v>
      </c>
      <c r="F130" s="11">
        <v>4.8460000000000001</v>
      </c>
      <c r="G130" s="11">
        <v>0.17499999999999999</v>
      </c>
      <c r="H130" s="11">
        <v>-0.13</v>
      </c>
      <c r="I130" s="11">
        <v>5.0000000000000001E-3</v>
      </c>
      <c r="J130" s="11">
        <v>0.17499999999999999</v>
      </c>
      <c r="K130" s="11">
        <v>-7.0000000000000007E-2</v>
      </c>
      <c r="L130" s="11">
        <v>5.0000000000000001E-3</v>
      </c>
      <c r="M130" s="11">
        <v>0.17499999999999999</v>
      </c>
      <c r="N130" s="11">
        <v>-0.24</v>
      </c>
      <c r="O130" s="11">
        <v>0</v>
      </c>
      <c r="P130" s="11">
        <v>0.17499999999999999</v>
      </c>
      <c r="Q130" s="11">
        <v>0</v>
      </c>
      <c r="R130" s="11">
        <v>0</v>
      </c>
      <c r="S130" s="11">
        <v>0</v>
      </c>
      <c r="T130" s="11">
        <v>0</v>
      </c>
      <c r="U130" s="11">
        <v>-0.32</v>
      </c>
      <c r="V130" s="11">
        <v>0</v>
      </c>
      <c r="W130" s="11">
        <v>-0.52</v>
      </c>
      <c r="X130" s="11">
        <v>5.0958784563291002E-3</v>
      </c>
      <c r="Y130" s="11">
        <v>0.248</v>
      </c>
      <c r="Z130" s="11">
        <v>0.06</v>
      </c>
      <c r="AA130" s="11">
        <v>0.17899999999999999</v>
      </c>
      <c r="AB130" s="11">
        <v>0</v>
      </c>
      <c r="AC130" s="11">
        <v>0.03</v>
      </c>
      <c r="AD130" s="10">
        <v>0.35</v>
      </c>
      <c r="AE130" s="11">
        <v>0</v>
      </c>
      <c r="AF130" s="11">
        <v>0.17499999999999999</v>
      </c>
      <c r="AG130" s="11">
        <v>0.56999999999999995</v>
      </c>
      <c r="AH130" s="11">
        <v>0</v>
      </c>
      <c r="AI130" s="11">
        <v>0.37</v>
      </c>
      <c r="AJ130" s="11">
        <v>0</v>
      </c>
    </row>
    <row r="131" spans="4:36">
      <c r="D131" s="10">
        <v>40969</v>
      </c>
      <c r="E131" s="11">
        <v>5.02463800430148E-2</v>
      </c>
      <c r="F131" s="11">
        <v>4.7069999999999999</v>
      </c>
      <c r="G131" s="11">
        <v>0.17</v>
      </c>
      <c r="H131" s="11">
        <v>-0.13</v>
      </c>
      <c r="I131" s="11">
        <v>5.0000000000000001E-3</v>
      </c>
      <c r="J131" s="11">
        <v>0.17</v>
      </c>
      <c r="K131" s="11">
        <v>-7.0000000000000007E-2</v>
      </c>
      <c r="L131" s="11">
        <v>5.0000000000000001E-3</v>
      </c>
      <c r="M131" s="11">
        <v>0.17</v>
      </c>
      <c r="N131" s="11">
        <v>-0.24</v>
      </c>
      <c r="O131" s="11">
        <v>0</v>
      </c>
      <c r="P131" s="11">
        <v>0.17</v>
      </c>
      <c r="Q131" s="11">
        <v>0</v>
      </c>
      <c r="R131" s="11">
        <v>0</v>
      </c>
      <c r="S131" s="11">
        <v>0</v>
      </c>
      <c r="T131" s="11">
        <v>0</v>
      </c>
      <c r="U131" s="11">
        <v>-0.32</v>
      </c>
      <c r="V131" s="11">
        <v>0</v>
      </c>
      <c r="W131" s="11">
        <v>-0.52</v>
      </c>
      <c r="X131" s="11">
        <v>5.0936925875097001E-3</v>
      </c>
      <c r="Y131" s="11">
        <v>6.8000000000000005E-2</v>
      </c>
      <c r="Z131" s="11">
        <v>0.06</v>
      </c>
      <c r="AA131" s="11">
        <v>0.17299999999999999</v>
      </c>
      <c r="AB131" s="11">
        <v>0</v>
      </c>
      <c r="AC131" s="11">
        <v>0.03</v>
      </c>
      <c r="AD131" s="10">
        <v>0.35</v>
      </c>
      <c r="AE131" s="11">
        <v>0</v>
      </c>
      <c r="AF131" s="11">
        <v>0.17</v>
      </c>
      <c r="AG131" s="11">
        <v>0.56999999999999995</v>
      </c>
      <c r="AH131" s="11">
        <v>0</v>
      </c>
      <c r="AI131" s="11">
        <v>0.37</v>
      </c>
      <c r="AJ131" s="11">
        <v>0</v>
      </c>
    </row>
    <row r="132" spans="4:36">
      <c r="D132" s="10">
        <v>41000</v>
      </c>
      <c r="E132" s="11">
        <v>5.0302437424808201E-2</v>
      </c>
      <c r="F132" s="11">
        <v>4.5529999999999999</v>
      </c>
      <c r="G132" s="11">
        <v>0.17</v>
      </c>
      <c r="H132" s="11">
        <v>-0.2</v>
      </c>
      <c r="I132" s="11">
        <v>2.5000000000000001E-3</v>
      </c>
      <c r="J132" s="11">
        <v>0.17</v>
      </c>
      <c r="K132" s="11">
        <v>-7.0000000000000007E-2</v>
      </c>
      <c r="L132" s="11">
        <v>5.0000000000000001E-3</v>
      </c>
      <c r="M132" s="11">
        <v>0.17</v>
      </c>
      <c r="N132" s="11">
        <v>-0.32</v>
      </c>
      <c r="O132" s="11">
        <v>0</v>
      </c>
      <c r="P132" s="11">
        <v>0.17</v>
      </c>
      <c r="Q132" s="11">
        <v>0</v>
      </c>
      <c r="R132" s="11">
        <v>0</v>
      </c>
      <c r="S132" s="11">
        <v>0</v>
      </c>
      <c r="T132" s="11">
        <v>0</v>
      </c>
      <c r="U132" s="11">
        <v>-0.4</v>
      </c>
      <c r="V132" s="11">
        <v>0</v>
      </c>
      <c r="W132" s="11">
        <v>-0.63300000000000001</v>
      </c>
      <c r="X132" s="11">
        <v>1.5910454090102999E-3</v>
      </c>
      <c r="Y132" s="11">
        <v>-0.25</v>
      </c>
      <c r="Z132" s="11">
        <v>0.02</v>
      </c>
      <c r="AA132" s="11">
        <v>0.17299999999999999</v>
      </c>
      <c r="AB132" s="11">
        <v>0</v>
      </c>
      <c r="AC132" s="11">
        <v>0.03</v>
      </c>
      <c r="AD132" s="10">
        <v>0.43</v>
      </c>
      <c r="AE132" s="11">
        <v>0</v>
      </c>
      <c r="AF132" s="11">
        <v>0.17</v>
      </c>
      <c r="AG132" s="11">
        <v>0.44</v>
      </c>
      <c r="AH132" s="11">
        <v>0</v>
      </c>
      <c r="AI132" s="11">
        <v>0.24</v>
      </c>
      <c r="AJ132" s="11">
        <v>0</v>
      </c>
    </row>
    <row r="133" spans="4:36">
      <c r="D133" s="10">
        <v>41030</v>
      </c>
      <c r="E133" s="11">
        <v>5.0356686504962903E-2</v>
      </c>
      <c r="F133" s="11">
        <v>4.5579999999999998</v>
      </c>
      <c r="G133" s="11">
        <v>0.17</v>
      </c>
      <c r="H133" s="11">
        <v>-0.2</v>
      </c>
      <c r="I133" s="11">
        <v>2.5000000000000001E-3</v>
      </c>
      <c r="J133" s="11">
        <v>0.17</v>
      </c>
      <c r="K133" s="11">
        <v>-7.0000000000000007E-2</v>
      </c>
      <c r="L133" s="11">
        <v>5.0000000000000001E-3</v>
      </c>
      <c r="M133" s="11">
        <v>0.17</v>
      </c>
      <c r="N133" s="11">
        <v>-0.32</v>
      </c>
      <c r="O133" s="11">
        <v>0</v>
      </c>
      <c r="P133" s="11">
        <v>0.17</v>
      </c>
      <c r="Q133" s="11">
        <v>0</v>
      </c>
      <c r="R133" s="11">
        <v>0</v>
      </c>
      <c r="S133" s="11">
        <v>0</v>
      </c>
      <c r="T133" s="11">
        <v>0</v>
      </c>
      <c r="U133" s="11">
        <v>-0.4</v>
      </c>
      <c r="V133" s="11">
        <v>0</v>
      </c>
      <c r="W133" s="11">
        <v>-0.63300000000000001</v>
      </c>
      <c r="X133" s="11">
        <v>1.5903322738921E-3</v>
      </c>
      <c r="Y133" s="11">
        <v>-0.1</v>
      </c>
      <c r="Z133" s="11">
        <v>0.02</v>
      </c>
      <c r="AA133" s="11">
        <v>0.17299999999999999</v>
      </c>
      <c r="AB133" s="11">
        <v>0</v>
      </c>
      <c r="AC133" s="11">
        <v>0.03</v>
      </c>
      <c r="AD133" s="10">
        <v>0.43</v>
      </c>
      <c r="AE133" s="11">
        <v>0</v>
      </c>
      <c r="AF133" s="11">
        <v>0.17</v>
      </c>
      <c r="AG133" s="11">
        <v>0.44</v>
      </c>
      <c r="AH133" s="11">
        <v>0</v>
      </c>
      <c r="AI133" s="11">
        <v>0.24</v>
      </c>
      <c r="AJ133" s="11">
        <v>0</v>
      </c>
    </row>
    <row r="134" spans="4:36">
      <c r="D134" s="10">
        <v>41061</v>
      </c>
      <c r="E134" s="11">
        <v>5.0412743888820902E-2</v>
      </c>
      <c r="F134" s="11">
        <v>4.5960000000000001</v>
      </c>
      <c r="G134" s="11">
        <v>0.17</v>
      </c>
      <c r="H134" s="11">
        <v>-0.2</v>
      </c>
      <c r="I134" s="11">
        <v>2.5000000000000001E-3</v>
      </c>
      <c r="J134" s="11">
        <v>0.17</v>
      </c>
      <c r="K134" s="11">
        <v>-7.0000000000000007E-2</v>
      </c>
      <c r="L134" s="11">
        <v>5.0000000000000001E-3</v>
      </c>
      <c r="M134" s="11">
        <v>0.17</v>
      </c>
      <c r="N134" s="11">
        <v>-0.32</v>
      </c>
      <c r="O134" s="11">
        <v>0</v>
      </c>
      <c r="P134" s="11">
        <v>0.17</v>
      </c>
      <c r="Q134" s="11">
        <v>0</v>
      </c>
      <c r="R134" s="11">
        <v>0</v>
      </c>
      <c r="S134" s="11">
        <v>0</v>
      </c>
      <c r="T134" s="11">
        <v>0</v>
      </c>
      <c r="U134" s="11">
        <v>-0.4</v>
      </c>
      <c r="V134" s="11">
        <v>0</v>
      </c>
      <c r="W134" s="11">
        <v>-0.63300000000000001</v>
      </c>
      <c r="X134" s="11">
        <v>1.5895919911940999E-3</v>
      </c>
      <c r="Y134" s="11">
        <v>-0.1</v>
      </c>
      <c r="Z134" s="11">
        <v>0.02</v>
      </c>
      <c r="AA134" s="11">
        <v>0.17299999999999999</v>
      </c>
      <c r="AB134" s="11">
        <v>0</v>
      </c>
      <c r="AC134" s="11">
        <v>0.03</v>
      </c>
      <c r="AD134" s="10">
        <v>0.43</v>
      </c>
      <c r="AE134" s="11">
        <v>0</v>
      </c>
      <c r="AF134" s="11">
        <v>0.17</v>
      </c>
      <c r="AG134" s="11">
        <v>0.44</v>
      </c>
      <c r="AH134" s="11">
        <v>0</v>
      </c>
      <c r="AI134" s="11">
        <v>0.24</v>
      </c>
      <c r="AJ134" s="11">
        <v>0</v>
      </c>
    </row>
    <row r="135" spans="4:36">
      <c r="D135" s="10">
        <v>41091</v>
      </c>
      <c r="E135" s="11">
        <v>5.04669929709727E-2</v>
      </c>
      <c r="F135" s="11">
        <v>4.641</v>
      </c>
      <c r="G135" s="11">
        <v>0.17</v>
      </c>
      <c r="H135" s="11">
        <v>-0.2</v>
      </c>
      <c r="I135" s="11">
        <v>2.5000000000000001E-3</v>
      </c>
      <c r="J135" s="11">
        <v>0.17</v>
      </c>
      <c r="K135" s="11">
        <v>-7.0000000000000007E-2</v>
      </c>
      <c r="L135" s="11">
        <v>5.0000000000000001E-3</v>
      </c>
      <c r="M135" s="11">
        <v>0.17</v>
      </c>
      <c r="N135" s="11">
        <v>-0.32</v>
      </c>
      <c r="O135" s="11">
        <v>0</v>
      </c>
      <c r="P135" s="11">
        <v>0.17</v>
      </c>
      <c r="Q135" s="11">
        <v>0</v>
      </c>
      <c r="R135" s="11">
        <v>0</v>
      </c>
      <c r="S135" s="11">
        <v>0</v>
      </c>
      <c r="T135" s="11">
        <v>0</v>
      </c>
      <c r="U135" s="11">
        <v>-0.4</v>
      </c>
      <c r="V135" s="11">
        <v>0</v>
      </c>
      <c r="W135" s="11">
        <v>-0.63300000000000001</v>
      </c>
      <c r="X135" s="11">
        <v>1.588872326177E-3</v>
      </c>
      <c r="Y135" s="11">
        <v>-0.1</v>
      </c>
      <c r="Z135" s="11">
        <v>0.02</v>
      </c>
      <c r="AA135" s="11">
        <v>0.17299999999999999</v>
      </c>
      <c r="AB135" s="11">
        <v>0</v>
      </c>
      <c r="AC135" s="11">
        <v>0.03</v>
      </c>
      <c r="AD135" s="10">
        <v>0.43</v>
      </c>
      <c r="AE135" s="11">
        <v>0</v>
      </c>
      <c r="AF135" s="11">
        <v>0.17</v>
      </c>
      <c r="AG135" s="11">
        <v>0.44</v>
      </c>
      <c r="AH135" s="11">
        <v>0</v>
      </c>
      <c r="AI135" s="11">
        <v>0.24</v>
      </c>
      <c r="AJ135" s="11">
        <v>0</v>
      </c>
    </row>
    <row r="136" spans="4:36">
      <c r="D136" s="10">
        <v>41122</v>
      </c>
      <c r="E136" s="11">
        <v>5.0523050356894798E-2</v>
      </c>
      <c r="F136" s="11">
        <v>4.6790000000000003</v>
      </c>
      <c r="G136" s="11">
        <v>0.17</v>
      </c>
      <c r="H136" s="11">
        <v>-0.2</v>
      </c>
      <c r="I136" s="11">
        <v>2.5000000000000001E-3</v>
      </c>
      <c r="J136" s="11">
        <v>0.17</v>
      </c>
      <c r="K136" s="11">
        <v>-7.0000000000000007E-2</v>
      </c>
      <c r="L136" s="11">
        <v>5.0000000000000001E-3</v>
      </c>
      <c r="M136" s="11">
        <v>0.17</v>
      </c>
      <c r="N136" s="11">
        <v>-0.32</v>
      </c>
      <c r="O136" s="11">
        <v>0</v>
      </c>
      <c r="P136" s="11">
        <v>0.17</v>
      </c>
      <c r="Q136" s="11">
        <v>0</v>
      </c>
      <c r="R136" s="11">
        <v>0</v>
      </c>
      <c r="S136" s="11">
        <v>0</v>
      </c>
      <c r="T136" s="11">
        <v>0</v>
      </c>
      <c r="U136" s="11">
        <v>-0.4</v>
      </c>
      <c r="V136" s="11">
        <v>0</v>
      </c>
      <c r="W136" s="11">
        <v>-0.63300000000000001</v>
      </c>
      <c r="X136" s="11">
        <v>1.5881253065074001E-3</v>
      </c>
      <c r="Y136" s="11">
        <v>-0.1</v>
      </c>
      <c r="Z136" s="11">
        <v>0.02</v>
      </c>
      <c r="AA136" s="11">
        <v>0.17299999999999999</v>
      </c>
      <c r="AB136" s="11">
        <v>0</v>
      </c>
      <c r="AC136" s="11">
        <v>0.03</v>
      </c>
      <c r="AD136" s="10">
        <v>0.43</v>
      </c>
      <c r="AE136" s="11">
        <v>0</v>
      </c>
      <c r="AF136" s="11">
        <v>0.17</v>
      </c>
      <c r="AG136" s="11">
        <v>0.44</v>
      </c>
      <c r="AH136" s="11">
        <v>0</v>
      </c>
      <c r="AI136" s="11">
        <v>0.24</v>
      </c>
      <c r="AJ136" s="11">
        <v>0</v>
      </c>
    </row>
    <row r="137" spans="4:36">
      <c r="D137" s="10">
        <v>41153</v>
      </c>
      <c r="E137" s="11">
        <v>5.0579107743866203E-2</v>
      </c>
      <c r="F137" s="11">
        <v>4.673</v>
      </c>
      <c r="G137" s="11">
        <v>0.17</v>
      </c>
      <c r="H137" s="11">
        <v>-0.2</v>
      </c>
      <c r="I137" s="11">
        <v>2.5000000000000001E-3</v>
      </c>
      <c r="J137" s="11">
        <v>0.17</v>
      </c>
      <c r="K137" s="11">
        <v>-7.0000000000000007E-2</v>
      </c>
      <c r="L137" s="11">
        <v>5.0000000000000001E-3</v>
      </c>
      <c r="M137" s="11">
        <v>0.17</v>
      </c>
      <c r="N137" s="11">
        <v>-0.32</v>
      </c>
      <c r="O137" s="11">
        <v>0</v>
      </c>
      <c r="P137" s="11">
        <v>0.17</v>
      </c>
      <c r="Q137" s="11">
        <v>0</v>
      </c>
      <c r="R137" s="11">
        <v>0</v>
      </c>
      <c r="S137" s="11">
        <v>0</v>
      </c>
      <c r="T137" s="11">
        <v>0</v>
      </c>
      <c r="U137" s="11">
        <v>-0.4</v>
      </c>
      <c r="V137" s="11">
        <v>0</v>
      </c>
      <c r="W137" s="11">
        <v>-0.63300000000000001</v>
      </c>
      <c r="X137" s="11">
        <v>1.5873748712843E-3</v>
      </c>
      <c r="Y137" s="11">
        <v>-0.1</v>
      </c>
      <c r="Z137" s="11">
        <v>0.02</v>
      </c>
      <c r="AA137" s="11">
        <v>0.17299999999999999</v>
      </c>
      <c r="AB137" s="11">
        <v>0</v>
      </c>
      <c r="AC137" s="11">
        <v>0.03</v>
      </c>
      <c r="AD137" s="10">
        <v>0.43</v>
      </c>
      <c r="AE137" s="11">
        <v>0</v>
      </c>
      <c r="AF137" s="11">
        <v>0.17</v>
      </c>
      <c r="AG137" s="11">
        <v>0.44</v>
      </c>
      <c r="AH137" s="11">
        <v>0</v>
      </c>
      <c r="AI137" s="11">
        <v>0.24</v>
      </c>
      <c r="AJ137" s="11">
        <v>0</v>
      </c>
    </row>
    <row r="138" spans="4:36">
      <c r="D138" s="10">
        <v>41183</v>
      </c>
      <c r="E138" s="11">
        <v>5.0633356829030203E-2</v>
      </c>
      <c r="F138" s="11">
        <v>4.673</v>
      </c>
      <c r="G138" s="11">
        <v>0.17</v>
      </c>
      <c r="H138" s="11">
        <v>-0.2</v>
      </c>
      <c r="I138" s="11">
        <v>2.5000000000000001E-3</v>
      </c>
      <c r="J138" s="11">
        <v>0.17</v>
      </c>
      <c r="K138" s="11">
        <v>-7.0000000000000007E-2</v>
      </c>
      <c r="L138" s="11">
        <v>5.0000000000000001E-3</v>
      </c>
      <c r="M138" s="11">
        <v>0.17</v>
      </c>
      <c r="N138" s="11">
        <v>-0.32</v>
      </c>
      <c r="O138" s="11">
        <v>0</v>
      </c>
      <c r="P138" s="11">
        <v>0.17</v>
      </c>
      <c r="Q138" s="11">
        <v>0</v>
      </c>
      <c r="R138" s="11">
        <v>0</v>
      </c>
      <c r="S138" s="11">
        <v>0</v>
      </c>
      <c r="T138" s="11">
        <v>0</v>
      </c>
      <c r="U138" s="11">
        <v>-0.4</v>
      </c>
      <c r="V138" s="11">
        <v>0</v>
      </c>
      <c r="W138" s="11">
        <v>-0.63300000000000001</v>
      </c>
      <c r="X138" s="11">
        <v>1.5866453967888999E-3</v>
      </c>
      <c r="Y138" s="11">
        <v>-0.1</v>
      </c>
      <c r="Z138" s="11">
        <v>0.02</v>
      </c>
      <c r="AA138" s="11">
        <v>0.17299999999999999</v>
      </c>
      <c r="AB138" s="11">
        <v>0</v>
      </c>
      <c r="AC138" s="11">
        <v>0.03</v>
      </c>
      <c r="AD138" s="10">
        <v>0.43</v>
      </c>
      <c r="AE138" s="11">
        <v>0</v>
      </c>
      <c r="AF138" s="11">
        <v>0.17</v>
      </c>
      <c r="AG138" s="11">
        <v>0.44</v>
      </c>
      <c r="AH138" s="11">
        <v>0</v>
      </c>
      <c r="AI138" s="11">
        <v>0.24</v>
      </c>
      <c r="AJ138" s="11">
        <v>0</v>
      </c>
    </row>
    <row r="139" spans="4:36">
      <c r="D139" s="10">
        <v>41214</v>
      </c>
      <c r="E139" s="11">
        <v>5.0689414218065401E-2</v>
      </c>
      <c r="F139" s="11">
        <v>4.843</v>
      </c>
      <c r="G139" s="11">
        <v>0.17</v>
      </c>
      <c r="H139" s="11">
        <v>-0.13</v>
      </c>
      <c r="I139" s="11">
        <v>5.0000000000000001E-3</v>
      </c>
      <c r="J139" s="11">
        <v>0.17</v>
      </c>
      <c r="K139" s="11">
        <v>-7.0000000000000007E-2</v>
      </c>
      <c r="L139" s="11">
        <v>5.0000000000000001E-3</v>
      </c>
      <c r="M139" s="11">
        <v>0.17</v>
      </c>
      <c r="N139" s="11">
        <v>-0.24</v>
      </c>
      <c r="O139" s="11">
        <v>0</v>
      </c>
      <c r="P139" s="11">
        <v>0.17</v>
      </c>
      <c r="Q139" s="11">
        <v>0</v>
      </c>
      <c r="R139" s="11">
        <v>0</v>
      </c>
      <c r="S139" s="11">
        <v>0</v>
      </c>
      <c r="T139" s="11">
        <v>0</v>
      </c>
      <c r="U139" s="11">
        <v>-0.32</v>
      </c>
      <c r="V139" s="11">
        <v>0</v>
      </c>
      <c r="W139" s="11">
        <v>-0.57299999999999995</v>
      </c>
      <c r="X139" s="11">
        <v>5.0748424217077004E-3</v>
      </c>
      <c r="Y139" s="11">
        <v>0.248</v>
      </c>
      <c r="Z139" s="11">
        <v>0.06</v>
      </c>
      <c r="AA139" s="11">
        <v>0.17299999999999999</v>
      </c>
      <c r="AB139" s="11">
        <v>0</v>
      </c>
      <c r="AC139" s="11">
        <v>0.03</v>
      </c>
      <c r="AD139" s="10">
        <v>0.35</v>
      </c>
      <c r="AE139" s="11">
        <v>0</v>
      </c>
      <c r="AF139" s="11">
        <v>0.17</v>
      </c>
      <c r="AG139" s="11">
        <v>0.5</v>
      </c>
      <c r="AH139" s="11">
        <v>0</v>
      </c>
      <c r="AI139" s="11">
        <v>0.3</v>
      </c>
      <c r="AJ139" s="11">
        <v>0</v>
      </c>
    </row>
    <row r="140" spans="4:36">
      <c r="D140" s="10">
        <v>41244</v>
      </c>
      <c r="E140" s="11">
        <v>5.0743663305226998E-2</v>
      </c>
      <c r="F140" s="11">
        <v>4.9740000000000002</v>
      </c>
      <c r="G140" s="11">
        <v>0.17</v>
      </c>
      <c r="H140" s="11">
        <v>-0.13</v>
      </c>
      <c r="I140" s="11">
        <v>5.0000000000000001E-3</v>
      </c>
      <c r="J140" s="11">
        <v>0.17</v>
      </c>
      <c r="K140" s="11">
        <v>-7.0000000000000007E-2</v>
      </c>
      <c r="L140" s="11">
        <v>5.0000000000000001E-3</v>
      </c>
      <c r="M140" s="11">
        <v>0.17</v>
      </c>
      <c r="N140" s="11">
        <v>-0.24</v>
      </c>
      <c r="O140" s="11">
        <v>0</v>
      </c>
      <c r="P140" s="11">
        <v>0.17</v>
      </c>
      <c r="Q140" s="11">
        <v>0</v>
      </c>
      <c r="R140" s="11">
        <v>0</v>
      </c>
      <c r="S140" s="11">
        <v>0</v>
      </c>
      <c r="T140" s="11">
        <v>0</v>
      </c>
      <c r="U140" s="11">
        <v>-0.32</v>
      </c>
      <c r="V140" s="11">
        <v>0</v>
      </c>
      <c r="W140" s="11">
        <v>-0.57299999999999995</v>
      </c>
      <c r="X140" s="11">
        <v>5.0724873734229996E-3</v>
      </c>
      <c r="Y140" s="11">
        <v>0.308</v>
      </c>
      <c r="Z140" s="11">
        <v>0.06</v>
      </c>
      <c r="AA140" s="11">
        <v>0.17299999999999999</v>
      </c>
      <c r="AB140" s="11">
        <v>0</v>
      </c>
      <c r="AC140" s="11">
        <v>0.03</v>
      </c>
      <c r="AD140" s="10">
        <v>0.35</v>
      </c>
      <c r="AE140" s="11">
        <v>0</v>
      </c>
      <c r="AF140" s="11">
        <v>0.17</v>
      </c>
      <c r="AG140" s="11">
        <v>0.56999999999999995</v>
      </c>
      <c r="AH140" s="11">
        <v>0</v>
      </c>
      <c r="AI140" s="11">
        <v>0.37</v>
      </c>
      <c r="AJ140" s="11">
        <v>0</v>
      </c>
    </row>
    <row r="141" spans="4:36">
      <c r="D141" s="10">
        <v>41275</v>
      </c>
      <c r="E141" s="11">
        <v>5.0799720696326198E-2</v>
      </c>
      <c r="F141" s="11">
        <v>5.0465</v>
      </c>
      <c r="G141" s="11">
        <v>0.17</v>
      </c>
      <c r="H141" s="11">
        <v>-0.13</v>
      </c>
      <c r="I141" s="11">
        <v>5.0000000000000001E-3</v>
      </c>
      <c r="J141" s="11">
        <v>0.17</v>
      </c>
      <c r="K141" s="11">
        <v>-7.0000000000000007E-2</v>
      </c>
      <c r="L141" s="11">
        <v>5.0000000000000001E-3</v>
      </c>
      <c r="M141" s="11">
        <v>0.17</v>
      </c>
      <c r="N141" s="11">
        <v>-0.24</v>
      </c>
      <c r="O141" s="11">
        <v>0</v>
      </c>
      <c r="P141" s="11">
        <v>0.17</v>
      </c>
      <c r="Q141" s="11">
        <v>0</v>
      </c>
      <c r="R141" s="11">
        <v>0</v>
      </c>
      <c r="S141" s="11">
        <v>0</v>
      </c>
      <c r="T141" s="11">
        <v>0</v>
      </c>
      <c r="U141" s="11">
        <v>-0.32</v>
      </c>
      <c r="V141" s="11">
        <v>0</v>
      </c>
      <c r="W141" s="11">
        <v>-0.57299999999999995</v>
      </c>
      <c r="X141" s="11">
        <v>5.0700431390460002E-3</v>
      </c>
      <c r="Y141" s="11">
        <v>0.378</v>
      </c>
      <c r="Z141" s="11">
        <v>0.06</v>
      </c>
      <c r="AA141" s="11">
        <v>0.17299999999999999</v>
      </c>
      <c r="AB141" s="11">
        <v>0</v>
      </c>
      <c r="AC141" s="11">
        <v>0.03</v>
      </c>
      <c r="AD141" s="10">
        <v>0.35</v>
      </c>
      <c r="AE141" s="11">
        <v>0</v>
      </c>
      <c r="AF141" s="11">
        <v>0.17</v>
      </c>
      <c r="AG141" s="11">
        <v>0.56999999999999995</v>
      </c>
      <c r="AH141" s="11">
        <v>0</v>
      </c>
      <c r="AI141" s="11">
        <v>0.37</v>
      </c>
      <c r="AJ141" s="11">
        <v>0</v>
      </c>
    </row>
    <row r="142" spans="4:36">
      <c r="D142" s="10">
        <v>41306</v>
      </c>
      <c r="E142" s="11">
        <v>5.0855778088474003E-2</v>
      </c>
      <c r="F142" s="11">
        <v>4.9584999999999999</v>
      </c>
      <c r="G142" s="11">
        <v>0.17</v>
      </c>
      <c r="H142" s="11">
        <v>-0.13</v>
      </c>
      <c r="I142" s="11">
        <v>5.0000000000000001E-3</v>
      </c>
      <c r="J142" s="11">
        <v>0.17</v>
      </c>
      <c r="K142" s="11">
        <v>-7.0000000000000007E-2</v>
      </c>
      <c r="L142" s="11">
        <v>5.0000000000000001E-3</v>
      </c>
      <c r="M142" s="11">
        <v>0.17</v>
      </c>
      <c r="N142" s="11">
        <v>-0.24</v>
      </c>
      <c r="O142" s="11">
        <v>0</v>
      </c>
      <c r="P142" s="11">
        <v>0.17</v>
      </c>
      <c r="Q142" s="11">
        <v>0</v>
      </c>
      <c r="R142" s="11">
        <v>0</v>
      </c>
      <c r="S142" s="11">
        <v>0</v>
      </c>
      <c r="T142" s="11">
        <v>0</v>
      </c>
      <c r="U142" s="11">
        <v>-0.32</v>
      </c>
      <c r="V142" s="11">
        <v>0</v>
      </c>
      <c r="W142" s="11">
        <v>-0.57299999999999995</v>
      </c>
      <c r="X142" s="11">
        <v>5.0675880627757E-3</v>
      </c>
      <c r="Y142" s="11">
        <v>0.248</v>
      </c>
      <c r="Z142" s="11">
        <v>0.06</v>
      </c>
      <c r="AA142" s="11">
        <v>0.17299999999999999</v>
      </c>
      <c r="AB142" s="11">
        <v>0</v>
      </c>
      <c r="AC142" s="11">
        <v>0.03</v>
      </c>
      <c r="AD142" s="10">
        <v>0.35</v>
      </c>
      <c r="AE142" s="11">
        <v>0</v>
      </c>
      <c r="AF142" s="11">
        <v>0.17</v>
      </c>
      <c r="AG142" s="11">
        <v>0.56999999999999995</v>
      </c>
      <c r="AH142" s="11">
        <v>0</v>
      </c>
      <c r="AI142" s="11">
        <v>0.37</v>
      </c>
      <c r="AJ142" s="11">
        <v>0</v>
      </c>
    </row>
    <row r="143" spans="4:36">
      <c r="D143" s="10">
        <v>41334</v>
      </c>
      <c r="E143" s="11">
        <v>5.0906410572605601E-2</v>
      </c>
      <c r="F143" s="11">
        <v>4.8194999999999997</v>
      </c>
      <c r="G143" s="11">
        <v>0.17</v>
      </c>
      <c r="H143" s="11">
        <v>-0.13</v>
      </c>
      <c r="I143" s="11">
        <v>5.0000000000000001E-3</v>
      </c>
      <c r="J143" s="11">
        <v>0.17</v>
      </c>
      <c r="K143" s="11">
        <v>-7.0000000000000007E-2</v>
      </c>
      <c r="L143" s="11">
        <v>5.0000000000000001E-3</v>
      </c>
      <c r="M143" s="11">
        <v>0.17</v>
      </c>
      <c r="N143" s="11">
        <v>-0.24</v>
      </c>
      <c r="O143" s="11">
        <v>0</v>
      </c>
      <c r="P143" s="11">
        <v>0.17</v>
      </c>
      <c r="Q143" s="11">
        <v>0</v>
      </c>
      <c r="R143" s="11">
        <v>0</v>
      </c>
      <c r="S143" s="11">
        <v>0</v>
      </c>
      <c r="T143" s="11">
        <v>0</v>
      </c>
      <c r="U143" s="11">
        <v>-0.32</v>
      </c>
      <c r="V143" s="11">
        <v>0</v>
      </c>
      <c r="W143" s="11">
        <v>-0.57299999999999995</v>
      </c>
      <c r="X143" s="11">
        <v>5.0653612706673999E-3</v>
      </c>
      <c r="Y143" s="11">
        <v>6.8000000000000005E-2</v>
      </c>
      <c r="Z143" s="11">
        <v>0.06</v>
      </c>
      <c r="AA143" s="11">
        <v>0.17299999999999999</v>
      </c>
      <c r="AB143" s="11">
        <v>0</v>
      </c>
      <c r="AC143" s="11">
        <v>0.03</v>
      </c>
      <c r="AD143" s="10">
        <v>0.35</v>
      </c>
      <c r="AE143" s="11">
        <v>0</v>
      </c>
      <c r="AF143" s="11">
        <v>0.17</v>
      </c>
      <c r="AG143" s="11">
        <v>0.56999999999999995</v>
      </c>
      <c r="AH143" s="11">
        <v>0</v>
      </c>
      <c r="AI143" s="11">
        <v>0.37</v>
      </c>
      <c r="AJ143" s="11">
        <v>0</v>
      </c>
    </row>
    <row r="144" spans="4:36">
      <c r="D144" s="10">
        <v>41365</v>
      </c>
      <c r="E144" s="11">
        <v>5.0962467966749102E-2</v>
      </c>
      <c r="F144" s="11">
        <v>4.6654999999999998</v>
      </c>
      <c r="G144" s="11">
        <v>0.17</v>
      </c>
      <c r="H144" s="11">
        <v>-0.2</v>
      </c>
      <c r="I144" s="11">
        <v>2.5000000000000001E-3</v>
      </c>
      <c r="J144" s="11">
        <v>0.17</v>
      </c>
      <c r="K144" s="11">
        <v>-7.0000000000000007E-2</v>
      </c>
      <c r="L144" s="11">
        <v>5.0000000000000001E-3</v>
      </c>
      <c r="M144" s="11">
        <v>0.17</v>
      </c>
      <c r="N144" s="11">
        <v>-0.32</v>
      </c>
      <c r="O144" s="11">
        <v>0</v>
      </c>
      <c r="P144" s="11">
        <v>0.17</v>
      </c>
      <c r="Q144" s="11">
        <v>0</v>
      </c>
      <c r="R144" s="11">
        <v>0</v>
      </c>
      <c r="S144" s="11">
        <v>0</v>
      </c>
      <c r="T144" s="11">
        <v>0</v>
      </c>
      <c r="U144" s="11">
        <v>-0.4</v>
      </c>
      <c r="V144" s="11">
        <v>0</v>
      </c>
      <c r="W144" s="11">
        <v>-0.67300000000000004</v>
      </c>
      <c r="X144" s="11">
        <v>1.5821517530069001E-3</v>
      </c>
      <c r="Y144" s="11">
        <v>-0.25</v>
      </c>
      <c r="Z144" s="11">
        <v>0.02</v>
      </c>
      <c r="AA144" s="11">
        <v>0.17299999999999999</v>
      </c>
      <c r="AB144" s="11">
        <v>0</v>
      </c>
      <c r="AC144" s="11">
        <v>0.03</v>
      </c>
      <c r="AD144" s="10">
        <v>0.43</v>
      </c>
      <c r="AE144" s="11">
        <v>0</v>
      </c>
      <c r="AF144" s="11">
        <v>0.17</v>
      </c>
      <c r="AG144" s="11">
        <v>0.44</v>
      </c>
      <c r="AH144" s="11">
        <v>0</v>
      </c>
      <c r="AI144" s="11">
        <v>0.24</v>
      </c>
      <c r="AJ144" s="11">
        <v>0</v>
      </c>
    </row>
    <row r="145" spans="4:36">
      <c r="D145" s="10">
        <v>41395</v>
      </c>
      <c r="E145" s="11">
        <v>5.1016717058854702E-2</v>
      </c>
      <c r="F145" s="11">
        <v>4.6704999999999997</v>
      </c>
      <c r="G145" s="11">
        <v>0.17</v>
      </c>
      <c r="H145" s="11">
        <v>-0.2</v>
      </c>
      <c r="I145" s="11">
        <v>2.5000000000000001E-3</v>
      </c>
      <c r="J145" s="11">
        <v>0.17</v>
      </c>
      <c r="K145" s="11">
        <v>-7.0000000000000007E-2</v>
      </c>
      <c r="L145" s="11">
        <v>5.0000000000000001E-3</v>
      </c>
      <c r="M145" s="11">
        <v>0.17</v>
      </c>
      <c r="N145" s="11">
        <v>-0.32</v>
      </c>
      <c r="O145" s="11">
        <v>0</v>
      </c>
      <c r="P145" s="11">
        <v>0.17</v>
      </c>
      <c r="Q145" s="11">
        <v>0</v>
      </c>
      <c r="R145" s="11">
        <v>0</v>
      </c>
      <c r="S145" s="11">
        <v>0</v>
      </c>
      <c r="T145" s="11">
        <v>0</v>
      </c>
      <c r="U145" s="11">
        <v>-0.4</v>
      </c>
      <c r="V145" s="11">
        <v>0</v>
      </c>
      <c r="W145" s="11">
        <v>-0.67300000000000004</v>
      </c>
      <c r="X145" s="11">
        <v>1.5813998548252E-3</v>
      </c>
      <c r="Y145" s="11">
        <v>-0.1</v>
      </c>
      <c r="Z145" s="11">
        <v>0.02</v>
      </c>
      <c r="AA145" s="11">
        <v>0.17299999999999999</v>
      </c>
      <c r="AB145" s="11">
        <v>0</v>
      </c>
      <c r="AC145" s="11">
        <v>0.03</v>
      </c>
      <c r="AD145" s="10">
        <v>0.43</v>
      </c>
      <c r="AE145" s="11">
        <v>0</v>
      </c>
      <c r="AF145" s="11">
        <v>0.17</v>
      </c>
      <c r="AG145" s="11">
        <v>0.44</v>
      </c>
      <c r="AH145" s="11">
        <v>0</v>
      </c>
      <c r="AI145" s="11">
        <v>0.24</v>
      </c>
      <c r="AJ145" s="11">
        <v>0</v>
      </c>
    </row>
    <row r="146" spans="4:36">
      <c r="D146" s="10">
        <v>41426</v>
      </c>
      <c r="E146" s="11">
        <v>5.1072774455061899E-2</v>
      </c>
      <c r="F146" s="11">
        <v>4.7084999999999999</v>
      </c>
      <c r="G146" s="11">
        <v>0.17</v>
      </c>
      <c r="H146" s="11">
        <v>-0.2</v>
      </c>
      <c r="I146" s="11">
        <v>2.5000000000000001E-3</v>
      </c>
      <c r="J146" s="11">
        <v>0.17</v>
      </c>
      <c r="K146" s="11">
        <v>-7.0000000000000007E-2</v>
      </c>
      <c r="L146" s="11">
        <v>5.0000000000000001E-3</v>
      </c>
      <c r="M146" s="11">
        <v>0.17</v>
      </c>
      <c r="N146" s="11">
        <v>-0.32</v>
      </c>
      <c r="O146" s="11">
        <v>0</v>
      </c>
      <c r="P146" s="11">
        <v>0.17</v>
      </c>
      <c r="Q146" s="11">
        <v>0</v>
      </c>
      <c r="R146" s="11">
        <v>0</v>
      </c>
      <c r="S146" s="11">
        <v>0</v>
      </c>
      <c r="T146" s="11">
        <v>0</v>
      </c>
      <c r="U146" s="11">
        <v>-0.4</v>
      </c>
      <c r="V146" s="11">
        <v>0</v>
      </c>
      <c r="W146" s="11">
        <v>-0.67300000000000004</v>
      </c>
      <c r="X146" s="11">
        <v>1.5806195815273E-3</v>
      </c>
      <c r="Y146" s="11">
        <v>-0.1</v>
      </c>
      <c r="Z146" s="11">
        <v>0.02</v>
      </c>
      <c r="AA146" s="11">
        <v>0.17299999999999999</v>
      </c>
      <c r="AB146" s="11">
        <v>0</v>
      </c>
      <c r="AC146" s="11">
        <v>0.03</v>
      </c>
      <c r="AD146" s="10">
        <v>0.43</v>
      </c>
      <c r="AE146" s="11">
        <v>0</v>
      </c>
      <c r="AF146" s="11">
        <v>0.17</v>
      </c>
      <c r="AG146" s="11">
        <v>0.44</v>
      </c>
      <c r="AH146" s="11">
        <v>0</v>
      </c>
      <c r="AI146" s="11">
        <v>0.24</v>
      </c>
      <c r="AJ146" s="11">
        <v>0</v>
      </c>
    </row>
    <row r="147" spans="4:36">
      <c r="D147" s="10">
        <v>41456</v>
      </c>
      <c r="E147" s="11">
        <v>5.1127023549164499E-2</v>
      </c>
      <c r="F147" s="11">
        <v>4.7534999999999998</v>
      </c>
      <c r="G147" s="11">
        <v>0.17</v>
      </c>
      <c r="H147" s="11">
        <v>-0.2</v>
      </c>
      <c r="I147" s="11">
        <v>2.5000000000000001E-3</v>
      </c>
      <c r="J147" s="11">
        <v>0.17</v>
      </c>
      <c r="K147" s="11">
        <v>-7.0000000000000007E-2</v>
      </c>
      <c r="L147" s="11">
        <v>5.0000000000000001E-3</v>
      </c>
      <c r="M147" s="11">
        <v>0.17</v>
      </c>
      <c r="N147" s="11">
        <v>-0.32</v>
      </c>
      <c r="O147" s="11">
        <v>0</v>
      </c>
      <c r="P147" s="11">
        <v>0.17</v>
      </c>
      <c r="Q147" s="11">
        <v>0</v>
      </c>
      <c r="R147" s="11">
        <v>0</v>
      </c>
      <c r="S147" s="11">
        <v>0</v>
      </c>
      <c r="T147" s="11">
        <v>0</v>
      </c>
      <c r="U147" s="11">
        <v>-0.4</v>
      </c>
      <c r="V147" s="11">
        <v>0</v>
      </c>
      <c r="W147" s="11">
        <v>-0.67300000000000004</v>
      </c>
      <c r="X147" s="11">
        <v>1.5798612786423001E-3</v>
      </c>
      <c r="Y147" s="11">
        <v>-0.1</v>
      </c>
      <c r="Z147" s="11">
        <v>0.02</v>
      </c>
      <c r="AA147" s="11">
        <v>0.17299999999999999</v>
      </c>
      <c r="AB147" s="11">
        <v>0</v>
      </c>
      <c r="AC147" s="11">
        <v>0.03</v>
      </c>
      <c r="AD147" s="10">
        <v>0.43</v>
      </c>
      <c r="AE147" s="11">
        <v>0</v>
      </c>
      <c r="AF147" s="11">
        <v>0.17</v>
      </c>
      <c r="AG147" s="11">
        <v>0.44</v>
      </c>
      <c r="AH147" s="11">
        <v>0</v>
      </c>
      <c r="AI147" s="11">
        <v>0.24</v>
      </c>
      <c r="AJ147" s="11">
        <v>0</v>
      </c>
    </row>
    <row r="148" spans="4:36">
      <c r="D148" s="10">
        <v>41487</v>
      </c>
      <c r="E148" s="11">
        <v>5.1183080947434997E-2</v>
      </c>
      <c r="F148" s="11">
        <v>4.7915000000000001</v>
      </c>
      <c r="G148" s="11">
        <v>0.17</v>
      </c>
      <c r="H148" s="11">
        <v>-0.2</v>
      </c>
      <c r="I148" s="11">
        <v>2.5000000000000001E-3</v>
      </c>
      <c r="J148" s="11">
        <v>0.17</v>
      </c>
      <c r="K148" s="11">
        <v>-7.0000000000000007E-2</v>
      </c>
      <c r="L148" s="11">
        <v>5.0000000000000001E-3</v>
      </c>
      <c r="M148" s="11">
        <v>0.17</v>
      </c>
      <c r="N148" s="11">
        <v>-0.32</v>
      </c>
      <c r="O148" s="11">
        <v>0</v>
      </c>
      <c r="P148" s="11">
        <v>0.17</v>
      </c>
      <c r="Q148" s="11">
        <v>0</v>
      </c>
      <c r="R148" s="11">
        <v>0</v>
      </c>
      <c r="S148" s="11">
        <v>0</v>
      </c>
      <c r="T148" s="11">
        <v>0</v>
      </c>
      <c r="U148" s="11">
        <v>-0.4</v>
      </c>
      <c r="V148" s="11">
        <v>0</v>
      </c>
      <c r="W148" s="11">
        <v>-0.67300000000000004</v>
      </c>
      <c r="X148" s="11">
        <v>1.5790743982181E-3</v>
      </c>
      <c r="Y148" s="11">
        <v>-0.1</v>
      </c>
      <c r="Z148" s="11">
        <v>0.02</v>
      </c>
      <c r="AA148" s="11">
        <v>0.17299999999999999</v>
      </c>
      <c r="AB148" s="11">
        <v>0</v>
      </c>
      <c r="AC148" s="11">
        <v>0.03</v>
      </c>
      <c r="AD148" s="10">
        <v>0.43</v>
      </c>
      <c r="AE148" s="11">
        <v>0</v>
      </c>
      <c r="AF148" s="11">
        <v>0.17</v>
      </c>
      <c r="AG148" s="11">
        <v>0.44</v>
      </c>
      <c r="AH148" s="11">
        <v>0</v>
      </c>
      <c r="AI148" s="11">
        <v>0.24</v>
      </c>
      <c r="AJ148" s="11">
        <v>0</v>
      </c>
    </row>
    <row r="149" spans="4:36">
      <c r="D149" s="10">
        <v>41518</v>
      </c>
      <c r="E149" s="11">
        <v>5.1239138346754802E-2</v>
      </c>
      <c r="F149" s="11">
        <v>4.7854999999999999</v>
      </c>
      <c r="G149" s="11">
        <v>0.17</v>
      </c>
      <c r="H149" s="11">
        <v>-0.2</v>
      </c>
      <c r="I149" s="11">
        <v>2.5000000000000001E-3</v>
      </c>
      <c r="J149" s="11">
        <v>0.17</v>
      </c>
      <c r="K149" s="11">
        <v>-7.0000000000000007E-2</v>
      </c>
      <c r="L149" s="11">
        <v>5.0000000000000001E-3</v>
      </c>
      <c r="M149" s="11">
        <v>0.17</v>
      </c>
      <c r="N149" s="11">
        <v>-0.32</v>
      </c>
      <c r="O149" s="11">
        <v>0</v>
      </c>
      <c r="P149" s="11">
        <v>0.17</v>
      </c>
      <c r="Q149" s="11">
        <v>0</v>
      </c>
      <c r="R149" s="11">
        <v>0</v>
      </c>
      <c r="S149" s="11">
        <v>0</v>
      </c>
      <c r="T149" s="11">
        <v>0</v>
      </c>
      <c r="U149" s="11">
        <v>-0.4</v>
      </c>
      <c r="V149" s="11">
        <v>0</v>
      </c>
      <c r="W149" s="11">
        <v>-0.67300000000000004</v>
      </c>
      <c r="X149" s="11">
        <v>1.5782841685915E-3</v>
      </c>
      <c r="Y149" s="11">
        <v>-0.1</v>
      </c>
      <c r="Z149" s="11">
        <v>0.02</v>
      </c>
      <c r="AA149" s="11">
        <v>0.17299999999999999</v>
      </c>
      <c r="AB149" s="11">
        <v>0</v>
      </c>
      <c r="AC149" s="11">
        <v>0.03</v>
      </c>
      <c r="AD149" s="10">
        <v>0.43</v>
      </c>
      <c r="AE149" s="11">
        <v>0</v>
      </c>
      <c r="AF149" s="11">
        <v>0.17</v>
      </c>
      <c r="AG149" s="11">
        <v>0.44</v>
      </c>
      <c r="AH149" s="11">
        <v>0</v>
      </c>
      <c r="AI149" s="11">
        <v>0.24</v>
      </c>
      <c r="AJ149" s="11">
        <v>0</v>
      </c>
    </row>
    <row r="150" spans="4:36">
      <c r="D150" s="10">
        <v>41548</v>
      </c>
      <c r="E150" s="11">
        <v>5.1293387443868403E-2</v>
      </c>
      <c r="F150" s="11">
        <v>4.7854999999999999</v>
      </c>
      <c r="G150" s="11">
        <v>0.17</v>
      </c>
      <c r="H150" s="11">
        <v>-0.2</v>
      </c>
      <c r="I150" s="11">
        <v>2.5000000000000001E-3</v>
      </c>
      <c r="J150" s="11">
        <v>0.17</v>
      </c>
      <c r="K150" s="11">
        <v>-7.0000000000000007E-2</v>
      </c>
      <c r="L150" s="11">
        <v>5.0000000000000001E-3</v>
      </c>
      <c r="M150" s="11">
        <v>0.17</v>
      </c>
      <c r="N150" s="11">
        <v>-0.32</v>
      </c>
      <c r="O150" s="11">
        <v>0</v>
      </c>
      <c r="P150" s="11">
        <v>0.17</v>
      </c>
      <c r="Q150" s="11">
        <v>0</v>
      </c>
      <c r="R150" s="11">
        <v>0</v>
      </c>
      <c r="S150" s="11">
        <v>0</v>
      </c>
      <c r="T150" s="11">
        <v>0</v>
      </c>
      <c r="U150" s="11">
        <v>-0.4</v>
      </c>
      <c r="V150" s="11">
        <v>0</v>
      </c>
      <c r="W150" s="11">
        <v>-0.67300000000000004</v>
      </c>
      <c r="X150" s="11">
        <v>1.5775162467882001E-3</v>
      </c>
      <c r="Y150" s="11">
        <v>-0.1</v>
      </c>
      <c r="Z150" s="11">
        <v>0.02</v>
      </c>
      <c r="AA150" s="11">
        <v>0.17299999999999999</v>
      </c>
      <c r="AB150" s="11">
        <v>0</v>
      </c>
      <c r="AC150" s="11">
        <v>0.03</v>
      </c>
      <c r="AD150" s="10">
        <v>0.43</v>
      </c>
      <c r="AE150" s="11">
        <v>0</v>
      </c>
      <c r="AF150" s="11">
        <v>0.17</v>
      </c>
      <c r="AG150" s="11">
        <v>0.44</v>
      </c>
      <c r="AH150" s="11">
        <v>0</v>
      </c>
      <c r="AI150" s="11">
        <v>0.24</v>
      </c>
      <c r="AJ150" s="11">
        <v>0</v>
      </c>
    </row>
    <row r="151" spans="4:36">
      <c r="D151" s="10">
        <v>41579</v>
      </c>
      <c r="E151" s="11">
        <v>5.1349444845251398E-2</v>
      </c>
      <c r="F151" s="11">
        <v>4.9554999999999998</v>
      </c>
      <c r="G151" s="11">
        <v>0.17</v>
      </c>
      <c r="H151" s="11">
        <v>-0.13</v>
      </c>
      <c r="I151" s="11">
        <v>5.0000000000000001E-3</v>
      </c>
      <c r="J151" s="11">
        <v>0.17</v>
      </c>
      <c r="K151" s="11">
        <v>-7.0000000000000007E-2</v>
      </c>
      <c r="L151" s="11">
        <v>5.0000000000000001E-3</v>
      </c>
      <c r="M151" s="11">
        <v>0.17</v>
      </c>
      <c r="N151" s="11">
        <v>-0.24</v>
      </c>
      <c r="O151" s="11">
        <v>0</v>
      </c>
      <c r="P151" s="11">
        <v>0.17</v>
      </c>
      <c r="Q151" s="11">
        <v>0</v>
      </c>
      <c r="R151" s="11">
        <v>0</v>
      </c>
      <c r="S151" s="11">
        <v>0</v>
      </c>
      <c r="T151" s="11">
        <v>0</v>
      </c>
      <c r="U151" s="11">
        <v>-0.32</v>
      </c>
      <c r="V151" s="11">
        <v>0</v>
      </c>
      <c r="W151" s="11">
        <v>-0.61299999999999999</v>
      </c>
      <c r="X151" s="11">
        <v>5.0455022196921996E-3</v>
      </c>
      <c r="Y151" s="11">
        <v>0.248</v>
      </c>
      <c r="Z151" s="11">
        <v>0.06</v>
      </c>
      <c r="AA151" s="11">
        <v>0.17299999999999999</v>
      </c>
      <c r="AB151" s="11">
        <v>0</v>
      </c>
      <c r="AC151" s="11">
        <v>0.03</v>
      </c>
      <c r="AD151" s="10">
        <v>0.35</v>
      </c>
      <c r="AE151" s="11">
        <v>0</v>
      </c>
      <c r="AF151" s="11">
        <v>0.17</v>
      </c>
      <c r="AG151" s="11">
        <v>0.5</v>
      </c>
      <c r="AH151" s="11">
        <v>0</v>
      </c>
      <c r="AI151" s="11">
        <v>0.3</v>
      </c>
      <c r="AJ151" s="11">
        <v>0</v>
      </c>
    </row>
    <row r="152" spans="4:36">
      <c r="D152" s="10">
        <v>41609</v>
      </c>
      <c r="E152" s="11">
        <v>5.1403693944362103E-2</v>
      </c>
      <c r="F152" s="11">
        <v>5.0865</v>
      </c>
      <c r="G152" s="11">
        <v>0.17</v>
      </c>
      <c r="H152" s="11">
        <v>-0.13</v>
      </c>
      <c r="I152" s="11">
        <v>5.0000000000000001E-3</v>
      </c>
      <c r="J152" s="11">
        <v>0.17</v>
      </c>
      <c r="K152" s="11">
        <v>-7.0000000000000007E-2</v>
      </c>
      <c r="L152" s="11">
        <v>5.0000000000000001E-3</v>
      </c>
      <c r="M152" s="11">
        <v>0.17</v>
      </c>
      <c r="N152" s="11">
        <v>-0.24</v>
      </c>
      <c r="O152" s="11">
        <v>0</v>
      </c>
      <c r="P152" s="11">
        <v>0.17</v>
      </c>
      <c r="Q152" s="11">
        <v>0</v>
      </c>
      <c r="R152" s="11">
        <v>0</v>
      </c>
      <c r="S152" s="11">
        <v>0</v>
      </c>
      <c r="T152" s="11">
        <v>0</v>
      </c>
      <c r="U152" s="11">
        <v>-0.32</v>
      </c>
      <c r="V152" s="11">
        <v>0</v>
      </c>
      <c r="W152" s="11">
        <v>-0.61299999999999999</v>
      </c>
      <c r="X152" s="11">
        <v>5.0430245480069004E-3</v>
      </c>
      <c r="Y152" s="11">
        <v>0.308</v>
      </c>
      <c r="Z152" s="11">
        <v>0.06</v>
      </c>
      <c r="AA152" s="11">
        <v>0.17299999999999999</v>
      </c>
      <c r="AB152" s="11">
        <v>0</v>
      </c>
      <c r="AC152" s="11">
        <v>0.03</v>
      </c>
      <c r="AD152" s="10">
        <v>0.35</v>
      </c>
      <c r="AE152" s="11">
        <v>0</v>
      </c>
      <c r="AF152" s="11">
        <v>0.17</v>
      </c>
      <c r="AG152" s="11">
        <v>0.56999999999999995</v>
      </c>
      <c r="AH152" s="11">
        <v>0</v>
      </c>
      <c r="AI152" s="11">
        <v>0.37</v>
      </c>
      <c r="AJ152" s="11">
        <v>0</v>
      </c>
    </row>
    <row r="153" spans="4:36">
      <c r="D153" s="10">
        <v>41640</v>
      </c>
      <c r="E153" s="11">
        <v>5.1459751347807899E-2</v>
      </c>
      <c r="F153" s="11">
        <v>5.1589999999999998</v>
      </c>
      <c r="G153" s="11">
        <v>0.17</v>
      </c>
      <c r="H153" s="11">
        <v>-0.13</v>
      </c>
      <c r="I153" s="11">
        <v>5.0000000000000001E-3</v>
      </c>
      <c r="J153" s="11">
        <v>0.17</v>
      </c>
      <c r="K153" s="11">
        <v>-7.0000000000000007E-2</v>
      </c>
      <c r="L153" s="11">
        <v>5.0000000000000001E-3</v>
      </c>
      <c r="M153" s="11">
        <v>0.17</v>
      </c>
      <c r="N153" s="11">
        <v>-0.24</v>
      </c>
      <c r="O153" s="11">
        <v>0</v>
      </c>
      <c r="P153" s="11">
        <v>0.17</v>
      </c>
      <c r="Q153" s="11">
        <v>0</v>
      </c>
      <c r="R153" s="11">
        <v>0</v>
      </c>
      <c r="S153" s="11">
        <v>0</v>
      </c>
      <c r="T153" s="11">
        <v>0</v>
      </c>
      <c r="U153" s="11">
        <v>-0.32</v>
      </c>
      <c r="V153" s="11">
        <v>0</v>
      </c>
      <c r="W153" s="11">
        <v>-0.61299999999999999</v>
      </c>
      <c r="X153" s="11">
        <v>5.0404538147019997E-3</v>
      </c>
      <c r="Y153" s="11">
        <v>0.378</v>
      </c>
      <c r="Z153" s="11">
        <v>0.06</v>
      </c>
      <c r="AA153" s="11">
        <v>0.17299999999999999</v>
      </c>
      <c r="AB153" s="11">
        <v>0</v>
      </c>
      <c r="AC153" s="11">
        <v>0.03</v>
      </c>
      <c r="AD153" s="10">
        <v>0.35</v>
      </c>
      <c r="AE153" s="11">
        <v>0</v>
      </c>
      <c r="AF153" s="11">
        <v>0.17</v>
      </c>
      <c r="AG153" s="11">
        <v>0.56999999999999995</v>
      </c>
      <c r="AH153" s="11">
        <v>0</v>
      </c>
      <c r="AI153" s="11">
        <v>0.37</v>
      </c>
      <c r="AJ153" s="11">
        <v>0</v>
      </c>
    </row>
    <row r="154" spans="4:36">
      <c r="D154" s="10">
        <v>41671</v>
      </c>
      <c r="E154" s="11">
        <v>5.1515808752302203E-2</v>
      </c>
      <c r="F154" s="11">
        <v>5.0709999999999997</v>
      </c>
      <c r="G154" s="11">
        <v>0.17</v>
      </c>
      <c r="H154" s="11">
        <v>-0.13</v>
      </c>
      <c r="I154" s="11">
        <v>5.0000000000000001E-3</v>
      </c>
      <c r="J154" s="11">
        <v>0.17</v>
      </c>
      <c r="K154" s="11">
        <v>-7.0000000000000007E-2</v>
      </c>
      <c r="L154" s="11">
        <v>5.0000000000000001E-3</v>
      </c>
      <c r="M154" s="11">
        <v>0.17</v>
      </c>
      <c r="N154" s="11">
        <v>-0.24</v>
      </c>
      <c r="O154" s="11">
        <v>0</v>
      </c>
      <c r="P154" s="11">
        <v>0.17</v>
      </c>
      <c r="Q154" s="11">
        <v>0</v>
      </c>
      <c r="R154" s="11">
        <v>0</v>
      </c>
      <c r="S154" s="11">
        <v>0</v>
      </c>
      <c r="T154" s="11">
        <v>0</v>
      </c>
      <c r="U154" s="11">
        <v>-0.32</v>
      </c>
      <c r="V154" s="11">
        <v>0</v>
      </c>
      <c r="W154" s="11">
        <v>-0.61299999999999999</v>
      </c>
      <c r="X154" s="11">
        <v>5.0378724556603997E-3</v>
      </c>
      <c r="Y154" s="11">
        <v>0.248</v>
      </c>
      <c r="Z154" s="11">
        <v>0.06</v>
      </c>
      <c r="AA154" s="11">
        <v>0.17299999999999999</v>
      </c>
      <c r="AB154" s="11">
        <v>0</v>
      </c>
      <c r="AC154" s="11">
        <v>0.03</v>
      </c>
      <c r="AD154" s="10">
        <v>0.35</v>
      </c>
      <c r="AE154" s="11">
        <v>0</v>
      </c>
      <c r="AF154" s="11">
        <v>0.17</v>
      </c>
      <c r="AG154" s="11">
        <v>0.56999999999999995</v>
      </c>
      <c r="AH154" s="11">
        <v>0</v>
      </c>
      <c r="AI154" s="11">
        <v>0.37</v>
      </c>
      <c r="AJ154" s="11">
        <v>0</v>
      </c>
    </row>
    <row r="155" spans="4:36">
      <c r="D155" s="10">
        <v>41699</v>
      </c>
      <c r="E155" s="11">
        <v>5.1566441247585401E-2</v>
      </c>
      <c r="F155" s="11">
        <v>4.9320000000000004</v>
      </c>
      <c r="G155" s="11">
        <v>0.17</v>
      </c>
      <c r="H155" s="11">
        <v>-0.13</v>
      </c>
      <c r="I155" s="11">
        <v>5.0000000000000001E-3</v>
      </c>
      <c r="J155" s="11">
        <v>0.17</v>
      </c>
      <c r="K155" s="11">
        <v>-7.0000000000000007E-2</v>
      </c>
      <c r="L155" s="11">
        <v>5.0000000000000001E-3</v>
      </c>
      <c r="M155" s="11">
        <v>0.17</v>
      </c>
      <c r="N155" s="11">
        <v>-0.24</v>
      </c>
      <c r="O155" s="11">
        <v>0</v>
      </c>
      <c r="P155" s="11">
        <v>0.17</v>
      </c>
      <c r="Q155" s="11">
        <v>0</v>
      </c>
      <c r="R155" s="11">
        <v>0</v>
      </c>
      <c r="S155" s="11">
        <v>0</v>
      </c>
      <c r="T155" s="11">
        <v>0</v>
      </c>
      <c r="U155" s="11">
        <v>-0.32</v>
      </c>
      <c r="V155" s="11">
        <v>0</v>
      </c>
      <c r="W155" s="11">
        <v>-0.61299999999999999</v>
      </c>
      <c r="X155" s="11">
        <v>5.0355317881252996E-3</v>
      </c>
      <c r="Y155" s="11">
        <v>6.8000000000000005E-2</v>
      </c>
      <c r="Z155" s="11">
        <v>0.06</v>
      </c>
      <c r="AA155" s="11">
        <v>0.17299999999999999</v>
      </c>
      <c r="AB155" s="11">
        <v>0</v>
      </c>
      <c r="AC155" s="11">
        <v>0.03</v>
      </c>
      <c r="AD155" s="10">
        <v>0.35</v>
      </c>
      <c r="AE155" s="11">
        <v>0</v>
      </c>
      <c r="AF155" s="11">
        <v>0.17</v>
      </c>
      <c r="AG155" s="11">
        <v>0.56999999999999995</v>
      </c>
      <c r="AH155" s="11">
        <v>0</v>
      </c>
      <c r="AI155" s="11">
        <v>0.37</v>
      </c>
      <c r="AJ155" s="11">
        <v>0</v>
      </c>
    </row>
    <row r="156" spans="4:36">
      <c r="D156" s="10">
        <v>41730</v>
      </c>
      <c r="E156" s="11">
        <v>5.1622498654074998E-2</v>
      </c>
      <c r="F156" s="11">
        <v>4.7779999999999996</v>
      </c>
      <c r="G156" s="11">
        <v>0.17</v>
      </c>
      <c r="H156" s="11">
        <v>-0.2</v>
      </c>
      <c r="I156" s="11">
        <v>2.5000000000000001E-3</v>
      </c>
      <c r="J156" s="11">
        <v>0.17</v>
      </c>
      <c r="K156" s="11">
        <v>-7.0000000000000007E-2</v>
      </c>
      <c r="L156" s="11">
        <v>5.0000000000000001E-3</v>
      </c>
      <c r="M156" s="11">
        <v>0.17</v>
      </c>
      <c r="N156" s="11">
        <v>-0.32</v>
      </c>
      <c r="O156" s="11">
        <v>0</v>
      </c>
      <c r="P156" s="11">
        <v>0.17</v>
      </c>
      <c r="Q156" s="11">
        <v>0</v>
      </c>
      <c r="R156" s="11">
        <v>0</v>
      </c>
      <c r="S156" s="11">
        <v>0</v>
      </c>
      <c r="T156" s="11">
        <v>0</v>
      </c>
      <c r="U156" s="11">
        <v>-0.4</v>
      </c>
      <c r="V156" s="11">
        <v>0</v>
      </c>
      <c r="W156" s="11">
        <v>-0.71299999999999997</v>
      </c>
      <c r="X156" s="11">
        <v>1.5727907055707001E-3</v>
      </c>
      <c r="Y156" s="11">
        <v>-0.25</v>
      </c>
      <c r="Z156" s="11">
        <v>0.02</v>
      </c>
      <c r="AA156" s="11">
        <v>0.17299999999999999</v>
      </c>
      <c r="AB156" s="11">
        <v>0</v>
      </c>
      <c r="AC156" s="11">
        <v>0.03</v>
      </c>
      <c r="AD156" s="10">
        <v>0.43</v>
      </c>
      <c r="AE156" s="11">
        <v>0</v>
      </c>
      <c r="AF156" s="11">
        <v>0.17</v>
      </c>
      <c r="AG156" s="11">
        <v>0.44</v>
      </c>
      <c r="AH156" s="11">
        <v>0</v>
      </c>
      <c r="AI156" s="11">
        <v>0.24</v>
      </c>
      <c r="AJ156" s="11">
        <v>0</v>
      </c>
    </row>
    <row r="157" spans="4:36">
      <c r="D157" s="10">
        <v>41760</v>
      </c>
      <c r="E157" s="11">
        <v>5.1676747758128402E-2</v>
      </c>
      <c r="F157" s="11">
        <v>4.7830000000000004</v>
      </c>
      <c r="G157" s="11">
        <v>0.17</v>
      </c>
      <c r="H157" s="11">
        <v>-0.2</v>
      </c>
      <c r="I157" s="11">
        <v>2.5000000000000001E-3</v>
      </c>
      <c r="J157" s="11">
        <v>0.17</v>
      </c>
      <c r="K157" s="11">
        <v>-7.0000000000000007E-2</v>
      </c>
      <c r="L157" s="11">
        <v>5.0000000000000001E-3</v>
      </c>
      <c r="M157" s="11">
        <v>0.17</v>
      </c>
      <c r="N157" s="11">
        <v>-0.32</v>
      </c>
      <c r="O157" s="11">
        <v>0</v>
      </c>
      <c r="P157" s="11">
        <v>0.17</v>
      </c>
      <c r="Q157" s="11">
        <v>0</v>
      </c>
      <c r="R157" s="11">
        <v>0</v>
      </c>
      <c r="S157" s="11">
        <v>0</v>
      </c>
      <c r="T157" s="11">
        <v>0</v>
      </c>
      <c r="U157" s="11">
        <v>-0.4</v>
      </c>
      <c r="V157" s="11">
        <v>0</v>
      </c>
      <c r="W157" s="11">
        <v>-0.71299999999999997</v>
      </c>
      <c r="X157" s="11">
        <v>1.5720008070659001E-3</v>
      </c>
      <c r="Y157" s="11">
        <v>-0.1</v>
      </c>
      <c r="Z157" s="11">
        <v>0.02</v>
      </c>
      <c r="AA157" s="11">
        <v>0.17299999999999999</v>
      </c>
      <c r="AB157" s="11">
        <v>0</v>
      </c>
      <c r="AC157" s="11">
        <v>0.03</v>
      </c>
      <c r="AD157" s="10">
        <v>0.43</v>
      </c>
      <c r="AE157" s="11">
        <v>0</v>
      </c>
      <c r="AF157" s="11">
        <v>0.17</v>
      </c>
      <c r="AG157" s="11">
        <v>0.44</v>
      </c>
      <c r="AH157" s="11">
        <v>0</v>
      </c>
      <c r="AI157" s="11">
        <v>0.24</v>
      </c>
      <c r="AJ157" s="11">
        <v>0</v>
      </c>
    </row>
    <row r="158" spans="4:36">
      <c r="D158" s="10">
        <v>41791</v>
      </c>
      <c r="E158" s="11">
        <v>5.1732805166680801E-2</v>
      </c>
      <c r="F158" s="11">
        <v>4.8209999999999997</v>
      </c>
      <c r="G158" s="11">
        <v>0.17</v>
      </c>
      <c r="H158" s="11">
        <v>-0.2</v>
      </c>
      <c r="I158" s="11">
        <v>2.5000000000000001E-3</v>
      </c>
      <c r="J158" s="11">
        <v>0.17</v>
      </c>
      <c r="K158" s="11">
        <v>-7.0000000000000007E-2</v>
      </c>
      <c r="L158" s="11">
        <v>5.0000000000000001E-3</v>
      </c>
      <c r="M158" s="11">
        <v>0.17</v>
      </c>
      <c r="N158" s="11">
        <v>-0.32</v>
      </c>
      <c r="O158" s="11">
        <v>0</v>
      </c>
      <c r="P158" s="11">
        <v>0.17</v>
      </c>
      <c r="Q158" s="11">
        <v>0</v>
      </c>
      <c r="R158" s="11">
        <v>0</v>
      </c>
      <c r="S158" s="11">
        <v>0</v>
      </c>
      <c r="T158" s="11">
        <v>0</v>
      </c>
      <c r="U158" s="11">
        <v>-0.4</v>
      </c>
      <c r="V158" s="11">
        <v>0</v>
      </c>
      <c r="W158" s="11">
        <v>-0.71299999999999997</v>
      </c>
      <c r="X158" s="11">
        <v>1.5711813341402999E-3</v>
      </c>
      <c r="Y158" s="11">
        <v>-0.1</v>
      </c>
      <c r="Z158" s="11">
        <v>0.02</v>
      </c>
      <c r="AA158" s="11">
        <v>0.17299999999999999</v>
      </c>
      <c r="AB158" s="11">
        <v>0</v>
      </c>
      <c r="AC158" s="11">
        <v>0.03</v>
      </c>
      <c r="AD158" s="10">
        <v>0.43</v>
      </c>
      <c r="AE158" s="11">
        <v>0</v>
      </c>
      <c r="AF158" s="11">
        <v>0.17</v>
      </c>
      <c r="AG158" s="11">
        <v>0.44</v>
      </c>
      <c r="AH158" s="11">
        <v>0</v>
      </c>
      <c r="AI158" s="11">
        <v>0.24</v>
      </c>
      <c r="AJ158" s="11">
        <v>0</v>
      </c>
    </row>
    <row r="159" spans="4:36">
      <c r="D159" s="10">
        <v>41821</v>
      </c>
      <c r="E159" s="11">
        <v>5.17870542727299E-2</v>
      </c>
      <c r="F159" s="11">
        <v>4.8659999999999997</v>
      </c>
      <c r="G159" s="11">
        <v>0.17</v>
      </c>
      <c r="H159" s="11">
        <v>-0.2</v>
      </c>
      <c r="I159" s="11">
        <v>2.5000000000000001E-3</v>
      </c>
      <c r="J159" s="11">
        <v>0.17</v>
      </c>
      <c r="K159" s="11">
        <v>-7.0000000000000007E-2</v>
      </c>
      <c r="L159" s="11">
        <v>5.0000000000000001E-3</v>
      </c>
      <c r="M159" s="11">
        <v>0.17</v>
      </c>
      <c r="N159" s="11">
        <v>-0.32</v>
      </c>
      <c r="O159" s="11">
        <v>0</v>
      </c>
      <c r="P159" s="11">
        <v>0.17</v>
      </c>
      <c r="Q159" s="11">
        <v>0</v>
      </c>
      <c r="R159" s="11">
        <v>0</v>
      </c>
      <c r="S159" s="11">
        <v>0</v>
      </c>
      <c r="T159" s="11">
        <v>0</v>
      </c>
      <c r="U159" s="11">
        <v>-0.4</v>
      </c>
      <c r="V159" s="11">
        <v>0</v>
      </c>
      <c r="W159" s="11">
        <v>-0.71299999999999997</v>
      </c>
      <c r="X159" s="11">
        <v>1.5703851615520999E-3</v>
      </c>
      <c r="Y159" s="11">
        <v>-0.1</v>
      </c>
      <c r="Z159" s="11">
        <v>0.02</v>
      </c>
      <c r="AA159" s="11">
        <v>0.17299999999999999</v>
      </c>
      <c r="AB159" s="11">
        <v>0</v>
      </c>
      <c r="AC159" s="11">
        <v>0.03</v>
      </c>
      <c r="AD159" s="10">
        <v>0.43</v>
      </c>
      <c r="AE159" s="11">
        <v>0</v>
      </c>
      <c r="AF159" s="11">
        <v>0.17</v>
      </c>
      <c r="AG159" s="11">
        <v>0.44</v>
      </c>
      <c r="AH159" s="11">
        <v>0</v>
      </c>
      <c r="AI159" s="11">
        <v>0.24</v>
      </c>
      <c r="AJ159" s="11">
        <v>0</v>
      </c>
    </row>
    <row r="160" spans="4:36">
      <c r="D160" s="10">
        <v>41852</v>
      </c>
      <c r="E160" s="11">
        <v>5.18431116833451E-2</v>
      </c>
      <c r="F160" s="11">
        <v>4.9039999999999999</v>
      </c>
      <c r="G160" s="11">
        <v>0.17</v>
      </c>
      <c r="H160" s="11">
        <v>-0.2</v>
      </c>
      <c r="I160" s="11">
        <v>2.5000000000000001E-3</v>
      </c>
      <c r="J160" s="11">
        <v>0.17</v>
      </c>
      <c r="K160" s="11">
        <v>-7.0000000000000007E-2</v>
      </c>
      <c r="L160" s="11">
        <v>5.0000000000000001E-3</v>
      </c>
      <c r="M160" s="11">
        <v>0.17</v>
      </c>
      <c r="N160" s="11">
        <v>-0.32</v>
      </c>
      <c r="O160" s="11">
        <v>0</v>
      </c>
      <c r="P160" s="11">
        <v>0.17</v>
      </c>
      <c r="Q160" s="11">
        <v>0</v>
      </c>
      <c r="R160" s="11">
        <v>0</v>
      </c>
      <c r="S160" s="11">
        <v>0</v>
      </c>
      <c r="T160" s="11">
        <v>0</v>
      </c>
      <c r="U160" s="11">
        <v>-0.4</v>
      </c>
      <c r="V160" s="11">
        <v>0</v>
      </c>
      <c r="W160" s="11">
        <v>-0.71299999999999997</v>
      </c>
      <c r="X160" s="11">
        <v>1.5695592169324001E-3</v>
      </c>
      <c r="Y160" s="11">
        <v>-0.1</v>
      </c>
      <c r="Z160" s="11">
        <v>0.02</v>
      </c>
      <c r="AA160" s="11">
        <v>0.17299999999999999</v>
      </c>
      <c r="AB160" s="11">
        <v>0</v>
      </c>
      <c r="AC160" s="11">
        <v>0.03</v>
      </c>
      <c r="AD160" s="10">
        <v>0.43</v>
      </c>
      <c r="AE160" s="11">
        <v>0</v>
      </c>
      <c r="AF160" s="11">
        <v>0.17</v>
      </c>
      <c r="AG160" s="11">
        <v>0.44</v>
      </c>
      <c r="AH160" s="11">
        <v>0</v>
      </c>
      <c r="AI160" s="11">
        <v>0.24</v>
      </c>
      <c r="AJ160" s="11">
        <v>0</v>
      </c>
    </row>
    <row r="161" spans="4:36">
      <c r="D161" s="10">
        <v>41883</v>
      </c>
      <c r="E161" s="11">
        <v>5.1899169095009197E-2</v>
      </c>
      <c r="F161" s="11">
        <v>4.8979999999999997</v>
      </c>
      <c r="G161" s="11">
        <v>0.17</v>
      </c>
      <c r="H161" s="11">
        <v>-0.2</v>
      </c>
      <c r="I161" s="11">
        <v>2.5000000000000001E-3</v>
      </c>
      <c r="J161" s="11">
        <v>0.17</v>
      </c>
      <c r="K161" s="11">
        <v>-7.0000000000000007E-2</v>
      </c>
      <c r="L161" s="11">
        <v>5.0000000000000001E-3</v>
      </c>
      <c r="M161" s="11">
        <v>0.17</v>
      </c>
      <c r="N161" s="11">
        <v>-0.32</v>
      </c>
      <c r="O161" s="11">
        <v>0</v>
      </c>
      <c r="P161" s="11">
        <v>0.17</v>
      </c>
      <c r="Q161" s="11">
        <v>0</v>
      </c>
      <c r="R161" s="11">
        <v>0</v>
      </c>
      <c r="S161" s="11">
        <v>0</v>
      </c>
      <c r="T161" s="11">
        <v>0</v>
      </c>
      <c r="U161" s="11">
        <v>-0.4</v>
      </c>
      <c r="V161" s="11">
        <v>0</v>
      </c>
      <c r="W161" s="11">
        <v>-0.71299999999999997</v>
      </c>
      <c r="X161" s="11">
        <v>1.5687299922865E-3</v>
      </c>
      <c r="Y161" s="11">
        <v>-0.1</v>
      </c>
      <c r="Z161" s="11">
        <v>0.02</v>
      </c>
      <c r="AA161" s="11">
        <v>0.17299999999999999</v>
      </c>
      <c r="AB161" s="11">
        <v>0</v>
      </c>
      <c r="AC161" s="11">
        <v>0.03</v>
      </c>
      <c r="AD161" s="10">
        <v>0.43</v>
      </c>
      <c r="AE161" s="11">
        <v>0</v>
      </c>
      <c r="AF161" s="11">
        <v>0.17</v>
      </c>
      <c r="AG161" s="11">
        <v>0.44</v>
      </c>
      <c r="AH161" s="11">
        <v>0</v>
      </c>
      <c r="AI161" s="11">
        <v>0.24</v>
      </c>
      <c r="AJ161" s="11">
        <v>0</v>
      </c>
    </row>
    <row r="162" spans="4:36">
      <c r="D162" s="10">
        <v>41913</v>
      </c>
      <c r="E162" s="11">
        <v>5.1953418204068798E-2</v>
      </c>
      <c r="F162" s="11">
        <v>4.8979999999999997</v>
      </c>
      <c r="G162" s="11">
        <v>0.17</v>
      </c>
      <c r="H162" s="11">
        <v>-0.2</v>
      </c>
      <c r="I162" s="11">
        <v>2.5000000000000001E-3</v>
      </c>
      <c r="J162" s="11">
        <v>0.17</v>
      </c>
      <c r="K162" s="11">
        <v>-7.0000000000000007E-2</v>
      </c>
      <c r="L162" s="11">
        <v>5.0000000000000001E-3</v>
      </c>
      <c r="M162" s="11">
        <v>0.17</v>
      </c>
      <c r="N162" s="11">
        <v>-0.32</v>
      </c>
      <c r="O162" s="11">
        <v>0</v>
      </c>
      <c r="P162" s="11">
        <v>0.17</v>
      </c>
      <c r="Q162" s="11">
        <v>0</v>
      </c>
      <c r="R162" s="11">
        <v>0</v>
      </c>
      <c r="S162" s="11">
        <v>0</v>
      </c>
      <c r="T162" s="11">
        <v>0</v>
      </c>
      <c r="U162" s="11">
        <v>-0.4</v>
      </c>
      <c r="V162" s="11">
        <v>0</v>
      </c>
      <c r="W162" s="11">
        <v>-0.71299999999999997</v>
      </c>
      <c r="X162" s="11">
        <v>1.5679243994537E-3</v>
      </c>
      <c r="Y162" s="11">
        <v>-0.1</v>
      </c>
      <c r="Z162" s="11">
        <v>0.02</v>
      </c>
      <c r="AA162" s="11">
        <v>0.17299999999999999</v>
      </c>
      <c r="AB162" s="11">
        <v>0</v>
      </c>
      <c r="AC162" s="11">
        <v>0.03</v>
      </c>
      <c r="AD162" s="10">
        <v>0.43</v>
      </c>
      <c r="AE162" s="11">
        <v>0</v>
      </c>
      <c r="AF162" s="11">
        <v>0.17</v>
      </c>
      <c r="AG162" s="11">
        <v>0.44</v>
      </c>
      <c r="AH162" s="11">
        <v>0</v>
      </c>
      <c r="AI162" s="11">
        <v>0.24</v>
      </c>
      <c r="AJ162" s="11">
        <v>0</v>
      </c>
    </row>
    <row r="163" spans="4:36">
      <c r="D163" s="10">
        <v>41944</v>
      </c>
      <c r="E163" s="11">
        <v>5.20094756177953E-2</v>
      </c>
      <c r="F163" s="11">
        <v>5.0679999999999996</v>
      </c>
      <c r="G163" s="11">
        <v>0.17</v>
      </c>
      <c r="H163" s="11">
        <v>-0.13</v>
      </c>
      <c r="I163" s="11">
        <v>5.0000000000000001E-3</v>
      </c>
      <c r="J163" s="11">
        <v>0.17</v>
      </c>
      <c r="K163" s="11">
        <v>-7.0000000000000007E-2</v>
      </c>
      <c r="L163" s="11">
        <v>5.0000000000000001E-3</v>
      </c>
      <c r="M163" s="11">
        <v>0.17</v>
      </c>
      <c r="N163" s="11">
        <v>-0.24</v>
      </c>
      <c r="O163" s="11">
        <v>0</v>
      </c>
      <c r="P163" s="11">
        <v>0.17</v>
      </c>
      <c r="Q163" s="11">
        <v>0</v>
      </c>
      <c r="R163" s="11">
        <v>0</v>
      </c>
      <c r="S163" s="11">
        <v>0</v>
      </c>
      <c r="T163" s="11">
        <v>0</v>
      </c>
      <c r="U163" s="11">
        <v>-0.32</v>
      </c>
      <c r="V163" s="11">
        <v>0</v>
      </c>
      <c r="W163" s="11">
        <v>-0.67300000000000004</v>
      </c>
      <c r="X163" s="11">
        <v>5.0146839619371998E-3</v>
      </c>
      <c r="Y163" s="11">
        <v>0.248</v>
      </c>
      <c r="Z163" s="11">
        <v>0.06</v>
      </c>
      <c r="AA163" s="11">
        <v>0.17299999999999999</v>
      </c>
      <c r="AB163" s="11">
        <v>0</v>
      </c>
      <c r="AC163" s="11">
        <v>0.03</v>
      </c>
      <c r="AD163" s="10">
        <v>0.35</v>
      </c>
      <c r="AE163" s="11">
        <v>0</v>
      </c>
      <c r="AF163" s="11">
        <v>0.17</v>
      </c>
      <c r="AG163" s="11">
        <v>0.5</v>
      </c>
      <c r="AH163" s="11">
        <v>0</v>
      </c>
      <c r="AI163" s="11">
        <v>0.3</v>
      </c>
      <c r="AJ163" s="11">
        <v>0</v>
      </c>
    </row>
    <row r="164" spans="4:36">
      <c r="D164" s="10">
        <v>41974</v>
      </c>
      <c r="E164" s="11">
        <v>5.2063724728850701E-2</v>
      </c>
      <c r="F164" s="11">
        <v>5.1989999999999998</v>
      </c>
      <c r="G164" s="11">
        <v>0.17</v>
      </c>
      <c r="H164" s="11">
        <v>-0.13</v>
      </c>
      <c r="I164" s="11">
        <v>5.0000000000000001E-3</v>
      </c>
      <c r="J164" s="11">
        <v>0.17</v>
      </c>
      <c r="K164" s="11">
        <v>-7.0000000000000007E-2</v>
      </c>
      <c r="L164" s="11">
        <v>5.0000000000000001E-3</v>
      </c>
      <c r="M164" s="11">
        <v>0.17</v>
      </c>
      <c r="N164" s="11">
        <v>-0.24</v>
      </c>
      <c r="O164" s="11">
        <v>0</v>
      </c>
      <c r="P164" s="11">
        <v>0.17</v>
      </c>
      <c r="Q164" s="11">
        <v>0</v>
      </c>
      <c r="R164" s="11">
        <v>0</v>
      </c>
      <c r="S164" s="11">
        <v>0</v>
      </c>
      <c r="T164" s="11">
        <v>0</v>
      </c>
      <c r="U164" s="11">
        <v>-0.32</v>
      </c>
      <c r="V164" s="11">
        <v>0</v>
      </c>
      <c r="W164" s="11">
        <v>-0.67300000000000004</v>
      </c>
      <c r="X164" s="11">
        <v>5.0120861680126002E-3</v>
      </c>
      <c r="Y164" s="11">
        <v>0.308</v>
      </c>
      <c r="Z164" s="11">
        <v>0.06</v>
      </c>
      <c r="AA164" s="11">
        <v>0.17299999999999999</v>
      </c>
      <c r="AB164" s="11">
        <v>0</v>
      </c>
      <c r="AC164" s="11">
        <v>0.03</v>
      </c>
      <c r="AD164" s="10">
        <v>0.35</v>
      </c>
      <c r="AE164" s="11">
        <v>0</v>
      </c>
      <c r="AF164" s="11">
        <v>0.17</v>
      </c>
      <c r="AG164" s="11">
        <v>0.56999999999999995</v>
      </c>
      <c r="AH164" s="11">
        <v>0</v>
      </c>
      <c r="AI164" s="11">
        <v>0.37</v>
      </c>
      <c r="AJ164" s="11">
        <v>0</v>
      </c>
    </row>
    <row r="165" spans="4:36">
      <c r="D165" s="10">
        <v>42005</v>
      </c>
      <c r="E165" s="11">
        <v>5.2119782144639998E-2</v>
      </c>
      <c r="F165" s="11">
        <v>5.2714999999999996</v>
      </c>
      <c r="G165" s="11">
        <v>0.17</v>
      </c>
      <c r="H165" s="11">
        <v>-0.13</v>
      </c>
      <c r="I165" s="11">
        <v>0</v>
      </c>
      <c r="J165" s="11">
        <v>0.17</v>
      </c>
      <c r="K165" s="11">
        <v>-7.0000000000000007E-2</v>
      </c>
      <c r="L165" s="11">
        <v>5.0000000000000001E-3</v>
      </c>
      <c r="M165" s="11">
        <v>0.17</v>
      </c>
      <c r="N165" s="11">
        <v>-0.24</v>
      </c>
      <c r="O165" s="11">
        <v>0</v>
      </c>
      <c r="P165" s="11">
        <v>0.17</v>
      </c>
      <c r="Q165" s="11">
        <v>0</v>
      </c>
      <c r="R165" s="11">
        <v>0</v>
      </c>
      <c r="S165" s="11">
        <v>0</v>
      </c>
      <c r="T165" s="11">
        <v>0</v>
      </c>
      <c r="U165" s="11">
        <v>-0.32</v>
      </c>
      <c r="V165" s="11">
        <v>0</v>
      </c>
      <c r="W165" s="11">
        <v>-0.67300000000000004</v>
      </c>
      <c r="X165" s="11">
        <v>5.0093915290879004E-3</v>
      </c>
      <c r="Y165" s="11">
        <v>0.378</v>
      </c>
      <c r="Z165" s="11">
        <v>0.06</v>
      </c>
      <c r="AA165" s="11">
        <v>0.17299999999999999</v>
      </c>
      <c r="AB165" s="11">
        <v>0</v>
      </c>
      <c r="AC165" s="11">
        <v>0.03</v>
      </c>
      <c r="AD165" s="10">
        <v>0.35</v>
      </c>
      <c r="AE165" s="11">
        <v>0</v>
      </c>
      <c r="AF165" s="11">
        <v>0.17</v>
      </c>
      <c r="AG165" s="11">
        <v>0.56999999999999995</v>
      </c>
      <c r="AH165" s="11">
        <v>0</v>
      </c>
      <c r="AI165" s="11">
        <v>0.37</v>
      </c>
      <c r="AJ165" s="11">
        <v>0</v>
      </c>
    </row>
    <row r="166" spans="4:36">
      <c r="D166" s="10">
        <v>42036</v>
      </c>
      <c r="E166" s="11">
        <v>5.2175839561476901E-2</v>
      </c>
      <c r="F166" s="11">
        <v>5.1835000000000004</v>
      </c>
      <c r="G166" s="11">
        <v>0.17</v>
      </c>
      <c r="H166" s="11">
        <v>-0.13</v>
      </c>
      <c r="I166" s="11">
        <v>0</v>
      </c>
      <c r="J166" s="11">
        <v>0.17</v>
      </c>
      <c r="K166" s="11">
        <v>-7.0000000000000007E-2</v>
      </c>
      <c r="L166" s="11">
        <v>5.0000000000000001E-3</v>
      </c>
      <c r="M166" s="11">
        <v>0.17</v>
      </c>
      <c r="N166" s="11">
        <v>-0.24</v>
      </c>
      <c r="O166" s="11">
        <v>0</v>
      </c>
      <c r="P166" s="11">
        <v>0.17</v>
      </c>
      <c r="Q166" s="11">
        <v>0</v>
      </c>
      <c r="R166" s="11">
        <v>0</v>
      </c>
      <c r="S166" s="11">
        <v>0</v>
      </c>
      <c r="T166" s="11">
        <v>0</v>
      </c>
      <c r="U166" s="11">
        <v>-0.32</v>
      </c>
      <c r="V166" s="11">
        <v>0</v>
      </c>
      <c r="W166" s="11">
        <v>-0.67300000000000004</v>
      </c>
      <c r="X166" s="11">
        <v>5.0066864894715004E-3</v>
      </c>
      <c r="Y166" s="11">
        <v>0.248</v>
      </c>
      <c r="Z166" s="11">
        <v>0.06</v>
      </c>
      <c r="AA166" s="11">
        <v>0.17299999999999999</v>
      </c>
      <c r="AB166" s="11">
        <v>0</v>
      </c>
      <c r="AC166" s="11">
        <v>0.03</v>
      </c>
      <c r="AD166" s="10">
        <v>0.35</v>
      </c>
      <c r="AE166" s="11">
        <v>0</v>
      </c>
      <c r="AF166" s="11">
        <v>0.17</v>
      </c>
      <c r="AG166" s="11">
        <v>0.56999999999999995</v>
      </c>
      <c r="AH166" s="11">
        <v>0</v>
      </c>
      <c r="AI166" s="11">
        <v>0.37</v>
      </c>
      <c r="AJ166" s="11">
        <v>0</v>
      </c>
    </row>
    <row r="167" spans="4:36">
      <c r="D167" s="10">
        <v>42064</v>
      </c>
      <c r="E167" s="11">
        <v>5.2226472067908002E-2</v>
      </c>
      <c r="F167" s="11">
        <v>5.0445000000000002</v>
      </c>
      <c r="G167" s="11">
        <v>0.17</v>
      </c>
      <c r="H167" s="11">
        <v>-0.13</v>
      </c>
      <c r="I167" s="11">
        <v>0</v>
      </c>
      <c r="J167" s="11">
        <v>0.17</v>
      </c>
      <c r="K167" s="11">
        <v>-7.0000000000000007E-2</v>
      </c>
      <c r="L167" s="11">
        <v>5.0000000000000001E-3</v>
      </c>
      <c r="M167" s="11">
        <v>0.17</v>
      </c>
      <c r="N167" s="11">
        <v>-0.24</v>
      </c>
      <c r="O167" s="11">
        <v>0</v>
      </c>
      <c r="P167" s="11">
        <v>0.17</v>
      </c>
      <c r="Q167" s="11">
        <v>0</v>
      </c>
      <c r="R167" s="11">
        <v>0</v>
      </c>
      <c r="S167" s="11">
        <v>0</v>
      </c>
      <c r="T167" s="11">
        <v>0</v>
      </c>
      <c r="U167" s="11">
        <v>-0.32</v>
      </c>
      <c r="V167" s="11">
        <v>0</v>
      </c>
      <c r="W167" s="11">
        <v>-0.67300000000000004</v>
      </c>
      <c r="X167" s="11">
        <v>5.0042343044940001E-3</v>
      </c>
      <c r="Y167" s="11">
        <v>6.8000000000000005E-2</v>
      </c>
      <c r="Z167" s="11">
        <v>0.06</v>
      </c>
      <c r="AA167" s="11">
        <v>0.17299999999999999</v>
      </c>
      <c r="AB167" s="11">
        <v>0</v>
      </c>
      <c r="AC167" s="11">
        <v>0.03</v>
      </c>
      <c r="AD167" s="10">
        <v>0.35</v>
      </c>
      <c r="AE167" s="11">
        <v>0</v>
      </c>
      <c r="AF167" s="11">
        <v>0.17</v>
      </c>
      <c r="AG167" s="11">
        <v>0.56999999999999995</v>
      </c>
      <c r="AH167" s="11">
        <v>0</v>
      </c>
      <c r="AI167" s="11">
        <v>0.37</v>
      </c>
      <c r="AJ167" s="11">
        <v>0</v>
      </c>
    </row>
    <row r="168" spans="4:36">
      <c r="D168" s="10">
        <v>42095</v>
      </c>
      <c r="E168" s="11">
        <v>5.2282529486739698E-2</v>
      </c>
      <c r="F168" s="11">
        <v>4.8905000000000003</v>
      </c>
      <c r="G168" s="11">
        <v>0.17</v>
      </c>
      <c r="H168" s="11">
        <v>-0.2</v>
      </c>
      <c r="I168" s="11">
        <v>0</v>
      </c>
      <c r="J168" s="11">
        <v>0.17</v>
      </c>
      <c r="K168" s="11">
        <v>-7.0000000000000007E-2</v>
      </c>
      <c r="L168" s="11">
        <v>5.0000000000000001E-3</v>
      </c>
      <c r="M168" s="11">
        <v>0.17</v>
      </c>
      <c r="N168" s="11">
        <v>-0.32</v>
      </c>
      <c r="O168" s="11">
        <v>0</v>
      </c>
      <c r="P168" s="11">
        <v>0.17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-0.80800000000000005</v>
      </c>
      <c r="X168" s="11">
        <v>5.0015095239674999E-3</v>
      </c>
      <c r="Y168" s="11">
        <v>-0.25</v>
      </c>
      <c r="Z168" s="11">
        <v>0.02</v>
      </c>
      <c r="AA168" s="11">
        <v>0.17299999999999999</v>
      </c>
      <c r="AB168" s="11">
        <v>0</v>
      </c>
      <c r="AC168" s="11">
        <v>0.03</v>
      </c>
      <c r="AD168" s="10">
        <v>0.43</v>
      </c>
      <c r="AE168" s="11">
        <v>0</v>
      </c>
      <c r="AF168" s="11">
        <v>0.17</v>
      </c>
      <c r="AG168" s="11">
        <v>0.44</v>
      </c>
      <c r="AH168" s="11">
        <v>0</v>
      </c>
      <c r="AI168" s="11">
        <v>0.24</v>
      </c>
      <c r="AJ168" s="11">
        <v>0</v>
      </c>
    </row>
    <row r="169" spans="4:36">
      <c r="D169" s="10">
        <v>42125</v>
      </c>
      <c r="E169" s="11">
        <v>5.2336778602736E-2</v>
      </c>
      <c r="F169" s="11">
        <v>4.8955000000000002</v>
      </c>
      <c r="G169" s="11">
        <v>0.17</v>
      </c>
      <c r="H169" s="11">
        <v>-0.2</v>
      </c>
      <c r="I169" s="11">
        <v>0</v>
      </c>
      <c r="J169" s="11">
        <v>0.17</v>
      </c>
      <c r="K169" s="11">
        <v>-7.0000000000000007E-2</v>
      </c>
      <c r="L169" s="11">
        <v>5.0000000000000001E-3</v>
      </c>
      <c r="M169" s="11">
        <v>0.17</v>
      </c>
      <c r="N169" s="11">
        <v>-0.32</v>
      </c>
      <c r="O169" s="11">
        <v>0</v>
      </c>
      <c r="P169" s="11">
        <v>0.17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-0.80800000000000005</v>
      </c>
      <c r="X169" s="11">
        <v>4.9988627906363998E-3</v>
      </c>
      <c r="Y169" s="11">
        <v>-0.1</v>
      </c>
      <c r="Z169" s="11">
        <v>0.02</v>
      </c>
      <c r="AA169" s="11">
        <v>0.17299999999999999</v>
      </c>
      <c r="AB169" s="11">
        <v>0</v>
      </c>
      <c r="AC169" s="11">
        <v>0.03</v>
      </c>
      <c r="AD169" s="10">
        <v>0.43</v>
      </c>
      <c r="AE169" s="11">
        <v>0</v>
      </c>
      <c r="AF169" s="11">
        <v>0.17</v>
      </c>
      <c r="AG169" s="11">
        <v>0.44</v>
      </c>
      <c r="AH169" s="11">
        <v>0</v>
      </c>
      <c r="AI169" s="11">
        <v>0.24</v>
      </c>
      <c r="AJ169" s="11">
        <v>0</v>
      </c>
    </row>
    <row r="170" spans="4:36">
      <c r="D170" s="10">
        <v>42156</v>
      </c>
      <c r="E170" s="11">
        <v>5.2392836023630103E-2</v>
      </c>
      <c r="F170" s="11">
        <v>4.9335000000000004</v>
      </c>
      <c r="G170" s="11">
        <v>0.17</v>
      </c>
      <c r="H170" s="11">
        <v>-0.2</v>
      </c>
      <c r="I170" s="11">
        <v>0</v>
      </c>
      <c r="J170" s="11">
        <v>0.17</v>
      </c>
      <c r="K170" s="11">
        <v>-7.0000000000000007E-2</v>
      </c>
      <c r="L170" s="11">
        <v>5.0000000000000001E-3</v>
      </c>
      <c r="M170" s="11">
        <v>0.17</v>
      </c>
      <c r="N170" s="11">
        <v>-0.32</v>
      </c>
      <c r="O170" s="11">
        <v>0</v>
      </c>
      <c r="P170" s="11">
        <v>0.17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-0.80800000000000005</v>
      </c>
      <c r="X170" s="11">
        <v>4.9961176747729003E-3</v>
      </c>
      <c r="Y170" s="11">
        <v>-0.1</v>
      </c>
      <c r="Z170" s="11">
        <v>0.02</v>
      </c>
      <c r="AA170" s="11">
        <v>0.17299999999999999</v>
      </c>
      <c r="AB170" s="11">
        <v>0</v>
      </c>
      <c r="AC170" s="11">
        <v>0.03</v>
      </c>
      <c r="AD170" s="10">
        <v>0.43</v>
      </c>
      <c r="AE170" s="11">
        <v>0</v>
      </c>
      <c r="AF170" s="11">
        <v>0.17</v>
      </c>
      <c r="AG170" s="11">
        <v>0.44</v>
      </c>
      <c r="AH170" s="11">
        <v>0</v>
      </c>
      <c r="AI170" s="11">
        <v>0.24</v>
      </c>
      <c r="AJ170" s="11">
        <v>0</v>
      </c>
    </row>
    <row r="171" spans="4:36">
      <c r="D171" s="10">
        <v>42186</v>
      </c>
      <c r="E171" s="11">
        <v>5.24470851416221E-2</v>
      </c>
      <c r="F171" s="11">
        <v>4.9785000000000004</v>
      </c>
      <c r="G171" s="11">
        <v>0.17</v>
      </c>
      <c r="H171" s="11">
        <v>-0.2</v>
      </c>
      <c r="I171" s="11">
        <v>0</v>
      </c>
      <c r="J171" s="11">
        <v>0.17</v>
      </c>
      <c r="K171" s="11">
        <v>-7.0000000000000007E-2</v>
      </c>
      <c r="L171" s="11">
        <v>5.0000000000000001E-3</v>
      </c>
      <c r="M171" s="11">
        <v>0.17</v>
      </c>
      <c r="N171" s="11">
        <v>-0.32</v>
      </c>
      <c r="O171" s="11">
        <v>0</v>
      </c>
      <c r="P171" s="11">
        <v>0.17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-0.80800000000000005</v>
      </c>
      <c r="X171" s="11">
        <v>4.9934512990238E-3</v>
      </c>
      <c r="Y171" s="11">
        <v>-0.1</v>
      </c>
      <c r="Z171" s="11">
        <v>0.02</v>
      </c>
      <c r="AA171" s="11">
        <v>0.17299999999999999</v>
      </c>
      <c r="AB171" s="11">
        <v>0</v>
      </c>
      <c r="AC171" s="11">
        <v>0.03</v>
      </c>
      <c r="AD171" s="10">
        <v>0.43</v>
      </c>
      <c r="AE171" s="11">
        <v>0</v>
      </c>
      <c r="AF171" s="11">
        <v>0.17</v>
      </c>
      <c r="AG171" s="11">
        <v>0.44</v>
      </c>
      <c r="AH171" s="11">
        <v>0</v>
      </c>
      <c r="AI171" s="11">
        <v>0.24</v>
      </c>
      <c r="AJ171" s="11">
        <v>0</v>
      </c>
    </row>
    <row r="172" spans="4:36">
      <c r="D172" s="10">
        <v>42217</v>
      </c>
      <c r="E172" s="11">
        <v>5.2503142564578102E-2</v>
      </c>
      <c r="F172" s="11">
        <v>5.0164999999999997</v>
      </c>
      <c r="G172" s="11">
        <v>0.17</v>
      </c>
      <c r="H172" s="11">
        <v>-0.2</v>
      </c>
      <c r="I172" s="11">
        <v>0</v>
      </c>
      <c r="J172" s="11">
        <v>0.17</v>
      </c>
      <c r="K172" s="11">
        <v>-7.0000000000000007E-2</v>
      </c>
      <c r="L172" s="11">
        <v>5.0000000000000001E-3</v>
      </c>
      <c r="M172" s="11">
        <v>0.17</v>
      </c>
      <c r="N172" s="11">
        <v>-0.32</v>
      </c>
      <c r="O172" s="11">
        <v>0</v>
      </c>
      <c r="P172" s="11">
        <v>0.17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-0.80800000000000005</v>
      </c>
      <c r="X172" s="11">
        <v>4.9906859242826E-3</v>
      </c>
      <c r="Y172" s="11">
        <v>-0.1</v>
      </c>
      <c r="Z172" s="11">
        <v>0.02</v>
      </c>
      <c r="AA172" s="11">
        <v>0.17299999999999999</v>
      </c>
      <c r="AB172" s="11">
        <v>0</v>
      </c>
      <c r="AC172" s="11">
        <v>0.03</v>
      </c>
      <c r="AD172" s="10">
        <v>0.43</v>
      </c>
      <c r="AE172" s="11">
        <v>0</v>
      </c>
      <c r="AF172" s="11">
        <v>0.17</v>
      </c>
      <c r="AG172" s="11">
        <v>0.44</v>
      </c>
      <c r="AH172" s="11">
        <v>0</v>
      </c>
      <c r="AI172" s="11">
        <v>0.24</v>
      </c>
      <c r="AJ172" s="11">
        <v>0</v>
      </c>
    </row>
    <row r="173" spans="4:36">
      <c r="D173" s="10">
        <v>42248</v>
      </c>
      <c r="E173" s="11">
        <v>5.2559199988582599E-2</v>
      </c>
      <c r="F173" s="11">
        <v>5.0105000000000004</v>
      </c>
      <c r="G173" s="11">
        <v>0.17</v>
      </c>
      <c r="H173" s="11">
        <v>-0.2</v>
      </c>
      <c r="I173" s="11">
        <v>0</v>
      </c>
      <c r="J173" s="11">
        <v>0.17</v>
      </c>
      <c r="K173" s="11">
        <v>-7.0000000000000007E-2</v>
      </c>
      <c r="L173" s="11">
        <v>5.0000000000000001E-3</v>
      </c>
      <c r="M173" s="11">
        <v>0.17</v>
      </c>
      <c r="N173" s="11">
        <v>-0.32</v>
      </c>
      <c r="O173" s="11">
        <v>0</v>
      </c>
      <c r="P173" s="11">
        <v>0.17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-0.80800000000000005</v>
      </c>
      <c r="X173" s="11">
        <v>4.9879102834947996E-3</v>
      </c>
      <c r="Y173" s="11">
        <v>-0.1</v>
      </c>
      <c r="Z173" s="11">
        <v>0.02</v>
      </c>
      <c r="AA173" s="11">
        <v>0.17299999999999999</v>
      </c>
      <c r="AB173" s="11">
        <v>0</v>
      </c>
      <c r="AC173" s="11">
        <v>0.03</v>
      </c>
      <c r="AD173" s="10">
        <v>0.43</v>
      </c>
      <c r="AE173" s="11">
        <v>0</v>
      </c>
      <c r="AF173" s="11">
        <v>0.17</v>
      </c>
      <c r="AG173" s="11">
        <v>0.44</v>
      </c>
      <c r="AH173" s="11">
        <v>0</v>
      </c>
      <c r="AI173" s="11">
        <v>0.24</v>
      </c>
      <c r="AJ173" s="11">
        <v>0</v>
      </c>
    </row>
    <row r="174" spans="4:36">
      <c r="D174" s="10">
        <v>42278</v>
      </c>
      <c r="E174" s="11">
        <v>5.26134491095838E-2</v>
      </c>
      <c r="F174" s="11">
        <v>5.0105000000000004</v>
      </c>
      <c r="G174" s="11">
        <v>0.17</v>
      </c>
      <c r="H174" s="11">
        <v>-0.2</v>
      </c>
      <c r="I174" s="11">
        <v>0</v>
      </c>
      <c r="J174" s="11">
        <v>0.17</v>
      </c>
      <c r="K174" s="11">
        <v>-7.0000000000000007E-2</v>
      </c>
      <c r="L174" s="11">
        <v>5.0000000000000001E-3</v>
      </c>
      <c r="M174" s="11">
        <v>0.17</v>
      </c>
      <c r="N174" s="11">
        <v>-0.32</v>
      </c>
      <c r="O174" s="11">
        <v>0</v>
      </c>
      <c r="P174" s="11">
        <v>0.17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-0.80800000000000005</v>
      </c>
      <c r="X174" s="11">
        <v>4.9852144236296001E-3</v>
      </c>
      <c r="Y174" s="11">
        <v>-0.1</v>
      </c>
      <c r="Z174" s="11">
        <v>0.02</v>
      </c>
      <c r="AA174" s="11">
        <v>0.17299999999999999</v>
      </c>
      <c r="AB174" s="11">
        <v>0</v>
      </c>
      <c r="AC174" s="11">
        <v>0.03</v>
      </c>
      <c r="AD174" s="10">
        <v>0.43</v>
      </c>
      <c r="AE174" s="11">
        <v>0</v>
      </c>
      <c r="AF174" s="11">
        <v>0.17</v>
      </c>
      <c r="AG174" s="11">
        <v>0.44</v>
      </c>
      <c r="AH174" s="11">
        <v>0</v>
      </c>
      <c r="AI174" s="11">
        <v>0.24</v>
      </c>
      <c r="AJ174" s="11">
        <v>0</v>
      </c>
    </row>
    <row r="175" spans="4:36">
      <c r="D175" s="10">
        <v>42309</v>
      </c>
      <c r="E175" s="11">
        <v>5.2669506535650203E-2</v>
      </c>
      <c r="F175" s="11">
        <v>5.1805000000000003</v>
      </c>
      <c r="G175" s="11">
        <v>0.17</v>
      </c>
      <c r="H175" s="11">
        <v>-0.13</v>
      </c>
      <c r="I175" s="11">
        <v>0</v>
      </c>
      <c r="J175" s="11">
        <v>0.17</v>
      </c>
      <c r="K175" s="11">
        <v>-7.0000000000000007E-2</v>
      </c>
      <c r="L175" s="11">
        <v>5.0000000000000001E-3</v>
      </c>
      <c r="M175" s="11">
        <v>0.17</v>
      </c>
      <c r="N175" s="11">
        <v>-0.24</v>
      </c>
      <c r="O175" s="11">
        <v>0</v>
      </c>
      <c r="P175" s="11">
        <v>0.17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-0.70799999999999996</v>
      </c>
      <c r="X175" s="11">
        <v>4.9824186401460002E-3</v>
      </c>
      <c r="Y175" s="11">
        <v>0</v>
      </c>
      <c r="Z175" s="11">
        <v>0.06</v>
      </c>
      <c r="AA175" s="11">
        <v>0.17299999999999999</v>
      </c>
      <c r="AB175" s="11">
        <v>0</v>
      </c>
      <c r="AC175" s="11">
        <v>0</v>
      </c>
      <c r="AD175" s="10">
        <v>0.35</v>
      </c>
      <c r="AE175" s="11">
        <v>0</v>
      </c>
      <c r="AF175" s="11">
        <v>0.17</v>
      </c>
      <c r="AG175" s="11">
        <v>0.5</v>
      </c>
      <c r="AH175" s="11">
        <v>0</v>
      </c>
      <c r="AI175" s="11">
        <v>0.3</v>
      </c>
      <c r="AJ175" s="11">
        <v>0</v>
      </c>
    </row>
    <row r="176" spans="4:36">
      <c r="D176" s="10">
        <v>42339</v>
      </c>
      <c r="E176" s="11">
        <v>5.2723755658647099E-2</v>
      </c>
      <c r="F176" s="11">
        <v>5.3114999999999997</v>
      </c>
      <c r="G176" s="11">
        <v>0.17</v>
      </c>
      <c r="H176" s="11">
        <v>-0.13</v>
      </c>
      <c r="I176" s="11">
        <v>0</v>
      </c>
      <c r="J176" s="11">
        <v>0.17</v>
      </c>
      <c r="K176" s="11">
        <v>-7.0000000000000007E-2</v>
      </c>
      <c r="L176" s="11">
        <v>5.0000000000000001E-3</v>
      </c>
      <c r="M176" s="11">
        <v>0.17</v>
      </c>
      <c r="N176" s="11">
        <v>-0.24</v>
      </c>
      <c r="O176" s="11">
        <v>0</v>
      </c>
      <c r="P176" s="11">
        <v>0.17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-0.70799999999999996</v>
      </c>
      <c r="X176" s="11">
        <v>4.9797033248443002E-3</v>
      </c>
      <c r="Y176" s="11">
        <v>0</v>
      </c>
      <c r="Z176" s="11">
        <v>0.06</v>
      </c>
      <c r="AA176" s="11">
        <v>0.17299999999999999</v>
      </c>
      <c r="AB176" s="11">
        <v>0</v>
      </c>
      <c r="AC176" s="11">
        <v>0</v>
      </c>
      <c r="AD176" s="10">
        <v>0.35</v>
      </c>
      <c r="AE176" s="11">
        <v>0</v>
      </c>
      <c r="AF176" s="11">
        <v>0.17</v>
      </c>
      <c r="AG176" s="11">
        <v>0.56999999999999995</v>
      </c>
      <c r="AH176" s="11">
        <v>0</v>
      </c>
      <c r="AI176" s="11">
        <v>0.37</v>
      </c>
      <c r="AJ176" s="11">
        <v>0</v>
      </c>
    </row>
    <row r="177" spans="4:36">
      <c r="D177" s="10">
        <v>42370</v>
      </c>
      <c r="E177" s="11">
        <v>5.2779813086775401E-2</v>
      </c>
      <c r="F177" s="11">
        <v>5.3840000000000003</v>
      </c>
      <c r="G177" s="11">
        <v>0.17</v>
      </c>
      <c r="H177" s="11">
        <v>-0.13</v>
      </c>
      <c r="I177" s="11">
        <v>0</v>
      </c>
      <c r="J177" s="11">
        <v>0.17</v>
      </c>
      <c r="K177" s="11">
        <v>-7.0000000000000007E-2</v>
      </c>
      <c r="L177" s="11">
        <v>5.0000000000000001E-3</v>
      </c>
      <c r="M177" s="11">
        <v>0.17</v>
      </c>
      <c r="N177" s="11">
        <v>-0.24</v>
      </c>
      <c r="O177" s="11">
        <v>0</v>
      </c>
      <c r="P177" s="11">
        <v>0.17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-0.70799999999999996</v>
      </c>
      <c r="X177" s="11">
        <v>4.9768874762679003E-3</v>
      </c>
      <c r="Y177" s="11">
        <v>0</v>
      </c>
      <c r="Z177" s="11">
        <v>0.06</v>
      </c>
      <c r="AA177" s="11">
        <v>0.17299999999999999</v>
      </c>
      <c r="AB177" s="11">
        <v>0</v>
      </c>
      <c r="AC177" s="11">
        <v>0</v>
      </c>
      <c r="AD177" s="10">
        <v>0.35</v>
      </c>
      <c r="AE177" s="11">
        <v>0</v>
      </c>
      <c r="AF177" s="11">
        <v>0.17</v>
      </c>
      <c r="AG177" s="11">
        <v>0.56999999999999995</v>
      </c>
      <c r="AH177" s="11">
        <v>0</v>
      </c>
      <c r="AI177" s="11">
        <v>0.37</v>
      </c>
      <c r="AJ177" s="11">
        <v>0</v>
      </c>
    </row>
    <row r="178" spans="4:36">
      <c r="D178" s="10">
        <v>42401</v>
      </c>
      <c r="E178" s="11">
        <v>5.2835870515950803E-2</v>
      </c>
      <c r="F178" s="11">
        <v>5.2960000000000003</v>
      </c>
      <c r="G178" s="11">
        <v>0.17</v>
      </c>
      <c r="H178" s="11">
        <v>-0.13</v>
      </c>
      <c r="I178" s="11">
        <v>0</v>
      </c>
      <c r="J178" s="11">
        <v>0.17</v>
      </c>
      <c r="K178" s="11">
        <v>-7.0000000000000007E-2</v>
      </c>
      <c r="L178" s="11">
        <v>5.0000000000000001E-3</v>
      </c>
      <c r="M178" s="11">
        <v>0.17</v>
      </c>
      <c r="N178" s="11">
        <v>-0.24</v>
      </c>
      <c r="O178" s="11">
        <v>0</v>
      </c>
      <c r="P178" s="11">
        <v>0.17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-0.70799999999999996</v>
      </c>
      <c r="X178" s="11">
        <v>4.9740614605612004E-3</v>
      </c>
      <c r="Y178" s="11">
        <v>0</v>
      </c>
      <c r="Z178" s="11">
        <v>0.06</v>
      </c>
      <c r="AA178" s="11">
        <v>0.17299999999999999</v>
      </c>
      <c r="AB178" s="11">
        <v>0</v>
      </c>
      <c r="AC178" s="11">
        <v>0</v>
      </c>
      <c r="AD178" s="10">
        <v>0.35</v>
      </c>
      <c r="AE178" s="11">
        <v>0</v>
      </c>
      <c r="AF178" s="11">
        <v>0.17</v>
      </c>
      <c r="AG178" s="11">
        <v>0.56999999999999995</v>
      </c>
      <c r="AH178" s="11">
        <v>0</v>
      </c>
      <c r="AI178" s="11">
        <v>0.37</v>
      </c>
      <c r="AJ178" s="11">
        <v>0</v>
      </c>
    </row>
    <row r="179" spans="4:36">
      <c r="D179" s="10">
        <v>42430</v>
      </c>
      <c r="E179" s="11">
        <v>5.2888311337741203E-2</v>
      </c>
      <c r="F179" s="11">
        <v>5.157</v>
      </c>
      <c r="G179" s="11">
        <v>0.17</v>
      </c>
      <c r="H179" s="11">
        <v>-0.13</v>
      </c>
      <c r="I179" s="11">
        <v>0</v>
      </c>
      <c r="J179" s="11">
        <v>0.17</v>
      </c>
      <c r="K179" s="11">
        <v>-7.0000000000000007E-2</v>
      </c>
      <c r="L179" s="11">
        <v>5.0000000000000001E-3</v>
      </c>
      <c r="M179" s="11">
        <v>0.17</v>
      </c>
      <c r="N179" s="11">
        <v>-0.24</v>
      </c>
      <c r="O179" s="11">
        <v>0</v>
      </c>
      <c r="P179" s="11">
        <v>0.17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-0.70799999999999996</v>
      </c>
      <c r="X179" s="11">
        <v>4.9714085819827E-3</v>
      </c>
      <c r="Y179" s="11">
        <v>0</v>
      </c>
      <c r="Z179" s="11">
        <v>0.06</v>
      </c>
      <c r="AA179" s="11">
        <v>0.17299999999999999</v>
      </c>
      <c r="AB179" s="11">
        <v>0</v>
      </c>
      <c r="AC179" s="11">
        <v>0</v>
      </c>
      <c r="AD179" s="10">
        <v>0.35</v>
      </c>
      <c r="AE179" s="11">
        <v>0</v>
      </c>
      <c r="AF179" s="11">
        <v>0.17</v>
      </c>
      <c r="AG179" s="11">
        <v>0.56999999999999995</v>
      </c>
      <c r="AH179" s="11">
        <v>0</v>
      </c>
      <c r="AI179" s="11">
        <v>0.37</v>
      </c>
      <c r="AJ179" s="11">
        <v>0</v>
      </c>
    </row>
    <row r="180" spans="4:36">
      <c r="D180" s="10">
        <v>42461</v>
      </c>
      <c r="E180" s="11">
        <v>5.2944368768944802E-2</v>
      </c>
      <c r="F180" s="11">
        <v>5.0030000000000001</v>
      </c>
      <c r="G180" s="11">
        <v>0.17</v>
      </c>
      <c r="H180" s="11">
        <v>-0.2</v>
      </c>
      <c r="I180" s="11">
        <v>0</v>
      </c>
      <c r="J180" s="11">
        <v>0.17</v>
      </c>
      <c r="K180" s="11">
        <v>-7.0000000000000007E-2</v>
      </c>
      <c r="L180" s="11">
        <v>5.0000000000000001E-3</v>
      </c>
      <c r="M180" s="11">
        <v>0.17</v>
      </c>
      <c r="N180" s="11">
        <v>-0.32</v>
      </c>
      <c r="O180" s="11">
        <v>0</v>
      </c>
      <c r="P180" s="11">
        <v>0.17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-0.80800000000000005</v>
      </c>
      <c r="X180" s="11">
        <v>4.9685629454431996E-3</v>
      </c>
      <c r="Y180" s="11">
        <v>0</v>
      </c>
      <c r="Z180" s="11">
        <v>0.02</v>
      </c>
      <c r="AA180" s="11">
        <v>0.17299999999999999</v>
      </c>
      <c r="AB180" s="11">
        <v>0</v>
      </c>
      <c r="AC180" s="11">
        <v>0</v>
      </c>
      <c r="AD180" s="10">
        <v>0.43</v>
      </c>
      <c r="AE180" s="11">
        <v>0</v>
      </c>
      <c r="AF180" s="11">
        <v>0.17</v>
      </c>
      <c r="AG180" s="11">
        <v>0.44</v>
      </c>
      <c r="AH180" s="11">
        <v>0</v>
      </c>
      <c r="AI180" s="11">
        <v>0.24</v>
      </c>
      <c r="AJ180" s="11">
        <v>0</v>
      </c>
    </row>
    <row r="181" spans="4:36">
      <c r="D181" s="10">
        <v>42491</v>
      </c>
      <c r="E181" s="11">
        <v>5.2998617896913701E-2</v>
      </c>
      <c r="F181" s="11">
        <v>5.008</v>
      </c>
      <c r="G181" s="11">
        <v>0.17</v>
      </c>
      <c r="H181" s="11">
        <v>-0.2</v>
      </c>
      <c r="I181" s="11">
        <v>0</v>
      </c>
      <c r="J181" s="11">
        <v>0.17</v>
      </c>
      <c r="K181" s="11">
        <v>-7.0000000000000007E-2</v>
      </c>
      <c r="L181" s="11">
        <v>5.0000000000000001E-3</v>
      </c>
      <c r="M181" s="11">
        <v>0.17</v>
      </c>
      <c r="N181" s="11">
        <v>-0.32</v>
      </c>
      <c r="O181" s="11">
        <v>0</v>
      </c>
      <c r="P181" s="11">
        <v>0.17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-0.80800000000000005</v>
      </c>
      <c r="X181" s="11">
        <v>4.9657994796237998E-3</v>
      </c>
      <c r="Y181" s="11">
        <v>0</v>
      </c>
      <c r="Z181" s="11">
        <v>0.02</v>
      </c>
      <c r="AA181" s="11">
        <v>0.17299999999999999</v>
      </c>
      <c r="AB181" s="11">
        <v>0</v>
      </c>
      <c r="AC181" s="11">
        <v>0</v>
      </c>
      <c r="AD181" s="10">
        <v>0.43</v>
      </c>
      <c r="AE181" s="11">
        <v>0</v>
      </c>
      <c r="AF181" s="11">
        <v>0.17</v>
      </c>
      <c r="AG181" s="11">
        <v>0.44</v>
      </c>
      <c r="AH181" s="11">
        <v>0</v>
      </c>
      <c r="AI181" s="11">
        <v>0.24</v>
      </c>
      <c r="AJ181" s="11">
        <v>0</v>
      </c>
    </row>
    <row r="182" spans="4:36">
      <c r="D182" s="10">
        <v>42522</v>
      </c>
      <c r="E182" s="11">
        <v>5.3054675330178797E-2</v>
      </c>
      <c r="F182" s="11">
        <v>5.0460000000000003</v>
      </c>
      <c r="G182" s="11">
        <v>0.17</v>
      </c>
      <c r="H182" s="11">
        <v>-0.2</v>
      </c>
      <c r="I182" s="11">
        <v>0</v>
      </c>
      <c r="J182" s="11">
        <v>0.17</v>
      </c>
      <c r="K182" s="11">
        <v>-7.0000000000000007E-2</v>
      </c>
      <c r="L182" s="11">
        <v>5.0000000000000001E-3</v>
      </c>
      <c r="M182" s="11">
        <v>0.17</v>
      </c>
      <c r="N182" s="11">
        <v>-0.32</v>
      </c>
      <c r="O182" s="11">
        <v>0</v>
      </c>
      <c r="P182" s="11">
        <v>0.17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-0.80800000000000005</v>
      </c>
      <c r="X182" s="11">
        <v>4.9629339733119997E-3</v>
      </c>
      <c r="Y182" s="11">
        <v>0</v>
      </c>
      <c r="Z182" s="11">
        <v>0.02</v>
      </c>
      <c r="AA182" s="11">
        <v>0.17299999999999999</v>
      </c>
      <c r="AB182" s="11">
        <v>0</v>
      </c>
      <c r="AC182" s="11">
        <v>0</v>
      </c>
      <c r="AD182" s="10">
        <v>0.43</v>
      </c>
      <c r="AE182" s="11">
        <v>0</v>
      </c>
      <c r="AF182" s="11">
        <v>0.17</v>
      </c>
      <c r="AG182" s="11">
        <v>0.44</v>
      </c>
      <c r="AH182" s="11">
        <v>0</v>
      </c>
      <c r="AI182" s="11">
        <v>0.24</v>
      </c>
      <c r="AJ182" s="11">
        <v>0</v>
      </c>
    </row>
    <row r="183" spans="4:36">
      <c r="D183" s="10">
        <v>42552</v>
      </c>
      <c r="E183" s="11">
        <v>5.3108924460142599E-2</v>
      </c>
      <c r="F183" s="11">
        <v>5.0910000000000002</v>
      </c>
      <c r="G183" s="11">
        <v>0.17</v>
      </c>
      <c r="H183" s="11">
        <v>-0.2</v>
      </c>
      <c r="I183" s="11">
        <v>0</v>
      </c>
      <c r="J183" s="11">
        <v>0.17</v>
      </c>
      <c r="K183" s="11">
        <v>-7.0000000000000007E-2</v>
      </c>
      <c r="L183" s="11">
        <v>5.0000000000000001E-3</v>
      </c>
      <c r="M183" s="11">
        <v>0.17</v>
      </c>
      <c r="N183" s="11">
        <v>-0.32</v>
      </c>
      <c r="O183" s="11">
        <v>0</v>
      </c>
      <c r="P183" s="11">
        <v>0.17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-0.80800000000000005</v>
      </c>
      <c r="X183" s="11">
        <v>4.9601513169296001E-3</v>
      </c>
      <c r="Y183" s="11">
        <v>0</v>
      </c>
      <c r="Z183" s="11">
        <v>0.02</v>
      </c>
      <c r="AA183" s="11">
        <v>0.17299999999999999</v>
      </c>
      <c r="AB183" s="11">
        <v>0</v>
      </c>
      <c r="AC183" s="11">
        <v>0</v>
      </c>
      <c r="AD183" s="10">
        <v>0.43</v>
      </c>
      <c r="AE183" s="11">
        <v>0</v>
      </c>
      <c r="AF183" s="11">
        <v>0.17</v>
      </c>
      <c r="AG183" s="11">
        <v>0.44</v>
      </c>
      <c r="AH183" s="11">
        <v>0</v>
      </c>
      <c r="AI183" s="11">
        <v>0.24</v>
      </c>
      <c r="AJ183" s="11">
        <v>0</v>
      </c>
    </row>
    <row r="184" spans="4:36">
      <c r="D184" s="10">
        <v>42583</v>
      </c>
      <c r="E184" s="11">
        <v>5.3164981895469102E-2</v>
      </c>
      <c r="F184" s="11">
        <v>5.1289999999999996</v>
      </c>
      <c r="G184" s="11">
        <v>0.17</v>
      </c>
      <c r="H184" s="11">
        <v>-0.2</v>
      </c>
      <c r="I184" s="11">
        <v>0</v>
      </c>
      <c r="J184" s="11">
        <v>0.17</v>
      </c>
      <c r="K184" s="11">
        <v>-7.0000000000000007E-2</v>
      </c>
      <c r="L184" s="11">
        <v>5.0000000000000001E-3</v>
      </c>
      <c r="M184" s="11">
        <v>0.17</v>
      </c>
      <c r="N184" s="11">
        <v>-0.32</v>
      </c>
      <c r="O184" s="11">
        <v>0</v>
      </c>
      <c r="P184" s="11">
        <v>0.17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-0.80800000000000005</v>
      </c>
      <c r="X184" s="11">
        <v>4.9572660200037002E-3</v>
      </c>
      <c r="Y184" s="11">
        <v>0</v>
      </c>
      <c r="Z184" s="11">
        <v>0.02</v>
      </c>
      <c r="AA184" s="11">
        <v>0.17299999999999999</v>
      </c>
      <c r="AB184" s="11">
        <v>0</v>
      </c>
      <c r="AC184" s="11">
        <v>0</v>
      </c>
      <c r="AD184" s="10">
        <v>0.43</v>
      </c>
      <c r="AE184" s="11">
        <v>0</v>
      </c>
      <c r="AF184" s="11">
        <v>0.17</v>
      </c>
      <c r="AG184" s="11">
        <v>0.44</v>
      </c>
      <c r="AH184" s="11">
        <v>0</v>
      </c>
      <c r="AI184" s="11">
        <v>0.24</v>
      </c>
      <c r="AJ184" s="11">
        <v>0</v>
      </c>
    </row>
    <row r="185" spans="4:36">
      <c r="D185" s="10">
        <v>42614</v>
      </c>
      <c r="E185" s="11">
        <v>5.3221039331843703E-2</v>
      </c>
      <c r="F185" s="11">
        <v>5.1230000000000002</v>
      </c>
      <c r="G185" s="11">
        <v>0.17</v>
      </c>
      <c r="H185" s="11">
        <v>-0.2</v>
      </c>
      <c r="I185" s="11">
        <v>0</v>
      </c>
      <c r="J185" s="11">
        <v>0.17</v>
      </c>
      <c r="K185" s="11">
        <v>-7.0000000000000007E-2</v>
      </c>
      <c r="L185" s="11">
        <v>5.0000000000000001E-3</v>
      </c>
      <c r="M185" s="11">
        <v>0.17</v>
      </c>
      <c r="N185" s="11">
        <v>-0.32</v>
      </c>
      <c r="O185" s="11">
        <v>0</v>
      </c>
      <c r="P185" s="11">
        <v>0.17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-0.80800000000000005</v>
      </c>
      <c r="X185" s="11">
        <v>4.9543706960287004E-3</v>
      </c>
      <c r="Y185" s="11">
        <v>0</v>
      </c>
      <c r="Z185" s="11">
        <v>0.02</v>
      </c>
      <c r="AA185" s="11">
        <v>0.17299999999999999</v>
      </c>
      <c r="AB185" s="11">
        <v>0</v>
      </c>
      <c r="AC185" s="11">
        <v>0</v>
      </c>
      <c r="AD185" s="10">
        <v>0.43</v>
      </c>
      <c r="AE185" s="11">
        <v>0</v>
      </c>
      <c r="AF185" s="11">
        <v>0.17</v>
      </c>
      <c r="AG185" s="11">
        <v>0.44</v>
      </c>
      <c r="AH185" s="11">
        <v>0</v>
      </c>
      <c r="AI185" s="11">
        <v>0.24</v>
      </c>
      <c r="AJ185" s="11">
        <v>0</v>
      </c>
    </row>
    <row r="186" spans="4:36">
      <c r="D186" s="10">
        <v>42644</v>
      </c>
      <c r="E186" s="11">
        <v>5.3275288464815801E-2</v>
      </c>
      <c r="F186" s="11">
        <v>5.1230000000000002</v>
      </c>
      <c r="G186" s="11">
        <v>0.17</v>
      </c>
      <c r="H186" s="11">
        <v>-0.2</v>
      </c>
      <c r="I186" s="11">
        <v>0</v>
      </c>
      <c r="J186" s="11">
        <v>0.17</v>
      </c>
      <c r="K186" s="11">
        <v>-7.0000000000000007E-2</v>
      </c>
      <c r="L186" s="11">
        <v>5.0000000000000001E-3</v>
      </c>
      <c r="M186" s="11">
        <v>0.17</v>
      </c>
      <c r="N186" s="11">
        <v>-0.32</v>
      </c>
      <c r="O186" s="11">
        <v>0</v>
      </c>
      <c r="P186" s="11">
        <v>0.17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0</v>
      </c>
      <c r="W186" s="11">
        <v>-0.80800000000000005</v>
      </c>
      <c r="X186" s="11">
        <v>4.9515592419303997E-3</v>
      </c>
      <c r="Y186" s="11">
        <v>0</v>
      </c>
      <c r="Z186" s="11">
        <v>0.02</v>
      </c>
      <c r="AA186" s="11">
        <v>0.17299999999999999</v>
      </c>
      <c r="AB186" s="11">
        <v>0</v>
      </c>
      <c r="AC186" s="11">
        <v>0</v>
      </c>
      <c r="AD186" s="10">
        <v>0.43</v>
      </c>
      <c r="AE186" s="11">
        <v>0</v>
      </c>
      <c r="AF186" s="11">
        <v>0.17</v>
      </c>
      <c r="AG186" s="11">
        <v>0.44</v>
      </c>
      <c r="AH186" s="11">
        <v>0</v>
      </c>
      <c r="AI186" s="11">
        <v>0.24</v>
      </c>
      <c r="AJ186" s="11">
        <v>0</v>
      </c>
    </row>
    <row r="187" spans="4:36">
      <c r="D187" s="10">
        <v>42675</v>
      </c>
      <c r="E187" s="11">
        <v>5.3331345903251802E-2</v>
      </c>
      <c r="F187" s="11">
        <v>5.2930000000000001</v>
      </c>
      <c r="G187" s="11">
        <v>0.17</v>
      </c>
      <c r="H187" s="11">
        <v>-0.13</v>
      </c>
      <c r="I187" s="11">
        <v>0</v>
      </c>
      <c r="J187" s="11">
        <v>0.17</v>
      </c>
      <c r="K187" s="11">
        <v>-7.0000000000000007E-2</v>
      </c>
      <c r="L187" s="11">
        <v>5.0000000000000001E-3</v>
      </c>
      <c r="M187" s="11">
        <v>0.17</v>
      </c>
      <c r="N187" s="11">
        <v>-0.24</v>
      </c>
      <c r="O187" s="11">
        <v>0</v>
      </c>
      <c r="P187" s="11">
        <v>0.17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-0.70799999999999996</v>
      </c>
      <c r="X187" s="11">
        <v>4.9486442475531996E-3</v>
      </c>
      <c r="Y187" s="11">
        <v>0</v>
      </c>
      <c r="Z187" s="11">
        <v>0.06</v>
      </c>
      <c r="AA187" s="11">
        <v>0.17299999999999999</v>
      </c>
      <c r="AB187" s="11">
        <v>0</v>
      </c>
      <c r="AC187" s="11">
        <v>0</v>
      </c>
      <c r="AD187" s="10">
        <v>0.35</v>
      </c>
      <c r="AE187" s="11">
        <v>0</v>
      </c>
      <c r="AF187" s="11">
        <v>0.17</v>
      </c>
      <c r="AG187" s="11">
        <v>0.5</v>
      </c>
      <c r="AH187" s="11">
        <v>0</v>
      </c>
      <c r="AI187" s="11">
        <v>0.3</v>
      </c>
      <c r="AJ187" s="11">
        <v>0</v>
      </c>
    </row>
    <row r="188" spans="4:36">
      <c r="D188" s="10">
        <v>42705</v>
      </c>
      <c r="E188" s="11">
        <v>5.33855950382187E-2</v>
      </c>
      <c r="F188" s="11">
        <v>5.4240000000000004</v>
      </c>
      <c r="G188" s="11">
        <v>0.17</v>
      </c>
      <c r="H188" s="11">
        <v>-0.13</v>
      </c>
      <c r="I188" s="11">
        <v>0</v>
      </c>
      <c r="J188" s="11">
        <v>0.17</v>
      </c>
      <c r="K188" s="11">
        <v>-7.0000000000000007E-2</v>
      </c>
      <c r="L188" s="11">
        <v>5.0000000000000001E-3</v>
      </c>
      <c r="M188" s="11">
        <v>0.17</v>
      </c>
      <c r="N188" s="11">
        <v>-0.24</v>
      </c>
      <c r="O188" s="11">
        <v>0</v>
      </c>
      <c r="P188" s="11">
        <v>0.17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-0.70799999999999996</v>
      </c>
      <c r="X188" s="11">
        <v>4.9490129201410996E-3</v>
      </c>
      <c r="Y188" s="11">
        <v>0</v>
      </c>
      <c r="Z188" s="11">
        <v>0.06</v>
      </c>
      <c r="AA188" s="11">
        <v>0.17299999999999999</v>
      </c>
      <c r="AB188" s="11">
        <v>0</v>
      </c>
      <c r="AC188" s="11">
        <v>0</v>
      </c>
      <c r="AD188" s="10">
        <v>0.35</v>
      </c>
      <c r="AE188" s="11">
        <v>0</v>
      </c>
      <c r="AF188" s="11">
        <v>0.17</v>
      </c>
      <c r="AG188" s="11">
        <v>0.56999999999999995</v>
      </c>
      <c r="AH188" s="11">
        <v>0</v>
      </c>
      <c r="AI188" s="11">
        <v>0.37</v>
      </c>
      <c r="AJ188" s="11">
        <v>0</v>
      </c>
    </row>
    <row r="189" spans="4:36">
      <c r="D189" s="10">
        <v>42736</v>
      </c>
      <c r="E189" s="11">
        <v>5.3441652478715802E-2</v>
      </c>
      <c r="F189" s="11">
        <v>5.4965000000000002</v>
      </c>
      <c r="G189" s="11">
        <v>0.17</v>
      </c>
      <c r="H189" s="11">
        <v>-0.13</v>
      </c>
      <c r="I189" s="11">
        <v>0</v>
      </c>
      <c r="J189" s="11">
        <v>0.17</v>
      </c>
      <c r="K189" s="11">
        <v>-7.0000000000000007E-2</v>
      </c>
      <c r="L189" s="11">
        <v>5.0000000000000001E-3</v>
      </c>
      <c r="M189" s="11">
        <v>0.17</v>
      </c>
      <c r="N189" s="11">
        <v>-0.24</v>
      </c>
      <c r="O189" s="11">
        <v>0</v>
      </c>
      <c r="P189" s="11">
        <v>0.17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-0.70799999999999996</v>
      </c>
      <c r="X189" s="11">
        <v>4.9494188766975996E-3</v>
      </c>
      <c r="Y189" s="11">
        <v>0</v>
      </c>
      <c r="Z189" s="11">
        <v>0.06</v>
      </c>
      <c r="AA189" s="11">
        <v>0.17299999999999999</v>
      </c>
      <c r="AB189" s="11">
        <v>0</v>
      </c>
      <c r="AC189" s="11">
        <v>0</v>
      </c>
      <c r="AD189" s="10">
        <v>0.35</v>
      </c>
      <c r="AE189" s="11">
        <v>0</v>
      </c>
      <c r="AF189" s="11">
        <v>0.17</v>
      </c>
      <c r="AG189" s="11">
        <v>0.56999999999999995</v>
      </c>
      <c r="AH189" s="11">
        <v>0</v>
      </c>
      <c r="AI189" s="11">
        <v>0.37</v>
      </c>
      <c r="AJ189" s="11">
        <v>0</v>
      </c>
    </row>
    <row r="190" spans="4:36">
      <c r="D190" s="10">
        <v>42767</v>
      </c>
      <c r="E190" s="11">
        <v>5.3497709920259602E-2</v>
      </c>
      <c r="F190" s="11">
        <v>5.4085000000000001</v>
      </c>
      <c r="G190" s="11">
        <v>0.17</v>
      </c>
      <c r="H190" s="11">
        <v>-0.13</v>
      </c>
      <c r="I190" s="11">
        <v>0</v>
      </c>
      <c r="J190" s="11">
        <v>0.17</v>
      </c>
      <c r="K190" s="11">
        <v>-7.0000000000000007E-2</v>
      </c>
      <c r="L190" s="11">
        <v>5.0000000000000001E-3</v>
      </c>
      <c r="M190" s="11">
        <v>0.17</v>
      </c>
      <c r="N190" s="11">
        <v>-0.24</v>
      </c>
      <c r="O190" s="11">
        <v>0</v>
      </c>
      <c r="P190" s="11">
        <v>0.17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-0.70799999999999996</v>
      </c>
      <c r="X190" s="11">
        <v>4.9498502425871999E-3</v>
      </c>
      <c r="Y190" s="11">
        <v>0</v>
      </c>
      <c r="Z190" s="11">
        <v>0.06</v>
      </c>
      <c r="AA190" s="11">
        <v>0.17299999999999999</v>
      </c>
      <c r="AB190" s="11">
        <v>0</v>
      </c>
      <c r="AC190" s="11">
        <v>0</v>
      </c>
      <c r="AD190" s="10">
        <v>0.35</v>
      </c>
      <c r="AE190" s="11">
        <v>0</v>
      </c>
      <c r="AF190" s="11">
        <v>0.17</v>
      </c>
      <c r="AG190" s="11">
        <v>0.56999999999999995</v>
      </c>
      <c r="AH190" s="11">
        <v>0</v>
      </c>
      <c r="AI190" s="11">
        <v>0.37</v>
      </c>
      <c r="AJ190" s="11">
        <v>0</v>
      </c>
    </row>
    <row r="191" spans="4:36">
      <c r="D191" s="10">
        <v>42795</v>
      </c>
      <c r="E191" s="11">
        <v>5.3548342449006602E-2</v>
      </c>
      <c r="F191" s="11">
        <v>5.2694999999999999</v>
      </c>
      <c r="G191" s="11">
        <v>0.17</v>
      </c>
      <c r="H191" s="11">
        <v>-0.13</v>
      </c>
      <c r="I191" s="11">
        <v>0</v>
      </c>
      <c r="J191" s="11">
        <v>0.17</v>
      </c>
      <c r="K191" s="11">
        <v>-7.0000000000000007E-2</v>
      </c>
      <c r="L191" s="11">
        <v>5.0000000000000001E-3</v>
      </c>
      <c r="M191" s="11">
        <v>0.17</v>
      </c>
      <c r="N191" s="11">
        <v>-0.24</v>
      </c>
      <c r="O191" s="11">
        <v>0</v>
      </c>
      <c r="P191" s="11">
        <v>0.17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-0.70799999999999996</v>
      </c>
      <c r="X191" s="11">
        <v>4.9502617075200001E-3</v>
      </c>
      <c r="Y191" s="11">
        <v>0</v>
      </c>
      <c r="Z191" s="11">
        <v>0.06</v>
      </c>
      <c r="AA191" s="11">
        <v>0.17299999999999999</v>
      </c>
      <c r="AB191" s="11">
        <v>0</v>
      </c>
      <c r="AC191" s="11">
        <v>0</v>
      </c>
      <c r="AD191" s="10">
        <v>0.35</v>
      </c>
      <c r="AE191" s="11">
        <v>0</v>
      </c>
      <c r="AF191" s="11">
        <v>0.17</v>
      </c>
      <c r="AG191" s="11">
        <v>0.56999999999999995</v>
      </c>
      <c r="AH191" s="11">
        <v>0</v>
      </c>
      <c r="AI191" s="11">
        <v>0.37</v>
      </c>
      <c r="AJ191" s="11">
        <v>0</v>
      </c>
    </row>
    <row r="192" spans="4:36">
      <c r="D192" s="10">
        <v>42826</v>
      </c>
      <c r="E192" s="11">
        <v>5.3604399892544403E-2</v>
      </c>
      <c r="F192" s="11">
        <v>5.1154999999999999</v>
      </c>
      <c r="G192" s="11">
        <v>0.17</v>
      </c>
      <c r="H192" s="11">
        <v>-0.2</v>
      </c>
      <c r="I192" s="11">
        <v>0</v>
      </c>
      <c r="J192" s="11">
        <v>0.17</v>
      </c>
      <c r="K192" s="11">
        <v>-7.0000000000000007E-2</v>
      </c>
      <c r="L192" s="11">
        <v>5.0000000000000001E-3</v>
      </c>
      <c r="M192" s="11">
        <v>0.17</v>
      </c>
      <c r="N192" s="11">
        <v>-0.32</v>
      </c>
      <c r="O192" s="11">
        <v>0</v>
      </c>
      <c r="P192" s="11">
        <v>0.17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-0.80800000000000005</v>
      </c>
      <c r="X192" s="11">
        <v>4.9507414476268E-3</v>
      </c>
      <c r="Y192" s="11">
        <v>0</v>
      </c>
      <c r="Z192" s="11">
        <v>0.02</v>
      </c>
      <c r="AA192" s="11">
        <v>0.17299999999999999</v>
      </c>
      <c r="AB192" s="11">
        <v>0</v>
      </c>
      <c r="AC192" s="11">
        <v>0</v>
      </c>
      <c r="AD192" s="10">
        <v>0.43</v>
      </c>
      <c r="AE192" s="11">
        <v>0</v>
      </c>
      <c r="AF192" s="11">
        <v>0.17</v>
      </c>
      <c r="AG192" s="11">
        <v>0.44</v>
      </c>
      <c r="AH192" s="11">
        <v>0</v>
      </c>
      <c r="AI192" s="11">
        <v>0.24</v>
      </c>
      <c r="AJ192" s="11">
        <v>0</v>
      </c>
    </row>
    <row r="193" spans="4:36">
      <c r="D193" s="10">
        <v>42856</v>
      </c>
      <c r="E193" s="11">
        <v>5.3658649032449102E-2</v>
      </c>
      <c r="F193" s="11">
        <v>5.1204999999999998</v>
      </c>
      <c r="G193" s="11">
        <v>0.17</v>
      </c>
      <c r="H193" s="11">
        <v>-0.2</v>
      </c>
      <c r="I193" s="11">
        <v>0</v>
      </c>
      <c r="J193" s="11">
        <v>0.17</v>
      </c>
      <c r="K193" s="11">
        <v>-7.0000000000000007E-2</v>
      </c>
      <c r="L193" s="11">
        <v>5.0000000000000001E-3</v>
      </c>
      <c r="M193" s="11">
        <v>0.17</v>
      </c>
      <c r="N193" s="11">
        <v>-0.32</v>
      </c>
      <c r="O193" s="11">
        <v>0</v>
      </c>
      <c r="P193" s="11">
        <v>0.17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-0.80800000000000005</v>
      </c>
      <c r="X193" s="11">
        <v>4.9512299204827002E-3</v>
      </c>
      <c r="Y193" s="11">
        <v>0</v>
      </c>
      <c r="Z193" s="11">
        <v>0.02</v>
      </c>
      <c r="AA193" s="11">
        <v>0.17299999999999999</v>
      </c>
      <c r="AB193" s="11">
        <v>0</v>
      </c>
      <c r="AC193" s="11">
        <v>0</v>
      </c>
      <c r="AD193" s="10">
        <v>0.43</v>
      </c>
      <c r="AE193" s="11">
        <v>0</v>
      </c>
      <c r="AF193" s="11">
        <v>0.17</v>
      </c>
      <c r="AG193" s="11">
        <v>0.44</v>
      </c>
      <c r="AH193" s="11">
        <v>0</v>
      </c>
      <c r="AI193" s="11">
        <v>0.24</v>
      </c>
      <c r="AJ193" s="11">
        <v>0</v>
      </c>
    </row>
    <row r="194" spans="4:36">
      <c r="D194" s="10">
        <v>42887</v>
      </c>
      <c r="E194" s="11">
        <v>5.3714706478047901E-2</v>
      </c>
      <c r="F194" s="11">
        <v>5.1585000000000001</v>
      </c>
      <c r="G194" s="11">
        <v>0.17</v>
      </c>
      <c r="H194" s="11">
        <v>-0.2</v>
      </c>
      <c r="I194" s="11">
        <v>0</v>
      </c>
      <c r="J194" s="11">
        <v>0.17</v>
      </c>
      <c r="K194" s="11">
        <v>-7.0000000000000007E-2</v>
      </c>
      <c r="L194" s="11">
        <v>5.0000000000000001E-3</v>
      </c>
      <c r="M194" s="11">
        <v>0.17</v>
      </c>
      <c r="N194" s="11">
        <v>-0.32</v>
      </c>
      <c r="O194" s="11">
        <v>0</v>
      </c>
      <c r="P194" s="11">
        <v>0.17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-0.80800000000000005</v>
      </c>
      <c r="X194" s="11">
        <v>4.9517596970439001E-3</v>
      </c>
      <c r="Y194" s="11">
        <v>0</v>
      </c>
      <c r="Z194" s="11">
        <v>0.02</v>
      </c>
      <c r="AA194" s="11">
        <v>0.17299999999999999</v>
      </c>
      <c r="AB194" s="11">
        <v>0</v>
      </c>
      <c r="AC194" s="11">
        <v>0</v>
      </c>
      <c r="AD194" s="10">
        <v>0.43</v>
      </c>
      <c r="AE194" s="11">
        <v>0</v>
      </c>
      <c r="AF194" s="11">
        <v>0.17</v>
      </c>
      <c r="AG194" s="11">
        <v>0.44</v>
      </c>
      <c r="AH194" s="11">
        <v>0</v>
      </c>
      <c r="AI194" s="11">
        <v>0.24</v>
      </c>
      <c r="AJ194" s="11">
        <v>0</v>
      </c>
    </row>
    <row r="195" spans="4:36">
      <c r="D195" s="10">
        <v>42917</v>
      </c>
      <c r="E195" s="11">
        <v>5.3768955619946497E-2</v>
      </c>
      <c r="F195" s="11">
        <v>5.2035</v>
      </c>
      <c r="G195" s="11">
        <v>0.17</v>
      </c>
      <c r="H195" s="11">
        <v>-0.2</v>
      </c>
      <c r="I195" s="11">
        <v>0</v>
      </c>
      <c r="J195" s="11">
        <v>0.17</v>
      </c>
      <c r="K195" s="11">
        <v>-7.0000000000000007E-2</v>
      </c>
      <c r="L195" s="11">
        <v>5.0000000000000001E-3</v>
      </c>
      <c r="M195" s="11">
        <v>0.17</v>
      </c>
      <c r="N195" s="11">
        <v>-0.32</v>
      </c>
      <c r="O195" s="11">
        <v>0</v>
      </c>
      <c r="P195" s="11">
        <v>0.17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-0.80800000000000005</v>
      </c>
      <c r="X195" s="11">
        <v>4.9522966043749001E-3</v>
      </c>
      <c r="Y195" s="11">
        <v>0</v>
      </c>
      <c r="Z195" s="11">
        <v>0.02</v>
      </c>
      <c r="AA195" s="11">
        <v>0.17299999999999999</v>
      </c>
      <c r="AB195" s="11">
        <v>0</v>
      </c>
      <c r="AC195" s="11">
        <v>0</v>
      </c>
      <c r="AD195" s="10">
        <v>0.43</v>
      </c>
      <c r="AE195" s="11">
        <v>0</v>
      </c>
      <c r="AF195" s="11">
        <v>0.17</v>
      </c>
      <c r="AG195" s="11">
        <v>0.44</v>
      </c>
      <c r="AH195" s="11">
        <v>0</v>
      </c>
      <c r="AI195" s="11">
        <v>0.24</v>
      </c>
      <c r="AJ195" s="11">
        <v>0</v>
      </c>
    </row>
    <row r="196" spans="4:36">
      <c r="D196" s="10">
        <v>42948</v>
      </c>
      <c r="E196" s="11">
        <v>5.38250130676063E-2</v>
      </c>
      <c r="F196" s="11">
        <v>5.2415000000000003</v>
      </c>
      <c r="G196" s="11">
        <v>0.17</v>
      </c>
      <c r="H196" s="11">
        <v>-0.2</v>
      </c>
      <c r="I196" s="11">
        <v>0</v>
      </c>
      <c r="J196" s="11">
        <v>0.17</v>
      </c>
      <c r="K196" s="11">
        <v>-7.0000000000000007E-2</v>
      </c>
      <c r="L196" s="11">
        <v>5.0000000000000001E-3</v>
      </c>
      <c r="M196" s="11">
        <v>0.17</v>
      </c>
      <c r="N196" s="11">
        <v>-0.32</v>
      </c>
      <c r="O196" s="11">
        <v>0</v>
      </c>
      <c r="P196" s="11">
        <v>0.17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-0.80800000000000005</v>
      </c>
      <c r="X196" s="11">
        <v>4.9528764431466003E-3</v>
      </c>
      <c r="Y196" s="11">
        <v>0</v>
      </c>
      <c r="Z196" s="11">
        <v>0.02</v>
      </c>
      <c r="AA196" s="11">
        <v>0.17299999999999999</v>
      </c>
      <c r="AB196" s="11">
        <v>0</v>
      </c>
      <c r="AC196" s="11">
        <v>0</v>
      </c>
      <c r="AD196" s="10">
        <v>0.43</v>
      </c>
      <c r="AE196" s="11">
        <v>0</v>
      </c>
      <c r="AF196" s="11">
        <v>0.17</v>
      </c>
      <c r="AG196" s="11">
        <v>0.44</v>
      </c>
      <c r="AH196" s="11">
        <v>0</v>
      </c>
      <c r="AI196" s="11">
        <v>0.24</v>
      </c>
      <c r="AJ196" s="11">
        <v>0</v>
      </c>
    </row>
    <row r="197" spans="4:36">
      <c r="D197" s="10">
        <v>42979</v>
      </c>
      <c r="E197" s="11">
        <v>5.3881070516312898E-2</v>
      </c>
      <c r="F197" s="11">
        <v>5.2355</v>
      </c>
      <c r="G197" s="11">
        <v>0.17</v>
      </c>
      <c r="H197" s="11">
        <v>-0.2</v>
      </c>
      <c r="I197" s="11">
        <v>0</v>
      </c>
      <c r="J197" s="11">
        <v>0.17</v>
      </c>
      <c r="K197" s="11">
        <v>-7.0000000000000007E-2</v>
      </c>
      <c r="L197" s="11">
        <v>5.0000000000000001E-3</v>
      </c>
      <c r="M197" s="11">
        <v>0.17</v>
      </c>
      <c r="N197" s="11">
        <v>-0.32</v>
      </c>
      <c r="O197" s="11">
        <v>0</v>
      </c>
      <c r="P197" s="11">
        <v>0.17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-0.80800000000000005</v>
      </c>
      <c r="X197" s="11">
        <v>4.9534817341957997E-3</v>
      </c>
      <c r="Y197" s="11">
        <v>0</v>
      </c>
      <c r="Z197" s="11">
        <v>0.02</v>
      </c>
      <c r="AA197" s="11">
        <v>0.17299999999999999</v>
      </c>
      <c r="AB197" s="11">
        <v>0</v>
      </c>
      <c r="AC197" s="11">
        <v>0</v>
      </c>
      <c r="AD197" s="10">
        <v>0.43</v>
      </c>
      <c r="AE197" s="11">
        <v>0</v>
      </c>
      <c r="AF197" s="11">
        <v>0.17</v>
      </c>
      <c r="AG197" s="11">
        <v>0.44</v>
      </c>
      <c r="AH197" s="11">
        <v>0</v>
      </c>
      <c r="AI197" s="11">
        <v>0.24</v>
      </c>
      <c r="AJ197" s="11">
        <v>0</v>
      </c>
    </row>
    <row r="198" spans="4:36">
      <c r="D198" s="10">
        <v>43009</v>
      </c>
      <c r="E198" s="11">
        <v>5.3935319661219797E-2</v>
      </c>
      <c r="F198" s="11">
        <v>5.2355</v>
      </c>
      <c r="G198" s="11">
        <v>0.17</v>
      </c>
      <c r="H198" s="11">
        <v>-0.2</v>
      </c>
      <c r="I198" s="11">
        <v>0</v>
      </c>
      <c r="J198" s="11">
        <v>0.17</v>
      </c>
      <c r="K198" s="11">
        <v>-7.0000000000000007E-2</v>
      </c>
      <c r="L198" s="11">
        <v>5.0000000000000001E-3</v>
      </c>
      <c r="M198" s="11">
        <v>0.17</v>
      </c>
      <c r="N198" s="11">
        <v>-0.32</v>
      </c>
      <c r="O198" s="11">
        <v>0</v>
      </c>
      <c r="P198" s="11">
        <v>0.17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-0.80800000000000005</v>
      </c>
      <c r="X198" s="11">
        <v>4.9540917410427002E-3</v>
      </c>
      <c r="Y198" s="11">
        <v>0</v>
      </c>
      <c r="Z198" s="11">
        <v>0.02</v>
      </c>
      <c r="AA198" s="11">
        <v>0.17299999999999999</v>
      </c>
      <c r="AB198" s="11">
        <v>0</v>
      </c>
      <c r="AC198" s="11">
        <v>0</v>
      </c>
      <c r="AD198" s="10">
        <v>0.43</v>
      </c>
      <c r="AE198" s="11">
        <v>0</v>
      </c>
      <c r="AF198" s="11">
        <v>0.17</v>
      </c>
      <c r="AG198" s="11">
        <v>0.44</v>
      </c>
      <c r="AH198" s="11">
        <v>0</v>
      </c>
      <c r="AI198" s="11">
        <v>0.24</v>
      </c>
      <c r="AJ198" s="11">
        <v>0</v>
      </c>
    </row>
    <row r="199" spans="4:36">
      <c r="D199" s="10">
        <v>43040</v>
      </c>
      <c r="E199" s="11">
        <v>5.3991377111986899E-2</v>
      </c>
      <c r="F199" s="11">
        <v>5.4055</v>
      </c>
      <c r="G199" s="11">
        <v>0.17</v>
      </c>
      <c r="H199" s="11">
        <v>-0.13</v>
      </c>
      <c r="I199" s="11">
        <v>0</v>
      </c>
      <c r="J199" s="11">
        <v>0.17</v>
      </c>
      <c r="K199" s="11">
        <v>-7.0000000000000007E-2</v>
      </c>
      <c r="L199" s="11">
        <v>5.0000000000000001E-3</v>
      </c>
      <c r="M199" s="11">
        <v>0.17</v>
      </c>
      <c r="N199" s="11">
        <v>-0.24</v>
      </c>
      <c r="O199" s="11">
        <v>0</v>
      </c>
      <c r="P199" s="11">
        <v>0.17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-0.70799999999999996</v>
      </c>
      <c r="X199" s="11">
        <v>4.9547471387911997E-3</v>
      </c>
      <c r="Y199" s="11">
        <v>0</v>
      </c>
      <c r="Z199" s="11">
        <v>0.06</v>
      </c>
      <c r="AA199" s="11">
        <v>0.17299999999999999</v>
      </c>
      <c r="AB199" s="11">
        <v>0</v>
      </c>
      <c r="AC199" s="11">
        <v>0</v>
      </c>
      <c r="AD199" s="10">
        <v>0.35</v>
      </c>
      <c r="AE199" s="11">
        <v>0</v>
      </c>
      <c r="AF199" s="11">
        <v>0.17</v>
      </c>
      <c r="AG199" s="11">
        <v>0.5</v>
      </c>
      <c r="AH199" s="11">
        <v>0</v>
      </c>
      <c r="AI199" s="11">
        <v>0.3</v>
      </c>
      <c r="AJ199" s="11">
        <v>0</v>
      </c>
    </row>
    <row r="200" spans="4:36">
      <c r="D200" s="10">
        <v>43070</v>
      </c>
      <c r="E200" s="11">
        <v>5.4045626258887799E-2</v>
      </c>
      <c r="F200" s="11">
        <v>5.5365000000000002</v>
      </c>
      <c r="G200" s="11">
        <v>0.17</v>
      </c>
      <c r="H200" s="11">
        <v>-0.13</v>
      </c>
      <c r="I200" s="11">
        <v>0</v>
      </c>
      <c r="J200" s="11">
        <v>0.17</v>
      </c>
      <c r="K200" s="11">
        <v>-7.0000000000000007E-2</v>
      </c>
      <c r="L200" s="11">
        <v>5.0000000000000001E-3</v>
      </c>
      <c r="M200" s="11">
        <v>0.17</v>
      </c>
      <c r="N200" s="11">
        <v>-0.24</v>
      </c>
      <c r="O200" s="11">
        <v>0</v>
      </c>
      <c r="P200" s="11">
        <v>0.17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-0.70799999999999996</v>
      </c>
      <c r="X200" s="11">
        <v>4.9554056517143001E-3</v>
      </c>
      <c r="Y200" s="11">
        <v>0</v>
      </c>
      <c r="Z200" s="11">
        <v>0.06</v>
      </c>
      <c r="AA200" s="11">
        <v>0.17299999999999999</v>
      </c>
      <c r="AB200" s="11">
        <v>0</v>
      </c>
      <c r="AC200" s="11">
        <v>0</v>
      </c>
      <c r="AD200" s="10">
        <v>0.35</v>
      </c>
      <c r="AE200" s="11">
        <v>0</v>
      </c>
      <c r="AF200" s="11">
        <v>0.17</v>
      </c>
      <c r="AG200" s="11">
        <v>0.56999999999999995</v>
      </c>
      <c r="AH200" s="11">
        <v>0</v>
      </c>
      <c r="AI200" s="11">
        <v>0.37</v>
      </c>
      <c r="AJ200" s="11">
        <v>0</v>
      </c>
    </row>
    <row r="201" spans="4:36">
      <c r="D201" s="10">
        <v>43101</v>
      </c>
      <c r="E201" s="11">
        <v>5.41016837117154E-2</v>
      </c>
      <c r="F201" s="11">
        <v>5.609</v>
      </c>
      <c r="G201" s="11">
        <v>0.17</v>
      </c>
      <c r="H201" s="11">
        <v>-0.13</v>
      </c>
      <c r="I201" s="11">
        <v>0</v>
      </c>
      <c r="J201" s="11">
        <v>0.17</v>
      </c>
      <c r="K201" s="11">
        <v>-7.0000000000000007E-2</v>
      </c>
      <c r="L201" s="11">
        <v>5.0000000000000001E-3</v>
      </c>
      <c r="M201" s="11">
        <v>0.17</v>
      </c>
      <c r="N201" s="11">
        <v>-0.24</v>
      </c>
      <c r="O201" s="11">
        <v>0</v>
      </c>
      <c r="P201" s="11">
        <v>0.17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-0.70799999999999996</v>
      </c>
      <c r="X201" s="11">
        <v>4.9561111894055E-3</v>
      </c>
      <c r="Y201" s="11">
        <v>0</v>
      </c>
      <c r="Z201" s="11">
        <v>0.06</v>
      </c>
      <c r="AA201" s="11">
        <v>0.17299999999999999</v>
      </c>
      <c r="AB201" s="11">
        <v>0</v>
      </c>
      <c r="AC201" s="11">
        <v>0</v>
      </c>
      <c r="AD201" s="10">
        <v>0.35</v>
      </c>
      <c r="AE201" s="11">
        <v>0</v>
      </c>
      <c r="AF201" s="11">
        <v>0.17</v>
      </c>
      <c r="AG201" s="11">
        <v>0.56999999999999995</v>
      </c>
      <c r="AH201" s="11">
        <v>0</v>
      </c>
      <c r="AI201" s="11">
        <v>0.37</v>
      </c>
      <c r="AJ201" s="11">
        <v>0</v>
      </c>
    </row>
    <row r="202" spans="4:36">
      <c r="D202" s="10">
        <v>43132</v>
      </c>
      <c r="E202" s="11">
        <v>5.4157741165590197E-2</v>
      </c>
      <c r="F202" s="11">
        <v>5.5209999999999999</v>
      </c>
      <c r="G202" s="11">
        <v>0.17</v>
      </c>
      <c r="H202" s="11">
        <v>-0.13</v>
      </c>
      <c r="I202" s="11">
        <v>0</v>
      </c>
      <c r="J202" s="11">
        <v>0.17</v>
      </c>
      <c r="K202" s="11">
        <v>-7.0000000000000007E-2</v>
      </c>
      <c r="L202" s="11">
        <v>5.0000000000000001E-3</v>
      </c>
      <c r="M202" s="11">
        <v>0.17</v>
      </c>
      <c r="N202" s="11">
        <v>-0.24</v>
      </c>
      <c r="O202" s="11">
        <v>0</v>
      </c>
      <c r="P202" s="11">
        <v>0.17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-0.70799999999999996</v>
      </c>
      <c r="X202" s="11">
        <v>4.9568422217489997E-3</v>
      </c>
      <c r="Y202" s="11">
        <v>0</v>
      </c>
      <c r="Z202" s="11">
        <v>0.06</v>
      </c>
      <c r="AA202" s="11">
        <v>0.17299999999999999</v>
      </c>
      <c r="AB202" s="11">
        <v>0</v>
      </c>
      <c r="AC202" s="11">
        <v>0</v>
      </c>
      <c r="AD202" s="10">
        <v>0.35</v>
      </c>
      <c r="AE202" s="11">
        <v>0</v>
      </c>
      <c r="AF202" s="11">
        <v>0.17</v>
      </c>
      <c r="AG202" s="11">
        <v>0.56999999999999995</v>
      </c>
      <c r="AH202" s="11">
        <v>0</v>
      </c>
      <c r="AI202" s="11">
        <v>0.37</v>
      </c>
      <c r="AJ202" s="11">
        <v>0</v>
      </c>
    </row>
    <row r="203" spans="4:36">
      <c r="D203" s="10">
        <v>43160</v>
      </c>
      <c r="E203" s="11">
        <v>5.4208373705474197E-2</v>
      </c>
      <c r="F203" s="11">
        <v>5.3819999999999997</v>
      </c>
      <c r="G203" s="11">
        <v>0.17</v>
      </c>
      <c r="H203" s="11">
        <v>-0.13</v>
      </c>
      <c r="I203" s="11">
        <v>0</v>
      </c>
      <c r="J203" s="11">
        <v>0.17</v>
      </c>
      <c r="K203" s="11">
        <v>-7.0000000000000007E-2</v>
      </c>
      <c r="L203" s="11">
        <v>5.0000000000000001E-3</v>
      </c>
      <c r="M203" s="11">
        <v>0.17</v>
      </c>
      <c r="N203" s="11">
        <v>-0.24</v>
      </c>
      <c r="O203" s="11">
        <v>0</v>
      </c>
      <c r="P203" s="11">
        <v>0.17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-0.70799999999999996</v>
      </c>
      <c r="X203" s="11">
        <v>4.9575244303267998E-3</v>
      </c>
      <c r="Y203" s="11">
        <v>0</v>
      </c>
      <c r="Z203" s="11">
        <v>0.06</v>
      </c>
      <c r="AA203" s="11">
        <v>0.17299999999999999</v>
      </c>
      <c r="AB203" s="11">
        <v>0</v>
      </c>
      <c r="AC203" s="11">
        <v>0</v>
      </c>
      <c r="AD203" s="10">
        <v>0.35</v>
      </c>
      <c r="AE203" s="11">
        <v>0</v>
      </c>
      <c r="AF203" s="11">
        <v>0.17</v>
      </c>
      <c r="AG203" s="11">
        <v>0.56999999999999995</v>
      </c>
      <c r="AH203" s="11">
        <v>0</v>
      </c>
      <c r="AI203" s="11">
        <v>0.37</v>
      </c>
      <c r="AJ203" s="11">
        <v>0</v>
      </c>
    </row>
    <row r="204" spans="4:36">
      <c r="D204" s="10">
        <v>43191</v>
      </c>
      <c r="E204" s="11">
        <v>5.4264431161342497E-2</v>
      </c>
      <c r="F204" s="11">
        <v>5.2279999999999998</v>
      </c>
      <c r="G204" s="11">
        <v>0.17</v>
      </c>
      <c r="H204" s="11">
        <v>-0.2</v>
      </c>
      <c r="I204" s="11">
        <v>0</v>
      </c>
      <c r="J204" s="11">
        <v>0.17</v>
      </c>
      <c r="K204" s="11">
        <v>-7.0000000000000007E-2</v>
      </c>
      <c r="L204" s="11">
        <v>5.0000000000000001E-3</v>
      </c>
      <c r="M204" s="11">
        <v>0.17</v>
      </c>
      <c r="N204" s="11">
        <v>-0.32</v>
      </c>
      <c r="O204" s="11">
        <v>0</v>
      </c>
      <c r="P204" s="11">
        <v>0.17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-0.80800000000000005</v>
      </c>
      <c r="X204" s="11">
        <v>4.9583040120150003E-3</v>
      </c>
      <c r="Y204" s="11">
        <v>0</v>
      </c>
      <c r="Z204" s="11">
        <v>0.02</v>
      </c>
      <c r="AA204" s="11">
        <v>0.17299999999999999</v>
      </c>
      <c r="AB204" s="11">
        <v>0</v>
      </c>
      <c r="AC204" s="11">
        <v>0</v>
      </c>
      <c r="AD204" s="10">
        <v>0.43</v>
      </c>
      <c r="AE204" s="11">
        <v>0</v>
      </c>
      <c r="AF204" s="11">
        <v>0.17</v>
      </c>
      <c r="AG204" s="11">
        <v>0.44</v>
      </c>
      <c r="AH204" s="11">
        <v>0</v>
      </c>
      <c r="AI204" s="11">
        <v>0.24</v>
      </c>
      <c r="AJ204" s="11">
        <v>0</v>
      </c>
    </row>
    <row r="205" spans="4:36">
      <c r="D205" s="10">
        <v>43221</v>
      </c>
      <c r="E205" s="11">
        <v>5.4318680313178602E-2</v>
      </c>
      <c r="F205" s="11">
        <v>5.2329999999999997</v>
      </c>
      <c r="G205" s="11">
        <v>0.17</v>
      </c>
      <c r="H205" s="11">
        <v>-0.2</v>
      </c>
      <c r="I205" s="11">
        <v>0</v>
      </c>
      <c r="J205" s="11">
        <v>0.17</v>
      </c>
      <c r="K205" s="11">
        <v>-7.0000000000000007E-2</v>
      </c>
      <c r="L205" s="11">
        <v>5.0000000000000001E-3</v>
      </c>
      <c r="M205" s="11">
        <v>0.17</v>
      </c>
      <c r="N205" s="11">
        <v>-0.32</v>
      </c>
      <c r="O205" s="11">
        <v>0</v>
      </c>
      <c r="P205" s="11">
        <v>0.17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-0.80800000000000005</v>
      </c>
      <c r="X205" s="11">
        <v>4.9590827480872996E-3</v>
      </c>
      <c r="Y205" s="11">
        <v>0</v>
      </c>
      <c r="Z205" s="11">
        <v>0.02</v>
      </c>
      <c r="AA205" s="11">
        <v>0.17299999999999999</v>
      </c>
      <c r="AB205" s="11">
        <v>0</v>
      </c>
      <c r="AC205" s="11">
        <v>0</v>
      </c>
      <c r="AD205" s="10">
        <v>0.43</v>
      </c>
      <c r="AE205" s="11">
        <v>0</v>
      </c>
      <c r="AF205" s="11">
        <v>0.17</v>
      </c>
      <c r="AG205" s="11">
        <v>0.44</v>
      </c>
      <c r="AH205" s="11">
        <v>0</v>
      </c>
      <c r="AI205" s="11">
        <v>0.24</v>
      </c>
      <c r="AJ205" s="11">
        <v>0</v>
      </c>
    </row>
    <row r="206" spans="4:36">
      <c r="D206" s="10">
        <v>43252</v>
      </c>
      <c r="E206" s="11">
        <v>5.4374737771106997E-2</v>
      </c>
      <c r="F206" s="11">
        <v>5.2709999999999999</v>
      </c>
      <c r="G206" s="11">
        <v>0.17</v>
      </c>
      <c r="H206" s="11">
        <v>-0.2</v>
      </c>
      <c r="I206" s="11">
        <v>0</v>
      </c>
      <c r="J206" s="11">
        <v>0.17</v>
      </c>
      <c r="K206" s="11">
        <v>-7.0000000000000007E-2</v>
      </c>
      <c r="L206" s="11">
        <v>5.0000000000000001E-3</v>
      </c>
      <c r="M206" s="11">
        <v>0.17</v>
      </c>
      <c r="N206" s="11">
        <v>-0.32</v>
      </c>
      <c r="O206" s="11">
        <v>0</v>
      </c>
      <c r="P206" s="11">
        <v>0.17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-0.80800000000000005</v>
      </c>
      <c r="X206" s="11">
        <v>4.9599125648764003E-3</v>
      </c>
      <c r="Y206" s="11">
        <v>0</v>
      </c>
      <c r="Z206" s="11">
        <v>0.02</v>
      </c>
      <c r="AA206" s="11">
        <v>0.17299999999999999</v>
      </c>
      <c r="AB206" s="11">
        <v>0</v>
      </c>
      <c r="AC206" s="11">
        <v>0</v>
      </c>
      <c r="AD206" s="10">
        <v>0.43</v>
      </c>
      <c r="AE206" s="11">
        <v>0</v>
      </c>
      <c r="AF206" s="11">
        <v>0.17</v>
      </c>
      <c r="AG206" s="11">
        <v>0.44</v>
      </c>
      <c r="AH206" s="11">
        <v>0</v>
      </c>
      <c r="AI206" s="11">
        <v>0.24</v>
      </c>
      <c r="AJ206" s="11">
        <v>0</v>
      </c>
    </row>
    <row r="207" spans="4:36">
      <c r="D207" s="10">
        <v>43282</v>
      </c>
      <c r="E207" s="11">
        <v>5.44289869249375E-2</v>
      </c>
      <c r="F207" s="11">
        <v>5.3159999999999998</v>
      </c>
      <c r="G207" s="11">
        <v>0.17</v>
      </c>
      <c r="H207" s="11">
        <v>-0.2</v>
      </c>
      <c r="I207" s="11">
        <v>0</v>
      </c>
      <c r="K207" s="11">
        <v>-7.0000000000000007E-2</v>
      </c>
      <c r="L207" s="11">
        <v>5.0000000000000001E-3</v>
      </c>
      <c r="N207" s="11">
        <v>-0.32</v>
      </c>
      <c r="O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-0.80800000000000005</v>
      </c>
      <c r="X207" s="11">
        <v>4.9607399363173999E-3</v>
      </c>
      <c r="Y207" s="11">
        <v>0</v>
      </c>
      <c r="Z207" s="11">
        <v>0.02</v>
      </c>
      <c r="AB207" s="11">
        <v>0</v>
      </c>
      <c r="AC207" s="11">
        <v>0</v>
      </c>
      <c r="AD207" s="10">
        <v>0.43</v>
      </c>
      <c r="AE207" s="11">
        <v>0</v>
      </c>
      <c r="AG207" s="11">
        <v>0.44</v>
      </c>
      <c r="AH207" s="11">
        <v>0</v>
      </c>
      <c r="AI207" s="11">
        <v>0.24</v>
      </c>
      <c r="AJ207" s="11">
        <v>0</v>
      </c>
    </row>
    <row r="208" spans="4:36">
      <c r="D208" s="10">
        <v>43313</v>
      </c>
      <c r="E208" s="11">
        <v>5.4485044384925602E-2</v>
      </c>
      <c r="F208" s="11">
        <v>5.3540000000000001</v>
      </c>
      <c r="G208" s="11">
        <v>0.17</v>
      </c>
      <c r="H208" s="11">
        <v>-0.2</v>
      </c>
      <c r="I208" s="11">
        <v>0</v>
      </c>
      <c r="K208" s="11">
        <v>-7.0000000000000007E-2</v>
      </c>
      <c r="L208" s="11">
        <v>5.0000000000000001E-3</v>
      </c>
      <c r="N208" s="11">
        <v>-0.32</v>
      </c>
      <c r="O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-0.80800000000000005</v>
      </c>
      <c r="X208" s="11">
        <v>4.9616200318551001E-3</v>
      </c>
      <c r="Y208" s="11">
        <v>0</v>
      </c>
      <c r="Z208" s="11">
        <v>0.02</v>
      </c>
      <c r="AB208" s="11">
        <v>0</v>
      </c>
      <c r="AC208" s="11">
        <v>0</v>
      </c>
      <c r="AD208" s="10">
        <v>0.43</v>
      </c>
      <c r="AE208" s="11">
        <v>0</v>
      </c>
      <c r="AG208" s="11">
        <v>0.44</v>
      </c>
      <c r="AH208" s="11">
        <v>0</v>
      </c>
      <c r="AI208" s="11">
        <v>0.24</v>
      </c>
      <c r="AJ208" s="11">
        <v>0</v>
      </c>
    </row>
    <row r="209" spans="4:36">
      <c r="D209" s="10">
        <v>43344</v>
      </c>
      <c r="E209" s="11">
        <v>5.4541101845960498E-2</v>
      </c>
      <c r="F209" s="11">
        <v>5.3479999999999999</v>
      </c>
      <c r="G209" s="11">
        <v>0.17</v>
      </c>
      <c r="H209" s="11">
        <v>-0.2</v>
      </c>
      <c r="I209" s="11">
        <v>0</v>
      </c>
      <c r="K209" s="11">
        <v>-7.0000000000000007E-2</v>
      </c>
      <c r="L209" s="11">
        <v>5.0000000000000001E-3</v>
      </c>
      <c r="N209" s="11">
        <v>-0.32</v>
      </c>
      <c r="O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-0.80800000000000005</v>
      </c>
      <c r="X209" s="11">
        <v>4.9625256965766997E-3</v>
      </c>
      <c r="Y209" s="11">
        <v>0</v>
      </c>
      <c r="Z209" s="11">
        <v>0.02</v>
      </c>
      <c r="AB209" s="11">
        <v>0</v>
      </c>
      <c r="AC209" s="11">
        <v>0</v>
      </c>
      <c r="AD209" s="10">
        <v>0.43</v>
      </c>
      <c r="AE209" s="11">
        <v>0</v>
      </c>
      <c r="AG209" s="11">
        <v>0.44</v>
      </c>
      <c r="AH209" s="11">
        <v>0</v>
      </c>
      <c r="AI209" s="11">
        <v>0.24</v>
      </c>
      <c r="AJ209" s="11">
        <v>0</v>
      </c>
    </row>
    <row r="210" spans="4:36">
      <c r="D210" s="10">
        <v>43374</v>
      </c>
      <c r="E210" s="11">
        <v>5.4595351002797901E-2</v>
      </c>
      <c r="F210" s="11">
        <v>5.3479999999999999</v>
      </c>
      <c r="G210" s="11">
        <v>0.17</v>
      </c>
      <c r="H210" s="11">
        <v>-0.2</v>
      </c>
      <c r="I210" s="11">
        <v>0</v>
      </c>
      <c r="K210" s="11">
        <v>-7.0000000000000007E-2</v>
      </c>
      <c r="L210" s="11">
        <v>5.0000000000000001E-3</v>
      </c>
      <c r="N210" s="11">
        <v>-0.32</v>
      </c>
      <c r="O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-0.80800000000000005</v>
      </c>
      <c r="X210" s="11">
        <v>4.963426503292E-3</v>
      </c>
      <c r="Y210" s="11">
        <v>0</v>
      </c>
      <c r="Z210" s="11">
        <v>0.02</v>
      </c>
      <c r="AB210" s="11">
        <v>0</v>
      </c>
      <c r="AC210" s="11">
        <v>0</v>
      </c>
      <c r="AD210" s="10">
        <v>0.43</v>
      </c>
      <c r="AE210" s="11">
        <v>0</v>
      </c>
      <c r="AG210" s="11">
        <v>0.44</v>
      </c>
      <c r="AH210" s="11">
        <v>0</v>
      </c>
      <c r="AI210" s="11">
        <v>0.24</v>
      </c>
      <c r="AJ210" s="11">
        <v>0</v>
      </c>
    </row>
    <row r="211" spans="4:36">
      <c r="D211" s="10">
        <v>43405</v>
      </c>
      <c r="E211" s="11">
        <v>5.4651408465892899E-2</v>
      </c>
      <c r="F211" s="11">
        <v>5.5179999999999998</v>
      </c>
      <c r="G211" s="11">
        <v>0.17</v>
      </c>
      <c r="H211" s="11">
        <v>-0.13</v>
      </c>
      <c r="I211" s="11">
        <v>0</v>
      </c>
      <c r="K211" s="11">
        <v>-7.0000000000000007E-2</v>
      </c>
      <c r="L211" s="11">
        <v>5.0000000000000001E-3</v>
      </c>
      <c r="N211" s="11">
        <v>-0.24</v>
      </c>
      <c r="O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-0.70799999999999996</v>
      </c>
      <c r="X211" s="11">
        <v>4.9643825182698002E-3</v>
      </c>
      <c r="Y211" s="11">
        <v>0</v>
      </c>
      <c r="Z211" s="11">
        <v>0.06</v>
      </c>
      <c r="AB211" s="11">
        <v>0</v>
      </c>
      <c r="AC211" s="11">
        <v>0</v>
      </c>
      <c r="AD211" s="10">
        <v>0.35</v>
      </c>
      <c r="AE211" s="11">
        <v>0</v>
      </c>
      <c r="AG211" s="11">
        <v>0.5</v>
      </c>
      <c r="AH211" s="11">
        <v>0</v>
      </c>
      <c r="AI211" s="11">
        <v>0.3</v>
      </c>
      <c r="AJ211" s="11">
        <v>0</v>
      </c>
    </row>
    <row r="212" spans="4:36">
      <c r="D212" s="10">
        <v>43435</v>
      </c>
      <c r="E212" s="11">
        <v>5.4705657624723798E-2</v>
      </c>
      <c r="F212" s="11">
        <v>5.649</v>
      </c>
      <c r="G212" s="11">
        <v>0.17</v>
      </c>
      <c r="H212" s="11">
        <v>-0.13</v>
      </c>
      <c r="I212" s="11">
        <v>0</v>
      </c>
      <c r="K212" s="11">
        <v>-7.0000000000000007E-2</v>
      </c>
      <c r="L212" s="11">
        <v>5.0000000000000001E-3</v>
      </c>
      <c r="N212" s="11">
        <v>-0.24</v>
      </c>
      <c r="O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-0.70799999999999996</v>
      </c>
      <c r="X212" s="11">
        <v>4.9653320754397996E-3</v>
      </c>
      <c r="Y212" s="11">
        <v>0</v>
      </c>
      <c r="Z212" s="11">
        <v>0.06</v>
      </c>
      <c r="AB212" s="11">
        <v>0</v>
      </c>
      <c r="AC212" s="11">
        <v>0</v>
      </c>
      <c r="AD212" s="10">
        <v>0.35</v>
      </c>
      <c r="AE212" s="11">
        <v>0</v>
      </c>
      <c r="AG212" s="11">
        <v>0.56999999999999995</v>
      </c>
      <c r="AH212" s="11">
        <v>0</v>
      </c>
      <c r="AI212" s="11">
        <v>0.37</v>
      </c>
      <c r="AJ212" s="11">
        <v>0</v>
      </c>
    </row>
    <row r="213" spans="4:36">
      <c r="D213" s="10">
        <v>43466</v>
      </c>
      <c r="E213" s="11">
        <v>5.4761715089878503E-2</v>
      </c>
      <c r="F213" s="11">
        <v>5.7214999999999998</v>
      </c>
      <c r="G213" s="11">
        <v>0.17</v>
      </c>
      <c r="H213" s="11">
        <v>-0.13</v>
      </c>
      <c r="I213" s="11">
        <v>0</v>
      </c>
      <c r="K213" s="11">
        <v>-7.0000000000000007E-2</v>
      </c>
      <c r="L213" s="11">
        <v>5.0000000000000001E-3</v>
      </c>
      <c r="N213" s="11">
        <v>-0.24</v>
      </c>
      <c r="O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0</v>
      </c>
      <c r="V213" s="11">
        <v>0</v>
      </c>
      <c r="W213" s="11">
        <v>-0.70799999999999996</v>
      </c>
      <c r="X213" s="11">
        <v>4.9663384918575996E-3</v>
      </c>
      <c r="Y213" s="11">
        <v>0</v>
      </c>
      <c r="Z213" s="11">
        <v>0.06</v>
      </c>
      <c r="AB213" s="11">
        <v>0</v>
      </c>
      <c r="AC213" s="11">
        <v>0</v>
      </c>
      <c r="AD213" s="10">
        <v>0.35</v>
      </c>
      <c r="AE213" s="11">
        <v>0</v>
      </c>
      <c r="AG213" s="11">
        <v>0.56999999999999995</v>
      </c>
      <c r="AH213" s="11">
        <v>0</v>
      </c>
      <c r="AI213" s="11">
        <v>0.37</v>
      </c>
      <c r="AJ213" s="11">
        <v>0</v>
      </c>
    </row>
    <row r="214" spans="4:36">
      <c r="D214" s="10">
        <v>43497</v>
      </c>
      <c r="E214" s="11">
        <v>5.48177725560808E-2</v>
      </c>
      <c r="F214" s="11">
        <v>5.6334999999999997</v>
      </c>
      <c r="G214" s="11">
        <v>0.17</v>
      </c>
      <c r="H214" s="11">
        <v>-0.13</v>
      </c>
      <c r="I214" s="11">
        <v>0</v>
      </c>
      <c r="K214" s="11">
        <v>-7.0000000000000007E-2</v>
      </c>
      <c r="L214" s="11">
        <v>0</v>
      </c>
      <c r="N214" s="11">
        <v>-0.24</v>
      </c>
      <c r="O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-0.70799999999999996</v>
      </c>
      <c r="X214" s="11">
        <v>4.9673705427021996E-3</v>
      </c>
      <c r="Y214" s="11">
        <v>0</v>
      </c>
      <c r="Z214" s="11">
        <v>0.06</v>
      </c>
      <c r="AB214" s="11">
        <v>0</v>
      </c>
      <c r="AC214" s="11">
        <v>0</v>
      </c>
      <c r="AD214" s="10">
        <v>0.35</v>
      </c>
      <c r="AE214" s="11">
        <v>0</v>
      </c>
      <c r="AG214" s="11">
        <v>0.56999999999999995</v>
      </c>
      <c r="AH214" s="11">
        <v>0</v>
      </c>
      <c r="AI214" s="11">
        <v>0.37</v>
      </c>
      <c r="AJ214" s="11">
        <v>0</v>
      </c>
    </row>
    <row r="215" spans="4:36">
      <c r="D215" s="10">
        <v>43525</v>
      </c>
      <c r="E215" s="11">
        <v>5.4868405107097597E-2</v>
      </c>
      <c r="F215" s="11">
        <v>5.4945000000000004</v>
      </c>
      <c r="G215" s="11">
        <v>0.17</v>
      </c>
      <c r="H215" s="11">
        <v>-0.13</v>
      </c>
      <c r="I215" s="11">
        <v>0</v>
      </c>
      <c r="K215" s="11">
        <v>-7.0000000000000007E-2</v>
      </c>
      <c r="L215" s="11">
        <v>0</v>
      </c>
      <c r="N215" s="11">
        <v>-0.24</v>
      </c>
      <c r="O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-0.70799999999999996</v>
      </c>
      <c r="X215" s="11">
        <v>4.9683247629588E-3</v>
      </c>
      <c r="Y215" s="11">
        <v>0</v>
      </c>
      <c r="Z215" s="11">
        <v>0.06</v>
      </c>
      <c r="AB215" s="11">
        <v>0</v>
      </c>
      <c r="AC215" s="11">
        <v>0</v>
      </c>
      <c r="AD215" s="10">
        <v>0.35</v>
      </c>
      <c r="AE215" s="11">
        <v>0</v>
      </c>
      <c r="AG215" s="11">
        <v>0.56999999999999995</v>
      </c>
      <c r="AH215" s="11">
        <v>0</v>
      </c>
      <c r="AI215" s="11">
        <v>0.37</v>
      </c>
      <c r="AJ215" s="11">
        <v>0</v>
      </c>
    </row>
    <row r="216" spans="4:36">
      <c r="D216" s="10">
        <v>43556</v>
      </c>
      <c r="E216" s="11">
        <v>5.4924462575292002E-2</v>
      </c>
      <c r="F216" s="11">
        <v>5.3404999999999996</v>
      </c>
      <c r="G216" s="11">
        <v>0.17</v>
      </c>
      <c r="H216" s="11">
        <v>-0.2</v>
      </c>
      <c r="I216" s="11">
        <v>0</v>
      </c>
      <c r="K216" s="11">
        <v>-7.0000000000000007E-2</v>
      </c>
      <c r="L216" s="11">
        <v>0</v>
      </c>
      <c r="N216" s="11">
        <v>-0.32</v>
      </c>
      <c r="O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0</v>
      </c>
      <c r="W216" s="11">
        <v>-0.80800000000000005</v>
      </c>
      <c r="X216" s="11">
        <v>4.9694056419984003E-3</v>
      </c>
      <c r="Y216" s="11">
        <v>0</v>
      </c>
      <c r="Z216" s="11">
        <v>0.02</v>
      </c>
      <c r="AB216" s="11">
        <v>0</v>
      </c>
      <c r="AC216" s="11">
        <v>0</v>
      </c>
      <c r="AD216" s="10">
        <v>0.43</v>
      </c>
      <c r="AE216" s="11">
        <v>0</v>
      </c>
      <c r="AG216" s="11">
        <v>0.44</v>
      </c>
      <c r="AH216" s="11">
        <v>0</v>
      </c>
      <c r="AI216" s="11">
        <v>0.24</v>
      </c>
      <c r="AJ216" s="11">
        <v>0</v>
      </c>
    </row>
    <row r="217" spans="4:36">
      <c r="D217" s="10">
        <v>43586</v>
      </c>
      <c r="E217" s="11">
        <v>5.4978711739056801E-2</v>
      </c>
      <c r="F217" s="11">
        <v>5.3455000000000004</v>
      </c>
      <c r="G217" s="11">
        <v>0.17</v>
      </c>
      <c r="H217" s="11">
        <v>-0.2</v>
      </c>
      <c r="I217" s="11">
        <v>0</v>
      </c>
      <c r="K217" s="11">
        <v>-7.0000000000000007E-2</v>
      </c>
      <c r="L217" s="11">
        <v>0</v>
      </c>
      <c r="N217" s="11">
        <v>-0.32</v>
      </c>
      <c r="O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-0.80800000000000005</v>
      </c>
      <c r="X217" s="11">
        <v>4.9704761020299996E-3</v>
      </c>
      <c r="Y217" s="11">
        <v>0</v>
      </c>
      <c r="Z217" s="11">
        <v>0.02</v>
      </c>
      <c r="AB217" s="11">
        <v>0</v>
      </c>
      <c r="AC217" s="11">
        <v>0</v>
      </c>
      <c r="AD217" s="10">
        <v>0.43</v>
      </c>
      <c r="AE217" s="11">
        <v>0</v>
      </c>
      <c r="AG217" s="11">
        <v>0.44</v>
      </c>
      <c r="AH217" s="11">
        <v>0</v>
      </c>
      <c r="AI217" s="11">
        <v>0.24</v>
      </c>
      <c r="AJ217" s="11">
        <v>0</v>
      </c>
    </row>
    <row r="218" spans="4:36">
      <c r="D218" s="10">
        <v>43617</v>
      </c>
      <c r="E218" s="11">
        <v>5.5034769209310497E-2</v>
      </c>
      <c r="F218" s="11">
        <v>5.3834999999999997</v>
      </c>
      <c r="G218" s="11">
        <v>0.17</v>
      </c>
      <c r="H218" s="11">
        <v>-0.2</v>
      </c>
      <c r="I218" s="11">
        <v>0</v>
      </c>
      <c r="K218" s="11">
        <v>-7.0000000000000007E-2</v>
      </c>
      <c r="L218" s="11">
        <v>0</v>
      </c>
      <c r="N218" s="11">
        <v>-0.32</v>
      </c>
      <c r="O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-0.80800000000000005</v>
      </c>
      <c r="X218" s="11">
        <v>4.9716075221779999E-3</v>
      </c>
      <c r="Y218" s="11">
        <v>0</v>
      </c>
      <c r="Z218" s="11">
        <v>0.02</v>
      </c>
      <c r="AB218" s="11">
        <v>0</v>
      </c>
      <c r="AC218" s="11">
        <v>0</v>
      </c>
      <c r="AD218" s="10">
        <v>0.43</v>
      </c>
      <c r="AE218" s="11">
        <v>0</v>
      </c>
      <c r="AG218" s="11">
        <v>0.44</v>
      </c>
      <c r="AH218" s="11">
        <v>0</v>
      </c>
      <c r="AI218" s="11">
        <v>0.24</v>
      </c>
      <c r="AJ218" s="11">
        <v>0</v>
      </c>
    </row>
    <row r="219" spans="4:36">
      <c r="D219" s="10">
        <v>43647</v>
      </c>
      <c r="E219" s="11">
        <v>5.5089018375068299E-2</v>
      </c>
      <c r="F219" s="11">
        <v>5.4284999999999997</v>
      </c>
      <c r="G219" s="11">
        <v>0.17</v>
      </c>
      <c r="H219" s="11">
        <v>-0.2</v>
      </c>
      <c r="I219" s="11">
        <v>0</v>
      </c>
      <c r="K219" s="11">
        <v>-7.0000000000000007E-2</v>
      </c>
      <c r="L219" s="11">
        <v>0</v>
      </c>
      <c r="N219" s="11">
        <v>-0.32</v>
      </c>
      <c r="O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0</v>
      </c>
      <c r="W219" s="11">
        <v>-0.80800000000000005</v>
      </c>
      <c r="X219" s="11">
        <v>4.9727269224334996E-3</v>
      </c>
      <c r="Y219" s="11">
        <v>0</v>
      </c>
      <c r="Z219" s="11">
        <v>0.02</v>
      </c>
      <c r="AB219" s="11">
        <v>0</v>
      </c>
      <c r="AC219" s="11">
        <v>0</v>
      </c>
      <c r="AD219" s="10">
        <v>0.43</v>
      </c>
      <c r="AE219" s="11">
        <v>0</v>
      </c>
      <c r="AG219" s="11">
        <v>0.44</v>
      </c>
      <c r="AH219" s="11">
        <v>0</v>
      </c>
      <c r="AI219" s="11">
        <v>0.24</v>
      </c>
      <c r="AJ219" s="11">
        <v>0</v>
      </c>
    </row>
    <row r="220" spans="4:36">
      <c r="D220" s="10">
        <v>43678</v>
      </c>
      <c r="E220" s="11">
        <v>5.5145075847381299E-2</v>
      </c>
      <c r="F220" s="11">
        <v>5.4664999999999999</v>
      </c>
      <c r="G220" s="11">
        <v>0.17</v>
      </c>
      <c r="H220" s="11">
        <v>-0.2</v>
      </c>
      <c r="I220" s="11">
        <v>0</v>
      </c>
      <c r="K220" s="11">
        <v>-7.0000000000000007E-2</v>
      </c>
      <c r="L220" s="11">
        <v>0</v>
      </c>
      <c r="N220" s="11">
        <v>-0.32</v>
      </c>
      <c r="O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0</v>
      </c>
      <c r="W220" s="11">
        <v>-0.80800000000000005</v>
      </c>
      <c r="X220" s="11">
        <v>4.9739089453635999E-3</v>
      </c>
      <c r="Y220" s="11">
        <v>0</v>
      </c>
      <c r="Z220" s="11">
        <v>0.02</v>
      </c>
      <c r="AB220" s="11">
        <v>0</v>
      </c>
      <c r="AC220" s="11">
        <v>0</v>
      </c>
      <c r="AD220" s="10">
        <v>0.43</v>
      </c>
      <c r="AE220" s="11">
        <v>0</v>
      </c>
      <c r="AG220" s="11">
        <v>0.44</v>
      </c>
      <c r="AH220" s="11">
        <v>0</v>
      </c>
      <c r="AI220" s="11">
        <v>0.24</v>
      </c>
      <c r="AJ220" s="11">
        <v>0</v>
      </c>
    </row>
    <row r="221" spans="4:36">
      <c r="D221" s="10">
        <v>43709</v>
      </c>
      <c r="E221" s="11">
        <v>5.5201133320741003E-2</v>
      </c>
      <c r="F221" s="11">
        <v>5.4604999999999997</v>
      </c>
      <c r="G221" s="11">
        <v>0.17</v>
      </c>
      <c r="H221" s="11">
        <v>-0.2</v>
      </c>
      <c r="I221" s="11">
        <v>0</v>
      </c>
      <c r="K221" s="11">
        <v>-7.0000000000000007E-2</v>
      </c>
      <c r="L221" s="11">
        <v>0</v>
      </c>
      <c r="N221" s="11">
        <v>-0.32</v>
      </c>
      <c r="O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-0.80800000000000005</v>
      </c>
      <c r="X221" s="11">
        <v>4.9751167090677003E-3</v>
      </c>
      <c r="Y221" s="11">
        <v>0</v>
      </c>
      <c r="Z221" s="11">
        <v>0.02</v>
      </c>
      <c r="AB221" s="11">
        <v>0</v>
      </c>
      <c r="AC221" s="11">
        <v>0</v>
      </c>
      <c r="AD221" s="10">
        <v>0.43</v>
      </c>
      <c r="AE221" s="11">
        <v>0</v>
      </c>
      <c r="AG221" s="11">
        <v>0.44</v>
      </c>
      <c r="AH221" s="11">
        <v>0</v>
      </c>
      <c r="AI221" s="11">
        <v>0.24</v>
      </c>
      <c r="AJ221" s="11">
        <v>0</v>
      </c>
    </row>
    <row r="222" spans="4:36">
      <c r="D222" s="10">
        <v>43739</v>
      </c>
      <c r="E222" s="11">
        <v>5.5255382489504803E-2</v>
      </c>
      <c r="F222" s="11">
        <v>5.4604999999999997</v>
      </c>
      <c r="G222" s="11">
        <v>0.17</v>
      </c>
      <c r="H222" s="11">
        <v>-0.2</v>
      </c>
      <c r="I222" s="11">
        <v>0</v>
      </c>
      <c r="K222" s="11">
        <v>-7.0000000000000007E-2</v>
      </c>
      <c r="L222" s="11">
        <v>0</v>
      </c>
      <c r="N222" s="11">
        <v>-0.32</v>
      </c>
      <c r="O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11">
        <v>0</v>
      </c>
      <c r="W222" s="11">
        <v>-0.80800000000000005</v>
      </c>
      <c r="X222" s="11">
        <v>4.9763100374093996E-3</v>
      </c>
      <c r="Y222" s="11">
        <v>0</v>
      </c>
      <c r="Z222" s="11">
        <v>0.02</v>
      </c>
      <c r="AB222" s="11">
        <v>0</v>
      </c>
      <c r="AC222" s="11">
        <v>0</v>
      </c>
      <c r="AD222" s="10">
        <v>0.43</v>
      </c>
      <c r="AE222" s="11">
        <v>0</v>
      </c>
      <c r="AG222" s="11">
        <v>0.44</v>
      </c>
      <c r="AH222" s="11">
        <v>0</v>
      </c>
      <c r="AI222" s="11">
        <v>0.24</v>
      </c>
      <c r="AJ222" s="11">
        <v>0</v>
      </c>
    </row>
    <row r="223" spans="4:36">
      <c r="D223" s="10">
        <v>43770</v>
      </c>
      <c r="E223" s="11">
        <v>5.53114399649237E-2</v>
      </c>
      <c r="F223" s="11">
        <v>5.6304999999999996</v>
      </c>
      <c r="G223" s="11">
        <v>0.17</v>
      </c>
      <c r="H223" s="11">
        <v>-0.13</v>
      </c>
      <c r="I223" s="11">
        <v>0</v>
      </c>
      <c r="K223" s="11">
        <v>-7.0000000000000007E-2</v>
      </c>
      <c r="L223" s="11">
        <v>0</v>
      </c>
      <c r="N223" s="11">
        <v>-0.24</v>
      </c>
      <c r="O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0</v>
      </c>
      <c r="V223" s="11">
        <v>0</v>
      </c>
      <c r="W223" s="11">
        <v>-0.70799999999999996</v>
      </c>
      <c r="X223" s="11">
        <v>4.9775685026451997E-3</v>
      </c>
      <c r="Y223" s="11">
        <v>0</v>
      </c>
      <c r="Z223" s="11">
        <v>0.06</v>
      </c>
      <c r="AB223" s="11">
        <v>0</v>
      </c>
      <c r="AC223" s="11">
        <v>0</v>
      </c>
      <c r="AD223" s="10">
        <v>0.35</v>
      </c>
      <c r="AE223" s="11">
        <v>0</v>
      </c>
      <c r="AG223" s="11">
        <v>0.5</v>
      </c>
      <c r="AH223" s="11">
        <v>0</v>
      </c>
      <c r="AI223" s="11">
        <v>0.3</v>
      </c>
      <c r="AJ223" s="11">
        <v>0</v>
      </c>
    </row>
    <row r="224" spans="4:36">
      <c r="D224" s="10">
        <v>43800</v>
      </c>
      <c r="E224" s="11">
        <v>5.5365689135680601E-2</v>
      </c>
      <c r="F224" s="11">
        <v>5.7614999999999998</v>
      </c>
      <c r="G224" s="11">
        <v>0.17</v>
      </c>
      <c r="H224" s="11">
        <v>-0.13</v>
      </c>
      <c r="I224" s="11">
        <v>0</v>
      </c>
      <c r="K224" s="11">
        <v>-7.0000000000000007E-2</v>
      </c>
      <c r="L224" s="11">
        <v>0</v>
      </c>
      <c r="N224" s="11">
        <v>-0.24</v>
      </c>
      <c r="O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0</v>
      </c>
      <c r="V224" s="11">
        <v>0</v>
      </c>
      <c r="W224" s="11">
        <v>-0.70799999999999996</v>
      </c>
      <c r="X224" s="11">
        <v>4.9788109301405004E-3</v>
      </c>
      <c r="Y224" s="11">
        <v>0</v>
      </c>
      <c r="Z224" s="11">
        <v>0.06</v>
      </c>
      <c r="AB224" s="11">
        <v>0</v>
      </c>
      <c r="AC224" s="11">
        <v>0</v>
      </c>
      <c r="AD224" s="10">
        <v>0.35</v>
      </c>
      <c r="AE224" s="11">
        <v>0</v>
      </c>
      <c r="AG224" s="11">
        <v>0.56999999999999995</v>
      </c>
      <c r="AH224" s="11">
        <v>0</v>
      </c>
      <c r="AI224" s="11">
        <v>0.37</v>
      </c>
      <c r="AJ224" s="11">
        <v>0</v>
      </c>
    </row>
    <row r="225" spans="4:36">
      <c r="D225" s="10">
        <v>43831</v>
      </c>
      <c r="E225" s="11">
        <v>5.54217466131584E-2</v>
      </c>
      <c r="F225" s="11">
        <v>5.8339999999999996</v>
      </c>
      <c r="G225" s="11">
        <v>0.17</v>
      </c>
      <c r="H225" s="11">
        <v>-0.13</v>
      </c>
      <c r="I225" s="11">
        <v>0</v>
      </c>
      <c r="K225" s="11">
        <v>-7.0000000000000007E-2</v>
      </c>
      <c r="L225" s="11">
        <v>0</v>
      </c>
      <c r="N225" s="11">
        <v>-0.24</v>
      </c>
      <c r="O225" s="11">
        <v>0</v>
      </c>
      <c r="Q225" s="11">
        <v>0</v>
      </c>
      <c r="R225" s="11">
        <v>0</v>
      </c>
      <c r="S225" s="11">
        <v>0</v>
      </c>
      <c r="T225" s="11">
        <v>0</v>
      </c>
      <c r="U225" s="11">
        <v>0</v>
      </c>
      <c r="V225" s="11">
        <v>0</v>
      </c>
      <c r="W225" s="11">
        <v>-0.70799999999999996</v>
      </c>
      <c r="X225" s="11">
        <v>4.9801201661934004E-3</v>
      </c>
      <c r="Y225" s="11">
        <v>0</v>
      </c>
      <c r="Z225" s="11">
        <v>0.06</v>
      </c>
      <c r="AB225" s="11">
        <v>0</v>
      </c>
      <c r="AC225" s="11">
        <v>0</v>
      </c>
      <c r="AD225" s="10">
        <v>0.35</v>
      </c>
      <c r="AE225" s="11">
        <v>0</v>
      </c>
      <c r="AG225" s="11">
        <v>0.56999999999999995</v>
      </c>
      <c r="AH225" s="11">
        <v>0</v>
      </c>
      <c r="AI225" s="11">
        <v>0.37</v>
      </c>
      <c r="AJ225" s="11">
        <v>0</v>
      </c>
    </row>
    <row r="226" spans="4:36">
      <c r="D226" s="10">
        <v>43862</v>
      </c>
      <c r="E226" s="11">
        <v>5.5477804091683201E-2</v>
      </c>
      <c r="F226" s="11">
        <v>5.7460000000000004</v>
      </c>
      <c r="G226" s="11">
        <v>0.17</v>
      </c>
      <c r="H226" s="11">
        <v>-0.13</v>
      </c>
      <c r="I226" s="11">
        <v>0</v>
      </c>
      <c r="K226" s="11">
        <v>-7.0000000000000007E-2</v>
      </c>
      <c r="L226" s="11">
        <v>0</v>
      </c>
      <c r="N226" s="11">
        <v>-0.24</v>
      </c>
      <c r="O226" s="11">
        <v>0</v>
      </c>
      <c r="Q226" s="11">
        <v>0</v>
      </c>
      <c r="R226" s="11">
        <v>0</v>
      </c>
      <c r="S226" s="11">
        <v>0</v>
      </c>
      <c r="T226" s="11">
        <v>0</v>
      </c>
      <c r="U226" s="11">
        <v>0</v>
      </c>
      <c r="V226" s="11">
        <v>0</v>
      </c>
      <c r="W226" s="11">
        <v>-0.70799999999999996</v>
      </c>
      <c r="X226" s="11">
        <v>4.981455231337E-3</v>
      </c>
      <c r="Y226" s="11">
        <v>0</v>
      </c>
      <c r="Z226" s="11">
        <v>0.06</v>
      </c>
      <c r="AB226" s="11">
        <v>0</v>
      </c>
      <c r="AC226" s="11">
        <v>0</v>
      </c>
      <c r="AD226" s="10">
        <v>0.35</v>
      </c>
      <c r="AE226" s="11">
        <v>0</v>
      </c>
      <c r="AG226" s="11">
        <v>0.56999999999999995</v>
      </c>
      <c r="AH226" s="11">
        <v>0</v>
      </c>
      <c r="AI226" s="11">
        <v>0.37</v>
      </c>
      <c r="AJ226" s="11">
        <v>0</v>
      </c>
    </row>
    <row r="227" spans="4:36">
      <c r="D227" s="10">
        <v>43891</v>
      </c>
      <c r="E227" s="11">
        <v>5.5530244959637098E-2</v>
      </c>
      <c r="F227" s="11">
        <v>5.6070000000000002</v>
      </c>
      <c r="G227" s="11">
        <v>0.17</v>
      </c>
      <c r="H227" s="11">
        <v>-0.13</v>
      </c>
      <c r="I227" s="11">
        <v>0</v>
      </c>
      <c r="K227" s="11">
        <v>-7.0000000000000007E-2</v>
      </c>
      <c r="L227" s="11">
        <v>0</v>
      </c>
      <c r="N227" s="11">
        <v>-0.24</v>
      </c>
      <c r="O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-0.70799999999999996</v>
      </c>
      <c r="X227" s="11">
        <v>4.9827275633978997E-3</v>
      </c>
      <c r="Y227" s="11">
        <v>0</v>
      </c>
      <c r="Z227" s="11">
        <v>0.06</v>
      </c>
      <c r="AB227" s="11">
        <v>0</v>
      </c>
      <c r="AC227" s="11">
        <v>0</v>
      </c>
      <c r="AD227" s="10">
        <v>0.35</v>
      </c>
      <c r="AE227" s="11">
        <v>0</v>
      </c>
      <c r="AG227" s="11">
        <v>0.56999999999999995</v>
      </c>
      <c r="AH227" s="11">
        <v>0</v>
      </c>
      <c r="AI227" s="11">
        <v>0.37</v>
      </c>
      <c r="AJ227" s="11">
        <v>0</v>
      </c>
    </row>
    <row r="228" spans="4:36">
      <c r="D228" s="10">
        <v>43922</v>
      </c>
      <c r="E228" s="11">
        <v>5.5586302440187502E-2</v>
      </c>
      <c r="F228" s="11">
        <v>5.4530000000000003</v>
      </c>
      <c r="G228" s="11">
        <v>0.17</v>
      </c>
      <c r="H228" s="11">
        <v>-0.2</v>
      </c>
      <c r="I228" s="11">
        <v>0</v>
      </c>
      <c r="K228" s="11">
        <v>-7.0000000000000007E-2</v>
      </c>
      <c r="L228" s="11">
        <v>0</v>
      </c>
      <c r="N228" s="11">
        <v>-0.32</v>
      </c>
      <c r="O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-0.80800000000000005</v>
      </c>
      <c r="X228" s="11">
        <v>4.9841126748891001E-3</v>
      </c>
      <c r="Y228" s="11">
        <v>0</v>
      </c>
      <c r="Z228" s="11">
        <v>0.02</v>
      </c>
      <c r="AB228" s="11">
        <v>0</v>
      </c>
      <c r="AC228" s="11">
        <v>0</v>
      </c>
      <c r="AD228" s="10">
        <v>0.43</v>
      </c>
      <c r="AE228" s="11">
        <v>0</v>
      </c>
      <c r="AG228" s="11">
        <v>0.44</v>
      </c>
      <c r="AH228" s="11">
        <v>0</v>
      </c>
      <c r="AI228" s="11">
        <v>0.24</v>
      </c>
      <c r="AJ228" s="11">
        <v>0</v>
      </c>
    </row>
    <row r="229" spans="4:36">
      <c r="D229" s="10">
        <v>43952</v>
      </c>
      <c r="E229" s="11">
        <v>5.5640551615909299E-2</v>
      </c>
      <c r="F229" s="11">
        <v>5.4580000000000002</v>
      </c>
      <c r="G229" s="11">
        <v>0.17</v>
      </c>
      <c r="H229" s="11">
        <v>-0.2</v>
      </c>
      <c r="I229" s="11">
        <v>0</v>
      </c>
      <c r="K229" s="11">
        <v>-7.0000000000000007E-2</v>
      </c>
      <c r="L229" s="11">
        <v>0</v>
      </c>
      <c r="N229" s="11">
        <v>-0.32</v>
      </c>
      <c r="O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-0.80800000000000005</v>
      </c>
      <c r="X229" s="11">
        <v>4.9854777523070997E-3</v>
      </c>
      <c r="Y229" s="11">
        <v>0</v>
      </c>
      <c r="Z229" s="11">
        <v>0.02</v>
      </c>
      <c r="AB229" s="11">
        <v>0</v>
      </c>
      <c r="AC229" s="11">
        <v>0</v>
      </c>
      <c r="AD229" s="10">
        <v>0.43</v>
      </c>
      <c r="AE229" s="11">
        <v>0</v>
      </c>
      <c r="AG229" s="11">
        <v>0.44</v>
      </c>
      <c r="AH229" s="11">
        <v>0</v>
      </c>
      <c r="AI229" s="11">
        <v>0.24</v>
      </c>
      <c r="AJ229" s="11">
        <v>0</v>
      </c>
    </row>
    <row r="230" spans="4:36">
      <c r="D230" s="10">
        <v>43983</v>
      </c>
      <c r="E230" s="11">
        <v>5.5696609098518E-2</v>
      </c>
      <c r="F230" s="11">
        <v>5.4960000000000004</v>
      </c>
      <c r="G230" s="11">
        <v>0.17</v>
      </c>
      <c r="H230" s="11">
        <v>-0.2</v>
      </c>
      <c r="I230" s="11">
        <v>0</v>
      </c>
      <c r="K230" s="11">
        <v>-7.0000000000000007E-2</v>
      </c>
      <c r="L230" s="11">
        <v>0</v>
      </c>
      <c r="N230" s="11">
        <v>-0.32</v>
      </c>
      <c r="O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0</v>
      </c>
      <c r="W230" s="11">
        <v>-0.80800000000000005</v>
      </c>
      <c r="X230" s="11">
        <v>4.9869138205244001E-3</v>
      </c>
      <c r="Y230" s="11">
        <v>0</v>
      </c>
      <c r="Z230" s="11">
        <v>0.02</v>
      </c>
      <c r="AB230" s="11">
        <v>0</v>
      </c>
      <c r="AC230" s="11">
        <v>0</v>
      </c>
      <c r="AD230" s="10">
        <v>0.43</v>
      </c>
      <c r="AE230" s="11">
        <v>0</v>
      </c>
      <c r="AG230" s="11">
        <v>0.44</v>
      </c>
      <c r="AH230" s="11">
        <v>0</v>
      </c>
      <c r="AI230" s="11">
        <v>0.24</v>
      </c>
      <c r="AJ230" s="11">
        <v>0</v>
      </c>
    </row>
    <row r="231" spans="4:36">
      <c r="D231" s="10">
        <v>44013</v>
      </c>
      <c r="E231" s="11">
        <v>5.5750858276232503E-2</v>
      </c>
      <c r="F231" s="11">
        <v>5.5410000000000004</v>
      </c>
      <c r="G231" s="11">
        <v>0.17</v>
      </c>
      <c r="H231" s="11">
        <v>-0.2</v>
      </c>
      <c r="I231" s="11">
        <v>0</v>
      </c>
      <c r="K231" s="11">
        <v>-7.0000000000000007E-2</v>
      </c>
      <c r="L231" s="11">
        <v>0</v>
      </c>
      <c r="N231" s="11">
        <v>-0.32</v>
      </c>
      <c r="O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-0.80800000000000005</v>
      </c>
      <c r="X231" s="11">
        <v>4.9883282492151999E-3</v>
      </c>
      <c r="Y231" s="11">
        <v>0</v>
      </c>
      <c r="Z231" s="11">
        <v>0.02</v>
      </c>
      <c r="AB231" s="11">
        <v>0</v>
      </c>
      <c r="AC231" s="11">
        <v>0</v>
      </c>
      <c r="AD231" s="10">
        <v>0.43</v>
      </c>
      <c r="AE231" s="11">
        <v>0</v>
      </c>
      <c r="AG231" s="11">
        <v>0.44</v>
      </c>
      <c r="AH231" s="11">
        <v>0</v>
      </c>
      <c r="AI231" s="11">
        <v>0.24</v>
      </c>
      <c r="AJ231" s="11">
        <v>0</v>
      </c>
    </row>
    <row r="232" spans="4:36">
      <c r="D232" s="10">
        <v>44044</v>
      </c>
      <c r="E232" s="11">
        <v>5.5806915760900501E-2</v>
      </c>
      <c r="F232" s="11">
        <v>5.5789999999999997</v>
      </c>
      <c r="G232" s="11">
        <v>0.17</v>
      </c>
      <c r="H232" s="11">
        <v>-0.2</v>
      </c>
      <c r="I232" s="11">
        <v>0</v>
      </c>
      <c r="K232" s="11">
        <v>-7.0000000000000007E-2</v>
      </c>
      <c r="L232" s="11">
        <v>0</v>
      </c>
      <c r="N232" s="11">
        <v>-0.32</v>
      </c>
      <c r="O232" s="11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-0.80800000000000005</v>
      </c>
      <c r="X232" s="11">
        <v>4.9898153541076996E-3</v>
      </c>
      <c r="Y232" s="11">
        <v>0</v>
      </c>
      <c r="Z232" s="11">
        <v>0.02</v>
      </c>
      <c r="AB232" s="11">
        <v>0</v>
      </c>
      <c r="AC232" s="11">
        <v>0</v>
      </c>
      <c r="AD232" s="10">
        <v>0.43</v>
      </c>
      <c r="AE232" s="11">
        <v>0</v>
      </c>
      <c r="AG232" s="11">
        <v>0.44</v>
      </c>
      <c r="AH232" s="11">
        <v>0</v>
      </c>
      <c r="AI232" s="11">
        <v>0.24</v>
      </c>
      <c r="AJ232" s="11">
        <v>0</v>
      </c>
    </row>
    <row r="233" spans="4:36">
      <c r="D233" s="10">
        <v>44075</v>
      </c>
      <c r="E233" s="11">
        <v>5.5862973246614302E-2</v>
      </c>
      <c r="F233" s="11">
        <v>5.5730000000000004</v>
      </c>
      <c r="G233" s="11">
        <v>0.17</v>
      </c>
      <c r="H233" s="11">
        <v>-0.2</v>
      </c>
      <c r="I233" s="11">
        <v>0</v>
      </c>
      <c r="K233" s="11">
        <v>-7.0000000000000007E-2</v>
      </c>
      <c r="L233" s="11">
        <v>0</v>
      </c>
      <c r="N233" s="11">
        <v>-0.32</v>
      </c>
      <c r="O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 s="11">
        <v>0</v>
      </c>
      <c r="W233" s="11">
        <v>-0.80800000000000005</v>
      </c>
      <c r="X233" s="11">
        <v>4.9913284272933003E-3</v>
      </c>
      <c r="Y233" s="11">
        <v>0</v>
      </c>
      <c r="Z233" s="11">
        <v>0.02</v>
      </c>
      <c r="AB233" s="11">
        <v>0</v>
      </c>
      <c r="AC233" s="11">
        <v>0</v>
      </c>
      <c r="AD233" s="10">
        <v>0.43</v>
      </c>
      <c r="AE233" s="11">
        <v>0</v>
      </c>
      <c r="AG233" s="11">
        <v>0.44</v>
      </c>
      <c r="AH233" s="11">
        <v>0</v>
      </c>
      <c r="AI233" s="11">
        <v>0.24</v>
      </c>
      <c r="AJ233" s="11">
        <v>0</v>
      </c>
    </row>
    <row r="234" spans="4:36">
      <c r="D234" s="10">
        <v>44105</v>
      </c>
      <c r="E234" s="11">
        <v>5.59172224273334E-2</v>
      </c>
      <c r="F234" s="11">
        <v>5.5730000000000004</v>
      </c>
      <c r="G234" s="11">
        <v>0.17</v>
      </c>
      <c r="H234" s="11">
        <v>-0.2</v>
      </c>
      <c r="I234" s="11">
        <v>0</v>
      </c>
      <c r="K234" s="11">
        <v>-7.0000000000000007E-2</v>
      </c>
      <c r="L234" s="11">
        <v>0</v>
      </c>
      <c r="N234" s="11">
        <v>-0.32</v>
      </c>
      <c r="O234" s="11">
        <v>0</v>
      </c>
      <c r="Q234" s="11">
        <v>0</v>
      </c>
      <c r="R234" s="11">
        <v>0</v>
      </c>
      <c r="S234" s="11">
        <v>0</v>
      </c>
      <c r="T234" s="11">
        <v>0</v>
      </c>
      <c r="U234" s="11">
        <v>0</v>
      </c>
      <c r="V234" s="11">
        <v>0</v>
      </c>
      <c r="W234" s="11">
        <v>-0.80800000000000005</v>
      </c>
      <c r="X234" s="11">
        <v>4.9928174375122999E-3</v>
      </c>
      <c r="Y234" s="11">
        <v>0</v>
      </c>
      <c r="Z234" s="11">
        <v>0.02</v>
      </c>
      <c r="AB234" s="11">
        <v>0</v>
      </c>
      <c r="AC234" s="11">
        <v>0</v>
      </c>
      <c r="AD234" s="10">
        <v>0.43</v>
      </c>
      <c r="AE234" s="11">
        <v>0</v>
      </c>
      <c r="AG234" s="11">
        <v>0.44</v>
      </c>
      <c r="AH234" s="11">
        <v>0</v>
      </c>
      <c r="AI234" s="11">
        <v>0.24</v>
      </c>
      <c r="AJ234" s="11">
        <v>0</v>
      </c>
    </row>
    <row r="235" spans="4:36">
      <c r="D235" s="10">
        <v>44136</v>
      </c>
      <c r="E235" s="11">
        <v>5.5973279915105999E-2</v>
      </c>
      <c r="F235" s="11">
        <v>5.7430000000000003</v>
      </c>
      <c r="G235" s="11">
        <v>0.17</v>
      </c>
      <c r="H235" s="11">
        <v>0</v>
      </c>
      <c r="I235" s="11">
        <v>0</v>
      </c>
      <c r="K235" s="11">
        <v>-7.0000000000000007E-2</v>
      </c>
      <c r="L235" s="11">
        <v>0</v>
      </c>
      <c r="N235" s="11">
        <v>0</v>
      </c>
      <c r="O235" s="11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0</v>
      </c>
      <c r="V235" s="11">
        <v>0</v>
      </c>
      <c r="W235" s="11">
        <v>-0.70799999999999996</v>
      </c>
      <c r="X235" s="11">
        <v>4.9943816737607E-3</v>
      </c>
      <c r="Y235" s="11">
        <v>0</v>
      </c>
      <c r="Z235" s="11">
        <v>0.06</v>
      </c>
      <c r="AB235" s="11">
        <v>0</v>
      </c>
      <c r="AC235" s="11">
        <v>0</v>
      </c>
      <c r="AD235" s="10">
        <v>0.35</v>
      </c>
      <c r="AE235" s="11">
        <v>0</v>
      </c>
      <c r="AG235" s="11">
        <v>0.5</v>
      </c>
      <c r="AH235" s="11">
        <v>0</v>
      </c>
      <c r="AI235" s="11">
        <v>0.3</v>
      </c>
      <c r="AJ235" s="11">
        <v>0</v>
      </c>
    </row>
    <row r="236" spans="4:36">
      <c r="D236" s="10">
        <v>44166</v>
      </c>
      <c r="E236" s="11">
        <v>5.60275290978174E-2</v>
      </c>
      <c r="F236" s="11">
        <v>5.8739999999999997</v>
      </c>
      <c r="G236" s="11">
        <v>0.17</v>
      </c>
      <c r="H236" s="11">
        <v>0</v>
      </c>
      <c r="I236" s="11">
        <v>0</v>
      </c>
      <c r="K236" s="11">
        <v>-7.0000000000000007E-2</v>
      </c>
      <c r="L236" s="11">
        <v>0</v>
      </c>
      <c r="N236" s="11">
        <v>0</v>
      </c>
      <c r="O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-0.70799999999999996</v>
      </c>
      <c r="X236" s="11">
        <v>4.9959202386636002E-3</v>
      </c>
      <c r="Y236" s="11">
        <v>0</v>
      </c>
      <c r="Z236" s="11">
        <v>0.06</v>
      </c>
      <c r="AB236" s="11">
        <v>0</v>
      </c>
      <c r="AC236" s="11">
        <v>0</v>
      </c>
      <c r="AD236" s="10">
        <v>0.35</v>
      </c>
      <c r="AE236" s="11">
        <v>0</v>
      </c>
      <c r="AG236" s="11">
        <v>0.56999999999999995</v>
      </c>
      <c r="AH236" s="11">
        <v>0</v>
      </c>
      <c r="AI236" s="11">
        <v>0.37</v>
      </c>
      <c r="AJ236" s="11">
        <v>0</v>
      </c>
    </row>
    <row r="237" spans="4:36">
      <c r="D237" s="10">
        <v>44197</v>
      </c>
      <c r="E237" s="11">
        <v>5.6083586587648303E-2</v>
      </c>
      <c r="F237" s="11">
        <v>5.9465000000000003</v>
      </c>
      <c r="G237" s="11">
        <v>0.17</v>
      </c>
      <c r="H237" s="11">
        <v>0</v>
      </c>
      <c r="I237" s="11">
        <v>0</v>
      </c>
      <c r="K237" s="11">
        <v>-7.0000000000000007E-2</v>
      </c>
      <c r="L237" s="11">
        <v>0</v>
      </c>
      <c r="N237" s="11">
        <v>0</v>
      </c>
      <c r="O237" s="11">
        <v>0</v>
      </c>
      <c r="Q237" s="11">
        <v>0</v>
      </c>
      <c r="R237" s="11">
        <v>0</v>
      </c>
      <c r="S237" s="11">
        <v>0</v>
      </c>
      <c r="T237" s="11">
        <v>0</v>
      </c>
      <c r="U237" s="11">
        <v>0</v>
      </c>
      <c r="V237" s="11">
        <v>0</v>
      </c>
      <c r="AB237" s="11">
        <v>0</v>
      </c>
      <c r="AC237" s="11">
        <v>0</v>
      </c>
      <c r="AD237" s="10">
        <v>0.35</v>
      </c>
      <c r="AE237" s="11">
        <v>0</v>
      </c>
      <c r="AG237" s="11">
        <v>0.56999999999999995</v>
      </c>
      <c r="AH237" s="11">
        <v>0</v>
      </c>
      <c r="AI237" s="11">
        <v>0.37</v>
      </c>
      <c r="AJ237" s="11">
        <v>0</v>
      </c>
    </row>
    <row r="238" spans="4:36">
      <c r="D238" s="10">
        <v>44228</v>
      </c>
      <c r="E238" s="11">
        <v>5.6139644078526001E-2</v>
      </c>
      <c r="F238" s="11">
        <v>5.8585000000000003</v>
      </c>
      <c r="G238" s="11">
        <v>0.17</v>
      </c>
      <c r="H238" s="11">
        <v>0</v>
      </c>
      <c r="I238" s="11">
        <v>0</v>
      </c>
      <c r="K238" s="11">
        <v>-7.0000000000000007E-2</v>
      </c>
      <c r="L238" s="11">
        <v>0</v>
      </c>
      <c r="N238" s="11">
        <v>0</v>
      </c>
      <c r="O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 s="11">
        <v>0</v>
      </c>
      <c r="AB238" s="11">
        <v>0</v>
      </c>
      <c r="AC238" s="11">
        <v>0</v>
      </c>
      <c r="AD238" s="10">
        <v>0.35</v>
      </c>
      <c r="AE238" s="11">
        <v>0</v>
      </c>
      <c r="AG238" s="11">
        <v>0.56999999999999995</v>
      </c>
      <c r="AH238" s="11">
        <v>0</v>
      </c>
      <c r="AI238" s="11">
        <v>0.37</v>
      </c>
      <c r="AJ238" s="11">
        <v>0</v>
      </c>
    </row>
    <row r="239" spans="4:36">
      <c r="D239" s="10">
        <v>44256</v>
      </c>
      <c r="E239" s="11">
        <v>5.6190276651830302E-2</v>
      </c>
      <c r="F239" s="11">
        <v>5.7195</v>
      </c>
      <c r="G239" s="11">
        <v>0.17</v>
      </c>
      <c r="H239" s="11">
        <v>0</v>
      </c>
      <c r="I239" s="11">
        <v>0</v>
      </c>
      <c r="K239" s="11">
        <v>-7.0000000000000007E-2</v>
      </c>
      <c r="L239" s="11">
        <v>0</v>
      </c>
      <c r="N239" s="11">
        <v>0</v>
      </c>
      <c r="O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  <c r="AB239" s="11">
        <v>0</v>
      </c>
      <c r="AC239" s="11">
        <v>0</v>
      </c>
      <c r="AD239" s="10">
        <v>0.35</v>
      </c>
      <c r="AE239" s="11">
        <v>0</v>
      </c>
      <c r="AG239" s="11">
        <v>0.56999999999999995</v>
      </c>
      <c r="AH239" s="11">
        <v>0</v>
      </c>
      <c r="AI239" s="11">
        <v>0.37</v>
      </c>
      <c r="AJ239" s="11">
        <v>0</v>
      </c>
    </row>
    <row r="240" spans="4:36">
      <c r="D240" s="10">
        <v>44287</v>
      </c>
      <c r="E240" s="11">
        <v>5.6246334144698401E-2</v>
      </c>
      <c r="F240" s="11">
        <v>5.5655000000000001</v>
      </c>
      <c r="G240" s="11">
        <v>0.17</v>
      </c>
      <c r="H240" s="11">
        <v>0</v>
      </c>
      <c r="I240" s="11">
        <v>0</v>
      </c>
      <c r="K240" s="11">
        <v>-7.0000000000000007E-2</v>
      </c>
      <c r="L240" s="11">
        <v>0</v>
      </c>
      <c r="N240" s="11">
        <v>0</v>
      </c>
      <c r="O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AB240" s="11">
        <v>0</v>
      </c>
      <c r="AC240" s="11">
        <v>0</v>
      </c>
      <c r="AD240" s="10">
        <v>0.43</v>
      </c>
      <c r="AE240" s="11">
        <v>0</v>
      </c>
      <c r="AG240" s="11">
        <v>0.44</v>
      </c>
      <c r="AH240" s="11">
        <v>0</v>
      </c>
      <c r="AI240" s="11">
        <v>0.24</v>
      </c>
      <c r="AJ240" s="11">
        <v>0</v>
      </c>
    </row>
    <row r="241" spans="4:36">
      <c r="D241" s="10">
        <v>44317</v>
      </c>
      <c r="E241" s="11">
        <v>5.6300583332340899E-2</v>
      </c>
      <c r="F241" s="11">
        <v>5.5705</v>
      </c>
      <c r="G241" s="11">
        <v>0.17</v>
      </c>
      <c r="H241" s="11">
        <v>0</v>
      </c>
      <c r="I241" s="11">
        <v>0</v>
      </c>
      <c r="K241" s="11">
        <v>-7.0000000000000007E-2</v>
      </c>
      <c r="L241" s="11">
        <v>0</v>
      </c>
      <c r="N241" s="11">
        <v>0</v>
      </c>
      <c r="O241" s="11">
        <v>0</v>
      </c>
      <c r="Q241" s="11">
        <v>0</v>
      </c>
      <c r="R241" s="11">
        <v>0</v>
      </c>
      <c r="S241" s="11">
        <v>0</v>
      </c>
      <c r="T241" s="11">
        <v>0</v>
      </c>
      <c r="U241" s="11">
        <v>0</v>
      </c>
      <c r="V241" s="11">
        <v>0</v>
      </c>
      <c r="AB241" s="11">
        <v>0</v>
      </c>
      <c r="AC241" s="11">
        <v>0</v>
      </c>
      <c r="AD241" s="10">
        <v>0.43</v>
      </c>
      <c r="AE241" s="11">
        <v>0</v>
      </c>
      <c r="AG241" s="11">
        <v>0.44</v>
      </c>
      <c r="AH241" s="11">
        <v>0</v>
      </c>
      <c r="AI241" s="11">
        <v>0.24</v>
      </c>
      <c r="AJ241" s="11">
        <v>0</v>
      </c>
    </row>
    <row r="242" spans="4:36">
      <c r="D242" s="10">
        <v>44348</v>
      </c>
      <c r="E242" s="11">
        <v>5.6356640827267303E-2</v>
      </c>
      <c r="F242" s="11">
        <v>5.6085000000000003</v>
      </c>
      <c r="G242" s="11">
        <v>0.17</v>
      </c>
      <c r="H242" s="11">
        <v>0</v>
      </c>
      <c r="I242" s="11">
        <v>0</v>
      </c>
      <c r="K242" s="11">
        <v>-7.0000000000000007E-2</v>
      </c>
      <c r="L242" s="11">
        <v>0</v>
      </c>
      <c r="N242" s="11">
        <v>0</v>
      </c>
      <c r="O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AB242" s="11">
        <v>0</v>
      </c>
      <c r="AC242" s="11">
        <v>0</v>
      </c>
      <c r="AD242" s="10">
        <v>0.43</v>
      </c>
      <c r="AE242" s="11">
        <v>0</v>
      </c>
      <c r="AG242" s="11">
        <v>0.44</v>
      </c>
      <c r="AH242" s="11">
        <v>0</v>
      </c>
      <c r="AI242" s="11">
        <v>0.24</v>
      </c>
      <c r="AJ242" s="11">
        <v>0</v>
      </c>
    </row>
    <row r="243" spans="4:36">
      <c r="D243" s="10">
        <v>44378</v>
      </c>
      <c r="E243" s="11">
        <v>5.6410890016901603E-2</v>
      </c>
      <c r="F243" s="11">
        <v>5.6535000000000002</v>
      </c>
      <c r="G243" s="11">
        <v>0.17</v>
      </c>
      <c r="H243" s="11">
        <v>0</v>
      </c>
      <c r="I243" s="11">
        <v>0</v>
      </c>
      <c r="K243" s="11">
        <v>-7.0000000000000007E-2</v>
      </c>
      <c r="L243" s="11">
        <v>0</v>
      </c>
      <c r="N243" s="11">
        <v>0</v>
      </c>
      <c r="O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AB243" s="11">
        <v>0</v>
      </c>
      <c r="AC243" s="11">
        <v>0</v>
      </c>
      <c r="AD243" s="10">
        <v>0.43</v>
      </c>
      <c r="AE243" s="11">
        <v>0</v>
      </c>
      <c r="AG243" s="11">
        <v>0.44</v>
      </c>
      <c r="AH243" s="11">
        <v>0</v>
      </c>
      <c r="AI243" s="11">
        <v>0.24</v>
      </c>
      <c r="AJ243" s="11">
        <v>0</v>
      </c>
    </row>
    <row r="244" spans="4:36">
      <c r="D244" s="10">
        <v>44409</v>
      </c>
      <c r="E244" s="11">
        <v>5.6466947513886402E-2</v>
      </c>
      <c r="F244" s="11">
        <v>5.6914999999999996</v>
      </c>
      <c r="G244" s="11">
        <v>0.17</v>
      </c>
      <c r="H244" s="11">
        <v>0</v>
      </c>
      <c r="I244" s="11">
        <v>0</v>
      </c>
      <c r="K244" s="11">
        <v>-7.0000000000000007E-2</v>
      </c>
      <c r="L244" s="11">
        <v>0</v>
      </c>
      <c r="N244" s="11">
        <v>0</v>
      </c>
      <c r="O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AB244" s="11">
        <v>0</v>
      </c>
      <c r="AC244" s="11">
        <v>0</v>
      </c>
      <c r="AD244" s="10">
        <v>0.43</v>
      </c>
      <c r="AE244" s="11">
        <v>0</v>
      </c>
      <c r="AG244" s="11">
        <v>0.44</v>
      </c>
      <c r="AH244" s="11">
        <v>0</v>
      </c>
      <c r="AI244" s="11">
        <v>0.24</v>
      </c>
      <c r="AJ244" s="11">
        <v>0</v>
      </c>
    </row>
    <row r="245" spans="4:36">
      <c r="D245" s="10">
        <v>44440</v>
      </c>
      <c r="E245" s="11">
        <v>5.6523005011916497E-2</v>
      </c>
      <c r="F245" s="11">
        <v>5.6855000000000002</v>
      </c>
      <c r="G245" s="11">
        <v>0.17</v>
      </c>
      <c r="H245" s="11">
        <v>0</v>
      </c>
      <c r="I245" s="11">
        <v>0</v>
      </c>
      <c r="K245" s="11">
        <v>-7.0000000000000007E-2</v>
      </c>
      <c r="L245" s="11">
        <v>0</v>
      </c>
      <c r="N245" s="11">
        <v>0</v>
      </c>
      <c r="O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AB245" s="11">
        <v>0</v>
      </c>
      <c r="AC245" s="11">
        <v>0</v>
      </c>
      <c r="AD245" s="10">
        <v>0.43</v>
      </c>
      <c r="AE245" s="11">
        <v>0</v>
      </c>
      <c r="AG245" s="11">
        <v>0.44</v>
      </c>
      <c r="AH245" s="11">
        <v>0</v>
      </c>
      <c r="AI245" s="11">
        <v>0.24</v>
      </c>
      <c r="AJ245" s="11">
        <v>0</v>
      </c>
    </row>
    <row r="246" spans="4:36">
      <c r="D246" s="10">
        <v>44470</v>
      </c>
      <c r="E246" s="11">
        <v>5.6577254204555102E-2</v>
      </c>
      <c r="F246" s="11">
        <v>5.6855000000000002</v>
      </c>
      <c r="G246" s="11">
        <v>0.17</v>
      </c>
      <c r="H246" s="11">
        <v>0</v>
      </c>
      <c r="I246" s="11">
        <v>0</v>
      </c>
      <c r="K246" s="11">
        <v>-7.0000000000000007E-2</v>
      </c>
      <c r="L246" s="11">
        <v>0</v>
      </c>
      <c r="N246" s="11">
        <v>0</v>
      </c>
      <c r="O246" s="11">
        <v>0</v>
      </c>
      <c r="Q246" s="11">
        <v>0</v>
      </c>
      <c r="R246" s="11">
        <v>0</v>
      </c>
      <c r="S246" s="11">
        <v>0</v>
      </c>
      <c r="T246" s="11">
        <v>0</v>
      </c>
      <c r="U246" s="11">
        <v>0</v>
      </c>
      <c r="V246" s="11">
        <v>0</v>
      </c>
      <c r="AB246" s="11">
        <v>0</v>
      </c>
      <c r="AC246" s="11">
        <v>0</v>
      </c>
      <c r="AD246" s="10">
        <v>0.43</v>
      </c>
      <c r="AE246" s="11">
        <v>0</v>
      </c>
      <c r="AG246" s="11">
        <v>0.44</v>
      </c>
      <c r="AH246" s="11">
        <v>0</v>
      </c>
      <c r="AI246" s="11">
        <v>0.24</v>
      </c>
      <c r="AJ246" s="11">
        <v>0</v>
      </c>
    </row>
    <row r="247" spans="4:36">
      <c r="D247" s="10">
        <v>44501</v>
      </c>
      <c r="E247" s="11">
        <v>5.6633311704643599E-2</v>
      </c>
      <c r="F247" s="11">
        <v>5.8555000000000001</v>
      </c>
      <c r="G247" s="11">
        <v>0.17</v>
      </c>
      <c r="H247" s="11">
        <v>0</v>
      </c>
      <c r="I247" s="11">
        <v>0</v>
      </c>
      <c r="K247" s="11">
        <v>-7.0000000000000007E-2</v>
      </c>
      <c r="L247" s="11">
        <v>0</v>
      </c>
      <c r="N247" s="11">
        <v>0</v>
      </c>
      <c r="O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AB247" s="11">
        <v>0</v>
      </c>
      <c r="AC247" s="11">
        <v>0</v>
      </c>
      <c r="AD247" s="10">
        <v>0</v>
      </c>
      <c r="AE247" s="11">
        <v>0</v>
      </c>
      <c r="AG247" s="11">
        <v>0</v>
      </c>
      <c r="AH247" s="11">
        <v>0</v>
      </c>
      <c r="AI247" s="11">
        <v>-0.2</v>
      </c>
      <c r="AJ247" s="11">
        <v>0</v>
      </c>
    </row>
    <row r="248" spans="4:36">
      <c r="D248" s="10">
        <v>44531</v>
      </c>
      <c r="E248" s="11">
        <v>5.6642257823019501E-2</v>
      </c>
      <c r="F248" s="11">
        <v>5.9865000000000004</v>
      </c>
      <c r="G248" s="11">
        <v>0.17</v>
      </c>
      <c r="H248" s="11">
        <v>0</v>
      </c>
      <c r="I248" s="11">
        <v>0</v>
      </c>
      <c r="K248" s="11">
        <v>-7.0000000000000007E-2</v>
      </c>
      <c r="L248" s="11">
        <v>0</v>
      </c>
      <c r="N248" s="11">
        <v>0</v>
      </c>
      <c r="O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 s="11">
        <v>0</v>
      </c>
      <c r="AB248" s="11">
        <v>0</v>
      </c>
      <c r="AC248" s="11">
        <v>0</v>
      </c>
      <c r="AD248" s="10">
        <v>0</v>
      </c>
      <c r="AE248" s="11">
        <v>0</v>
      </c>
      <c r="AG248" s="11">
        <v>0</v>
      </c>
      <c r="AH248" s="11">
        <v>0</v>
      </c>
      <c r="AI248" s="11">
        <v>-0.2</v>
      </c>
      <c r="AJ248" s="11">
        <v>0</v>
      </c>
    </row>
    <row r="249" spans="4:36">
      <c r="D249" s="10">
        <v>44562</v>
      </c>
      <c r="E249" s="11">
        <v>5.6644300117902002E-2</v>
      </c>
      <c r="F249" s="11">
        <v>6.0590000000000002</v>
      </c>
      <c r="G249" s="11">
        <v>0.17</v>
      </c>
      <c r="H249" s="11">
        <v>0</v>
      </c>
      <c r="I249" s="11">
        <v>0</v>
      </c>
      <c r="K249" s="11">
        <v>-7.0000000000000007E-2</v>
      </c>
      <c r="L249" s="11">
        <v>0</v>
      </c>
      <c r="N249" s="11">
        <v>0</v>
      </c>
      <c r="O249" s="11">
        <v>0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AB249" s="11">
        <v>0</v>
      </c>
      <c r="AC249" s="11">
        <v>0</v>
      </c>
      <c r="AD249" s="10">
        <v>0</v>
      </c>
      <c r="AE249" s="11">
        <v>0</v>
      </c>
      <c r="AG249" s="11">
        <v>0</v>
      </c>
      <c r="AH249" s="11">
        <v>0</v>
      </c>
      <c r="AI249" s="11">
        <v>-0.2</v>
      </c>
      <c r="AJ249" s="11">
        <v>0</v>
      </c>
    </row>
    <row r="250" spans="4:36">
      <c r="D250" s="10">
        <v>44593</v>
      </c>
      <c r="E250" s="11">
        <v>5.6646342412786301E-2</v>
      </c>
      <c r="F250" s="11">
        <v>5.9710000000000001</v>
      </c>
      <c r="G250" s="11">
        <v>0.17</v>
      </c>
      <c r="H250" s="11">
        <v>0</v>
      </c>
      <c r="I250" s="11">
        <v>0</v>
      </c>
      <c r="K250" s="11">
        <v>-7.0000000000000007E-2</v>
      </c>
      <c r="L250" s="11">
        <v>0</v>
      </c>
      <c r="N250" s="11">
        <v>0</v>
      </c>
      <c r="O250" s="11">
        <v>0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AB250" s="11">
        <v>0</v>
      </c>
      <c r="AC250" s="11">
        <v>0</v>
      </c>
      <c r="AD250" s="10">
        <v>0</v>
      </c>
      <c r="AE250" s="11">
        <v>0</v>
      </c>
      <c r="AG250" s="11">
        <v>0</v>
      </c>
      <c r="AH250" s="11">
        <v>0</v>
      </c>
      <c r="AI250" s="11">
        <v>-0.2</v>
      </c>
      <c r="AJ250" s="11">
        <v>0</v>
      </c>
    </row>
    <row r="251" spans="4:36">
      <c r="D251" s="10">
        <v>44621</v>
      </c>
      <c r="E251" s="11">
        <v>5.6648187066231898E-2</v>
      </c>
      <c r="F251" s="11">
        <v>5.8319999999999999</v>
      </c>
      <c r="G251" s="11">
        <v>0.17</v>
      </c>
      <c r="H251" s="11">
        <v>0</v>
      </c>
      <c r="I251" s="11">
        <v>0</v>
      </c>
      <c r="K251" s="11">
        <v>-7.0000000000000007E-2</v>
      </c>
      <c r="L251" s="11">
        <v>0</v>
      </c>
      <c r="N251" s="11">
        <v>0</v>
      </c>
      <c r="O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AB251" s="11">
        <v>0</v>
      </c>
      <c r="AC251" s="11">
        <v>0</v>
      </c>
      <c r="AD251" s="10">
        <v>0</v>
      </c>
      <c r="AE251" s="11">
        <v>0</v>
      </c>
      <c r="AG251" s="11">
        <v>0</v>
      </c>
      <c r="AH251" s="11">
        <v>0</v>
      </c>
      <c r="AI251" s="11">
        <v>-0.2</v>
      </c>
      <c r="AJ251" s="11">
        <v>0</v>
      </c>
    </row>
    <row r="252" spans="4:36">
      <c r="D252" s="10">
        <v>44652</v>
      </c>
      <c r="E252" s="11">
        <v>5.6650229361119298E-2</v>
      </c>
      <c r="F252" s="11">
        <v>5.6779999999999999</v>
      </c>
      <c r="G252" s="11">
        <v>0.17</v>
      </c>
      <c r="H252" s="11">
        <v>0</v>
      </c>
      <c r="I252" s="11">
        <v>0</v>
      </c>
      <c r="K252" s="11">
        <v>-7.0000000000000007E-2</v>
      </c>
      <c r="L252" s="11">
        <v>0</v>
      </c>
      <c r="N252" s="11">
        <v>0</v>
      </c>
      <c r="O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AB252" s="11">
        <v>0</v>
      </c>
      <c r="AC252" s="11">
        <v>0</v>
      </c>
      <c r="AD252" s="10">
        <v>0</v>
      </c>
      <c r="AE252" s="11">
        <v>0</v>
      </c>
      <c r="AG252" s="11">
        <v>0</v>
      </c>
      <c r="AH252" s="11">
        <v>0</v>
      </c>
      <c r="AI252" s="11">
        <v>-0.2</v>
      </c>
      <c r="AJ252" s="11">
        <v>0</v>
      </c>
    </row>
    <row r="253" spans="4:36">
      <c r="D253" s="10">
        <v>44682</v>
      </c>
      <c r="E253" s="11">
        <v>5.6652205775527403E-2</v>
      </c>
      <c r="F253" s="11">
        <v>5.6829999999999998</v>
      </c>
      <c r="G253" s="11">
        <v>0.17</v>
      </c>
      <c r="H253" s="11">
        <v>0</v>
      </c>
      <c r="I253" s="11">
        <v>0</v>
      </c>
      <c r="K253" s="11">
        <v>-7.0000000000000007E-2</v>
      </c>
      <c r="L253" s="11">
        <v>0</v>
      </c>
      <c r="N253" s="11">
        <v>0</v>
      </c>
      <c r="O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0</v>
      </c>
      <c r="V253" s="11">
        <v>0</v>
      </c>
      <c r="AB253" s="11">
        <v>0</v>
      </c>
      <c r="AC253" s="11">
        <v>0</v>
      </c>
      <c r="AD253" s="10">
        <v>0</v>
      </c>
      <c r="AE253" s="11">
        <v>0</v>
      </c>
      <c r="AG253" s="11">
        <v>0</v>
      </c>
      <c r="AH253" s="11">
        <v>0</v>
      </c>
      <c r="AI253" s="11">
        <v>-0.2</v>
      </c>
      <c r="AJ253" s="11">
        <v>0</v>
      </c>
    </row>
    <row r="254" spans="4:36">
      <c r="D254" s="10">
        <v>44713</v>
      </c>
      <c r="E254" s="11">
        <v>5.66542480704171E-2</v>
      </c>
      <c r="F254" s="11">
        <v>5.7210000000000001</v>
      </c>
      <c r="G254" s="11">
        <v>0.17</v>
      </c>
      <c r="H254" s="11">
        <v>0</v>
      </c>
      <c r="I254" s="11">
        <v>0</v>
      </c>
      <c r="K254" s="11">
        <v>-7.0000000000000007E-2</v>
      </c>
      <c r="L254" s="11">
        <v>0</v>
      </c>
      <c r="N254" s="11">
        <v>0</v>
      </c>
      <c r="O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AB254" s="11">
        <v>0</v>
      </c>
      <c r="AC254" s="11">
        <v>0</v>
      </c>
      <c r="AD254" s="10">
        <v>0</v>
      </c>
      <c r="AE254" s="11">
        <v>0</v>
      </c>
      <c r="AG254" s="11">
        <v>0</v>
      </c>
      <c r="AH254" s="11">
        <v>0</v>
      </c>
      <c r="AI254" s="11">
        <v>-0.2</v>
      </c>
      <c r="AJ254" s="11">
        <v>0</v>
      </c>
    </row>
    <row r="255" spans="4:36">
      <c r="D255" s="10">
        <v>44743</v>
      </c>
      <c r="E255" s="11">
        <v>5.6656224484827898E-2</v>
      </c>
      <c r="F255" s="11">
        <v>5.766</v>
      </c>
      <c r="G255" s="11">
        <v>0.17</v>
      </c>
      <c r="H255" s="11">
        <v>0</v>
      </c>
      <c r="I255" s="11">
        <v>0</v>
      </c>
      <c r="K255" s="11">
        <v>-7.0000000000000007E-2</v>
      </c>
      <c r="L255" s="11">
        <v>0</v>
      </c>
      <c r="N255" s="11">
        <v>0</v>
      </c>
      <c r="O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AB255" s="11">
        <v>0</v>
      </c>
      <c r="AC255" s="11">
        <v>0</v>
      </c>
      <c r="AD255" s="10">
        <v>0</v>
      </c>
      <c r="AE255" s="11">
        <v>0</v>
      </c>
      <c r="AG255" s="11">
        <v>0</v>
      </c>
      <c r="AH255" s="11">
        <v>0</v>
      </c>
      <c r="AI255" s="11">
        <v>-0.2</v>
      </c>
      <c r="AJ255" s="11">
        <v>0</v>
      </c>
    </row>
    <row r="256" spans="4:36">
      <c r="D256" s="10">
        <v>44774</v>
      </c>
      <c r="E256" s="11">
        <v>5.6658266779720599E-2</v>
      </c>
      <c r="F256" s="11">
        <v>5.8040000000000003</v>
      </c>
      <c r="G256" s="11">
        <v>0.17</v>
      </c>
      <c r="H256" s="11">
        <v>0</v>
      </c>
      <c r="I256" s="11">
        <v>0</v>
      </c>
      <c r="K256" s="11">
        <v>-7.0000000000000007E-2</v>
      </c>
      <c r="L256" s="11">
        <v>0</v>
      </c>
      <c r="N256" s="11">
        <v>0</v>
      </c>
      <c r="O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AB256" s="11">
        <v>0</v>
      </c>
      <c r="AC256" s="11">
        <v>0</v>
      </c>
      <c r="AD256" s="10">
        <v>0</v>
      </c>
      <c r="AE256" s="11">
        <v>0</v>
      </c>
      <c r="AG256" s="11">
        <v>0</v>
      </c>
      <c r="AH256" s="11">
        <v>0</v>
      </c>
      <c r="AI256" s="11">
        <v>-0.2</v>
      </c>
      <c r="AJ256" s="11">
        <v>0</v>
      </c>
    </row>
    <row r="257" spans="4:36">
      <c r="D257" s="10">
        <v>44805</v>
      </c>
      <c r="E257" s="11">
        <v>5.66603090746143E-2</v>
      </c>
      <c r="F257" s="11">
        <v>5.798</v>
      </c>
      <c r="G257" s="11">
        <v>0.17</v>
      </c>
      <c r="H257" s="11">
        <v>0</v>
      </c>
      <c r="I257" s="11">
        <v>0</v>
      </c>
      <c r="K257" s="11">
        <v>-7.0000000000000007E-2</v>
      </c>
      <c r="L257" s="11">
        <v>0</v>
      </c>
      <c r="N257" s="11">
        <v>0</v>
      </c>
      <c r="O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AB257" s="11">
        <v>0</v>
      </c>
      <c r="AC257" s="11">
        <v>0</v>
      </c>
      <c r="AD257" s="10">
        <v>0</v>
      </c>
      <c r="AE257" s="11">
        <v>0</v>
      </c>
      <c r="AG257" s="11">
        <v>0</v>
      </c>
      <c r="AH257" s="11">
        <v>0</v>
      </c>
      <c r="AI257" s="11">
        <v>-0.2</v>
      </c>
      <c r="AJ257" s="11">
        <v>0</v>
      </c>
    </row>
    <row r="258" spans="4:36">
      <c r="D258" s="10">
        <v>44835</v>
      </c>
      <c r="E258" s="11">
        <v>5.6662285489029497E-2</v>
      </c>
      <c r="F258" s="11">
        <v>5.798</v>
      </c>
      <c r="G258" s="11">
        <v>0.17</v>
      </c>
      <c r="H258" s="11">
        <v>0</v>
      </c>
      <c r="I258" s="11">
        <v>0</v>
      </c>
      <c r="K258" s="11">
        <v>-7.0000000000000007E-2</v>
      </c>
      <c r="L258" s="11">
        <v>0</v>
      </c>
      <c r="N258" s="11">
        <v>0</v>
      </c>
      <c r="O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AB258" s="11">
        <v>0</v>
      </c>
      <c r="AC258" s="11">
        <v>0</v>
      </c>
      <c r="AD258" s="10">
        <v>0</v>
      </c>
      <c r="AE258" s="11">
        <v>0</v>
      </c>
      <c r="AG258" s="11">
        <v>0</v>
      </c>
      <c r="AH258" s="11">
        <v>0</v>
      </c>
      <c r="AI258" s="11">
        <v>-0.2</v>
      </c>
      <c r="AJ258" s="11">
        <v>0</v>
      </c>
    </row>
    <row r="259" spans="4:36">
      <c r="D259" s="10">
        <v>44866</v>
      </c>
      <c r="E259" s="11">
        <v>5.66643277839258E-2</v>
      </c>
      <c r="F259" s="11">
        <v>5.968</v>
      </c>
      <c r="G259" s="11">
        <v>0.17</v>
      </c>
      <c r="H259" s="11">
        <v>0</v>
      </c>
      <c r="I259" s="11">
        <v>0</v>
      </c>
      <c r="K259" s="11">
        <v>-7.0000000000000007E-2</v>
      </c>
      <c r="L259" s="11">
        <v>0</v>
      </c>
      <c r="N259" s="11">
        <v>0</v>
      </c>
      <c r="O259" s="11">
        <v>0</v>
      </c>
      <c r="Q259" s="11">
        <v>0</v>
      </c>
      <c r="R259" s="11">
        <v>0</v>
      </c>
      <c r="S259" s="11">
        <v>0</v>
      </c>
      <c r="T259" s="11">
        <v>0</v>
      </c>
      <c r="U259" s="11">
        <v>0</v>
      </c>
      <c r="V259" s="11">
        <v>0</v>
      </c>
      <c r="AB259" s="11">
        <v>0</v>
      </c>
      <c r="AC259" s="11">
        <v>0</v>
      </c>
      <c r="AD259" s="10">
        <v>0</v>
      </c>
      <c r="AE259" s="11">
        <v>0</v>
      </c>
      <c r="AG259" s="11">
        <v>0</v>
      </c>
      <c r="AH259" s="11">
        <v>0</v>
      </c>
      <c r="AI259" s="11">
        <v>-0.2</v>
      </c>
      <c r="AJ259" s="11">
        <v>0</v>
      </c>
    </row>
    <row r="260" spans="4:36">
      <c r="D260" s="10">
        <v>44896</v>
      </c>
      <c r="E260" s="11">
        <v>5.6666304198343301E-2</v>
      </c>
      <c r="F260" s="11">
        <v>6.0990000000000002</v>
      </c>
      <c r="G260" s="11">
        <v>0.17</v>
      </c>
      <c r="H260" s="11">
        <v>0</v>
      </c>
      <c r="I260" s="11">
        <v>0</v>
      </c>
      <c r="K260" s="11">
        <v>-7.0000000000000007E-2</v>
      </c>
      <c r="L260" s="11">
        <v>0</v>
      </c>
      <c r="N260" s="11">
        <v>0</v>
      </c>
      <c r="O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AB260" s="11">
        <v>0</v>
      </c>
      <c r="AC260" s="11">
        <v>0</v>
      </c>
      <c r="AD260" s="10">
        <v>0</v>
      </c>
      <c r="AE260" s="11">
        <v>0</v>
      </c>
      <c r="AG260" s="11">
        <v>0</v>
      </c>
      <c r="AH260" s="11">
        <v>0</v>
      </c>
      <c r="AI260" s="11">
        <v>-0.2</v>
      </c>
      <c r="AJ260" s="11">
        <v>0</v>
      </c>
    </row>
    <row r="261" spans="4:36">
      <c r="D261" s="10">
        <v>44927</v>
      </c>
      <c r="E261" s="11">
        <v>5.6668346493243198E-2</v>
      </c>
      <c r="F261" s="11">
        <v>6.1715</v>
      </c>
      <c r="G261" s="11">
        <v>0.17</v>
      </c>
      <c r="H261" s="11">
        <v>0</v>
      </c>
      <c r="I261" s="11">
        <v>0</v>
      </c>
      <c r="K261" s="11">
        <v>-7.0000000000000007E-2</v>
      </c>
      <c r="L261" s="11">
        <v>0</v>
      </c>
      <c r="N261" s="11">
        <v>0</v>
      </c>
      <c r="O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0</v>
      </c>
      <c r="V261" s="11">
        <v>0</v>
      </c>
      <c r="AB261" s="11">
        <v>0</v>
      </c>
      <c r="AC261" s="11">
        <v>0</v>
      </c>
      <c r="AD261" s="10">
        <v>0</v>
      </c>
      <c r="AE261" s="11">
        <v>0</v>
      </c>
      <c r="AG261" s="11">
        <v>0</v>
      </c>
      <c r="AH261" s="11">
        <v>0</v>
      </c>
      <c r="AI261" s="11">
        <v>-0.2</v>
      </c>
      <c r="AJ261" s="11">
        <v>0</v>
      </c>
    </row>
    <row r="262" spans="4:36">
      <c r="D262" s="10">
        <v>44958</v>
      </c>
      <c r="E262" s="11">
        <v>5.6670388788143497E-2</v>
      </c>
      <c r="F262" s="11">
        <v>6.0834999999999999</v>
      </c>
      <c r="G262" s="11">
        <v>0.17</v>
      </c>
      <c r="H262" s="11">
        <v>0</v>
      </c>
      <c r="I262" s="11">
        <v>0</v>
      </c>
      <c r="K262" s="11">
        <v>-7.0000000000000007E-2</v>
      </c>
      <c r="L262" s="11">
        <v>0</v>
      </c>
      <c r="N262" s="11">
        <v>0</v>
      </c>
      <c r="O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11">
        <v>0</v>
      </c>
      <c r="AB262" s="11">
        <v>0</v>
      </c>
      <c r="AC262" s="11">
        <v>0</v>
      </c>
      <c r="AD262" s="10">
        <v>0</v>
      </c>
      <c r="AE262" s="11">
        <v>0</v>
      </c>
      <c r="AG262" s="11">
        <v>0</v>
      </c>
      <c r="AH262" s="11">
        <v>0</v>
      </c>
      <c r="AI262" s="11">
        <v>-0.2</v>
      </c>
      <c r="AJ262" s="11">
        <v>0</v>
      </c>
    </row>
    <row r="263" spans="4:36">
      <c r="D263" s="10">
        <v>44986</v>
      </c>
      <c r="E263" s="11">
        <v>5.66722334416037E-2</v>
      </c>
      <c r="F263" s="11">
        <v>5.9444999999999997</v>
      </c>
      <c r="G263" s="11">
        <v>0.17</v>
      </c>
      <c r="H263" s="11">
        <v>0</v>
      </c>
      <c r="I263" s="11">
        <v>0</v>
      </c>
      <c r="K263" s="11">
        <v>-7.0000000000000007E-2</v>
      </c>
      <c r="L263" s="11">
        <v>0</v>
      </c>
      <c r="N263" s="11">
        <v>0</v>
      </c>
      <c r="O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AB263" s="11">
        <v>0</v>
      </c>
      <c r="AC263" s="11">
        <v>0</v>
      </c>
      <c r="AD263" s="10">
        <v>0</v>
      </c>
      <c r="AE263" s="11">
        <v>0</v>
      </c>
      <c r="AG263" s="11">
        <v>0</v>
      </c>
      <c r="AH263" s="11">
        <v>0</v>
      </c>
      <c r="AI263" s="11">
        <v>-0.2</v>
      </c>
      <c r="AJ263" s="11">
        <v>0</v>
      </c>
    </row>
    <row r="264" spans="4:36">
      <c r="D264" s="10">
        <v>45017</v>
      </c>
      <c r="E264" s="11">
        <v>5.6674275736507101E-2</v>
      </c>
      <c r="F264" s="11">
        <v>5.7904999999999998</v>
      </c>
      <c r="G264" s="11">
        <v>0.17</v>
      </c>
      <c r="H264" s="11">
        <v>0</v>
      </c>
      <c r="I264" s="11">
        <v>0</v>
      </c>
      <c r="K264" s="11">
        <v>-7.0000000000000007E-2</v>
      </c>
      <c r="L264" s="11">
        <v>0</v>
      </c>
      <c r="N264" s="11">
        <v>0</v>
      </c>
      <c r="O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AB264" s="11">
        <v>0</v>
      </c>
      <c r="AC264" s="11">
        <v>0</v>
      </c>
      <c r="AD264" s="10">
        <v>0</v>
      </c>
      <c r="AE264" s="11">
        <v>0</v>
      </c>
      <c r="AG264" s="11">
        <v>0</v>
      </c>
      <c r="AH264" s="11">
        <v>0</v>
      </c>
      <c r="AI264" s="11">
        <v>-0.2</v>
      </c>
      <c r="AJ264" s="11">
        <v>0</v>
      </c>
    </row>
    <row r="265" spans="4:36">
      <c r="D265" s="10">
        <v>45047</v>
      </c>
      <c r="E265" s="11">
        <v>5.6676252150931201E-2</v>
      </c>
      <c r="F265" s="11">
        <v>5.7954999999999997</v>
      </c>
      <c r="G265" s="11">
        <v>0.17</v>
      </c>
      <c r="H265" s="11">
        <v>0</v>
      </c>
      <c r="I265" s="11">
        <v>0</v>
      </c>
      <c r="K265" s="11">
        <v>-7.0000000000000007E-2</v>
      </c>
      <c r="L265" s="11">
        <v>0</v>
      </c>
      <c r="N265" s="11">
        <v>0</v>
      </c>
      <c r="O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AB265" s="11">
        <v>0</v>
      </c>
      <c r="AC265" s="11">
        <v>0</v>
      </c>
      <c r="AD265" s="10">
        <v>0</v>
      </c>
      <c r="AE265" s="11">
        <v>0</v>
      </c>
      <c r="AG265" s="11">
        <v>0</v>
      </c>
      <c r="AH265" s="11">
        <v>0</v>
      </c>
      <c r="AI265" s="11">
        <v>-0.2</v>
      </c>
      <c r="AJ265" s="11">
        <v>0</v>
      </c>
    </row>
    <row r="266" spans="4:36">
      <c r="D266" s="10">
        <v>45078</v>
      </c>
      <c r="E266" s="11">
        <v>5.6678294445837302E-2</v>
      </c>
      <c r="F266" s="11">
        <v>5.8334999999999999</v>
      </c>
      <c r="G266" s="11">
        <v>0.17</v>
      </c>
      <c r="H266" s="11">
        <v>0</v>
      </c>
      <c r="I266" s="11">
        <v>0</v>
      </c>
      <c r="K266" s="11">
        <v>-7.0000000000000007E-2</v>
      </c>
      <c r="L266" s="11">
        <v>0</v>
      </c>
      <c r="N266" s="11">
        <v>0</v>
      </c>
      <c r="O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AB266" s="11">
        <v>0</v>
      </c>
      <c r="AC266" s="11">
        <v>0</v>
      </c>
      <c r="AD266" s="10">
        <v>0</v>
      </c>
      <c r="AE266" s="11">
        <v>0</v>
      </c>
      <c r="AG266" s="11">
        <v>0</v>
      </c>
      <c r="AH266" s="11">
        <v>0</v>
      </c>
      <c r="AI266" s="11">
        <v>-0.2</v>
      </c>
      <c r="AJ266" s="11">
        <v>0</v>
      </c>
    </row>
    <row r="267" spans="4:36">
      <c r="D267" s="10">
        <v>45108</v>
      </c>
      <c r="E267" s="11">
        <v>5.6680270860264101E-2</v>
      </c>
      <c r="F267" s="11">
        <v>5.8784999999999998</v>
      </c>
      <c r="G267" s="11">
        <v>0.17</v>
      </c>
      <c r="H267" s="11">
        <v>0</v>
      </c>
      <c r="I267" s="11">
        <v>0</v>
      </c>
      <c r="K267" s="11">
        <v>-7.0000000000000007E-2</v>
      </c>
      <c r="L267" s="11">
        <v>0</v>
      </c>
      <c r="N267" s="11">
        <v>0</v>
      </c>
      <c r="O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AB267" s="11">
        <v>0</v>
      </c>
      <c r="AC267" s="11">
        <v>0</v>
      </c>
      <c r="AD267" s="10">
        <v>0</v>
      </c>
      <c r="AE267" s="11">
        <v>0</v>
      </c>
      <c r="AG267" s="11">
        <v>0</v>
      </c>
      <c r="AH267" s="11">
        <v>0</v>
      </c>
      <c r="AI267" s="11">
        <v>-0.2</v>
      </c>
      <c r="AJ267" s="11">
        <v>0</v>
      </c>
    </row>
    <row r="268" spans="4:36">
      <c r="D268" s="10">
        <v>45139</v>
      </c>
      <c r="E268" s="11">
        <v>5.6682313155173199E-2</v>
      </c>
      <c r="F268" s="11">
        <v>5.9165000000000001</v>
      </c>
      <c r="G268" s="11">
        <v>0.17</v>
      </c>
      <c r="H268" s="11">
        <v>0</v>
      </c>
      <c r="I268" s="11">
        <v>0</v>
      </c>
      <c r="K268" s="11">
        <v>-7.0000000000000007E-2</v>
      </c>
      <c r="L268" s="11">
        <v>0</v>
      </c>
      <c r="N268" s="11">
        <v>0</v>
      </c>
      <c r="O268" s="11">
        <v>0</v>
      </c>
      <c r="Q268" s="11">
        <v>0</v>
      </c>
      <c r="R268" s="11">
        <v>0</v>
      </c>
      <c r="S268" s="11">
        <v>0</v>
      </c>
      <c r="T268" s="11">
        <v>0</v>
      </c>
      <c r="U268" s="11">
        <v>0</v>
      </c>
      <c r="V268" s="11">
        <v>0</v>
      </c>
      <c r="AB268" s="11">
        <v>0</v>
      </c>
      <c r="AC268" s="11">
        <v>0</v>
      </c>
      <c r="AD268" s="10">
        <v>0</v>
      </c>
      <c r="AE268" s="11">
        <v>0</v>
      </c>
      <c r="AG268" s="11">
        <v>0</v>
      </c>
      <c r="AH268" s="11">
        <v>0</v>
      </c>
      <c r="AI268" s="11">
        <v>-0.2</v>
      </c>
      <c r="AJ268" s="11">
        <v>0</v>
      </c>
    </row>
    <row r="269" spans="4:36">
      <c r="D269" s="10">
        <v>45170</v>
      </c>
      <c r="E269" s="11">
        <v>5.6684355450083303E-2</v>
      </c>
      <c r="F269" s="11">
        <v>5.9104999999999999</v>
      </c>
      <c r="G269" s="11">
        <v>0.17</v>
      </c>
      <c r="H269" s="11">
        <v>0</v>
      </c>
      <c r="I269" s="11">
        <v>0</v>
      </c>
      <c r="K269" s="11">
        <v>-7.0000000000000007E-2</v>
      </c>
      <c r="L269" s="11">
        <v>0</v>
      </c>
      <c r="N269" s="11">
        <v>0</v>
      </c>
      <c r="O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AB269" s="11">
        <v>0</v>
      </c>
      <c r="AC269" s="11">
        <v>0</v>
      </c>
      <c r="AD269" s="10">
        <v>0</v>
      </c>
      <c r="AE269" s="11">
        <v>0</v>
      </c>
      <c r="AG269" s="11">
        <v>0</v>
      </c>
      <c r="AH269" s="11">
        <v>0</v>
      </c>
      <c r="AI269" s="11">
        <v>-0.2</v>
      </c>
      <c r="AJ269" s="11">
        <v>0</v>
      </c>
    </row>
    <row r="270" spans="4:36">
      <c r="D270" s="10">
        <v>45200</v>
      </c>
      <c r="E270" s="11">
        <v>5.6686331864513703E-2</v>
      </c>
      <c r="F270" s="11">
        <v>5.9104999999999999</v>
      </c>
      <c r="G270" s="11">
        <v>0.17</v>
      </c>
      <c r="H270" s="11">
        <v>0</v>
      </c>
      <c r="I270" s="11">
        <v>0</v>
      </c>
      <c r="K270" s="11">
        <v>-7.0000000000000007E-2</v>
      </c>
      <c r="L270" s="11">
        <v>0</v>
      </c>
      <c r="N270" s="11">
        <v>0</v>
      </c>
      <c r="O270" s="11">
        <v>0</v>
      </c>
      <c r="Q270" s="11">
        <v>0</v>
      </c>
      <c r="R270" s="11">
        <v>0</v>
      </c>
      <c r="S270" s="11">
        <v>0</v>
      </c>
      <c r="T270" s="11">
        <v>0</v>
      </c>
      <c r="U270" s="11">
        <v>0</v>
      </c>
      <c r="V270" s="11">
        <v>0</v>
      </c>
      <c r="AB270" s="11">
        <v>0</v>
      </c>
      <c r="AC270" s="11">
        <v>0</v>
      </c>
      <c r="AD270" s="10">
        <v>0</v>
      </c>
      <c r="AE270" s="11">
        <v>0</v>
      </c>
      <c r="AG270" s="11">
        <v>0</v>
      </c>
      <c r="AH270" s="11">
        <v>0</v>
      </c>
      <c r="AI270" s="11">
        <v>-0.2</v>
      </c>
      <c r="AJ270" s="11">
        <v>0</v>
      </c>
    </row>
    <row r="271" spans="4:36">
      <c r="D271" s="10">
        <v>45231</v>
      </c>
      <c r="E271" s="11">
        <v>5.6688374159426798E-2</v>
      </c>
      <c r="F271" s="11">
        <v>6.0804999999999998</v>
      </c>
      <c r="G271" s="11">
        <v>0.17</v>
      </c>
      <c r="H271" s="11">
        <v>0</v>
      </c>
      <c r="I271" s="11">
        <v>0</v>
      </c>
      <c r="K271" s="11">
        <v>-7.0000000000000007E-2</v>
      </c>
      <c r="L271" s="11">
        <v>0</v>
      </c>
      <c r="N271" s="11">
        <v>0</v>
      </c>
      <c r="O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0</v>
      </c>
      <c r="AB271" s="11">
        <v>0</v>
      </c>
      <c r="AC271" s="11">
        <v>0</v>
      </c>
      <c r="AD271" s="10">
        <v>0</v>
      </c>
      <c r="AE271" s="11">
        <v>0</v>
      </c>
      <c r="AG271" s="11">
        <v>0</v>
      </c>
      <c r="AH271" s="11">
        <v>0</v>
      </c>
      <c r="AI271" s="11">
        <v>-0.2</v>
      </c>
      <c r="AJ271" s="11">
        <v>0</v>
      </c>
    </row>
    <row r="272" spans="4:36">
      <c r="D272" s="10">
        <v>45261</v>
      </c>
      <c r="E272" s="11">
        <v>5.66903505738603E-2</v>
      </c>
      <c r="F272" s="11">
        <v>6.2115</v>
      </c>
      <c r="G272" s="11">
        <v>0.17</v>
      </c>
      <c r="H272" s="11">
        <v>0</v>
      </c>
      <c r="I272" s="11">
        <v>0</v>
      </c>
      <c r="K272" s="11">
        <v>-7.0000000000000007E-2</v>
      </c>
      <c r="L272" s="11">
        <v>0</v>
      </c>
      <c r="N272" s="11">
        <v>0</v>
      </c>
      <c r="O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1">
        <v>0</v>
      </c>
      <c r="AB272" s="11">
        <v>0</v>
      </c>
      <c r="AC272" s="11">
        <v>0</v>
      </c>
      <c r="AD272" s="10">
        <v>0</v>
      </c>
      <c r="AE272" s="11">
        <v>0</v>
      </c>
      <c r="AG272" s="11">
        <v>0</v>
      </c>
      <c r="AH272" s="11">
        <v>0</v>
      </c>
      <c r="AI272" s="11">
        <v>-0.2</v>
      </c>
      <c r="AJ272" s="11">
        <v>0</v>
      </c>
    </row>
    <row r="273" spans="4:36">
      <c r="D273" s="10">
        <v>45292</v>
      </c>
      <c r="E273" s="11">
        <v>5.6692392868775698E-2</v>
      </c>
      <c r="F273" s="11">
        <v>6.2839999999999998</v>
      </c>
      <c r="G273" s="11">
        <v>0.17</v>
      </c>
      <c r="H273" s="11">
        <v>0</v>
      </c>
      <c r="I273" s="11">
        <v>0</v>
      </c>
      <c r="K273" s="11">
        <v>-7.0000000000000007E-2</v>
      </c>
      <c r="L273" s="11">
        <v>0</v>
      </c>
      <c r="N273" s="11">
        <v>0</v>
      </c>
      <c r="O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11">
        <v>0</v>
      </c>
      <c r="AB273" s="11">
        <v>0</v>
      </c>
      <c r="AC273" s="11">
        <v>0</v>
      </c>
      <c r="AD273" s="10">
        <v>0</v>
      </c>
      <c r="AE273" s="11">
        <v>0</v>
      </c>
      <c r="AG273" s="11">
        <v>0</v>
      </c>
      <c r="AH273" s="11">
        <v>0</v>
      </c>
      <c r="AI273" s="11">
        <v>-0.2</v>
      </c>
      <c r="AJ273" s="11">
        <v>0</v>
      </c>
    </row>
    <row r="274" spans="4:36">
      <c r="D274" s="10">
        <v>45323</v>
      </c>
      <c r="E274" s="11">
        <v>5.6694435163693303E-2</v>
      </c>
      <c r="F274" s="11">
        <v>6.1959999999999997</v>
      </c>
      <c r="G274" s="11">
        <v>0.17</v>
      </c>
      <c r="H274" s="11">
        <v>0</v>
      </c>
      <c r="I274" s="11">
        <v>0</v>
      </c>
      <c r="K274" s="11">
        <v>-7.0000000000000007E-2</v>
      </c>
      <c r="L274" s="11">
        <v>0</v>
      </c>
      <c r="N274" s="11">
        <v>0</v>
      </c>
      <c r="O274" s="11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0</v>
      </c>
      <c r="V274" s="11">
        <v>0</v>
      </c>
      <c r="AB274" s="11">
        <v>0</v>
      </c>
      <c r="AC274" s="11">
        <v>0</v>
      </c>
      <c r="AD274" s="10">
        <v>0</v>
      </c>
      <c r="AE274" s="11">
        <v>0</v>
      </c>
      <c r="AG274" s="11">
        <v>0</v>
      </c>
      <c r="AH274" s="11">
        <v>0</v>
      </c>
      <c r="AI274" s="11">
        <v>-0.2</v>
      </c>
      <c r="AJ274" s="11">
        <v>0</v>
      </c>
    </row>
    <row r="275" spans="4:36">
      <c r="D275" s="10">
        <v>45352</v>
      </c>
      <c r="E275" s="11">
        <v>5.6696345697649198E-2</v>
      </c>
      <c r="F275" s="11">
        <v>6.0570000000000004</v>
      </c>
      <c r="G275" s="11">
        <v>0.17</v>
      </c>
      <c r="H275" s="11">
        <v>0</v>
      </c>
      <c r="I275" s="11">
        <v>0</v>
      </c>
      <c r="K275" s="11">
        <v>-7.0000000000000007E-2</v>
      </c>
      <c r="L275" s="11">
        <v>0</v>
      </c>
      <c r="N275" s="11">
        <v>0</v>
      </c>
      <c r="O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AB275" s="11">
        <v>0</v>
      </c>
      <c r="AC275" s="11">
        <v>0</v>
      </c>
      <c r="AD275" s="10">
        <v>0</v>
      </c>
      <c r="AE275" s="11">
        <v>0</v>
      </c>
      <c r="AG275" s="11">
        <v>0</v>
      </c>
      <c r="AH275" s="11">
        <v>0</v>
      </c>
      <c r="AI275" s="11">
        <v>-0.2</v>
      </c>
      <c r="AJ275" s="11">
        <v>0</v>
      </c>
    </row>
    <row r="276" spans="4:36">
      <c r="D276" s="10">
        <v>45383</v>
      </c>
      <c r="E276" s="11">
        <v>5.6698387992568697E-2</v>
      </c>
      <c r="F276" s="11">
        <v>5.9029999999999996</v>
      </c>
      <c r="G276" s="11">
        <v>0.17</v>
      </c>
      <c r="H276" s="11">
        <v>0</v>
      </c>
      <c r="I276" s="11">
        <v>0</v>
      </c>
      <c r="K276" s="11">
        <v>-7.0000000000000007E-2</v>
      </c>
      <c r="L276" s="11">
        <v>0</v>
      </c>
      <c r="N276" s="11">
        <v>0</v>
      </c>
      <c r="O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AB276" s="11">
        <v>0</v>
      </c>
      <c r="AC276" s="11">
        <v>0</v>
      </c>
      <c r="AD276" s="10">
        <v>0</v>
      </c>
      <c r="AE276" s="11">
        <v>0</v>
      </c>
      <c r="AG276" s="11">
        <v>0</v>
      </c>
      <c r="AH276" s="11">
        <v>0</v>
      </c>
      <c r="AI276" s="11">
        <v>-0.2</v>
      </c>
      <c r="AJ276" s="11">
        <v>0</v>
      </c>
    </row>
    <row r="277" spans="4:36">
      <c r="D277" s="10">
        <v>45413</v>
      </c>
      <c r="E277" s="11">
        <v>5.6700364407008798E-2</v>
      </c>
      <c r="F277" s="11">
        <v>5.9080000000000004</v>
      </c>
      <c r="G277" s="11">
        <v>0.17</v>
      </c>
      <c r="H277" s="11">
        <v>0</v>
      </c>
      <c r="I277" s="11">
        <v>0</v>
      </c>
      <c r="K277" s="11">
        <v>-7.0000000000000007E-2</v>
      </c>
      <c r="L277" s="11">
        <v>0</v>
      </c>
      <c r="N277" s="11">
        <v>0</v>
      </c>
      <c r="O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AB277" s="11">
        <v>0</v>
      </c>
      <c r="AC277" s="11">
        <v>0</v>
      </c>
      <c r="AD277" s="10">
        <v>0</v>
      </c>
      <c r="AE277" s="11">
        <v>0</v>
      </c>
      <c r="AG277" s="11">
        <v>0</v>
      </c>
      <c r="AH277" s="11">
        <v>0</v>
      </c>
      <c r="AI277" s="11">
        <v>-0.2</v>
      </c>
      <c r="AJ277" s="11">
        <v>0</v>
      </c>
    </row>
    <row r="278" spans="4:36">
      <c r="D278" s="10">
        <v>45444</v>
      </c>
      <c r="E278" s="11">
        <v>5.6702406701931302E-2</v>
      </c>
      <c r="F278" s="11">
        <v>5.9459999999999997</v>
      </c>
      <c r="G278" s="11">
        <v>0.17</v>
      </c>
      <c r="H278" s="11">
        <v>0</v>
      </c>
      <c r="I278" s="11">
        <v>0</v>
      </c>
      <c r="K278" s="11">
        <v>-7.0000000000000007E-2</v>
      </c>
      <c r="L278" s="11">
        <v>0</v>
      </c>
      <c r="N278" s="11">
        <v>0</v>
      </c>
      <c r="O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AB278" s="11">
        <v>0</v>
      </c>
      <c r="AC278" s="11">
        <v>0</v>
      </c>
      <c r="AD278" s="10">
        <v>0</v>
      </c>
      <c r="AE278" s="11">
        <v>0</v>
      </c>
      <c r="AG278" s="11">
        <v>0</v>
      </c>
      <c r="AH278" s="11">
        <v>0</v>
      </c>
      <c r="AI278" s="11">
        <v>-0.2</v>
      </c>
      <c r="AJ278" s="11">
        <v>0</v>
      </c>
    </row>
    <row r="279" spans="4:36">
      <c r="D279" s="10">
        <v>45474</v>
      </c>
      <c r="E279" s="11">
        <v>5.6704383116373998E-2</v>
      </c>
      <c r="F279" s="11">
        <v>5.9909999999999997</v>
      </c>
      <c r="G279" s="11">
        <v>0.17</v>
      </c>
      <c r="H279" s="11">
        <v>0</v>
      </c>
      <c r="I279" s="11">
        <v>0</v>
      </c>
      <c r="K279" s="11">
        <v>-7.0000000000000007E-2</v>
      </c>
      <c r="L279" s="11">
        <v>0</v>
      </c>
      <c r="N279" s="11">
        <v>0</v>
      </c>
      <c r="O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AB279" s="11">
        <v>0</v>
      </c>
      <c r="AC279" s="11">
        <v>0</v>
      </c>
      <c r="AD279" s="10">
        <v>0</v>
      </c>
      <c r="AE279" s="11">
        <v>0</v>
      </c>
      <c r="AG279" s="11">
        <v>0</v>
      </c>
      <c r="AH279" s="11">
        <v>0</v>
      </c>
      <c r="AI279" s="11">
        <v>-0.2</v>
      </c>
      <c r="AJ279" s="11">
        <v>0</v>
      </c>
    </row>
    <row r="280" spans="4:36">
      <c r="D280" s="10">
        <v>45505</v>
      </c>
      <c r="E280" s="11">
        <v>5.6706425411298798E-2</v>
      </c>
      <c r="F280" s="11">
        <v>6.0289999999999999</v>
      </c>
      <c r="G280" s="11">
        <v>0.17</v>
      </c>
      <c r="H280" s="11">
        <v>0</v>
      </c>
      <c r="I280" s="11">
        <v>0</v>
      </c>
      <c r="K280" s="11">
        <v>-7.0000000000000007E-2</v>
      </c>
      <c r="L280" s="11">
        <v>0</v>
      </c>
      <c r="N280" s="11">
        <v>0</v>
      </c>
      <c r="O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 s="11">
        <v>0</v>
      </c>
      <c r="AB280" s="11">
        <v>0</v>
      </c>
      <c r="AC280" s="11">
        <v>0</v>
      </c>
      <c r="AD280" s="10">
        <v>0</v>
      </c>
      <c r="AE280" s="11">
        <v>0</v>
      </c>
      <c r="AG280" s="11">
        <v>0</v>
      </c>
      <c r="AH280" s="11">
        <v>0</v>
      </c>
      <c r="AI280" s="11">
        <v>-0.2</v>
      </c>
      <c r="AJ280" s="11">
        <v>0</v>
      </c>
    </row>
    <row r="281" spans="4:36">
      <c r="D281" s="10">
        <v>45536</v>
      </c>
      <c r="E281" s="11">
        <v>5.6708467706225701E-2</v>
      </c>
      <c r="F281" s="11">
        <v>6.0229999999999997</v>
      </c>
      <c r="G281" s="11">
        <v>0.17</v>
      </c>
      <c r="H281" s="11">
        <v>0</v>
      </c>
      <c r="I281" s="11">
        <v>0</v>
      </c>
      <c r="K281" s="11">
        <v>-7.0000000000000007E-2</v>
      </c>
      <c r="L281" s="11">
        <v>0</v>
      </c>
      <c r="N281" s="11">
        <v>0</v>
      </c>
      <c r="O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AB281" s="11">
        <v>0</v>
      </c>
      <c r="AC281" s="11">
        <v>0</v>
      </c>
      <c r="AD281" s="10">
        <v>0</v>
      </c>
      <c r="AE281" s="11">
        <v>0</v>
      </c>
      <c r="AG281" s="11">
        <v>0</v>
      </c>
      <c r="AH281" s="11">
        <v>0</v>
      </c>
      <c r="AI281" s="11">
        <v>-0.2</v>
      </c>
      <c r="AJ281" s="11">
        <v>0</v>
      </c>
    </row>
    <row r="282" spans="4:36">
      <c r="D282" s="10">
        <v>45566</v>
      </c>
      <c r="E282" s="11">
        <v>5.6710444120672499E-2</v>
      </c>
      <c r="F282" s="11">
        <v>6.0229999999999997</v>
      </c>
      <c r="G282" s="11">
        <v>0.17</v>
      </c>
      <c r="H282" s="11">
        <v>0</v>
      </c>
      <c r="I282" s="11">
        <v>0</v>
      </c>
      <c r="K282" s="11">
        <v>-7.0000000000000007E-2</v>
      </c>
      <c r="L282" s="11">
        <v>0</v>
      </c>
      <c r="N282" s="11">
        <v>0</v>
      </c>
      <c r="O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  <c r="V282" s="11">
        <v>0</v>
      </c>
      <c r="AB282" s="11">
        <v>0</v>
      </c>
      <c r="AC282" s="11">
        <v>0</v>
      </c>
      <c r="AD282" s="10">
        <v>0</v>
      </c>
      <c r="AE282" s="11">
        <v>0</v>
      </c>
      <c r="AG282" s="11">
        <v>0</v>
      </c>
      <c r="AH282" s="11">
        <v>0</v>
      </c>
      <c r="AI282" s="11">
        <v>-0.2</v>
      </c>
      <c r="AJ282" s="11">
        <v>0</v>
      </c>
    </row>
    <row r="283" spans="4:36">
      <c r="D283" s="10">
        <v>45597</v>
      </c>
      <c r="E283" s="11">
        <v>5.6712486415601698E-2</v>
      </c>
      <c r="F283" s="11">
        <v>6.1929999999999996</v>
      </c>
      <c r="G283" s="11">
        <v>0.17</v>
      </c>
      <c r="H283" s="11">
        <v>0</v>
      </c>
      <c r="I283" s="11">
        <v>0</v>
      </c>
      <c r="K283" s="11">
        <v>-7.0000000000000007E-2</v>
      </c>
      <c r="L283" s="11">
        <v>0</v>
      </c>
      <c r="N283" s="11">
        <v>0</v>
      </c>
      <c r="O283" s="11">
        <v>0</v>
      </c>
      <c r="Q283" s="11">
        <v>0</v>
      </c>
      <c r="R283" s="11">
        <v>0</v>
      </c>
      <c r="S283" s="11">
        <v>0</v>
      </c>
      <c r="T283" s="11">
        <v>0</v>
      </c>
      <c r="U283" s="11">
        <v>0</v>
      </c>
      <c r="V283" s="11">
        <v>0</v>
      </c>
      <c r="AB283" s="11">
        <v>0</v>
      </c>
      <c r="AC283" s="11">
        <v>0</v>
      </c>
      <c r="AD283" s="10">
        <v>0</v>
      </c>
      <c r="AE283" s="11">
        <v>0</v>
      </c>
      <c r="AG283" s="11">
        <v>0</v>
      </c>
      <c r="AH283" s="11">
        <v>0</v>
      </c>
      <c r="AI283" s="11">
        <v>-0.2</v>
      </c>
      <c r="AJ283" s="11">
        <v>0</v>
      </c>
    </row>
    <row r="284" spans="4:36">
      <c r="D284" s="10">
        <v>45627</v>
      </c>
      <c r="E284" s="11">
        <v>5.6714462830051098E-2</v>
      </c>
      <c r="F284" s="11">
        <v>6.3239999999999998</v>
      </c>
      <c r="G284" s="11">
        <v>0.17</v>
      </c>
      <c r="H284" s="11">
        <v>0</v>
      </c>
      <c r="I284" s="11">
        <v>0</v>
      </c>
      <c r="K284" s="11">
        <v>-7.0000000000000007E-2</v>
      </c>
      <c r="L284" s="11">
        <v>0</v>
      </c>
      <c r="N284" s="11">
        <v>0</v>
      </c>
      <c r="O284" s="11">
        <v>0</v>
      </c>
      <c r="Q284" s="11">
        <v>0</v>
      </c>
      <c r="R284" s="11">
        <v>0</v>
      </c>
      <c r="S284" s="11">
        <v>0</v>
      </c>
      <c r="T284" s="11">
        <v>0</v>
      </c>
      <c r="U284" s="11">
        <v>0</v>
      </c>
      <c r="V284" s="11">
        <v>0</v>
      </c>
      <c r="AB284" s="11">
        <v>0</v>
      </c>
      <c r="AC284" s="11">
        <v>0</v>
      </c>
      <c r="AD284" s="10">
        <v>0</v>
      </c>
      <c r="AE284" s="11">
        <v>0</v>
      </c>
      <c r="AG284" s="11">
        <v>0</v>
      </c>
      <c r="AH284" s="11">
        <v>0</v>
      </c>
      <c r="AI284" s="11">
        <v>-0.2</v>
      </c>
      <c r="AJ284" s="11">
        <v>0</v>
      </c>
    </row>
    <row r="285" spans="4:36">
      <c r="D285" s="10">
        <v>45658</v>
      </c>
      <c r="E285" s="11">
        <v>5.6716505124982899E-2</v>
      </c>
      <c r="H285" s="11">
        <v>0</v>
      </c>
      <c r="I285" s="11">
        <v>0</v>
      </c>
      <c r="K285" s="11">
        <v>-7.0000000000000007E-2</v>
      </c>
      <c r="L285" s="11">
        <v>0</v>
      </c>
      <c r="N285" s="11">
        <v>0</v>
      </c>
      <c r="O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0</v>
      </c>
      <c r="AB285" s="11">
        <v>0</v>
      </c>
      <c r="AC285" s="11">
        <v>0</v>
      </c>
      <c r="AD285" s="10">
        <v>0</v>
      </c>
      <c r="AE285" s="11">
        <v>0</v>
      </c>
      <c r="AG285" s="11">
        <v>0</v>
      </c>
      <c r="AH285" s="11">
        <v>0</v>
      </c>
      <c r="AI285" s="11">
        <v>-0.2</v>
      </c>
      <c r="AJ285" s="11">
        <v>0</v>
      </c>
    </row>
    <row r="286" spans="4:36">
      <c r="D286" s="10">
        <v>45689</v>
      </c>
      <c r="E286" s="11">
        <v>5.6718547419916998E-2</v>
      </c>
      <c r="H286" s="11">
        <v>0</v>
      </c>
      <c r="I286" s="11">
        <v>0</v>
      </c>
      <c r="K286" s="11">
        <v>-7.0000000000000007E-2</v>
      </c>
      <c r="L286" s="11">
        <v>0</v>
      </c>
      <c r="N286" s="11">
        <v>0</v>
      </c>
      <c r="O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AB286" s="11">
        <v>0</v>
      </c>
      <c r="AC286" s="11">
        <v>0</v>
      </c>
      <c r="AD286" s="10">
        <v>0</v>
      </c>
      <c r="AE286" s="11">
        <v>0</v>
      </c>
      <c r="AG286" s="11">
        <v>0</v>
      </c>
      <c r="AH286" s="11">
        <v>0</v>
      </c>
      <c r="AI286" s="11">
        <v>-0.2</v>
      </c>
      <c r="AJ286" s="11">
        <v>0</v>
      </c>
    </row>
    <row r="287" spans="4:36">
      <c r="D287" s="10">
        <v>45717</v>
      </c>
      <c r="E287" s="11">
        <v>5.6720392073406102E-2</v>
      </c>
      <c r="H287" s="11">
        <v>0</v>
      </c>
      <c r="I287" s="11">
        <v>0</v>
      </c>
      <c r="K287" s="11">
        <v>-7.0000000000000007E-2</v>
      </c>
      <c r="L287" s="11">
        <v>0</v>
      </c>
      <c r="N287" s="11">
        <v>0</v>
      </c>
      <c r="O287" s="11">
        <v>0</v>
      </c>
      <c r="Q287" s="11">
        <v>0</v>
      </c>
      <c r="R287" s="11">
        <v>0</v>
      </c>
      <c r="S287" s="11">
        <v>0</v>
      </c>
      <c r="T287" s="11">
        <v>0</v>
      </c>
      <c r="U287" s="11">
        <v>0</v>
      </c>
      <c r="V287" s="11">
        <v>0</v>
      </c>
      <c r="AB287" s="11">
        <v>0</v>
      </c>
      <c r="AC287" s="11">
        <v>0</v>
      </c>
      <c r="AD287" s="10">
        <v>0</v>
      </c>
      <c r="AE287" s="11">
        <v>0</v>
      </c>
      <c r="AG287" s="11">
        <v>0</v>
      </c>
      <c r="AH287" s="11">
        <v>0</v>
      </c>
      <c r="AI287" s="11">
        <v>-0.2</v>
      </c>
      <c r="AJ287" s="11">
        <v>0</v>
      </c>
    </row>
    <row r="288" spans="4:36">
      <c r="D288" s="10">
        <v>45748</v>
      </c>
      <c r="E288" s="11">
        <v>5.6722434368342303E-2</v>
      </c>
      <c r="H288" s="11">
        <v>0</v>
      </c>
      <c r="I288" s="11">
        <v>0</v>
      </c>
      <c r="K288" s="11">
        <v>-7.0000000000000007E-2</v>
      </c>
      <c r="L288" s="11">
        <v>0</v>
      </c>
      <c r="N288" s="11">
        <v>0</v>
      </c>
      <c r="O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0</v>
      </c>
      <c r="V288" s="11">
        <v>0</v>
      </c>
      <c r="AB288" s="11">
        <v>0</v>
      </c>
      <c r="AC288" s="11">
        <v>0</v>
      </c>
      <c r="AD288" s="10">
        <v>0</v>
      </c>
      <c r="AE288" s="11">
        <v>0</v>
      </c>
      <c r="AG288" s="11">
        <v>0</v>
      </c>
      <c r="AH288" s="11">
        <v>0</v>
      </c>
      <c r="AI288" s="11">
        <v>-0.2</v>
      </c>
      <c r="AJ288" s="11">
        <v>0</v>
      </c>
    </row>
    <row r="289" spans="4:36">
      <c r="D289" s="10">
        <v>45778</v>
      </c>
      <c r="E289" s="11">
        <v>5.6724410782798003E-2</v>
      </c>
      <c r="H289" s="11">
        <v>0</v>
      </c>
      <c r="I289" s="11">
        <v>0</v>
      </c>
      <c r="K289" s="11">
        <v>-7.0000000000000007E-2</v>
      </c>
      <c r="L289" s="11">
        <v>0</v>
      </c>
      <c r="N289" s="11">
        <v>0</v>
      </c>
      <c r="O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11">
        <v>0</v>
      </c>
      <c r="AB289" s="11">
        <v>0</v>
      </c>
      <c r="AC289" s="11">
        <v>0</v>
      </c>
      <c r="AD289" s="10">
        <v>0</v>
      </c>
      <c r="AE289" s="11">
        <v>0</v>
      </c>
      <c r="AG289" s="11">
        <v>0</v>
      </c>
      <c r="AH289" s="11">
        <v>0</v>
      </c>
      <c r="AI289" s="11">
        <v>-0.2</v>
      </c>
      <c r="AJ289" s="11">
        <v>0</v>
      </c>
    </row>
    <row r="290" spans="4:36">
      <c r="D290" s="10">
        <v>45809</v>
      </c>
      <c r="E290" s="11">
        <v>5.6726453077736903E-2</v>
      </c>
      <c r="H290" s="11">
        <v>0</v>
      </c>
      <c r="I290" s="11">
        <v>0</v>
      </c>
      <c r="K290" s="11">
        <v>-7.0000000000000007E-2</v>
      </c>
      <c r="L290" s="11">
        <v>0</v>
      </c>
      <c r="N290" s="11">
        <v>0</v>
      </c>
      <c r="O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AB290" s="11">
        <v>0</v>
      </c>
      <c r="AC290" s="11">
        <v>0</v>
      </c>
      <c r="AD290" s="10">
        <v>0</v>
      </c>
      <c r="AE290" s="11">
        <v>0</v>
      </c>
      <c r="AG290" s="11">
        <v>0</v>
      </c>
      <c r="AH290" s="11">
        <v>0</v>
      </c>
      <c r="AI290" s="11">
        <v>-0.2</v>
      </c>
      <c r="AJ290" s="11">
        <v>0</v>
      </c>
    </row>
    <row r="291" spans="4:36">
      <c r="D291" s="10">
        <v>45839</v>
      </c>
      <c r="E291" s="11">
        <v>5.6728429492195302E-2</v>
      </c>
      <c r="H291" s="11">
        <v>0</v>
      </c>
      <c r="I291" s="11">
        <v>0</v>
      </c>
      <c r="K291" s="11">
        <v>-7.0000000000000007E-2</v>
      </c>
      <c r="L291" s="11">
        <v>0</v>
      </c>
      <c r="N291" s="11">
        <v>0</v>
      </c>
      <c r="O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AB291" s="11">
        <v>0</v>
      </c>
      <c r="AC291" s="11">
        <v>0</v>
      </c>
      <c r="AD291" s="10">
        <v>0</v>
      </c>
      <c r="AE291" s="11">
        <v>0</v>
      </c>
      <c r="AG291" s="11">
        <v>0</v>
      </c>
      <c r="AH291" s="11">
        <v>0</v>
      </c>
      <c r="AI291" s="11">
        <v>-0.2</v>
      </c>
      <c r="AJ291" s="11">
        <v>0</v>
      </c>
    </row>
    <row r="292" spans="4:36">
      <c r="D292" s="10">
        <v>45870</v>
      </c>
      <c r="E292" s="11">
        <v>5.6730471787136902E-2</v>
      </c>
      <c r="H292" s="11">
        <v>0</v>
      </c>
      <c r="I292" s="11">
        <v>0</v>
      </c>
      <c r="K292" s="11">
        <v>-7.0000000000000007E-2</v>
      </c>
      <c r="L292" s="11">
        <v>0</v>
      </c>
      <c r="N292" s="11">
        <v>0</v>
      </c>
      <c r="O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0</v>
      </c>
      <c r="V292" s="11">
        <v>0</v>
      </c>
      <c r="AB292" s="11">
        <v>0</v>
      </c>
      <c r="AC292" s="11">
        <v>0</v>
      </c>
      <c r="AD292" s="10">
        <v>0</v>
      </c>
      <c r="AE292" s="11">
        <v>0</v>
      </c>
      <c r="AG292" s="11">
        <v>0</v>
      </c>
      <c r="AH292" s="11">
        <v>0</v>
      </c>
      <c r="AI292" s="11">
        <v>-0.2</v>
      </c>
      <c r="AJ292" s="11">
        <v>0</v>
      </c>
    </row>
    <row r="293" spans="4:36">
      <c r="D293" s="10">
        <v>45901</v>
      </c>
      <c r="E293" s="11">
        <v>5.6732514082079799E-2</v>
      </c>
      <c r="H293" s="11">
        <v>0</v>
      </c>
      <c r="I293" s="11">
        <v>0</v>
      </c>
      <c r="K293" s="11">
        <v>-7.0000000000000007E-2</v>
      </c>
      <c r="L293" s="11">
        <v>0</v>
      </c>
      <c r="N293" s="11">
        <v>0</v>
      </c>
      <c r="O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AB293" s="11">
        <v>0</v>
      </c>
      <c r="AC293" s="11">
        <v>0</v>
      </c>
      <c r="AD293" s="10">
        <v>0</v>
      </c>
      <c r="AE293" s="11">
        <v>0</v>
      </c>
      <c r="AG293" s="11">
        <v>0</v>
      </c>
      <c r="AH293" s="11">
        <v>0</v>
      </c>
      <c r="AI293" s="11">
        <v>-0.2</v>
      </c>
      <c r="AJ293" s="11">
        <v>0</v>
      </c>
    </row>
    <row r="294" spans="4:36">
      <c r="D294" s="10">
        <v>45931</v>
      </c>
      <c r="E294" s="11">
        <v>5.6734490496542597E-2</v>
      </c>
      <c r="H294" s="11">
        <v>0</v>
      </c>
      <c r="I294" s="11">
        <v>0</v>
      </c>
      <c r="K294" s="11">
        <v>-7.0000000000000007E-2</v>
      </c>
      <c r="L294" s="11">
        <v>0</v>
      </c>
      <c r="N294" s="11">
        <v>0</v>
      </c>
      <c r="O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AB294" s="11">
        <v>0</v>
      </c>
      <c r="AC294" s="11">
        <v>0</v>
      </c>
      <c r="AD294" s="10">
        <v>0</v>
      </c>
      <c r="AE294" s="11">
        <v>0</v>
      </c>
      <c r="AG294" s="11">
        <v>0</v>
      </c>
      <c r="AH294" s="11">
        <v>0</v>
      </c>
      <c r="AI294" s="11">
        <v>-0.2</v>
      </c>
      <c r="AJ294" s="11">
        <v>0</v>
      </c>
    </row>
    <row r="295" spans="4:36">
      <c r="D295" s="10">
        <v>45962</v>
      </c>
      <c r="E295" s="11">
        <v>5.6736532791488201E-2</v>
      </c>
      <c r="H295" s="11">
        <v>0</v>
      </c>
      <c r="I295" s="11">
        <v>0</v>
      </c>
      <c r="K295" s="11">
        <v>-7.0000000000000007E-2</v>
      </c>
      <c r="L295" s="11">
        <v>0</v>
      </c>
      <c r="N295" s="11">
        <v>0</v>
      </c>
      <c r="O295" s="11">
        <v>0</v>
      </c>
      <c r="Q295" s="11">
        <v>0</v>
      </c>
      <c r="R295" s="11">
        <v>0</v>
      </c>
      <c r="S295" s="11">
        <v>0</v>
      </c>
      <c r="T295" s="11">
        <v>0</v>
      </c>
      <c r="U295" s="11">
        <v>0</v>
      </c>
      <c r="V295" s="11">
        <v>0</v>
      </c>
      <c r="AB295" s="11">
        <v>0</v>
      </c>
      <c r="AC295" s="11">
        <v>0</v>
      </c>
      <c r="AD295" s="10">
        <v>0</v>
      </c>
      <c r="AE295" s="11">
        <v>0</v>
      </c>
      <c r="AG295" s="11">
        <v>0</v>
      </c>
      <c r="AH295" s="11">
        <v>0</v>
      </c>
      <c r="AI295" s="11">
        <v>-0.2</v>
      </c>
      <c r="AJ295" s="11">
        <v>0</v>
      </c>
    </row>
    <row r="296" spans="4:36">
      <c r="D296" s="10">
        <v>45992</v>
      </c>
      <c r="E296" s="11">
        <v>5.6738509205952699E-2</v>
      </c>
      <c r="H296" s="11">
        <v>0</v>
      </c>
      <c r="I296" s="11">
        <v>0</v>
      </c>
      <c r="K296" s="11">
        <v>-7.0000000000000007E-2</v>
      </c>
      <c r="L296" s="11">
        <v>0</v>
      </c>
      <c r="N296" s="11">
        <v>0</v>
      </c>
      <c r="O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AB296" s="11">
        <v>0</v>
      </c>
      <c r="AC296" s="11">
        <v>0</v>
      </c>
      <c r="AD296" s="10">
        <v>0</v>
      </c>
      <c r="AE296" s="11">
        <v>0</v>
      </c>
      <c r="AG296" s="11">
        <v>0</v>
      </c>
      <c r="AH296" s="11">
        <v>0</v>
      </c>
      <c r="AI296" s="11">
        <v>-0.2</v>
      </c>
      <c r="AJ296" s="11">
        <v>0</v>
      </c>
    </row>
    <row r="297" spans="4:36">
      <c r="D297" s="10">
        <v>46023</v>
      </c>
      <c r="E297" s="11">
        <v>5.6740551500901799E-2</v>
      </c>
      <c r="H297" s="11">
        <v>0</v>
      </c>
      <c r="I297" s="11">
        <v>0</v>
      </c>
      <c r="K297" s="11">
        <v>-7.0000000000000007E-2</v>
      </c>
      <c r="L297" s="11">
        <v>0</v>
      </c>
      <c r="N297" s="11">
        <v>0</v>
      </c>
      <c r="O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0</v>
      </c>
      <c r="V297" s="11">
        <v>0</v>
      </c>
      <c r="AB297" s="11">
        <v>0</v>
      </c>
      <c r="AC297" s="11">
        <v>0</v>
      </c>
      <c r="AD297" s="10">
        <v>0</v>
      </c>
      <c r="AE297" s="11">
        <v>0</v>
      </c>
      <c r="AG297" s="11">
        <v>0</v>
      </c>
      <c r="AH297" s="11">
        <v>0</v>
      </c>
      <c r="AI297" s="11">
        <v>-0.2</v>
      </c>
      <c r="AJ297" s="11">
        <v>0</v>
      </c>
    </row>
    <row r="298" spans="4:36">
      <c r="D298" s="10">
        <v>46054</v>
      </c>
      <c r="E298" s="11">
        <v>5.67425937958514E-2</v>
      </c>
      <c r="H298" s="11">
        <v>0</v>
      </c>
      <c r="I298" s="11">
        <v>0</v>
      </c>
      <c r="K298" s="11">
        <v>-7.0000000000000007E-2</v>
      </c>
      <c r="L298" s="11">
        <v>0</v>
      </c>
      <c r="N298" s="11">
        <v>0</v>
      </c>
      <c r="O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 s="11">
        <v>0</v>
      </c>
      <c r="AB298" s="11">
        <v>0</v>
      </c>
      <c r="AC298" s="11">
        <v>0</v>
      </c>
      <c r="AD298" s="10">
        <v>0</v>
      </c>
      <c r="AE298" s="11">
        <v>0</v>
      </c>
      <c r="AG298" s="11">
        <v>0</v>
      </c>
      <c r="AH298" s="11">
        <v>0</v>
      </c>
      <c r="AI298" s="11">
        <v>-0.2</v>
      </c>
      <c r="AJ298" s="11">
        <v>0</v>
      </c>
    </row>
    <row r="299" spans="4:36">
      <c r="D299" s="10">
        <v>46082</v>
      </c>
      <c r="E299" s="11">
        <v>5.6744438449355603E-2</v>
      </c>
      <c r="H299" s="11">
        <v>0</v>
      </c>
      <c r="I299" s="11">
        <v>0</v>
      </c>
      <c r="K299" s="11">
        <v>-7.0000000000000007E-2</v>
      </c>
      <c r="L299" s="11">
        <v>0</v>
      </c>
      <c r="N299" s="11">
        <v>0</v>
      </c>
      <c r="O299" s="11">
        <v>0</v>
      </c>
      <c r="Q299" s="11">
        <v>0</v>
      </c>
      <c r="R299" s="11">
        <v>0</v>
      </c>
      <c r="S299" s="11">
        <v>0</v>
      </c>
      <c r="T299" s="11">
        <v>0</v>
      </c>
      <c r="U299" s="11">
        <v>0</v>
      </c>
      <c r="V299" s="11">
        <v>0</v>
      </c>
      <c r="AB299" s="11">
        <v>0</v>
      </c>
      <c r="AC299" s="11">
        <v>0</v>
      </c>
      <c r="AD299" s="10">
        <v>0</v>
      </c>
      <c r="AE299" s="11">
        <v>0</v>
      </c>
      <c r="AG299" s="11">
        <v>0</v>
      </c>
      <c r="AH299" s="11">
        <v>0</v>
      </c>
      <c r="AI299" s="11">
        <v>-0.2</v>
      </c>
      <c r="AJ299" s="11">
        <v>0</v>
      </c>
    </row>
    <row r="300" spans="4:36">
      <c r="D300" s="10">
        <v>46113</v>
      </c>
      <c r="E300" s="11">
        <v>5.6746480744307902E-2</v>
      </c>
      <c r="H300" s="11">
        <v>0</v>
      </c>
      <c r="I300" s="11">
        <v>0</v>
      </c>
      <c r="K300" s="11">
        <v>-7.0000000000000007E-2</v>
      </c>
      <c r="L300" s="11">
        <v>0</v>
      </c>
      <c r="N300" s="11">
        <v>0</v>
      </c>
      <c r="O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0</v>
      </c>
      <c r="V300" s="11">
        <v>0</v>
      </c>
      <c r="AB300" s="11">
        <v>0</v>
      </c>
      <c r="AC300" s="11">
        <v>0</v>
      </c>
      <c r="AD300" s="10">
        <v>0</v>
      </c>
      <c r="AE300" s="11">
        <v>0</v>
      </c>
      <c r="AG300" s="11">
        <v>0</v>
      </c>
      <c r="AH300" s="11">
        <v>0</v>
      </c>
      <c r="AI300" s="11">
        <v>-0.2</v>
      </c>
      <c r="AJ300" s="11">
        <v>0</v>
      </c>
    </row>
    <row r="301" spans="4:36">
      <c r="D301" s="10">
        <v>46143</v>
      </c>
      <c r="E301" s="11">
        <v>5.6748457158779998E-2</v>
      </c>
      <c r="H301" s="11">
        <v>0</v>
      </c>
      <c r="I301" s="11">
        <v>0</v>
      </c>
      <c r="K301" s="11">
        <v>-7.0000000000000007E-2</v>
      </c>
      <c r="L301" s="11">
        <v>0</v>
      </c>
      <c r="N301" s="11">
        <v>0</v>
      </c>
      <c r="O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 s="11">
        <v>0</v>
      </c>
      <c r="AB301" s="11">
        <v>0</v>
      </c>
      <c r="AC301" s="11">
        <v>0</v>
      </c>
      <c r="AD301" s="10">
        <v>0</v>
      </c>
      <c r="AE301" s="11">
        <v>0</v>
      </c>
      <c r="AG301" s="11">
        <v>0</v>
      </c>
      <c r="AH301" s="11">
        <v>0</v>
      </c>
      <c r="AI301" s="11">
        <v>-0.2</v>
      </c>
      <c r="AJ301" s="11">
        <v>0</v>
      </c>
    </row>
    <row r="302" spans="4:36">
      <c r="D302" s="10">
        <v>46174</v>
      </c>
      <c r="E302" s="11">
        <v>5.67504994537349E-2</v>
      </c>
      <c r="H302" s="11">
        <v>0</v>
      </c>
      <c r="I302" s="11">
        <v>0</v>
      </c>
      <c r="K302" s="11">
        <v>-7.0000000000000007E-2</v>
      </c>
      <c r="L302" s="11">
        <v>0</v>
      </c>
      <c r="N302" s="11">
        <v>0</v>
      </c>
      <c r="O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AB302" s="11">
        <v>0</v>
      </c>
      <c r="AC302" s="11">
        <v>0</v>
      </c>
      <c r="AD302" s="10">
        <v>0</v>
      </c>
      <c r="AE302" s="11">
        <v>0</v>
      </c>
      <c r="AG302" s="11">
        <v>0</v>
      </c>
      <c r="AH302" s="11">
        <v>0</v>
      </c>
      <c r="AI302" s="11">
        <v>-0.2</v>
      </c>
      <c r="AJ302" s="11">
        <v>0</v>
      </c>
    </row>
    <row r="303" spans="4:36">
      <c r="D303" s="10">
        <v>46204</v>
      </c>
      <c r="E303" s="11">
        <v>5.6752475868209203E-2</v>
      </c>
      <c r="H303" s="11">
        <v>0</v>
      </c>
      <c r="I303" s="11">
        <v>0</v>
      </c>
      <c r="K303" s="11">
        <v>-7.0000000000000007E-2</v>
      </c>
      <c r="L303" s="11">
        <v>0</v>
      </c>
      <c r="N303" s="11">
        <v>0</v>
      </c>
      <c r="O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AB303" s="11">
        <v>0</v>
      </c>
      <c r="AC303" s="11">
        <v>0</v>
      </c>
      <c r="AD303" s="10">
        <v>0</v>
      </c>
      <c r="AE303" s="11">
        <v>0</v>
      </c>
      <c r="AG303" s="11">
        <v>0</v>
      </c>
      <c r="AH303" s="11">
        <v>0</v>
      </c>
      <c r="AI303" s="11">
        <v>-0.2</v>
      </c>
      <c r="AJ303" s="11">
        <v>0</v>
      </c>
    </row>
    <row r="304" spans="4:36">
      <c r="D304" s="10">
        <v>46235</v>
      </c>
      <c r="E304" s="11">
        <v>5.6754518163167199E-2</v>
      </c>
      <c r="H304" s="11">
        <v>0</v>
      </c>
      <c r="I304" s="11">
        <v>0</v>
      </c>
      <c r="K304" s="11">
        <v>-7.0000000000000007E-2</v>
      </c>
      <c r="L304" s="11">
        <v>0</v>
      </c>
      <c r="N304" s="11">
        <v>0</v>
      </c>
      <c r="O304" s="11">
        <v>0</v>
      </c>
      <c r="Q304" s="11">
        <v>0</v>
      </c>
      <c r="R304" s="11">
        <v>0</v>
      </c>
      <c r="S304" s="11">
        <v>0</v>
      </c>
      <c r="T304" s="11">
        <v>0</v>
      </c>
      <c r="U304" s="11">
        <v>0</v>
      </c>
      <c r="V304" s="11">
        <v>0</v>
      </c>
      <c r="AB304" s="11">
        <v>0</v>
      </c>
      <c r="AC304" s="11">
        <v>0</v>
      </c>
      <c r="AD304" s="10">
        <v>0</v>
      </c>
      <c r="AE304" s="11">
        <v>0</v>
      </c>
      <c r="AG304" s="11">
        <v>0</v>
      </c>
      <c r="AH304" s="11">
        <v>0</v>
      </c>
      <c r="AI304" s="11">
        <v>-0.2</v>
      </c>
      <c r="AJ304" s="11">
        <v>0</v>
      </c>
    </row>
    <row r="305" spans="4:36">
      <c r="D305" s="10">
        <v>46266</v>
      </c>
      <c r="E305" s="11">
        <v>5.6756560458126597E-2</v>
      </c>
      <c r="H305" s="11">
        <v>0</v>
      </c>
      <c r="I305" s="11">
        <v>0</v>
      </c>
      <c r="K305" s="11">
        <v>-7.0000000000000007E-2</v>
      </c>
      <c r="L305" s="11">
        <v>0</v>
      </c>
      <c r="N305" s="11">
        <v>0</v>
      </c>
      <c r="O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AB305" s="11">
        <v>0</v>
      </c>
      <c r="AC305" s="11">
        <v>0</v>
      </c>
      <c r="AD305" s="10">
        <v>0</v>
      </c>
      <c r="AE305" s="11">
        <v>0</v>
      </c>
      <c r="AG305" s="11">
        <v>0</v>
      </c>
      <c r="AH305" s="11">
        <v>0</v>
      </c>
      <c r="AI305" s="11">
        <v>-0.2</v>
      </c>
      <c r="AJ305" s="11">
        <v>0</v>
      </c>
    </row>
    <row r="306" spans="4:36">
      <c r="D306" s="10">
        <v>46296</v>
      </c>
      <c r="E306" s="11">
        <v>5.6758536872604501E-2</v>
      </c>
      <c r="H306" s="11">
        <v>0</v>
      </c>
      <c r="I306" s="11">
        <v>0</v>
      </c>
      <c r="K306" s="11">
        <v>-7.0000000000000007E-2</v>
      </c>
      <c r="L306" s="11">
        <v>0</v>
      </c>
      <c r="N306" s="11">
        <v>0</v>
      </c>
      <c r="O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AB306" s="11">
        <v>0</v>
      </c>
      <c r="AC306" s="11">
        <v>0</v>
      </c>
      <c r="AD306" s="10">
        <v>0</v>
      </c>
      <c r="AE306" s="11">
        <v>0</v>
      </c>
      <c r="AG306" s="11">
        <v>0</v>
      </c>
      <c r="AH306" s="11">
        <v>0</v>
      </c>
      <c r="AI306" s="11">
        <v>-0.2</v>
      </c>
      <c r="AJ306" s="11">
        <v>0</v>
      </c>
    </row>
    <row r="307" spans="4:36">
      <c r="D307" s="10">
        <v>46327</v>
      </c>
      <c r="E307" s="11">
        <v>5.6760579167566903E-2</v>
      </c>
      <c r="H307" s="11">
        <v>0</v>
      </c>
      <c r="I307" s="11">
        <v>0</v>
      </c>
      <c r="K307" s="11">
        <v>-7.0000000000000007E-2</v>
      </c>
      <c r="L307" s="11">
        <v>0</v>
      </c>
      <c r="N307" s="11">
        <v>0</v>
      </c>
      <c r="O307" s="11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  <c r="AB307" s="11">
        <v>0</v>
      </c>
      <c r="AC307" s="11">
        <v>0</v>
      </c>
      <c r="AD307" s="10">
        <v>0</v>
      </c>
      <c r="AE307" s="11">
        <v>0</v>
      </c>
      <c r="AG307" s="11">
        <v>0</v>
      </c>
      <c r="AH307" s="11">
        <v>0</v>
      </c>
      <c r="AI307" s="11">
        <v>-0.2</v>
      </c>
      <c r="AJ307" s="11">
        <v>0</v>
      </c>
    </row>
    <row r="308" spans="4:36">
      <c r="D308" s="10">
        <v>46357</v>
      </c>
      <c r="E308" s="11">
        <v>5.67625555820475E-2</v>
      </c>
      <c r="H308" s="11">
        <v>0</v>
      </c>
      <c r="I308" s="11">
        <v>0</v>
      </c>
      <c r="K308" s="11">
        <v>-7.0000000000000007E-2</v>
      </c>
      <c r="L308" s="11">
        <v>0</v>
      </c>
      <c r="N308" s="11">
        <v>0</v>
      </c>
      <c r="O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AB308" s="11">
        <v>0</v>
      </c>
      <c r="AC308" s="11">
        <v>0</v>
      </c>
      <c r="AD308" s="10">
        <v>0</v>
      </c>
      <c r="AE308" s="11">
        <v>0</v>
      </c>
      <c r="AG308" s="11">
        <v>0</v>
      </c>
      <c r="AH308" s="11">
        <v>0</v>
      </c>
      <c r="AI308" s="11">
        <v>-0.2</v>
      </c>
      <c r="AJ308" s="11">
        <v>0</v>
      </c>
    </row>
    <row r="309" spans="4:36">
      <c r="D309" s="10">
        <v>46388</v>
      </c>
      <c r="E309" s="11">
        <v>5.6764597877012199E-2</v>
      </c>
      <c r="H309" s="11">
        <v>0</v>
      </c>
      <c r="I309" s="11">
        <v>0</v>
      </c>
      <c r="K309" s="11">
        <v>-7.0000000000000007E-2</v>
      </c>
      <c r="L309" s="11">
        <v>0</v>
      </c>
      <c r="N309" s="11">
        <v>0</v>
      </c>
      <c r="O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  <c r="AB309" s="11">
        <v>0</v>
      </c>
      <c r="AC309" s="11">
        <v>0</v>
      </c>
      <c r="AD309" s="10">
        <v>0</v>
      </c>
      <c r="AE309" s="11">
        <v>0</v>
      </c>
      <c r="AG309" s="11">
        <v>0</v>
      </c>
      <c r="AH309" s="11">
        <v>0</v>
      </c>
      <c r="AI309" s="11">
        <v>-0.2</v>
      </c>
      <c r="AJ309" s="11">
        <v>0</v>
      </c>
    </row>
    <row r="310" spans="4:36">
      <c r="D310" s="10">
        <v>46419</v>
      </c>
      <c r="E310" s="11">
        <v>5.6766640171978598E-2</v>
      </c>
      <c r="H310" s="11">
        <v>0</v>
      </c>
      <c r="I310" s="11">
        <v>0</v>
      </c>
      <c r="K310" s="11">
        <v>-7.0000000000000007E-2</v>
      </c>
      <c r="L310" s="11">
        <v>0</v>
      </c>
      <c r="N310" s="11">
        <v>0</v>
      </c>
      <c r="O310" s="11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11">
        <v>0</v>
      </c>
      <c r="AB310" s="11">
        <v>0</v>
      </c>
      <c r="AC310" s="11">
        <v>0</v>
      </c>
      <c r="AD310" s="10">
        <v>0</v>
      </c>
      <c r="AE310" s="11">
        <v>0</v>
      </c>
      <c r="AG310" s="11">
        <v>0</v>
      </c>
      <c r="AH310" s="11">
        <v>0</v>
      </c>
      <c r="AI310" s="11">
        <v>-0.2</v>
      </c>
      <c r="AJ310" s="11">
        <v>0</v>
      </c>
    </row>
    <row r="311" spans="4:36">
      <c r="D311" s="10">
        <v>46447</v>
      </c>
      <c r="E311" s="11">
        <v>5.67684848254979E-2</v>
      </c>
      <c r="H311" s="11">
        <v>0</v>
      </c>
      <c r="I311" s="11">
        <v>0</v>
      </c>
      <c r="K311" s="11">
        <v>-7.0000000000000007E-2</v>
      </c>
      <c r="L311" s="11">
        <v>0</v>
      </c>
      <c r="N311" s="11">
        <v>0</v>
      </c>
      <c r="O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AB311" s="11">
        <v>0</v>
      </c>
      <c r="AC311" s="11">
        <v>0</v>
      </c>
      <c r="AD311" s="10">
        <v>0</v>
      </c>
      <c r="AE311" s="11">
        <v>0</v>
      </c>
      <c r="AG311" s="11">
        <v>0</v>
      </c>
      <c r="AH311" s="11">
        <v>0</v>
      </c>
      <c r="AI311" s="11">
        <v>-0.2</v>
      </c>
      <c r="AJ311" s="11">
        <v>0</v>
      </c>
    </row>
    <row r="312" spans="4:36">
      <c r="D312" s="10">
        <v>46478</v>
      </c>
      <c r="E312" s="11">
        <v>5.6770527120466603E-2</v>
      </c>
      <c r="H312" s="11">
        <v>0</v>
      </c>
      <c r="I312" s="11">
        <v>0</v>
      </c>
      <c r="K312" s="11">
        <v>-7.0000000000000007E-2</v>
      </c>
      <c r="L312" s="11">
        <v>0</v>
      </c>
      <c r="N312" s="11">
        <v>0</v>
      </c>
      <c r="O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AB312" s="11">
        <v>0</v>
      </c>
      <c r="AC312" s="11">
        <v>0</v>
      </c>
      <c r="AD312" s="10">
        <v>0</v>
      </c>
      <c r="AE312" s="11">
        <v>0</v>
      </c>
      <c r="AG312" s="11">
        <v>0</v>
      </c>
      <c r="AH312" s="11">
        <v>0</v>
      </c>
      <c r="AI312" s="11">
        <v>-0.2</v>
      </c>
      <c r="AJ312" s="11">
        <v>0</v>
      </c>
    </row>
    <row r="313" spans="4:36">
      <c r="D313" s="10">
        <v>46508</v>
      </c>
      <c r="E313" s="11">
        <v>5.6772503534953798E-2</v>
      </c>
      <c r="H313" s="11">
        <v>0</v>
      </c>
      <c r="I313" s="11">
        <v>0</v>
      </c>
      <c r="K313" s="11">
        <v>-7.0000000000000007E-2</v>
      </c>
      <c r="L313" s="11">
        <v>0</v>
      </c>
      <c r="N313" s="11">
        <v>0</v>
      </c>
      <c r="O313" s="11">
        <v>0</v>
      </c>
      <c r="Q313" s="11">
        <v>0</v>
      </c>
      <c r="R313" s="11">
        <v>0</v>
      </c>
      <c r="S313" s="11">
        <v>0</v>
      </c>
      <c r="T313" s="11">
        <v>0</v>
      </c>
      <c r="U313" s="11">
        <v>0</v>
      </c>
      <c r="V313" s="11">
        <v>0</v>
      </c>
      <c r="AB313" s="11">
        <v>0</v>
      </c>
      <c r="AC313" s="11">
        <v>0</v>
      </c>
      <c r="AD313" s="10">
        <v>0</v>
      </c>
      <c r="AE313" s="11">
        <v>0</v>
      </c>
      <c r="AG313" s="11">
        <v>0</v>
      </c>
      <c r="AH313" s="11">
        <v>0</v>
      </c>
      <c r="AI313" s="11">
        <v>-0.2</v>
      </c>
      <c r="AJ313" s="11">
        <v>0</v>
      </c>
    </row>
    <row r="314" spans="4:36">
      <c r="D314" s="10">
        <v>46539</v>
      </c>
      <c r="E314" s="11">
        <v>5.6774545829925603E-2</v>
      </c>
      <c r="H314" s="11">
        <v>0</v>
      </c>
      <c r="I314" s="11">
        <v>0</v>
      </c>
      <c r="K314" s="11">
        <v>-7.0000000000000007E-2</v>
      </c>
      <c r="L314" s="11">
        <v>0</v>
      </c>
      <c r="N314" s="11">
        <v>0</v>
      </c>
      <c r="O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AB314" s="11">
        <v>0</v>
      </c>
      <c r="AC314" s="11">
        <v>0</v>
      </c>
      <c r="AD314" s="10">
        <v>0</v>
      </c>
      <c r="AE314" s="11">
        <v>0</v>
      </c>
      <c r="AG314" s="11">
        <v>0</v>
      </c>
      <c r="AH314" s="11">
        <v>0</v>
      </c>
      <c r="AI314" s="11">
        <v>-0.2</v>
      </c>
      <c r="AJ314" s="11">
        <v>0</v>
      </c>
    </row>
    <row r="315" spans="4:36">
      <c r="D315" s="10">
        <v>46569</v>
      </c>
      <c r="E315" s="11">
        <v>5.6776522244415401E-2</v>
      </c>
      <c r="H315" s="11">
        <v>0</v>
      </c>
      <c r="I315" s="11">
        <v>0</v>
      </c>
      <c r="K315" s="11">
        <v>-7.0000000000000007E-2</v>
      </c>
      <c r="L315" s="11">
        <v>0</v>
      </c>
      <c r="N315" s="11">
        <v>0</v>
      </c>
      <c r="O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AB315" s="11">
        <v>0</v>
      </c>
      <c r="AC315" s="11">
        <v>0</v>
      </c>
      <c r="AD315" s="10">
        <v>0</v>
      </c>
      <c r="AE315" s="11">
        <v>0</v>
      </c>
      <c r="AG315" s="11">
        <v>0</v>
      </c>
      <c r="AH315" s="11">
        <v>0</v>
      </c>
      <c r="AI315" s="11">
        <v>-0.2</v>
      </c>
      <c r="AJ315" s="11">
        <v>0</v>
      </c>
    </row>
    <row r="316" spans="4:36">
      <c r="D316" s="10">
        <v>46600</v>
      </c>
      <c r="E316" s="11">
        <v>5.6778564539389398E-2</v>
      </c>
      <c r="H316" s="11">
        <v>0</v>
      </c>
      <c r="I316" s="11">
        <v>0</v>
      </c>
      <c r="K316" s="11">
        <v>-7.0000000000000007E-2</v>
      </c>
      <c r="L316" s="11">
        <v>0</v>
      </c>
      <c r="N316" s="11">
        <v>0</v>
      </c>
      <c r="O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AB316" s="11">
        <v>0</v>
      </c>
      <c r="AC316" s="11">
        <v>0</v>
      </c>
      <c r="AD316" s="10">
        <v>0</v>
      </c>
      <c r="AE316" s="11">
        <v>0</v>
      </c>
      <c r="AG316" s="11">
        <v>0</v>
      </c>
      <c r="AH316" s="11">
        <v>0</v>
      </c>
      <c r="AI316" s="11">
        <v>-0.2</v>
      </c>
      <c r="AJ316" s="11">
        <v>0</v>
      </c>
    </row>
    <row r="317" spans="4:36">
      <c r="D317" s="10">
        <v>46631</v>
      </c>
      <c r="E317" s="11">
        <v>5.6780606834365699E-2</v>
      </c>
      <c r="H317" s="11">
        <v>0</v>
      </c>
      <c r="I317" s="11">
        <v>0</v>
      </c>
      <c r="K317" s="11">
        <v>-7.0000000000000007E-2</v>
      </c>
      <c r="L317" s="11">
        <v>0</v>
      </c>
      <c r="N317" s="11">
        <v>0</v>
      </c>
      <c r="O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AB317" s="11">
        <v>0</v>
      </c>
      <c r="AC317" s="11">
        <v>0</v>
      </c>
      <c r="AD317" s="10">
        <v>0</v>
      </c>
      <c r="AE317" s="11">
        <v>0</v>
      </c>
      <c r="AG317" s="11">
        <v>0</v>
      </c>
      <c r="AH317" s="11">
        <v>0</v>
      </c>
      <c r="AI317" s="11">
        <v>-0.2</v>
      </c>
      <c r="AJ317" s="11">
        <v>0</v>
      </c>
    </row>
    <row r="318" spans="4:36">
      <c r="D318" s="10">
        <v>46661</v>
      </c>
      <c r="E318" s="11">
        <v>5.67825832488595E-2</v>
      </c>
      <c r="H318" s="11">
        <v>0</v>
      </c>
      <c r="I318" s="11">
        <v>0</v>
      </c>
      <c r="K318" s="11">
        <v>-7.0000000000000007E-2</v>
      </c>
      <c r="L318" s="11">
        <v>0</v>
      </c>
      <c r="N318" s="11">
        <v>0</v>
      </c>
      <c r="O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AB318" s="11">
        <v>0</v>
      </c>
      <c r="AC318" s="11">
        <v>0</v>
      </c>
      <c r="AD318" s="10">
        <v>0</v>
      </c>
      <c r="AE318" s="11">
        <v>0</v>
      </c>
      <c r="AG318" s="11">
        <v>0</v>
      </c>
      <c r="AH318" s="11">
        <v>0</v>
      </c>
      <c r="AI318" s="11">
        <v>-0.2</v>
      </c>
      <c r="AJ318" s="11">
        <v>0</v>
      </c>
    </row>
    <row r="319" spans="4:36">
      <c r="D319" s="10">
        <v>46692</v>
      </c>
      <c r="E319" s="11">
        <v>5.6784625543837598E-2</v>
      </c>
      <c r="H319" s="11">
        <v>0</v>
      </c>
      <c r="I319" s="11">
        <v>0</v>
      </c>
      <c r="K319" s="11">
        <v>-7.0000000000000007E-2</v>
      </c>
      <c r="L319" s="11">
        <v>0</v>
      </c>
      <c r="N319" s="11">
        <v>0</v>
      </c>
      <c r="O319" s="11">
        <v>0</v>
      </c>
      <c r="Q319" s="11">
        <v>0</v>
      </c>
      <c r="R319" s="11">
        <v>0</v>
      </c>
      <c r="S319" s="11">
        <v>0</v>
      </c>
      <c r="T319" s="11">
        <v>0</v>
      </c>
      <c r="U319" s="11">
        <v>0</v>
      </c>
      <c r="V319" s="11">
        <v>0</v>
      </c>
      <c r="AB319" s="11">
        <v>0</v>
      </c>
      <c r="AC319" s="11">
        <v>0</v>
      </c>
      <c r="AD319" s="10">
        <v>0</v>
      </c>
      <c r="AE319" s="11">
        <v>0</v>
      </c>
      <c r="AG319" s="11">
        <v>0</v>
      </c>
      <c r="AH319" s="11">
        <v>0</v>
      </c>
      <c r="AI319" s="11">
        <v>-0.2</v>
      </c>
      <c r="AJ319" s="11">
        <v>0</v>
      </c>
    </row>
    <row r="320" spans="4:36">
      <c r="D320" s="10">
        <v>46722</v>
      </c>
      <c r="E320" s="11">
        <v>5.6786601958334501E-2</v>
      </c>
      <c r="H320" s="11">
        <v>0</v>
      </c>
      <c r="I320" s="11">
        <v>0</v>
      </c>
      <c r="K320" s="11">
        <v>-7.0000000000000007E-2</v>
      </c>
      <c r="L320" s="11">
        <v>0</v>
      </c>
      <c r="N320" s="11">
        <v>0</v>
      </c>
      <c r="O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AB320" s="11">
        <v>0</v>
      </c>
      <c r="AC320" s="11">
        <v>0</v>
      </c>
      <c r="AD320" s="10">
        <v>0</v>
      </c>
      <c r="AE320" s="11">
        <v>0</v>
      </c>
      <c r="AG320" s="11">
        <v>0</v>
      </c>
      <c r="AH320" s="11">
        <v>0</v>
      </c>
      <c r="AI320" s="11">
        <v>-0.2</v>
      </c>
      <c r="AJ320" s="11">
        <v>0</v>
      </c>
    </row>
    <row r="321" spans="4:36">
      <c r="D321" s="10">
        <v>46753</v>
      </c>
      <c r="E321" s="11">
        <v>5.6788644253315597E-2</v>
      </c>
      <c r="H321" s="11">
        <v>0</v>
      </c>
      <c r="I321" s="11">
        <v>0</v>
      </c>
      <c r="K321" s="11">
        <v>-7.0000000000000007E-2</v>
      </c>
      <c r="L321" s="11">
        <v>0</v>
      </c>
      <c r="N321" s="11">
        <v>0</v>
      </c>
      <c r="O321" s="11">
        <v>0</v>
      </c>
      <c r="Q321" s="11">
        <v>0</v>
      </c>
      <c r="R321" s="11">
        <v>0</v>
      </c>
      <c r="S321" s="11">
        <v>0</v>
      </c>
      <c r="T321" s="11">
        <v>0</v>
      </c>
      <c r="U321" s="11">
        <v>0</v>
      </c>
      <c r="V321" s="11">
        <v>0</v>
      </c>
      <c r="AB321" s="11">
        <v>0</v>
      </c>
      <c r="AC321" s="11">
        <v>0</v>
      </c>
      <c r="AD321" s="10">
        <v>0</v>
      </c>
      <c r="AE321" s="11">
        <v>0</v>
      </c>
      <c r="AG321" s="11">
        <v>0</v>
      </c>
      <c r="AH321" s="11">
        <v>0</v>
      </c>
      <c r="AI321" s="11">
        <v>-0.2</v>
      </c>
      <c r="AJ321" s="11">
        <v>0</v>
      </c>
    </row>
    <row r="322" spans="4:36">
      <c r="D322" s="10">
        <v>46784</v>
      </c>
      <c r="E322" s="11">
        <v>5.6790686548298601E-2</v>
      </c>
      <c r="H322" s="11">
        <v>0</v>
      </c>
      <c r="I322" s="11">
        <v>0</v>
      </c>
      <c r="K322" s="11">
        <v>-7.0000000000000007E-2</v>
      </c>
      <c r="L322" s="11">
        <v>0</v>
      </c>
      <c r="N322" s="11">
        <v>0</v>
      </c>
      <c r="O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 s="11">
        <v>0</v>
      </c>
      <c r="AB322" s="11">
        <v>0</v>
      </c>
      <c r="AC322" s="11">
        <v>0</v>
      </c>
      <c r="AD322" s="10">
        <v>0</v>
      </c>
      <c r="AE322" s="11">
        <v>0</v>
      </c>
      <c r="AG322" s="11">
        <v>0</v>
      </c>
      <c r="AH322" s="11">
        <v>0</v>
      </c>
      <c r="AI322" s="11">
        <v>-0.2</v>
      </c>
      <c r="AJ322" s="11">
        <v>0</v>
      </c>
    </row>
    <row r="323" spans="4:36">
      <c r="D323" s="10">
        <v>46813</v>
      </c>
      <c r="E323" s="11">
        <v>5.67925970823158E-2</v>
      </c>
      <c r="H323" s="11">
        <v>0</v>
      </c>
      <c r="I323" s="11">
        <v>0</v>
      </c>
      <c r="K323" s="11">
        <v>-7.0000000000000007E-2</v>
      </c>
      <c r="L323" s="11">
        <v>0</v>
      </c>
      <c r="N323" s="11">
        <v>0</v>
      </c>
      <c r="O323" s="11">
        <v>0</v>
      </c>
      <c r="Q323" s="11">
        <v>0</v>
      </c>
      <c r="R323" s="11">
        <v>0</v>
      </c>
      <c r="S323" s="11">
        <v>0</v>
      </c>
      <c r="T323" s="11">
        <v>0</v>
      </c>
      <c r="U323" s="11">
        <v>0</v>
      </c>
      <c r="V323" s="11">
        <v>0</v>
      </c>
      <c r="AB323" s="11">
        <v>0</v>
      </c>
      <c r="AC323" s="11">
        <v>0</v>
      </c>
      <c r="AD323" s="10">
        <v>0</v>
      </c>
      <c r="AE323" s="11">
        <v>0</v>
      </c>
      <c r="AG323" s="11">
        <v>0</v>
      </c>
      <c r="AH323" s="11">
        <v>0</v>
      </c>
      <c r="AI323" s="11">
        <v>-0.2</v>
      </c>
      <c r="AJ323" s="11">
        <v>0</v>
      </c>
    </row>
    <row r="324" spans="4:36">
      <c r="D324" s="10">
        <v>46844</v>
      </c>
      <c r="E324" s="11">
        <v>5.67946393773009E-2</v>
      </c>
      <c r="H324" s="11">
        <v>0</v>
      </c>
      <c r="I324" s="11">
        <v>0</v>
      </c>
      <c r="K324" s="11">
        <v>-7.0000000000000007E-2</v>
      </c>
      <c r="L324" s="11">
        <v>0</v>
      </c>
      <c r="N324" s="11">
        <v>0</v>
      </c>
      <c r="O324" s="11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0</v>
      </c>
      <c r="V324" s="11">
        <v>0</v>
      </c>
      <c r="AB324" s="11">
        <v>0</v>
      </c>
      <c r="AC324" s="11">
        <v>0</v>
      </c>
      <c r="AD324" s="10">
        <v>0</v>
      </c>
      <c r="AE324" s="11">
        <v>0</v>
      </c>
      <c r="AG324" s="11">
        <v>0</v>
      </c>
      <c r="AH324" s="11">
        <v>0</v>
      </c>
      <c r="AI324" s="11">
        <v>-0.2</v>
      </c>
      <c r="AJ324" s="11">
        <v>0</v>
      </c>
    </row>
    <row r="325" spans="4:36">
      <c r="D325" s="10">
        <v>46874</v>
      </c>
      <c r="E325" s="11">
        <v>5.6796615791804103E-2</v>
      </c>
      <c r="H325" s="11">
        <v>0</v>
      </c>
      <c r="I325" s="11">
        <v>0</v>
      </c>
      <c r="K325" s="11">
        <v>-7.0000000000000007E-2</v>
      </c>
      <c r="L325" s="11">
        <v>0</v>
      </c>
      <c r="N325" s="11">
        <v>0</v>
      </c>
      <c r="O325" s="11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AB325" s="11">
        <v>0</v>
      </c>
      <c r="AC325" s="11">
        <v>0</v>
      </c>
      <c r="AD325" s="10">
        <v>0</v>
      </c>
      <c r="AE325" s="11">
        <v>0</v>
      </c>
      <c r="AG325" s="11">
        <v>0</v>
      </c>
      <c r="AH325" s="11">
        <v>0</v>
      </c>
      <c r="AI325" s="11">
        <v>-0.2</v>
      </c>
      <c r="AJ325" s="11">
        <v>0</v>
      </c>
    </row>
    <row r="326" spans="4:36">
      <c r="D326" s="10">
        <v>46905</v>
      </c>
      <c r="E326" s="11">
        <v>5.6798658086792297E-2</v>
      </c>
      <c r="H326" s="11">
        <v>0</v>
      </c>
      <c r="I326" s="11">
        <v>0</v>
      </c>
      <c r="K326" s="11">
        <v>-7.0000000000000007E-2</v>
      </c>
      <c r="L326" s="11">
        <v>0</v>
      </c>
      <c r="N326" s="11">
        <v>0</v>
      </c>
      <c r="O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AB326" s="11">
        <v>0</v>
      </c>
      <c r="AC326" s="11">
        <v>0</v>
      </c>
      <c r="AD326" s="10">
        <v>0</v>
      </c>
      <c r="AE326" s="11">
        <v>0</v>
      </c>
      <c r="AG326" s="11">
        <v>0</v>
      </c>
      <c r="AH326" s="11">
        <v>0</v>
      </c>
      <c r="AI326" s="11">
        <v>-0.2</v>
      </c>
      <c r="AJ326" s="11">
        <v>0</v>
      </c>
    </row>
    <row r="327" spans="4:36">
      <c r="D327" s="10">
        <v>46935</v>
      </c>
      <c r="E327" s="11">
        <v>5.68006345012977E-2</v>
      </c>
      <c r="H327" s="11">
        <v>0</v>
      </c>
      <c r="I327" s="11">
        <v>0</v>
      </c>
      <c r="K327" s="11">
        <v>-7.0000000000000007E-2</v>
      </c>
      <c r="L327" s="11">
        <v>0</v>
      </c>
      <c r="N327" s="11">
        <v>0</v>
      </c>
      <c r="O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AB327" s="11">
        <v>0</v>
      </c>
      <c r="AC327" s="11">
        <v>0</v>
      </c>
      <c r="AD327" s="10">
        <v>0</v>
      </c>
      <c r="AE327" s="11">
        <v>0</v>
      </c>
      <c r="AG327" s="11">
        <v>0</v>
      </c>
      <c r="AH327" s="11">
        <v>0</v>
      </c>
      <c r="AI327" s="11">
        <v>-0.2</v>
      </c>
      <c r="AJ327" s="11">
        <v>0</v>
      </c>
    </row>
    <row r="328" spans="4:36">
      <c r="D328" s="10">
        <v>46966</v>
      </c>
      <c r="E328" s="11">
        <v>5.6802676796288601E-2</v>
      </c>
      <c r="H328" s="11">
        <v>0</v>
      </c>
      <c r="I328" s="11">
        <v>0</v>
      </c>
      <c r="K328" s="11">
        <v>-7.0000000000000007E-2</v>
      </c>
      <c r="L328" s="11">
        <v>0</v>
      </c>
      <c r="N328" s="11">
        <v>0</v>
      </c>
      <c r="O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AB328" s="11">
        <v>0</v>
      </c>
      <c r="AC328" s="11">
        <v>0</v>
      </c>
      <c r="AD328" s="10">
        <v>0</v>
      </c>
      <c r="AE328" s="11">
        <v>0</v>
      </c>
      <c r="AG328" s="11">
        <v>0</v>
      </c>
      <c r="AH328" s="11">
        <v>0</v>
      </c>
      <c r="AI328" s="11">
        <v>-0.2</v>
      </c>
      <c r="AJ328" s="11">
        <v>0</v>
      </c>
    </row>
    <row r="329" spans="4:36">
      <c r="D329" s="10">
        <v>46997</v>
      </c>
      <c r="E329" s="11">
        <v>5.6804719091280799E-2</v>
      </c>
      <c r="H329" s="11">
        <v>0</v>
      </c>
      <c r="I329" s="11">
        <v>0</v>
      </c>
      <c r="K329" s="11">
        <v>-7.0000000000000007E-2</v>
      </c>
      <c r="L329" s="11">
        <v>0</v>
      </c>
      <c r="N329" s="11">
        <v>0</v>
      </c>
      <c r="O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AB329" s="11">
        <v>0</v>
      </c>
      <c r="AC329" s="11">
        <v>0</v>
      </c>
      <c r="AD329" s="10">
        <v>0</v>
      </c>
      <c r="AE329" s="11">
        <v>0</v>
      </c>
      <c r="AG329" s="11">
        <v>0</v>
      </c>
      <c r="AH329" s="11">
        <v>0</v>
      </c>
      <c r="AI329" s="11">
        <v>-0.2</v>
      </c>
      <c r="AJ329" s="11">
        <v>0</v>
      </c>
    </row>
    <row r="330" spans="4:36">
      <c r="D330" s="10">
        <v>47027</v>
      </c>
      <c r="E330" s="11">
        <v>5.6806695505790601E-2</v>
      </c>
      <c r="H330" s="11">
        <v>0</v>
      </c>
      <c r="I330" s="11">
        <v>0</v>
      </c>
      <c r="K330" s="11">
        <v>-7.0000000000000007E-2</v>
      </c>
      <c r="L330" s="11">
        <v>0</v>
      </c>
      <c r="N330" s="11">
        <v>0</v>
      </c>
      <c r="O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AB330" s="11">
        <v>0</v>
      </c>
      <c r="AC330" s="11">
        <v>0</v>
      </c>
      <c r="AD330" s="10">
        <v>0</v>
      </c>
      <c r="AE330" s="11">
        <v>0</v>
      </c>
      <c r="AG330" s="11">
        <v>0</v>
      </c>
      <c r="AH330" s="11">
        <v>0</v>
      </c>
      <c r="AI330" s="11">
        <v>-0.2</v>
      </c>
      <c r="AJ330" s="11">
        <v>0</v>
      </c>
    </row>
    <row r="331" spans="4:36">
      <c r="D331" s="10">
        <v>47058</v>
      </c>
      <c r="E331" s="11">
        <v>5.6808737800785103E-2</v>
      </c>
      <c r="H331" s="11">
        <v>0</v>
      </c>
      <c r="I331" s="11">
        <v>0</v>
      </c>
      <c r="K331" s="11">
        <v>-7.0000000000000007E-2</v>
      </c>
      <c r="L331" s="11">
        <v>0</v>
      </c>
      <c r="N331" s="11">
        <v>0</v>
      </c>
      <c r="O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AB331" s="11">
        <v>0</v>
      </c>
      <c r="AC331" s="11">
        <v>0</v>
      </c>
      <c r="AD331" s="10">
        <v>0</v>
      </c>
      <c r="AE331" s="11">
        <v>0</v>
      </c>
      <c r="AG331" s="11">
        <v>0</v>
      </c>
      <c r="AH331" s="11">
        <v>0</v>
      </c>
      <c r="AI331" s="11">
        <v>-0.2</v>
      </c>
      <c r="AJ331" s="11">
        <v>0</v>
      </c>
    </row>
    <row r="332" spans="4:36">
      <c r="D332" s="10">
        <v>47088</v>
      </c>
      <c r="E332" s="11">
        <v>5.6810714215298E-2</v>
      </c>
      <c r="H332" s="11">
        <v>0</v>
      </c>
      <c r="I332" s="11">
        <v>0</v>
      </c>
      <c r="K332" s="11">
        <v>-7.0000000000000007E-2</v>
      </c>
      <c r="L332" s="11">
        <v>0</v>
      </c>
      <c r="N332" s="11">
        <v>0</v>
      </c>
      <c r="O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AB332" s="11">
        <v>0</v>
      </c>
      <c r="AC332" s="11">
        <v>0</v>
      </c>
      <c r="AD332" s="10">
        <v>0</v>
      </c>
      <c r="AE332" s="11">
        <v>0</v>
      </c>
      <c r="AG332" s="11">
        <v>0</v>
      </c>
      <c r="AH332" s="11">
        <v>0</v>
      </c>
      <c r="AI332" s="11">
        <v>-0.2</v>
      </c>
      <c r="AJ332" s="11">
        <v>0</v>
      </c>
    </row>
    <row r="333" spans="4:36">
      <c r="D333" s="10">
        <v>47119</v>
      </c>
      <c r="E333" s="11">
        <v>5.6812756510295201E-2</v>
      </c>
      <c r="H333" s="11">
        <v>0</v>
      </c>
      <c r="I333" s="11">
        <v>0</v>
      </c>
      <c r="K333" s="11">
        <v>-7.0000000000000007E-2</v>
      </c>
      <c r="L333" s="11">
        <v>0</v>
      </c>
      <c r="N333" s="11">
        <v>0</v>
      </c>
      <c r="O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AB333" s="11">
        <v>0</v>
      </c>
      <c r="AC333" s="11">
        <v>0</v>
      </c>
      <c r="AD333" s="10">
        <v>0</v>
      </c>
      <c r="AE333" s="11">
        <v>0</v>
      </c>
      <c r="AG333" s="11">
        <v>0</v>
      </c>
      <c r="AH333" s="11">
        <v>0</v>
      </c>
      <c r="AI333" s="11">
        <v>-0.2</v>
      </c>
      <c r="AJ333" s="11">
        <v>0</v>
      </c>
    </row>
    <row r="334" spans="4:36">
      <c r="D334" s="10">
        <v>47150</v>
      </c>
      <c r="E334" s="11">
        <v>5.6814798805293998E-2</v>
      </c>
      <c r="H334" s="11">
        <v>0</v>
      </c>
      <c r="I334" s="11">
        <v>0</v>
      </c>
      <c r="K334" s="11">
        <v>-7.0000000000000007E-2</v>
      </c>
      <c r="L334" s="11">
        <v>0</v>
      </c>
      <c r="N334" s="11">
        <v>0</v>
      </c>
      <c r="O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AB334" s="11">
        <v>0</v>
      </c>
      <c r="AC334" s="11">
        <v>0</v>
      </c>
      <c r="AD334" s="10">
        <v>0</v>
      </c>
      <c r="AE334" s="11">
        <v>0</v>
      </c>
      <c r="AG334" s="11">
        <v>0</v>
      </c>
      <c r="AH334" s="11">
        <v>0</v>
      </c>
      <c r="AI334" s="11">
        <v>-0.2</v>
      </c>
      <c r="AJ334" s="11">
        <v>0</v>
      </c>
    </row>
    <row r="335" spans="4:36">
      <c r="D335" s="10">
        <v>47178</v>
      </c>
      <c r="E335" s="11">
        <v>5.6816643458842603E-2</v>
      </c>
      <c r="H335" s="11">
        <v>0</v>
      </c>
      <c r="I335" s="11">
        <v>0</v>
      </c>
      <c r="K335" s="11">
        <v>-7.0000000000000007E-2</v>
      </c>
      <c r="L335" s="11">
        <v>0</v>
      </c>
      <c r="N335" s="11">
        <v>0</v>
      </c>
      <c r="O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AB335" s="11">
        <v>0</v>
      </c>
      <c r="AC335" s="11">
        <v>0</v>
      </c>
      <c r="AD335" s="10">
        <v>0</v>
      </c>
      <c r="AE335" s="11">
        <v>0</v>
      </c>
      <c r="AG335" s="11">
        <v>0</v>
      </c>
      <c r="AH335" s="11">
        <v>0</v>
      </c>
      <c r="AI335" s="11">
        <v>-0.2</v>
      </c>
      <c r="AJ335" s="11">
        <v>0</v>
      </c>
    </row>
    <row r="336" spans="4:36">
      <c r="D336" s="10">
        <v>47209</v>
      </c>
      <c r="E336" s="11">
        <v>5.6818685753844599E-2</v>
      </c>
      <c r="H336" s="11">
        <v>0</v>
      </c>
      <c r="I336" s="11">
        <v>0</v>
      </c>
      <c r="K336" s="11">
        <v>-7.0000000000000007E-2</v>
      </c>
      <c r="L336" s="11">
        <v>0</v>
      </c>
      <c r="N336" s="11">
        <v>0</v>
      </c>
      <c r="O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AB336" s="11">
        <v>0</v>
      </c>
      <c r="AC336" s="11">
        <v>0</v>
      </c>
      <c r="AD336" s="10">
        <v>0</v>
      </c>
      <c r="AE336" s="11">
        <v>0</v>
      </c>
      <c r="AG336" s="11">
        <v>0</v>
      </c>
      <c r="AH336" s="11">
        <v>0</v>
      </c>
      <c r="AI336" s="11">
        <v>-0.2</v>
      </c>
      <c r="AJ336" s="11">
        <v>0</v>
      </c>
    </row>
    <row r="337" spans="4:36">
      <c r="D337" s="10">
        <v>47239</v>
      </c>
      <c r="E337" s="11">
        <v>5.6820662168363803E-2</v>
      </c>
      <c r="H337" s="11">
        <v>0</v>
      </c>
      <c r="I337" s="11">
        <v>0</v>
      </c>
      <c r="K337" s="11">
        <v>-7.0000000000000007E-2</v>
      </c>
      <c r="L337" s="11">
        <v>0</v>
      </c>
      <c r="N337" s="11">
        <v>0</v>
      </c>
      <c r="O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AB337" s="11">
        <v>0</v>
      </c>
      <c r="AC337" s="11">
        <v>0</v>
      </c>
      <c r="AD337" s="10">
        <v>0</v>
      </c>
      <c r="AE337" s="11">
        <v>0</v>
      </c>
      <c r="AG337" s="11">
        <v>0</v>
      </c>
      <c r="AH337" s="11">
        <v>0</v>
      </c>
      <c r="AI337" s="11">
        <v>-0.2</v>
      </c>
      <c r="AJ337" s="11">
        <v>0</v>
      </c>
    </row>
    <row r="338" spans="4:36">
      <c r="D338" s="10">
        <v>47270</v>
      </c>
      <c r="E338" s="11">
        <v>5.6822704463367603E-2</v>
      </c>
      <c r="H338" s="11">
        <v>0</v>
      </c>
      <c r="I338" s="11">
        <v>0</v>
      </c>
      <c r="K338" s="11">
        <v>-7.0000000000000007E-2</v>
      </c>
      <c r="L338" s="11">
        <v>0</v>
      </c>
      <c r="N338" s="11">
        <v>0</v>
      </c>
      <c r="O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AB338" s="11">
        <v>0</v>
      </c>
      <c r="AC338" s="11">
        <v>0</v>
      </c>
      <c r="AD338" s="10">
        <v>0</v>
      </c>
      <c r="AE338" s="11">
        <v>0</v>
      </c>
      <c r="AG338" s="11">
        <v>0</v>
      </c>
      <c r="AH338" s="11">
        <v>0</v>
      </c>
      <c r="AI338" s="11">
        <v>-0.2</v>
      </c>
      <c r="AJ338" s="11">
        <v>0</v>
      </c>
    </row>
    <row r="339" spans="4:36">
      <c r="D339" s="10">
        <v>47300</v>
      </c>
      <c r="E339" s="11">
        <v>5.6824680877889798E-2</v>
      </c>
      <c r="H339" s="11">
        <v>0</v>
      </c>
      <c r="I339" s="11">
        <v>0</v>
      </c>
      <c r="K339" s="11">
        <v>-7.0000000000000007E-2</v>
      </c>
      <c r="L339" s="11">
        <v>0</v>
      </c>
      <c r="N339" s="11">
        <v>0</v>
      </c>
      <c r="O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AB339" s="11">
        <v>0</v>
      </c>
      <c r="AC339" s="11">
        <v>0</v>
      </c>
      <c r="AD339" s="10">
        <v>0</v>
      </c>
      <c r="AE339" s="11">
        <v>0</v>
      </c>
      <c r="AG339" s="11">
        <v>0</v>
      </c>
      <c r="AH339" s="11">
        <v>0</v>
      </c>
      <c r="AI339" s="11">
        <v>-0.2</v>
      </c>
      <c r="AJ339" s="11">
        <v>0</v>
      </c>
    </row>
    <row r="340" spans="4:36">
      <c r="D340" s="10">
        <v>47331</v>
      </c>
      <c r="E340" s="11">
        <v>5.68267231728967E-2</v>
      </c>
      <c r="H340" s="11">
        <v>0</v>
      </c>
      <c r="I340" s="11">
        <v>0</v>
      </c>
      <c r="K340" s="11">
        <v>-7.0000000000000007E-2</v>
      </c>
      <c r="L340" s="11">
        <v>0</v>
      </c>
      <c r="N340" s="11">
        <v>0</v>
      </c>
      <c r="O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AB340" s="11">
        <v>0</v>
      </c>
      <c r="AC340" s="11">
        <v>0</v>
      </c>
      <c r="AD340" s="10">
        <v>0</v>
      </c>
      <c r="AE340" s="11">
        <v>0</v>
      </c>
      <c r="AG340" s="11">
        <v>0</v>
      </c>
      <c r="AH340" s="11">
        <v>0</v>
      </c>
      <c r="AI340" s="11">
        <v>-0.2</v>
      </c>
      <c r="AJ340" s="11">
        <v>0</v>
      </c>
    </row>
    <row r="341" spans="4:36">
      <c r="D341" s="10">
        <v>47362</v>
      </c>
      <c r="E341" s="11">
        <v>5.6828765467904899E-2</v>
      </c>
      <c r="H341" s="11">
        <v>0</v>
      </c>
      <c r="I341" s="11">
        <v>0</v>
      </c>
      <c r="K341" s="11">
        <v>-7.0000000000000007E-2</v>
      </c>
      <c r="L341" s="11">
        <v>0</v>
      </c>
      <c r="N341" s="11">
        <v>0</v>
      </c>
      <c r="O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AB341" s="11">
        <v>0</v>
      </c>
      <c r="AC341" s="11">
        <v>0</v>
      </c>
      <c r="AD341" s="10">
        <v>0</v>
      </c>
      <c r="AE341" s="11">
        <v>0</v>
      </c>
      <c r="AG341" s="11">
        <v>0</v>
      </c>
      <c r="AH341" s="11">
        <v>0</v>
      </c>
      <c r="AI341" s="11">
        <v>-0.2</v>
      </c>
      <c r="AJ341" s="11">
        <v>0</v>
      </c>
    </row>
    <row r="342" spans="4:36">
      <c r="D342" s="10">
        <v>47392</v>
      </c>
      <c r="E342" s="11">
        <v>5.6830741882430799E-2</v>
      </c>
      <c r="H342" s="11">
        <v>0</v>
      </c>
      <c r="I342" s="11">
        <v>0</v>
      </c>
      <c r="K342" s="11">
        <v>-7.0000000000000007E-2</v>
      </c>
      <c r="L342" s="11">
        <v>0</v>
      </c>
      <c r="N342" s="11">
        <v>0</v>
      </c>
      <c r="O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AB342" s="11">
        <v>0</v>
      </c>
      <c r="AC342" s="11">
        <v>0</v>
      </c>
      <c r="AD342" s="10">
        <v>0</v>
      </c>
      <c r="AE342" s="11">
        <v>0</v>
      </c>
      <c r="AG342" s="11">
        <v>0</v>
      </c>
      <c r="AH342" s="11">
        <v>0</v>
      </c>
      <c r="AI342" s="11">
        <v>-0.2</v>
      </c>
      <c r="AJ342" s="11">
        <v>0</v>
      </c>
    </row>
    <row r="343" spans="4:36">
      <c r="D343" s="10">
        <v>47423</v>
      </c>
      <c r="E343" s="11">
        <v>5.68327841774416E-2</v>
      </c>
      <c r="H343" s="11">
        <v>0</v>
      </c>
      <c r="I343" s="11">
        <v>0</v>
      </c>
      <c r="K343" s="11">
        <v>-7.0000000000000007E-2</v>
      </c>
      <c r="L343" s="11">
        <v>0</v>
      </c>
      <c r="N343" s="11">
        <v>0</v>
      </c>
      <c r="O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AB343" s="11">
        <v>0</v>
      </c>
      <c r="AC343" s="11">
        <v>0</v>
      </c>
      <c r="AD343" s="10">
        <v>0</v>
      </c>
      <c r="AE343" s="11">
        <v>0</v>
      </c>
      <c r="AG343" s="11">
        <v>0</v>
      </c>
      <c r="AH343" s="11">
        <v>0</v>
      </c>
      <c r="AI343" s="11">
        <v>-0.2</v>
      </c>
      <c r="AJ343" s="11">
        <v>0</v>
      </c>
    </row>
    <row r="344" spans="4:36">
      <c r="D344" s="10">
        <v>47453</v>
      </c>
      <c r="E344" s="11">
        <v>5.6834760591970103E-2</v>
      </c>
      <c r="H344" s="11">
        <v>0</v>
      </c>
      <c r="I344" s="11">
        <v>0</v>
      </c>
      <c r="K344" s="11">
        <v>-7.0000000000000007E-2</v>
      </c>
      <c r="L344" s="11">
        <v>0</v>
      </c>
      <c r="N344" s="11">
        <v>0</v>
      </c>
      <c r="O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AB344" s="11">
        <v>0</v>
      </c>
      <c r="AC344" s="11">
        <v>0</v>
      </c>
      <c r="AD344" s="10">
        <v>0</v>
      </c>
      <c r="AE344" s="11">
        <v>0</v>
      </c>
      <c r="AG344" s="11">
        <v>0</v>
      </c>
      <c r="AH344" s="11">
        <v>0</v>
      </c>
      <c r="AI344" s="11">
        <v>-0.2</v>
      </c>
      <c r="AJ344" s="11">
        <v>0</v>
      </c>
    </row>
    <row r="345" spans="4:36">
      <c r="D345" s="10">
        <v>47484</v>
      </c>
      <c r="E345" s="11">
        <v>5.6836802886984103E-2</v>
      </c>
    </row>
    <row r="346" spans="4:36">
      <c r="D346" s="10">
        <v>47515</v>
      </c>
      <c r="E346" s="11">
        <v>5.6838845181999401E-2</v>
      </c>
    </row>
    <row r="347" spans="4:36">
      <c r="D347" s="10">
        <v>47543</v>
      </c>
      <c r="E347" s="11">
        <v>5.6840689835562702E-2</v>
      </c>
    </row>
    <row r="348" spans="4:36">
      <c r="D348" s="10">
        <v>47574</v>
      </c>
      <c r="E348" s="11">
        <v>5.6842732130580699E-2</v>
      </c>
    </row>
    <row r="349" spans="4:36">
      <c r="D349" s="10">
        <v>47604</v>
      </c>
      <c r="E349" s="11">
        <v>5.68447085451158E-2</v>
      </c>
    </row>
    <row r="350" spans="4:36">
      <c r="D350" s="10">
        <v>47635</v>
      </c>
      <c r="E350" s="11">
        <v>5.6846750840135997E-2</v>
      </c>
    </row>
    <row r="351" spans="4:36">
      <c r="D351" s="10">
        <v>47665</v>
      </c>
      <c r="E351" s="11">
        <v>5.6848727254673402E-2</v>
      </c>
    </row>
    <row r="352" spans="4:36">
      <c r="D352" s="10">
        <v>47696</v>
      </c>
      <c r="E352" s="11">
        <v>5.6850769549697103E-2</v>
      </c>
    </row>
    <row r="353" spans="4:5">
      <c r="D353" s="10">
        <v>47727</v>
      </c>
      <c r="E353" s="11">
        <v>5.6852811844721803E-2</v>
      </c>
    </row>
    <row r="354" spans="4:5">
      <c r="D354" s="10">
        <v>47757</v>
      </c>
      <c r="E354" s="11">
        <v>5.6854788259263198E-2</v>
      </c>
    </row>
    <row r="355" spans="4:5">
      <c r="D355" s="10">
        <v>47788</v>
      </c>
      <c r="E355" s="11">
        <v>5.6856830554290902E-2</v>
      </c>
    </row>
    <row r="356" spans="4:5">
      <c r="D356" s="10">
        <v>47818</v>
      </c>
      <c r="E356" s="11">
        <v>5.6858806968834899E-2</v>
      </c>
    </row>
    <row r="357" spans="4:5">
      <c r="D357" s="10">
        <v>47849</v>
      </c>
      <c r="E357" s="11">
        <v>5.68608492638649E-2</v>
      </c>
    </row>
    <row r="358" spans="4:5">
      <c r="D358" s="10">
        <v>47880</v>
      </c>
      <c r="E358" s="11">
        <v>5.6862891558896698E-2</v>
      </c>
    </row>
    <row r="359" spans="4:5">
      <c r="D359" s="10">
        <v>47908</v>
      </c>
      <c r="E359" s="11">
        <v>5.6864736212475002E-2</v>
      </c>
    </row>
    <row r="360" spans="4:5">
      <c r="D360" s="10">
        <v>47939</v>
      </c>
      <c r="E360" s="11">
        <v>5.6866778507509402E-2</v>
      </c>
    </row>
    <row r="361" spans="4:5">
      <c r="D361" s="10">
        <v>47969</v>
      </c>
      <c r="E361" s="11">
        <v>5.68687549220597E-2</v>
      </c>
    </row>
    <row r="362" spans="4:5">
      <c r="D362" s="10">
        <v>48000</v>
      </c>
      <c r="E362" s="11">
        <v>5.6870797217097202E-2</v>
      </c>
    </row>
    <row r="363" spans="4:5">
      <c r="D363" s="10">
        <v>48030</v>
      </c>
      <c r="E363" s="11">
        <v>5.6872773631650102E-2</v>
      </c>
    </row>
    <row r="364" spans="4:5">
      <c r="D364" s="10">
        <v>48061</v>
      </c>
      <c r="E364" s="11">
        <v>5.6874815926689901E-2</v>
      </c>
    </row>
    <row r="365" spans="4:5">
      <c r="D365" s="10">
        <v>48092</v>
      </c>
      <c r="E365" s="11">
        <v>5.68768582217309E-2</v>
      </c>
    </row>
    <row r="366" spans="4:5">
      <c r="D366" s="10">
        <v>48122</v>
      </c>
      <c r="E366" s="11">
        <v>5.6878834636288303E-2</v>
      </c>
    </row>
    <row r="367" spans="4:5">
      <c r="D367" s="10">
        <v>48153</v>
      </c>
      <c r="E367" s="11">
        <v>5.6880876931332001E-2</v>
      </c>
    </row>
    <row r="8019" hidden="1"/>
  </sheetData>
  <phoneticPr fontId="0" type="noConversion"/>
  <pageMargins left="0.2" right="0.23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urveFetch">
                <anchor moveWithCells="1" sizeWithCells="1">
                  <from>
                    <xdr:col>1</xdr:col>
                    <xdr:colOff>47625</xdr:colOff>
                    <xdr:row>8</xdr:row>
                    <xdr:rowOff>38100</xdr:rowOff>
                  </from>
                  <to>
                    <xdr:col>2</xdr:col>
                    <xdr:colOff>28575</xdr:colOff>
                    <xdr:row>10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Euro</vt:lpstr>
      <vt:lpstr>Control</vt:lpstr>
      <vt:lpstr>Sheet1</vt:lpstr>
      <vt:lpstr>Model</vt:lpstr>
      <vt:lpstr>CurveFetch</vt:lpstr>
      <vt:lpstr>Comp_Per</vt:lpstr>
      <vt:lpstr>Cost_of_Funds</vt:lpstr>
      <vt:lpstr>Count</vt:lpstr>
      <vt:lpstr>curve_date</vt:lpstr>
      <vt:lpstr>Curve_Fetch</vt:lpstr>
      <vt:lpstr>Curve_Fetch_Del_Curve</vt:lpstr>
      <vt:lpstr>Curve_Fetch_Rec_Curve</vt:lpstr>
      <vt:lpstr>CurveCode</vt:lpstr>
      <vt:lpstr>CurvePrices</vt:lpstr>
      <vt:lpstr>CurveTable</vt:lpstr>
      <vt:lpstr>CurveType</vt:lpstr>
      <vt:lpstr>date</vt:lpstr>
      <vt:lpstr>Days_in_Year</vt:lpstr>
      <vt:lpstr>Dump</vt:lpstr>
      <vt:lpstr>EffectiveDate</vt:lpstr>
      <vt:lpstr>End_Date</vt:lpstr>
      <vt:lpstr>CurveFetch!Holiday</vt:lpstr>
      <vt:lpstr>Holidays</vt:lpstr>
      <vt:lpstr>Month</vt:lpstr>
      <vt:lpstr>Control!Print_Area</vt:lpstr>
      <vt:lpstr>CurveFetch!Print_Area</vt:lpstr>
      <vt:lpstr>RiskType</vt:lpstr>
      <vt:lpstr>Start_Date</vt:lpstr>
      <vt:lpstr>Val_Date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Jan Havlíček</cp:lastModifiedBy>
  <cp:lastPrinted>2001-11-01T14:42:37Z</cp:lastPrinted>
  <dcterms:created xsi:type="dcterms:W3CDTF">2000-04-03T16:12:31Z</dcterms:created>
  <dcterms:modified xsi:type="dcterms:W3CDTF">2023-09-11T18:53:17Z</dcterms:modified>
</cp:coreProperties>
</file>