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8A5A4C-487F-4F0B-B0D5-79DC1619DCB3}" xr6:coauthVersionLast="47" xr6:coauthVersionMax="47" xr10:uidLastSave="{00000000-0000-0000-0000-000000000000}"/>
  <bookViews>
    <workbookView xWindow="-120" yWindow="-120" windowWidth="38640" windowHeight="15720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Income Statement (2)" sheetId="31" r:id="rId4"/>
    <sheet name="Detail Breakdown" sheetId="27" r:id="rId5"/>
    <sheet name="Headcount Assumptions" sheetId="25" r:id="rId6"/>
    <sheet name="Assumptions (2)" sheetId="28" r:id="rId7"/>
    <sheet name="EPSC" sheetId="29" r:id="rId8"/>
    <sheet name="Income Statement" sheetId="30" r:id="rId9"/>
    <sheet name="Assumptions" sheetId="26" state="hidden" r:id="rId10"/>
    <sheet name="Spec Pay" sheetId="9" state="hidden" r:id="rId11"/>
    <sheet name="Cap HC Template" sheetId="17" state="hidden" r:id="rId12"/>
    <sheet name="HC Load" sheetId="18" state="hidden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coa">#REF!</definedName>
    <definedName name="_xlnm.Print_Area" localSheetId="1">'2001 Headcount'!$A$1:$R$22</definedName>
    <definedName name="_xlnm.Print_Area" localSheetId="9">Assumptions!$A$1:$U$132</definedName>
    <definedName name="_xlnm.Print_Area" localSheetId="11">'Cap HC Template'!$A$1:$O$35</definedName>
    <definedName name="_xlnm.Print_Area" localSheetId="2">'Cost rates'!$A$1:$J$89</definedName>
    <definedName name="_xlnm.Print_Area" localSheetId="12">'HC Load'!$A$1:$O$24</definedName>
    <definedName name="_xlnm.Print_Titles" localSheetId="9">Assumptions!$1:$8</definedName>
    <definedName name="SAPFuncF4Help" localSheetId="6">Main.SAPF4Help()</definedName>
    <definedName name="SAPFuncF4Help" localSheetId="7">Main.SAPF4Help()</definedName>
    <definedName name="SAPFuncF4Help" localSheetId="8">Main.SAPF4Help()</definedName>
    <definedName name="SAPFuncF4Help" localSheetId="3">Main.SAPF4Help()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26"/>
  <c r="L11" i="26"/>
  <c r="J12" i="26"/>
  <c r="L12" i="26"/>
  <c r="J13" i="26"/>
  <c r="L13" i="26"/>
  <c r="C14" i="26"/>
  <c r="J14" i="26"/>
  <c r="L14" i="26"/>
  <c r="J16" i="26"/>
  <c r="L16" i="26"/>
  <c r="J17" i="26"/>
  <c r="L17" i="26"/>
  <c r="J18" i="26"/>
  <c r="L18" i="26"/>
  <c r="J19" i="26"/>
  <c r="L19" i="26"/>
  <c r="J20" i="26"/>
  <c r="L20" i="26"/>
  <c r="J21" i="26"/>
  <c r="L21" i="26"/>
  <c r="C22" i="26"/>
  <c r="J22" i="26"/>
  <c r="L22" i="26"/>
  <c r="C25" i="26"/>
  <c r="J25" i="26"/>
  <c r="L25" i="26"/>
  <c r="J26" i="26"/>
  <c r="J27" i="26"/>
  <c r="C28" i="26"/>
  <c r="J28" i="26"/>
  <c r="L28" i="26"/>
  <c r="L30" i="26"/>
  <c r="O30" i="26"/>
  <c r="P30" i="26"/>
  <c r="L35" i="26"/>
  <c r="J39" i="26"/>
  <c r="L39" i="26"/>
  <c r="O39" i="26"/>
  <c r="R39" i="26"/>
  <c r="H40" i="26"/>
  <c r="I40" i="26"/>
  <c r="J40" i="26"/>
  <c r="L40" i="26"/>
  <c r="O40" i="26"/>
  <c r="P40" i="26"/>
  <c r="R40" i="26"/>
  <c r="H43" i="26"/>
  <c r="J43" i="26"/>
  <c r="O43" i="26"/>
  <c r="P43" i="26"/>
  <c r="H46" i="26"/>
  <c r="J46" i="26"/>
  <c r="O46" i="26"/>
  <c r="P46" i="26"/>
  <c r="H49" i="26"/>
  <c r="J49" i="26"/>
  <c r="L49" i="26"/>
  <c r="O49" i="26"/>
  <c r="P49" i="26"/>
  <c r="H50" i="26"/>
  <c r="J50" i="26"/>
  <c r="L50" i="26"/>
  <c r="O50" i="26"/>
  <c r="P50" i="26"/>
  <c r="H51" i="26"/>
  <c r="J51" i="26"/>
  <c r="L51" i="26"/>
  <c r="O51" i="26"/>
  <c r="P51" i="26"/>
  <c r="H52" i="26"/>
  <c r="J52" i="26"/>
  <c r="L52" i="26"/>
  <c r="H53" i="26"/>
  <c r="J53" i="26"/>
  <c r="L53" i="26"/>
  <c r="O53" i="26"/>
  <c r="P53" i="26"/>
  <c r="H54" i="26"/>
  <c r="J54" i="26"/>
  <c r="L54" i="26"/>
  <c r="H55" i="26"/>
  <c r="J55" i="26"/>
  <c r="L55" i="26"/>
  <c r="H56" i="26"/>
  <c r="J56" i="26"/>
  <c r="L56" i="26"/>
  <c r="O56" i="26"/>
  <c r="P56" i="26"/>
  <c r="R56" i="26"/>
  <c r="G57" i="26"/>
  <c r="H57" i="26"/>
  <c r="I57" i="26"/>
  <c r="J57" i="26"/>
  <c r="L57" i="26"/>
  <c r="M57" i="26"/>
  <c r="O57" i="26"/>
  <c r="P57" i="26"/>
  <c r="R57" i="26"/>
  <c r="J61" i="26"/>
  <c r="L61" i="26"/>
  <c r="J62" i="26"/>
  <c r="L62" i="26"/>
  <c r="J63" i="26"/>
  <c r="L63" i="26"/>
  <c r="J64" i="26"/>
  <c r="L64" i="26"/>
  <c r="H65" i="26"/>
  <c r="J65" i="26"/>
  <c r="L65" i="26"/>
  <c r="H66" i="26"/>
  <c r="J66" i="26"/>
  <c r="L66" i="26"/>
  <c r="J67" i="26"/>
  <c r="L67" i="26"/>
  <c r="G68" i="26"/>
  <c r="H68" i="26"/>
  <c r="I68" i="26"/>
  <c r="J68" i="26"/>
  <c r="L68" i="26"/>
  <c r="M68" i="26"/>
  <c r="H71" i="26"/>
  <c r="I71" i="26"/>
  <c r="J71" i="26"/>
  <c r="L71" i="26"/>
  <c r="P71" i="26"/>
  <c r="H72" i="26"/>
  <c r="J72" i="26"/>
  <c r="L72" i="26"/>
  <c r="O72" i="26"/>
  <c r="P72" i="26"/>
  <c r="G73" i="26"/>
  <c r="H73" i="26"/>
  <c r="I73" i="26"/>
  <c r="J73" i="26"/>
  <c r="L73" i="26"/>
  <c r="M73" i="26"/>
  <c r="O73" i="26"/>
  <c r="P73" i="26"/>
  <c r="R73" i="26"/>
  <c r="H76" i="26"/>
  <c r="J76" i="26"/>
  <c r="L76" i="26"/>
  <c r="O76" i="26"/>
  <c r="P76" i="26"/>
  <c r="H77" i="26"/>
  <c r="J77" i="26"/>
  <c r="L77" i="26"/>
  <c r="O77" i="26"/>
  <c r="P77" i="26"/>
  <c r="H78" i="26"/>
  <c r="J78" i="26"/>
  <c r="L78" i="26"/>
  <c r="H79" i="26"/>
  <c r="J79" i="26"/>
  <c r="L79" i="26"/>
  <c r="H80" i="26"/>
  <c r="J80" i="26"/>
  <c r="L80" i="26"/>
  <c r="H81" i="26"/>
  <c r="J81" i="26"/>
  <c r="L81" i="26"/>
  <c r="H82" i="26"/>
  <c r="J82" i="26"/>
  <c r="L82" i="26"/>
  <c r="H83" i="26"/>
  <c r="J83" i="26"/>
  <c r="L83" i="26"/>
  <c r="H84" i="26"/>
  <c r="J84" i="26"/>
  <c r="L84" i="26"/>
  <c r="G85" i="26"/>
  <c r="H85" i="26"/>
  <c r="I85" i="26"/>
  <c r="J85" i="26"/>
  <c r="L85" i="26"/>
  <c r="M85" i="26"/>
  <c r="O85" i="26"/>
  <c r="P85" i="26"/>
  <c r="R85" i="26"/>
  <c r="H88" i="26"/>
  <c r="I88" i="26"/>
  <c r="J88" i="26"/>
  <c r="L88" i="26"/>
  <c r="O88" i="26"/>
  <c r="P88" i="26"/>
  <c r="H89" i="26"/>
  <c r="J89" i="26"/>
  <c r="L89" i="26"/>
  <c r="O89" i="26"/>
  <c r="P89" i="26"/>
  <c r="H90" i="26"/>
  <c r="J90" i="26"/>
  <c r="L90" i="26"/>
  <c r="P90" i="26"/>
  <c r="G91" i="26"/>
  <c r="H91" i="26"/>
  <c r="I91" i="26"/>
  <c r="J91" i="26"/>
  <c r="L91" i="26"/>
  <c r="M91" i="26"/>
  <c r="O91" i="26"/>
  <c r="P91" i="26"/>
  <c r="R91" i="26"/>
  <c r="H94" i="26"/>
  <c r="J94" i="26"/>
  <c r="L94" i="26"/>
  <c r="O94" i="26"/>
  <c r="P94" i="26"/>
  <c r="G95" i="26"/>
  <c r="H95" i="26"/>
  <c r="I95" i="26"/>
  <c r="J95" i="26"/>
  <c r="L95" i="26"/>
  <c r="M95" i="26"/>
  <c r="O95" i="26"/>
  <c r="P95" i="26"/>
  <c r="R95" i="26"/>
  <c r="P98" i="26"/>
  <c r="G99" i="26"/>
  <c r="H99" i="26"/>
  <c r="I99" i="26"/>
  <c r="J99" i="26"/>
  <c r="L99" i="26"/>
  <c r="M99" i="26"/>
  <c r="O99" i="26"/>
  <c r="P99" i="26"/>
  <c r="R99" i="26"/>
  <c r="H102" i="26"/>
  <c r="J102" i="26"/>
  <c r="L102" i="26"/>
  <c r="P102" i="26"/>
  <c r="H103" i="26"/>
  <c r="J103" i="26"/>
  <c r="L103" i="26"/>
  <c r="O103" i="26"/>
  <c r="P103" i="26"/>
  <c r="G104" i="26"/>
  <c r="H104" i="26"/>
  <c r="I104" i="26"/>
  <c r="J104" i="26"/>
  <c r="L104" i="26"/>
  <c r="M104" i="26"/>
  <c r="O104" i="26"/>
  <c r="P104" i="26"/>
  <c r="R104" i="26"/>
  <c r="O106" i="26"/>
  <c r="P106" i="26"/>
  <c r="H107" i="26"/>
  <c r="J107" i="26"/>
  <c r="L107" i="26"/>
  <c r="G108" i="26"/>
  <c r="H108" i="26"/>
  <c r="I108" i="26"/>
  <c r="J108" i="26"/>
  <c r="L108" i="26"/>
  <c r="M108" i="26"/>
  <c r="H110" i="26"/>
  <c r="J110" i="26"/>
  <c r="L110" i="26"/>
  <c r="P110" i="26"/>
  <c r="H112" i="26"/>
  <c r="J112" i="26"/>
  <c r="L112" i="26"/>
  <c r="O112" i="26"/>
  <c r="P112" i="26"/>
  <c r="H114" i="26"/>
  <c r="J114" i="26"/>
  <c r="L114" i="26"/>
  <c r="O114" i="26"/>
  <c r="P114" i="26"/>
  <c r="O117" i="26"/>
  <c r="P117" i="26"/>
  <c r="H118" i="26"/>
  <c r="L118" i="26"/>
  <c r="M118" i="26"/>
  <c r="H119" i="26"/>
  <c r="J119" i="26"/>
  <c r="L119" i="26"/>
  <c r="G120" i="26"/>
  <c r="H120" i="26"/>
  <c r="J120" i="26"/>
  <c r="L120" i="26"/>
  <c r="H121" i="26"/>
  <c r="J121" i="26"/>
  <c r="L121" i="26"/>
  <c r="G122" i="26"/>
  <c r="H122" i="26"/>
  <c r="I122" i="26"/>
  <c r="J122" i="26"/>
  <c r="L122" i="26"/>
  <c r="M122" i="26"/>
  <c r="H124" i="26"/>
  <c r="J124" i="26"/>
  <c r="L124" i="26"/>
  <c r="H126" i="26"/>
  <c r="L126" i="26"/>
  <c r="P126" i="26"/>
  <c r="H128" i="26"/>
  <c r="L128" i="26"/>
  <c r="P128" i="26"/>
  <c r="G131" i="26"/>
  <c r="H131" i="26"/>
  <c r="I131" i="26"/>
  <c r="J131" i="26"/>
  <c r="L131" i="26"/>
  <c r="M131" i="26"/>
  <c r="O131" i="26"/>
  <c r="P131" i="26"/>
  <c r="R131" i="26"/>
  <c r="B8" i="28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7"/>
  <c r="D9" i="27"/>
  <c r="D10" i="27"/>
  <c r="D12" i="27"/>
  <c r="D13" i="27"/>
  <c r="C14" i="27"/>
  <c r="D14" i="27"/>
  <c r="E14" i="27"/>
  <c r="F14" i="27"/>
  <c r="D17" i="27"/>
  <c r="F17" i="27"/>
  <c r="D18" i="27"/>
  <c r="D19" i="27"/>
  <c r="D20" i="27"/>
  <c r="F20" i="27"/>
  <c r="D21" i="27"/>
  <c r="D22" i="27"/>
  <c r="F22" i="27"/>
  <c r="D23" i="27"/>
  <c r="D24" i="27"/>
  <c r="F24" i="27"/>
  <c r="F25" i="27"/>
  <c r="D26" i="27"/>
  <c r="D27" i="27"/>
  <c r="F27" i="27"/>
  <c r="C28" i="27"/>
  <c r="D28" i="27"/>
  <c r="E28" i="27"/>
  <c r="F28" i="27"/>
  <c r="D31" i="27"/>
  <c r="D32" i="27"/>
  <c r="F32" i="27"/>
  <c r="D33" i="27"/>
  <c r="F33" i="27"/>
  <c r="D34" i="27"/>
  <c r="F34" i="27"/>
  <c r="D35" i="27"/>
  <c r="F35" i="27"/>
  <c r="D36" i="27"/>
  <c r="F36" i="27"/>
  <c r="D37" i="27"/>
  <c r="F37" i="27"/>
  <c r="C38" i="27"/>
  <c r="D38" i="27"/>
  <c r="E38" i="27"/>
  <c r="F38" i="27"/>
  <c r="D41" i="27"/>
  <c r="D43" i="27"/>
  <c r="D44" i="27"/>
  <c r="F44" i="27"/>
  <c r="D45" i="27"/>
  <c r="F45" i="27"/>
  <c r="D46" i="27"/>
  <c r="F46" i="27"/>
  <c r="D47" i="27"/>
  <c r="F47" i="27"/>
  <c r="D48" i="27"/>
  <c r="F48" i="27"/>
  <c r="D49" i="27"/>
  <c r="F49" i="27"/>
  <c r="D50" i="27"/>
  <c r="F50" i="27"/>
  <c r="C51" i="27"/>
  <c r="D51" i="27"/>
  <c r="E51" i="27"/>
  <c r="F51" i="27"/>
  <c r="D55" i="27"/>
  <c r="F55" i="27"/>
  <c r="D56" i="27"/>
  <c r="F56" i="27"/>
  <c r="D57" i="27"/>
  <c r="D58" i="27"/>
  <c r="F58" i="27"/>
  <c r="D59" i="27"/>
  <c r="F59" i="27"/>
  <c r="D60" i="27"/>
  <c r="D61" i="27"/>
  <c r="C62" i="27"/>
  <c r="D62" i="27"/>
  <c r="E62" i="27"/>
  <c r="F62" i="27"/>
  <c r="D65" i="27"/>
  <c r="D66" i="27"/>
  <c r="F66" i="27"/>
  <c r="D67" i="27"/>
  <c r="F67" i="27"/>
  <c r="D68" i="27"/>
  <c r="F68" i="27"/>
  <c r="D70" i="27"/>
  <c r="F70" i="27"/>
  <c r="D71" i="27"/>
  <c r="F71" i="27"/>
  <c r="D72" i="27"/>
  <c r="F72" i="27"/>
  <c r="C73" i="27"/>
  <c r="D73" i="27"/>
  <c r="E73" i="27"/>
  <c r="F73" i="27"/>
  <c r="C75" i="27"/>
  <c r="D75" i="27"/>
  <c r="E75" i="27"/>
  <c r="F75" i="27"/>
  <c r="C82" i="27"/>
  <c r="D82" i="27"/>
  <c r="E82" i="27"/>
  <c r="F82" i="27"/>
  <c r="D84" i="27"/>
  <c r="F84" i="27"/>
  <c r="C85" i="27"/>
  <c r="D85" i="27"/>
  <c r="E85" i="27"/>
  <c r="F85" i="27"/>
  <c r="D87" i="27"/>
  <c r="F87" i="27"/>
  <c r="C88" i="27"/>
  <c r="D88" i="27"/>
  <c r="E88" i="27"/>
  <c r="F88" i="27"/>
  <c r="D91" i="27"/>
  <c r="F91" i="27"/>
  <c r="D92" i="27"/>
  <c r="F92" i="27"/>
  <c r="D93" i="27"/>
  <c r="F93" i="27"/>
  <c r="D94" i="27"/>
  <c r="F94" i="27"/>
  <c r="D95" i="27"/>
  <c r="C96" i="27"/>
  <c r="D96" i="27"/>
  <c r="E96" i="27"/>
  <c r="F96" i="27"/>
  <c r="D98" i="27"/>
  <c r="F98" i="27"/>
  <c r="C99" i="27"/>
  <c r="D99" i="27"/>
  <c r="E99" i="27"/>
  <c r="F99" i="27"/>
  <c r="D101" i="27"/>
  <c r="F101" i="27"/>
  <c r="C102" i="27"/>
  <c r="D102" i="27"/>
  <c r="E102" i="27"/>
  <c r="F102" i="27"/>
  <c r="D105" i="27"/>
  <c r="D106" i="27"/>
  <c r="F106" i="27"/>
  <c r="C107" i="27"/>
  <c r="D107" i="27"/>
  <c r="E107" i="27"/>
  <c r="F107" i="27"/>
  <c r="C110" i="27"/>
  <c r="D110" i="27"/>
  <c r="E110" i="27"/>
  <c r="F110" i="27"/>
  <c r="C10" i="29"/>
  <c r="D10" i="29"/>
  <c r="C11" i="29"/>
  <c r="D11" i="29"/>
  <c r="C12" i="29"/>
  <c r="D12" i="29"/>
  <c r="C13" i="29"/>
  <c r="D13" i="29"/>
  <c r="D14" i="29"/>
  <c r="C15" i="29"/>
  <c r="D15" i="29"/>
  <c r="D19" i="29"/>
  <c r="D24" i="29"/>
  <c r="C27" i="29"/>
  <c r="D27" i="29"/>
  <c r="C30" i="29"/>
  <c r="D30" i="29"/>
  <c r="C31" i="29"/>
  <c r="D31" i="29"/>
  <c r="C32" i="29"/>
  <c r="D32" i="29"/>
  <c r="C33" i="29"/>
  <c r="D33" i="29"/>
  <c r="D36" i="29"/>
  <c r="C38" i="29"/>
  <c r="D38" i="29"/>
  <c r="D39" i="29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3" i="25"/>
  <c r="D19" i="30"/>
  <c r="F19" i="30"/>
  <c r="H19" i="30"/>
  <c r="D20" i="30"/>
  <c r="F20" i="30"/>
  <c r="H20" i="30"/>
  <c r="D21" i="30"/>
  <c r="F21" i="30"/>
  <c r="H21" i="30"/>
  <c r="D22" i="30"/>
  <c r="F22" i="30"/>
  <c r="H22" i="30"/>
  <c r="D23" i="30"/>
  <c r="F23" i="30"/>
  <c r="H23" i="30"/>
  <c r="D24" i="30"/>
  <c r="F24" i="30"/>
  <c r="H24" i="30"/>
  <c r="D25" i="30"/>
  <c r="F25" i="30"/>
  <c r="H25" i="30"/>
  <c r="D26" i="30"/>
  <c r="F26" i="30"/>
  <c r="H26" i="30"/>
  <c r="D27" i="30"/>
  <c r="F27" i="30"/>
  <c r="H27" i="30"/>
  <c r="D28" i="30"/>
  <c r="F28" i="30"/>
  <c r="H28" i="30"/>
  <c r="D29" i="30"/>
  <c r="F29" i="30"/>
  <c r="H29" i="30"/>
  <c r="D30" i="30"/>
  <c r="F30" i="30"/>
  <c r="H30" i="30"/>
  <c r="D31" i="30"/>
  <c r="F31" i="30"/>
  <c r="H31" i="30"/>
  <c r="D33" i="30"/>
  <c r="F33" i="30"/>
  <c r="H33" i="30"/>
  <c r="D35" i="30"/>
  <c r="F35" i="30"/>
  <c r="H35" i="30"/>
  <c r="H39" i="30"/>
  <c r="H40" i="30"/>
  <c r="F41" i="30"/>
  <c r="H41" i="30"/>
  <c r="F42" i="30"/>
  <c r="H42" i="30"/>
  <c r="D43" i="30"/>
  <c r="F43" i="30"/>
  <c r="H43" i="30"/>
  <c r="D45" i="30"/>
  <c r="F45" i="30"/>
  <c r="H45" i="30"/>
  <c r="D48" i="30"/>
  <c r="D49" i="30"/>
  <c r="D19" i="31"/>
  <c r="F19" i="31"/>
  <c r="H19" i="31"/>
  <c r="D20" i="31"/>
  <c r="F20" i="31"/>
  <c r="H20" i="31"/>
  <c r="D21" i="31"/>
  <c r="F21" i="31"/>
  <c r="H21" i="31"/>
  <c r="D22" i="31"/>
  <c r="F22" i="31"/>
  <c r="H22" i="31"/>
  <c r="D23" i="31"/>
  <c r="F23" i="31"/>
  <c r="H23" i="31"/>
  <c r="D24" i="31"/>
  <c r="F24" i="31"/>
  <c r="H24" i="31"/>
  <c r="D25" i="31"/>
  <c r="F25" i="31"/>
  <c r="H25" i="31"/>
  <c r="D26" i="31"/>
  <c r="F26" i="31"/>
  <c r="H26" i="31"/>
  <c r="D27" i="31"/>
  <c r="F27" i="31"/>
  <c r="H27" i="31"/>
  <c r="D28" i="31"/>
  <c r="F28" i="31"/>
  <c r="H28" i="31"/>
  <c r="D29" i="31"/>
  <c r="F29" i="31"/>
  <c r="H29" i="31"/>
  <c r="D30" i="31"/>
  <c r="F30" i="31"/>
  <c r="H30" i="31"/>
  <c r="D31" i="31"/>
  <c r="F31" i="31"/>
  <c r="H31" i="31"/>
  <c r="D33" i="31"/>
  <c r="F33" i="31"/>
  <c r="H33" i="31"/>
  <c r="D35" i="31"/>
  <c r="F35" i="31"/>
  <c r="H35" i="31"/>
  <c r="H39" i="31"/>
  <c r="H40" i="31"/>
  <c r="F41" i="31"/>
  <c r="H41" i="31"/>
  <c r="F42" i="31"/>
  <c r="H42" i="31"/>
  <c r="D43" i="31"/>
  <c r="F43" i="31"/>
  <c r="H43" i="31"/>
  <c r="D45" i="31"/>
  <c r="F45" i="31"/>
  <c r="H45" i="31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least</author>
  </authors>
  <commentList>
    <comment ref="D4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July YTD/7 * 12
</t>
        </r>
      </text>
    </commen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comments3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<sst xmlns="http://schemas.openxmlformats.org/spreadsheetml/2006/main" count="708" uniqueCount="506">
  <si>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</si>
  <si>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</si>
  <si>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</si>
  <si>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</si>
  <si>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</si>
  <si>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</si>
  <si>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</si>
  <si>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</si>
  <si>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</si>
  <si>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</si>
  <si>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</si>
  <si>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</si>
  <si>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</si>
  <si>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</si>
  <si>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</si>
  <si>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</si>
  <si>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</si>
  <si>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</si>
  <si>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</si>
  <si>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</si>
  <si>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</si>
  <si>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</si>
  <si>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</si>
  <si>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</si>
  <si>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</si>
  <si>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</si>
  <si>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</si>
  <si>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</si>
  <si>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</si>
  <si>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</si>
  <si>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</si>
  <si>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</si>
  <si>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</si>
  <si>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</si>
  <si>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</si>
  <si>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</si>
  <si>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</si>
  <si>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</si>
  <si>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</si>
  <si>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</si>
  <si>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</si>
  <si>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</si>
  <si>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</si>
  <si>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</si>
  <si>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</si>
  <si>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</si>
  <si>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</si>
  <si>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</si>
  <si>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</si>
  <si>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</si>
  <si>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</si>
  <si>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</si>
  <si>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</si>
  <si>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</si>
  <si>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</si>
  <si>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</si>
  <si>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</si>
  <si>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</si>
  <si>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</si>
  <si>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</si>
  <si>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</si>
  <si>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</si>
  <si>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</si>
  <si>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</si>
  <si>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</si>
  <si>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</si>
  <si>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</si>
  <si>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</si>
  <si>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</si>
  <si>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</si>
  <si>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</si>
  <si>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</si>
  <si>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</si>
  <si>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</si>
  <si>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</si>
  <si>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</si>
  <si>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</si>
  <si>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</si>
  <si>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</si>
  <si>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</si>
  <si>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</si>
  <si>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</si>
  <si>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</si>
  <si>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</si>
  <si>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</si>
  <si>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</si>
  <si>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</si>
  <si>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</si>
  <si>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</si>
  <si>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</si>
  <si>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</si>
  <si>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</si>
  <si>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</si>
  <si>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</si>
  <si>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</si>
  <si>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</si>
  <si>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</si>
  <si>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</si>
  <si>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</si>
  <si>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</si>
  <si>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</si>
  <si>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</si>
  <si>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</si>
  <si>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</si>
  <si>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</si>
  <si>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</si>
  <si>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</si>
  <si>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</si>
  <si>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</si>
  <si>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</si>
  <si>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</si>
  <si>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</si>
  <si>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</si>
  <si>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</si>
  <si>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</si>
  <si>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</si>
  <si>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</si>
  <si>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</si>
  <si>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</si>
  <si>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</si>
  <si>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</si>
  <si>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</si>
  <si>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</si>
  <si>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</si>
  <si>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</si>
  <si>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</si>
  <si>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</si>
  <si>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</si>
  <si>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</si>
  <si>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</si>
  <si>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</si>
  <si>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</si>
  <si>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</si>
  <si>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</si>
  <si>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</si>
  <si>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</si>
  <si>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</si>
  <si>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</si>
  <si>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</si>
  <si>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</si>
  <si>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</si>
  <si>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</si>
  <si>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</si>
  <si>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</si>
  <si>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</si>
  <si>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</si>
  <si>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</si>
  <si>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</si>
  <si>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</si>
  <si>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</si>
  <si>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</si>
  <si>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</si>
  <si>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</si>
  <si>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</si>
  <si>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</si>
  <si>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</si>
  <si>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</si>
  <si>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</si>
  <si>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</si>
  <si>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</si>
  <si>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</si>
  <si>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</si>
  <si>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</si>
  <si>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</si>
  <si>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</si>
  <si>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</si>
  <si>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</si>
  <si>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</si>
  <si>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</si>
  <si>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</si>
  <si>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</si>
  <si>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</si>
  <si>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</si>
  <si>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</si>
  <si>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</si>
  <si>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</si>
  <si>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</si>
  <si>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</si>
  <si>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</si>
  <si>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</si>
  <si>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</si>
  <si>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</si>
  <si>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</si>
  <si>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</si>
  <si>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</si>
  <si>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</si>
  <si>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</si>
  <si>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</si>
  <si>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</si>
  <si>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</si>
  <si>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</si>
  <si>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</si>
  <si>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</si>
  <si>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</si>
  <si>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</si>
  <si>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</si>
  <si>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</si>
  <si>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</si>
  <si>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</si>
  <si>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</si>
  <si>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</si>
  <si>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</si>
  <si>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</si>
  <si>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</si>
  <si>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</si>
  <si>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</si>
  <si>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</si>
  <si>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</si>
  <si>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</si>
  <si>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</si>
  <si>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</si>
  <si>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</si>
  <si>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</si>
  <si>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</si>
  <si>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</si>
  <si>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</si>
  <si>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</si>
  <si>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</si>
  <si>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</si>
  <si>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</si>
  <si>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</si>
  <si>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</si>
  <si>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</si>
  <si>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</si>
  <si>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</si>
  <si>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</si>
  <si>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</si>
  <si>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</si>
  <si>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</si>
  <si>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</si>
  <si>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</si>
  <si>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</si>
  <si>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</si>
  <si>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</si>
  <si>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</si>
  <si>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</si>
  <si>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</si>
  <si>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</si>
  <si>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</si>
  <si>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</si>
  <si>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</si>
  <si>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</si>
  <si>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</si>
  <si>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</si>
  <si>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</si>
  <si>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</si>
  <si>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</si>
  <si>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</si>
  <si>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</si>
  <si>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</si>
  <si>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</si>
  <si>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</si>
  <si>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</si>
  <si>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</si>
  <si>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</si>
  <si>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</si>
  <si>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</si>
  <si>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</si>
  <si>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</si>
  <si>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</si>
  <si>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</si>
  <si>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</si>
  <si>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</si>
  <si>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</si>
  <si>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</si>
  <si>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</si>
  <si>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</si>
  <si>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</si>
  <si>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</si>
  <si>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</si>
  <si>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</si>
  <si>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</si>
  <si>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</si>
  <si>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</si>
  <si>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</si>
  <si>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</si>
  <si>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</si>
  <si>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</si>
  <si>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</si>
  <si>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</si>
  <si>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</si>
  <si>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</si>
  <si>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</si>
  <si>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</si>
  <si>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</si>
  <si>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</si>
  <si>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</si>
  <si>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</si>
  <si>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</si>
  <si>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</si>
  <si>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</si>
  <si>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</si>
  <si>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</si>
  <si>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</si>
  <si>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</si>
  <si>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FORECAST</t>
  </si>
  <si>
    <t>PLAN</t>
  </si>
  <si>
    <t>2002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</si>
  <si>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</si>
  <si>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</si>
  <si>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</si>
  <si>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</si>
  <si>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</si>
  <si>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</si>
  <si>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</si>
  <si>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</si>
  <si>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</si>
  <si>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</si>
  <si>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</si>
  <si>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</si>
  <si>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</si>
  <si>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2002 PLAN HEADCOUNT ASSUMPTIONS</t>
  </si>
  <si>
    <t>Paul Lucci</t>
  </si>
  <si>
    <t>Non-Comercial Manager</t>
  </si>
  <si>
    <t>Non-Comercial Manager Count</t>
  </si>
  <si>
    <t>Theresa Staab</t>
  </si>
  <si>
    <t>Tyrell Harrison</t>
  </si>
  <si>
    <t>Heidi DuBose</t>
  </si>
  <si>
    <t>NATURAL GAS - WEST DENVER ORIGINATION</t>
  </si>
  <si>
    <t>Mark Whitt</t>
  </si>
  <si>
    <t>CC Name:  West Origination Denver</t>
  </si>
  <si>
    <t>CC #:  107322</t>
  </si>
  <si>
    <t>Materials &amp; Supplies, Utilities, G&amp;A Other</t>
  </si>
  <si>
    <t>Recruiting Expenses (employment ads, interview exp)</t>
  </si>
  <si>
    <t>includes real time market data</t>
  </si>
  <si>
    <t>1 Associate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</si>
  <si>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</si>
  <si>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</si>
  <si>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</si>
  <si>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</si>
  <si>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</si>
  <si>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</si>
  <si>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</si>
  <si>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</si>
  <si>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</si>
  <si>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</si>
  <si>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</si>
  <si>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</si>
  <si>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</si>
  <si>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</si>
  <si>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</si>
  <si>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</si>
  <si>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</si>
  <si>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</si>
  <si>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</si>
  <si>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</si>
  <si>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</si>
  <si>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</si>
  <si>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</si>
  <si>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</si>
  <si>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</si>
  <si>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</si>
  <si>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</si>
  <si>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</si>
  <si>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</si>
  <si>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</si>
  <si>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</si>
  <si>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</si>
  <si>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</si>
  <si>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</si>
  <si>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</si>
  <si>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</si>
  <si>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</si>
  <si>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</si>
  <si>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</si>
  <si>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</si>
  <si>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</si>
  <si>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</t>
  </si>
  <si>
    <t xml:space="preserve">     Other (Temporaries)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</si>
  <si>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</si>
  <si>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</si>
  <si>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</si>
  <si>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</si>
  <si>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</si>
  <si>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</si>
  <si>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</si>
  <si>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</si>
  <si>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</si>
  <si>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</si>
  <si>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>Controllable Infrastructure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</si>
  <si>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</si>
  <si>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</si>
  <si>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</si>
  <si>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</si>
  <si>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</si>
  <si>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</si>
  <si>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</si>
  <si>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</si>
  <si>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</si>
  <si>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</si>
  <si>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</si>
  <si>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</si>
  <si>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</si>
  <si>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</si>
  <si>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</si>
  <si>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</si>
  <si>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</si>
  <si>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</si>
  <si>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</si>
  <si>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                        TOTAL ANALYSTS/ASSOCIATES</t>
  </si>
  <si>
    <t>Other Expense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</si>
  <si>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</si>
  <si>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</si>
  <si>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</si>
  <si>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</si>
  <si>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</si>
  <si>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</si>
  <si>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</si>
  <si>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</si>
  <si>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</si>
  <si>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</si>
  <si>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</si>
  <si>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</si>
  <si>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</si>
  <si>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</si>
  <si>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</si>
  <si>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</si>
  <si>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</si>
  <si>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</si>
  <si>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</si>
  <si>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</si>
  <si>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</si>
  <si>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</si>
  <si>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</si>
  <si>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</si>
  <si>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</si>
  <si>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</si>
  <si>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</si>
  <si>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</si>
  <si>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</si>
  <si>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</si>
  <si>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</si>
  <si>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</si>
  <si>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</si>
  <si>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</si>
  <si>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</si>
  <si>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>2001 EPSC PLAN TEMPLATE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</si>
  <si>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</si>
  <si>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</si>
  <si>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</si>
  <si>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</si>
  <si>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</si>
  <si>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</si>
  <si>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</si>
  <si>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</si>
  <si>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</si>
  <si>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</si>
  <si>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</si>
  <si>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</si>
  <si>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</si>
  <si>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</si>
  <si>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</si>
  <si>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</si>
  <si>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</si>
  <si>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</si>
  <si>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</si>
  <si>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</si>
  <si>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</si>
  <si>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</si>
  <si>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</si>
  <si>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</si>
  <si>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</si>
  <si>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</si>
  <si>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</si>
  <si>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</si>
  <si>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</si>
  <si>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</si>
  <si>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</si>
  <si>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</si>
  <si>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</si>
  <si>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</si>
  <si>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</si>
  <si>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</si>
  <si>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</si>
  <si>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</si>
  <si>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COST CENTER:  107322 (West Gas Origination - Denver)</t>
  </si>
  <si>
    <t xml:space="preserve">   Rent - Office, Warehouse &amp; Tower (increase by 5%)</t>
  </si>
  <si>
    <t xml:space="preserve">   Corporate IT (EIS Charges)</t>
  </si>
  <si>
    <t>West Gas Origination - Denver (107322)</t>
  </si>
  <si>
    <t>2002 Direct Expense Plan</t>
  </si>
  <si>
    <t>Sq. Ft. Occupied =  0</t>
  </si>
  <si>
    <t>Work Place Count =  0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</si>
  <si>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</si>
  <si>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</si>
  <si>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</si>
  <si>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</si>
  <si>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</si>
  <si>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</si>
  <si>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</si>
  <si>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</si>
  <si>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</si>
  <si>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</si>
  <si>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</si>
  <si>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</si>
  <si>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</si>
  <si>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</si>
  <si>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</si>
  <si>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</si>
  <si>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</si>
  <si>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</si>
  <si>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</si>
  <si>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Direct Expense (People + Office)/Headcount Ratio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</si>
  <si>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</si>
  <si>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</si>
  <si>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</si>
  <si>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Sr. Specialist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</si>
</sst>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37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39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0" fillId="0" borderId="0"/>
    <xf numFmtId="37" fontId="40" fillId="3" borderId="0" applyNumberFormat="0" applyBorder="0" applyAlignment="0" applyProtection="0"/>
    <xf numFmtId="3" fontId="41" fillId="0" borderId="4" applyProtection="0"/>
  </cellStyleXfs>
  <cellXfs count="361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166" fontId="17" fillId="9" borderId="8" xfId="3" applyNumberFormat="1" applyFont="1" applyFill="1" applyBorder="1"/>
    <xf numFmtId="43" fontId="16" fillId="9" borderId="0" xfId="3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3" fontId="17" fillId="0" borderId="15" xfId="3" applyNumberFormat="1" applyFont="1" applyFill="1" applyBorder="1"/>
    <xf numFmtId="0" fontId="42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166" fontId="1" fillId="0" borderId="0" xfId="3" applyNumberFormat="1"/>
    <xf numFmtId="0" fontId="43" fillId="0" borderId="0" xfId="0" applyFont="1"/>
    <xf numFmtId="41" fontId="21" fillId="0" borderId="7" xfId="0" applyNumberFormat="1" applyFont="1" applyBorder="1"/>
    <xf numFmtId="41" fontId="6" fillId="0" borderId="0" xfId="0" applyNumberFormat="1" applyFont="1" applyBorder="1"/>
    <xf numFmtId="0" fontId="43" fillId="0" borderId="0" xfId="0" quotePrefix="1" applyFont="1"/>
    <xf numFmtId="41" fontId="44" fillId="0" borderId="0" xfId="0" applyNumberFormat="1" applyFont="1"/>
    <xf numFmtId="0" fontId="45" fillId="0" borderId="0" xfId="0" applyFont="1"/>
    <xf numFmtId="41" fontId="6" fillId="0" borderId="0" xfId="0" applyNumberFormat="1" applyFont="1"/>
    <xf numFmtId="41" fontId="6" fillId="0" borderId="7" xfId="0" applyNumberFormat="1" applyFont="1" applyBorder="1"/>
    <xf numFmtId="41" fontId="44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44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41" fontId="42" fillId="0" borderId="0" xfId="0" applyNumberFormat="1" applyFont="1" applyAlignment="1">
      <alignment horizontal="left"/>
    </xf>
    <xf numFmtId="41" fontId="42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42" fontId="0" fillId="0" borderId="0" xfId="0" applyNumberFormat="1" applyBorder="1"/>
    <xf numFmtId="42" fontId="21" fillId="0" borderId="0" xfId="0" applyNumberFormat="1" applyFont="1" applyBorder="1"/>
    <xf numFmtId="0" fontId="0" fillId="0" borderId="0" xfId="0" applyAlignment="1">
      <alignment horizontal="right"/>
    </xf>
    <xf numFmtId="166" fontId="1" fillId="0" borderId="0" xfId="3" applyNumberFormat="1" applyFill="1"/>
    <xf numFmtId="166" fontId="1" fillId="0" borderId="8" xfId="3" applyNumberFormat="1" applyBorder="1"/>
    <xf numFmtId="166" fontId="1" fillId="0" borderId="15" xfId="3" applyNumberFormat="1" applyBorder="1"/>
    <xf numFmtId="180" fontId="0" fillId="0" borderId="0" xfId="0" applyNumberFormat="1" applyFill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15" xfId="0" applyNumberFormat="1" applyFill="1" applyBorder="1" applyAlignment="1">
      <alignment horizontal="center"/>
    </xf>
    <xf numFmtId="41" fontId="21" fillId="0" borderId="0" xfId="0" applyNumberFormat="1" applyFont="1" applyAlignment="1">
      <alignment horizontal="center"/>
    </xf>
    <xf numFmtId="41" fontId="0" fillId="0" borderId="0" xfId="0" applyNumberFormat="1" applyAlignment="1">
      <alignment horizontal="lef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>
          <a:extLst>
            <a:ext uri="{FF2B5EF4-FFF2-40B4-BE49-F238E27FC236}">
              <a16:creationId xmlns:a16="http://schemas.microsoft.com/office/drawing/2014/main" id="{F08898BE-E617-FDCA-EA2E-CE37721EC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646E2376-22D0-5773-DA08-CAE0388D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Plan%20Worksheet%20CC1073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Comp"/>
      <sheetName val="2001 Headcount"/>
      <sheetName val="Cost rates"/>
      <sheetName val="Assumptions"/>
      <sheetName val="Detail Breakdown"/>
      <sheetName val="Headcount Assumptions"/>
      <sheetName val="Assumptions (2)"/>
      <sheetName val="EPSC"/>
      <sheetName val="Income Statement"/>
      <sheetName val="Spec Pay"/>
      <sheetName val="Cap HC Template"/>
      <sheetName val="HC Load"/>
    </sheetNames>
    <sheetDataSet>
      <sheetData sheetId="0" refreshError="1"/>
      <sheetData sheetId="1" refreshError="1"/>
      <sheetData sheetId="2">
        <row r="12">
          <cell r="F12" t="e">
            <v>#DIV/0!</v>
          </cell>
        </row>
        <row r="13">
          <cell r="F13" t="e">
            <v>#DIV/0!</v>
          </cell>
        </row>
        <row r="14">
          <cell r="F14" t="e">
            <v>#DIV/0!</v>
          </cell>
        </row>
        <row r="15">
          <cell r="F15" t="e">
            <v>#DIV/0!</v>
          </cell>
        </row>
        <row r="16">
          <cell r="F16" t="e">
            <v>#DIV/0!</v>
          </cell>
        </row>
        <row r="17">
          <cell r="F17" t="e">
            <v>#DIV/0!</v>
          </cell>
        </row>
        <row r="18">
          <cell r="F18" t="e">
            <v>#DIV/0!</v>
          </cell>
        </row>
        <row r="19">
          <cell r="F19" t="e">
            <v>#DIV/0!</v>
          </cell>
        </row>
        <row r="23">
          <cell r="F23" t="e">
            <v>#DIV/0!</v>
          </cell>
        </row>
        <row r="24">
          <cell r="F24" t="e">
            <v>#DIV/0!</v>
          </cell>
        </row>
        <row r="25">
          <cell r="F25" t="e">
            <v>#DIV/0!</v>
          </cell>
        </row>
        <row r="26">
          <cell r="F26" t="e">
            <v>#DIV/0!</v>
          </cell>
        </row>
        <row r="27">
          <cell r="F27" t="e">
            <v>#DIV/0!</v>
          </cell>
        </row>
        <row r="28">
          <cell r="F28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  <row r="43">
          <cell r="F43" t="e">
            <v>#DIV/0!</v>
          </cell>
        </row>
        <row r="44">
          <cell r="F44" t="e">
            <v>#DIV/0!</v>
          </cell>
        </row>
        <row r="45">
          <cell r="F45" t="e">
            <v>#DIV/0!</v>
          </cell>
        </row>
        <row r="49">
          <cell r="H49" t="e">
            <v>#DIV/0!</v>
          </cell>
        </row>
        <row r="50">
          <cell r="H50" t="e">
            <v>#DIV/0!</v>
          </cell>
        </row>
        <row r="51">
          <cell r="H51" t="e">
            <v>#DIV/0!</v>
          </cell>
        </row>
        <row r="55">
          <cell r="F55" t="e">
            <v>#DIV/0!</v>
          </cell>
        </row>
        <row r="59">
          <cell r="H59" t="e">
            <v>#DIV/0!</v>
          </cell>
        </row>
        <row r="63">
          <cell r="H63" t="e">
            <v>#DIV/0!</v>
          </cell>
        </row>
        <row r="67">
          <cell r="H67" t="e">
            <v>#DIV/0!</v>
          </cell>
        </row>
        <row r="71">
          <cell r="H71" t="e">
            <v>#DIV/0!</v>
          </cell>
        </row>
        <row r="75">
          <cell r="F75" t="e">
            <v>#DIV/0!</v>
          </cell>
        </row>
        <row r="76">
          <cell r="H76" t="e">
            <v>#DIV/0!</v>
          </cell>
        </row>
        <row r="77">
          <cell r="H77" t="e">
            <v>#DIV/0!</v>
          </cell>
        </row>
        <row r="81">
          <cell r="D81">
            <v>0</v>
          </cell>
        </row>
        <row r="82">
          <cell r="D82">
            <v>0</v>
          </cell>
        </row>
        <row r="86">
          <cell r="H86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 t="e">
        <f>#REF!</f>
        <v>#REF!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 t="e">
        <f>SUM(G27:K27)</f>
        <v>#REF!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 t="e">
        <f>#REF!</f>
        <v>#REF!</v>
      </c>
      <c r="H28" s="142"/>
      <c r="I28" s="163">
        <f>[3]Assumptions!$C$21</f>
        <v>2</v>
      </c>
      <c r="J28" s="177"/>
      <c r="K28" s="163">
        <f>'[4]Exp Comp'!G28</f>
        <v>2</v>
      </c>
      <c r="M28" s="104" t="e">
        <f>SUM(G28:K28)</f>
        <v>#REF!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 t="e">
        <f>SUM(G27:G28)</f>
        <v>#REF!</v>
      </c>
      <c r="H29" s="142"/>
      <c r="I29">
        <f>SUM(I27:I28)</f>
        <v>10</v>
      </c>
      <c r="K29" s="176">
        <f>SUM(K27:K28)</f>
        <v>6</v>
      </c>
      <c r="M29" s="95" t="e">
        <f>SUM(M27:M28)</f>
        <v>#REF!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1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M25" sqref="M25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7" customWidth="1"/>
    <col min="8" max="8" width="12.42578125" style="244" bestFit="1" customWidth="1"/>
    <col min="9" max="9" width="12.42578125" style="267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63"/>
      <c r="H1" s="240"/>
      <c r="I1" s="263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63"/>
      <c r="H2" s="240"/>
      <c r="I2" s="263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63"/>
      <c r="H3" s="240"/>
      <c r="I3" s="263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63"/>
      <c r="H4" s="240"/>
      <c r="I4" s="263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0" t="s">
        <v>320</v>
      </c>
      <c r="B5" s="360"/>
      <c r="C5" s="360"/>
      <c r="D5" s="123"/>
      <c r="E5" s="123"/>
      <c r="F5" s="123"/>
      <c r="G5" s="264"/>
      <c r="H5" s="241"/>
      <c r="I5" s="264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0" t="s">
        <v>321</v>
      </c>
      <c r="B6" s="360"/>
      <c r="C6" s="124"/>
      <c r="D6" s="123"/>
      <c r="E6" s="123"/>
      <c r="F6" s="123"/>
      <c r="G6" s="264"/>
      <c r="H6" s="241"/>
      <c r="I6" s="264"/>
      <c r="J6" s="8" t="s">
        <v>280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5" t="s">
        <v>202</v>
      </c>
      <c r="H7" s="242" t="s">
        <v>202</v>
      </c>
      <c r="I7" s="265" t="s">
        <v>202</v>
      </c>
      <c r="J7" s="8" t="s">
        <v>27</v>
      </c>
      <c r="K7" s="8"/>
      <c r="L7" s="8" t="s">
        <v>28</v>
      </c>
      <c r="M7" s="242" t="s">
        <v>297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6" t="s">
        <v>294</v>
      </c>
      <c r="H8" s="243" t="s">
        <v>295</v>
      </c>
      <c r="I8" s="266" t="s">
        <v>296</v>
      </c>
      <c r="J8" s="9" t="s">
        <v>29</v>
      </c>
      <c r="K8" s="10"/>
      <c r="L8" s="11" t="s">
        <v>202</v>
      </c>
      <c r="M8" s="259" t="s">
        <v>296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8"/>
      <c r="H10" s="245"/>
      <c r="I10" s="268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2</v>
      </c>
      <c r="D13" s="107">
        <v>0</v>
      </c>
      <c r="E13" s="106"/>
      <c r="F13" s="109"/>
      <c r="G13" s="269"/>
      <c r="H13" s="247"/>
      <c r="I13" s="269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5</v>
      </c>
      <c r="D14" s="185"/>
      <c r="E14" s="106"/>
      <c r="F14" s="109"/>
      <c r="G14" s="269"/>
      <c r="H14" s="247"/>
      <c r="I14" s="269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70"/>
      <c r="H15" s="248"/>
      <c r="I15" s="270"/>
      <c r="J15" s="106"/>
      <c r="K15" s="106"/>
      <c r="L15" s="109"/>
      <c r="M15" s="247"/>
    </row>
    <row r="16" spans="1:21">
      <c r="B16" s="6" t="s">
        <v>37</v>
      </c>
      <c r="C16" s="225">
        <v>1</v>
      </c>
      <c r="D16" s="107">
        <v>0</v>
      </c>
      <c r="E16" s="106"/>
      <c r="F16" s="109"/>
      <c r="G16" s="269"/>
      <c r="H16" s="247"/>
      <c r="I16" s="269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9"/>
      <c r="H17" s="247"/>
      <c r="I17" s="269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271</v>
      </c>
      <c r="C18" s="225">
        <v>1</v>
      </c>
      <c r="D18" s="107">
        <v>0</v>
      </c>
      <c r="E18" s="106"/>
      <c r="F18" s="109"/>
      <c r="G18" s="269"/>
      <c r="H18" s="247"/>
      <c r="I18" s="269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272</v>
      </c>
      <c r="C19" s="225">
        <v>0</v>
      </c>
      <c r="D19" s="107">
        <v>0</v>
      </c>
      <c r="E19" s="106"/>
      <c r="F19" s="109"/>
      <c r="G19" s="269"/>
      <c r="H19" s="247"/>
      <c r="I19" s="269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9"/>
      <c r="H20" s="247"/>
      <c r="I20" s="269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9"/>
      <c r="H21" s="247"/>
      <c r="I21" s="269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9"/>
      <c r="H22" s="247"/>
      <c r="I22" s="269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290</v>
      </c>
      <c r="B23" s="7"/>
      <c r="C23" s="32"/>
      <c r="D23" s="112"/>
      <c r="E23" s="113"/>
      <c r="F23" s="114"/>
      <c r="G23" s="271"/>
      <c r="H23" s="249"/>
      <c r="I23" s="271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9"/>
      <c r="H24" s="250"/>
      <c r="I24" s="269"/>
    </row>
    <row r="25" spans="1:18" ht="13.5" thickBot="1">
      <c r="A25" s="106" t="s">
        <v>85</v>
      </c>
      <c r="B25" s="106"/>
      <c r="C25" s="221">
        <f>C22+C14</f>
        <v>9</v>
      </c>
      <c r="D25" s="106"/>
      <c r="E25" s="106"/>
      <c r="F25" s="227" t="s">
        <v>123</v>
      </c>
      <c r="G25" s="266"/>
      <c r="H25" s="251"/>
      <c r="I25" s="266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283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284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9</v>
      </c>
      <c r="D28" s="106"/>
      <c r="E28" s="106"/>
      <c r="F28" s="227" t="s">
        <v>282</v>
      </c>
      <c r="G28" s="266"/>
      <c r="H28" s="251"/>
      <c r="I28" s="266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291</v>
      </c>
      <c r="B30" s="113"/>
      <c r="C30" s="118"/>
      <c r="D30" s="113"/>
      <c r="E30" s="113"/>
      <c r="F30" s="113"/>
      <c r="G30" s="272"/>
      <c r="H30" s="252"/>
      <c r="I30" s="272">
        <v>548803</v>
      </c>
      <c r="J30" s="21"/>
      <c r="K30" s="21"/>
      <c r="L30" s="21">
        <f>SUM(L25:L29)</f>
        <v>0</v>
      </c>
      <c r="M30" s="260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61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61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7">
        <v>0</v>
      </c>
      <c r="J36" s="234">
        <v>0</v>
      </c>
      <c r="K36" s="17"/>
      <c r="L36" s="229">
        <v>0</v>
      </c>
      <c r="M36" s="261"/>
      <c r="O36" s="28">
        <v>131000</v>
      </c>
      <c r="R36" s="6">
        <v>790000</v>
      </c>
      <c r="U36" s="126" t="s">
        <v>281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61"/>
    </row>
    <row r="38" spans="1:21">
      <c r="B38" s="6" t="s">
        <v>44</v>
      </c>
      <c r="C38" s="18"/>
      <c r="I38" s="273"/>
      <c r="J38" s="231">
        <v>0</v>
      </c>
      <c r="K38" s="17"/>
      <c r="L38" s="231">
        <v>0</v>
      </c>
      <c r="M38" s="261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292</v>
      </c>
      <c r="C40" s="33"/>
      <c r="G40" s="272">
        <v>398518</v>
      </c>
      <c r="H40" s="253">
        <f>(G40/7)*12</f>
        <v>683173.71428571432</v>
      </c>
      <c r="I40" s="272">
        <f>SUM(I30:I38)</f>
        <v>548803</v>
      </c>
      <c r="J40" s="114">
        <f>+L40/12</f>
        <v>0</v>
      </c>
      <c r="K40" s="21"/>
      <c r="L40" s="21">
        <f>L39+L30</f>
        <v>0</v>
      </c>
      <c r="M40" s="260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7">
        <v>39553</v>
      </c>
      <c r="H43" s="253">
        <f>(G43/7)*12</f>
        <v>67805.142857142855</v>
      </c>
      <c r="I43" s="272">
        <v>79564</v>
      </c>
      <c r="J43" s="6">
        <f>+L43/12</f>
        <v>0</v>
      </c>
      <c r="L43" s="229">
        <v>0</v>
      </c>
      <c r="M43" s="261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7">
        <v>20121</v>
      </c>
      <c r="H46" s="253">
        <f>(G46/7)*12</f>
        <v>34493.142857142855</v>
      </c>
      <c r="I46" s="272">
        <v>42980</v>
      </c>
      <c r="J46" s="17">
        <f>+L46/12</f>
        <v>0</v>
      </c>
      <c r="L46" s="229">
        <v>0</v>
      </c>
      <c r="M46" s="261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7">
        <v>0</v>
      </c>
      <c r="H49" s="253">
        <f t="shared" ref="H49:H56" si="2">(G49/7)*12</f>
        <v>0</v>
      </c>
      <c r="I49" s="272">
        <v>17496</v>
      </c>
      <c r="J49" s="6" t="e">
        <f>'[5]Cost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7">
        <v>8000</v>
      </c>
      <c r="H50" s="253">
        <f t="shared" si="2"/>
        <v>13714.285714285714</v>
      </c>
      <c r="I50" s="272">
        <v>0</v>
      </c>
      <c r="J50" s="6" t="e">
        <f>'[5]Cost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7">
        <v>6775</v>
      </c>
      <c r="H51" s="253">
        <f t="shared" si="2"/>
        <v>11614.285714285714</v>
      </c>
      <c r="I51" s="272">
        <v>4800</v>
      </c>
      <c r="J51" s="6" t="e">
        <f>'[5]Cost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7">
        <v>0</v>
      </c>
      <c r="H52" s="253">
        <f t="shared" si="2"/>
        <v>0</v>
      </c>
      <c r="I52" s="272">
        <v>0</v>
      </c>
      <c r="J52" s="106" t="e">
        <f>'[5]Cost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7">
        <v>29165</v>
      </c>
      <c r="H53" s="253">
        <f t="shared" si="2"/>
        <v>49997.142857142855</v>
      </c>
      <c r="I53" s="272">
        <v>9600</v>
      </c>
      <c r="J53" s="106" t="e">
        <f>'[5]Cost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276</v>
      </c>
      <c r="G54" s="267">
        <v>2000</v>
      </c>
      <c r="H54" s="244">
        <f t="shared" si="2"/>
        <v>3428.5714285714284</v>
      </c>
      <c r="I54" s="267">
        <v>0</v>
      </c>
      <c r="J54" s="106" t="e">
        <f>'[5]Cost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7">
        <v>0</v>
      </c>
      <c r="H55" s="244">
        <f t="shared" si="2"/>
        <v>0</v>
      </c>
      <c r="I55" s="267">
        <v>0</v>
      </c>
      <c r="J55" s="106" t="e">
        <f>'[5]Cost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73">
        <v>5072</v>
      </c>
      <c r="H56" s="256">
        <f t="shared" si="2"/>
        <v>8694.8571428571431</v>
      </c>
      <c r="I56" s="273">
        <v>22000</v>
      </c>
      <c r="J56" s="16" t="e">
        <f>'[5]Cost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4">
        <f>SUM(G49:G56)</f>
        <v>51012</v>
      </c>
      <c r="H57" s="6">
        <f>SUM(H49:H56)</f>
        <v>87449.14285714287</v>
      </c>
      <c r="I57" s="267">
        <f>SUM(I49:I56)</f>
        <v>53896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$C$14*'[5]Cost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$C$14*'[5]Cost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$C$14*'[5]Cost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$C$14*'[5]Cost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7">
        <v>41160</v>
      </c>
      <c r="H65" s="253">
        <f>(G65/7)*12</f>
        <v>70560</v>
      </c>
      <c r="I65" s="272">
        <v>96000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7">
        <v>13202</v>
      </c>
      <c r="H66" s="253">
        <f>(G66/7)*12</f>
        <v>22632</v>
      </c>
      <c r="I66" s="272">
        <v>18000</v>
      </c>
      <c r="J66" s="6" t="e">
        <f>$C$14*'[5]Cost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73">
        <v>0</v>
      </c>
      <c r="H67" s="256">
        <v>0</v>
      </c>
      <c r="I67" s="273">
        <v>130000</v>
      </c>
      <c r="J67" s="16" t="e">
        <f>$C$14*'[5]Cost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4">
        <f>SUM(G65:G67)</f>
        <v>54362</v>
      </c>
      <c r="H68" s="6">
        <f>SUM(H65:H67)</f>
        <v>93192</v>
      </c>
      <c r="I68" s="267">
        <f>SUM(I65:I67)</f>
        <v>244000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323</v>
      </c>
      <c r="G71" s="267">
        <v>0</v>
      </c>
      <c r="H71" s="253">
        <f>(G71/7)*12</f>
        <v>0</v>
      </c>
      <c r="I71" s="272">
        <f>1200+10000</f>
        <v>11200</v>
      </c>
      <c r="J71" s="6" t="e">
        <f>$C$14*'[5]Cost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73">
        <v>0</v>
      </c>
      <c r="H72" s="257">
        <f>(G72/7)*12</f>
        <v>0</v>
      </c>
      <c r="I72" s="275">
        <v>0</v>
      </c>
      <c r="J72" s="16" t="e">
        <f>$C$14*'[5]Cost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6">
        <f>SUM(G71:G72)</f>
        <v>0</v>
      </c>
      <c r="H73" s="239">
        <f>SUM(H71:H72)</f>
        <v>0</v>
      </c>
      <c r="I73" s="267">
        <f>SUM(I71:I72)</f>
        <v>11200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7">
        <v>9525</v>
      </c>
      <c r="H76" s="253">
        <f t="shared" ref="H76:H84" si="3">(G76/7)*12</f>
        <v>16328.571428571429</v>
      </c>
      <c r="I76" s="272">
        <v>0</v>
      </c>
      <c r="J76" s="6" t="e">
        <f>$C$14*'[5]Cost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7">
        <v>0</v>
      </c>
      <c r="H77" s="253">
        <f t="shared" si="3"/>
        <v>0</v>
      </c>
      <c r="I77" s="272">
        <v>0</v>
      </c>
      <c r="J77" s="6" t="e">
        <f>$C$14*'[5]Cost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7">
        <v>0</v>
      </c>
      <c r="H78" s="253">
        <f t="shared" si="3"/>
        <v>0</v>
      </c>
      <c r="I78" s="272">
        <v>0</v>
      </c>
      <c r="J78" s="6" t="e">
        <f>$C$14*'[5]Cost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7">
        <v>0</v>
      </c>
      <c r="H79" s="253">
        <f t="shared" si="3"/>
        <v>0</v>
      </c>
      <c r="I79" s="272">
        <v>0</v>
      </c>
      <c r="J79" s="6" t="e">
        <f>$C$14*'[5]Cost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7">
        <v>884</v>
      </c>
      <c r="H80" s="253">
        <f t="shared" si="3"/>
        <v>1515.4285714285716</v>
      </c>
      <c r="I80" s="272">
        <v>3120</v>
      </c>
      <c r="J80" s="6" t="e">
        <f>$C$14*'[5]Cost rates'!F41</f>
        <v>#DIV/0!</v>
      </c>
      <c r="K80" s="28"/>
      <c r="L80" s="6" t="e">
        <f t="shared" si="4"/>
        <v>#DIV/0!</v>
      </c>
      <c r="R80" s="28"/>
    </row>
    <row r="81" spans="1:21">
      <c r="B81" s="19" t="s">
        <v>227</v>
      </c>
      <c r="G81" s="267">
        <v>0</v>
      </c>
      <c r="H81" s="253">
        <f t="shared" si="3"/>
        <v>0</v>
      </c>
      <c r="I81" s="272">
        <v>0</v>
      </c>
      <c r="J81" s="6" t="e">
        <f>$C$14*'[5]Cost rates'!F42</f>
        <v>#DIV/0!</v>
      </c>
      <c r="K81" s="28"/>
      <c r="L81" s="6" t="e">
        <f t="shared" si="4"/>
        <v>#DIV/0!</v>
      </c>
      <c r="R81" s="28"/>
    </row>
    <row r="82" spans="1:21">
      <c r="B82" s="19" t="s">
        <v>228</v>
      </c>
      <c r="G82" s="267">
        <v>0</v>
      </c>
      <c r="H82" s="253">
        <f t="shared" si="3"/>
        <v>0</v>
      </c>
      <c r="I82" s="272">
        <v>0</v>
      </c>
      <c r="J82" s="6" t="e">
        <f>$C$14*'[5]Cost rates'!F43</f>
        <v>#DIV/0!</v>
      </c>
      <c r="K82" s="28"/>
      <c r="L82" s="6" t="e">
        <f t="shared" si="4"/>
        <v>#DIV/0!</v>
      </c>
      <c r="R82" s="28"/>
    </row>
    <row r="83" spans="1:21">
      <c r="B83" s="19" t="s">
        <v>229</v>
      </c>
      <c r="G83" s="267">
        <v>0</v>
      </c>
      <c r="H83" s="253">
        <f t="shared" si="3"/>
        <v>0</v>
      </c>
      <c r="I83" s="272">
        <v>0</v>
      </c>
      <c r="J83" s="6" t="e">
        <f>$C$14*'[5]Cost rates'!F44</f>
        <v>#DIV/0!</v>
      </c>
      <c r="K83" s="28"/>
      <c r="L83" s="6" t="e">
        <f t="shared" si="4"/>
        <v>#DIV/0!</v>
      </c>
      <c r="R83" s="28"/>
    </row>
    <row r="84" spans="1:21">
      <c r="B84" s="19" t="s">
        <v>230</v>
      </c>
      <c r="G84" s="273">
        <v>0</v>
      </c>
      <c r="H84" s="257">
        <f t="shared" si="3"/>
        <v>0</v>
      </c>
      <c r="I84" s="275">
        <v>0</v>
      </c>
      <c r="J84" s="16" t="e">
        <f>$C$14*'[5]Cost rates'!F45</f>
        <v>#DIV/0!</v>
      </c>
      <c r="K84" s="28"/>
      <c r="L84" s="16" t="e">
        <f t="shared" si="4"/>
        <v>#DIV/0!</v>
      </c>
      <c r="M84" s="256"/>
      <c r="R84" s="28"/>
    </row>
    <row r="85" spans="1:21">
      <c r="A85" s="6" t="s">
        <v>56</v>
      </c>
      <c r="G85" s="276">
        <f>SUM(G76:G84)</f>
        <v>10409</v>
      </c>
      <c r="H85" s="239">
        <f>SUM(H76:H84)</f>
        <v>17844</v>
      </c>
      <c r="I85" s="267">
        <f>SUM(I76:I84)</f>
        <v>3120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21">
      <c r="R86" s="28"/>
    </row>
    <row r="87" spans="1:21">
      <c r="A87" s="7" t="s">
        <v>168</v>
      </c>
      <c r="R87" s="28"/>
    </row>
    <row r="88" spans="1:21">
      <c r="B88" s="19" t="s">
        <v>57</v>
      </c>
      <c r="G88" s="267">
        <v>1459</v>
      </c>
      <c r="H88" s="253">
        <f>(G88/7)*12</f>
        <v>2501.1428571428569</v>
      </c>
      <c r="I88" s="272">
        <f>10560+2196</f>
        <v>12756</v>
      </c>
      <c r="J88" s="106" t="e">
        <f>$C$25*'[5]Cost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  <c r="U88" s="6" t="s">
        <v>324</v>
      </c>
    </row>
    <row r="89" spans="1:21">
      <c r="B89" s="19" t="s">
        <v>232</v>
      </c>
      <c r="G89" s="267">
        <v>937</v>
      </c>
      <c r="H89" s="253">
        <f>(G89/7)*12</f>
        <v>1606.2857142857142</v>
      </c>
      <c r="I89" s="272">
        <v>5484</v>
      </c>
      <c r="J89" s="106" t="e">
        <f>$C$25*'[5]Cost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21">
      <c r="B90" s="19" t="s">
        <v>231</v>
      </c>
      <c r="G90" s="273">
        <v>4391</v>
      </c>
      <c r="H90" s="257">
        <f>(G90/7)*12</f>
        <v>7527.4285714285725</v>
      </c>
      <c r="I90" s="275">
        <v>3780</v>
      </c>
      <c r="J90" s="110" t="e">
        <f>$C$25*'[5]Cost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21">
      <c r="A91" s="6" t="s">
        <v>58</v>
      </c>
      <c r="G91" s="267">
        <f>SUM(G88:G90)</f>
        <v>6787</v>
      </c>
      <c r="H91" s="244">
        <f>SUM(H88:H90)</f>
        <v>11634.857142857143</v>
      </c>
      <c r="I91" s="267">
        <f>SUM(I88:I90)</f>
        <v>22020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21">
      <c r="R92" s="28"/>
    </row>
    <row r="93" spans="1:21">
      <c r="A93" s="7" t="s">
        <v>167</v>
      </c>
      <c r="R93" s="28"/>
    </row>
    <row r="94" spans="1:21">
      <c r="B94" s="6" t="s">
        <v>59</v>
      </c>
      <c r="G94" s="273">
        <v>4904</v>
      </c>
      <c r="H94" s="257">
        <f>(G94/7)*12</f>
        <v>8406.8571428571431</v>
      </c>
      <c r="I94" s="275">
        <v>9996</v>
      </c>
      <c r="J94" s="16" t="e">
        <f>$C$14*'[5]Cost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21">
      <c r="A95" s="6" t="s">
        <v>61</v>
      </c>
      <c r="G95" s="267">
        <f>SUM(G94:G94)</f>
        <v>4904</v>
      </c>
      <c r="H95" s="239">
        <f>SUM(H94:H94)</f>
        <v>8406.8571428571431</v>
      </c>
      <c r="I95" s="267">
        <f>SUM(I94:I94)</f>
        <v>9996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21">
      <c r="R96" s="28"/>
    </row>
    <row r="97" spans="1:21">
      <c r="A97" s="7" t="s">
        <v>62</v>
      </c>
      <c r="R97" s="28"/>
    </row>
    <row r="98" spans="1:21">
      <c r="B98" s="6" t="s">
        <v>84</v>
      </c>
      <c r="G98" s="273">
        <v>0</v>
      </c>
      <c r="H98" s="256">
        <v>0</v>
      </c>
      <c r="I98" s="273">
        <v>3600</v>
      </c>
      <c r="J98" s="230">
        <v>0</v>
      </c>
      <c r="L98" s="231">
        <v>0</v>
      </c>
      <c r="M98" s="262"/>
      <c r="O98" s="131">
        <v>17614</v>
      </c>
      <c r="P98" s="131">
        <f>+L98-O98</f>
        <v>-17614</v>
      </c>
      <c r="Q98" s="125"/>
      <c r="R98" s="131">
        <v>0</v>
      </c>
      <c r="U98" s="6" t="s">
        <v>285</v>
      </c>
    </row>
    <row r="99" spans="1:21">
      <c r="A99" s="6" t="s">
        <v>63</v>
      </c>
      <c r="G99" s="267">
        <f>SUM(G98)</f>
        <v>0</v>
      </c>
      <c r="H99" s="244">
        <f>SUM(H98)</f>
        <v>0</v>
      </c>
      <c r="I99" s="267">
        <f>SUM(I98)</f>
        <v>3600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7">
        <v>83957</v>
      </c>
      <c r="H102" s="253">
        <f>(G102/7)*12</f>
        <v>143926.28571428571</v>
      </c>
      <c r="I102" s="272">
        <v>120000</v>
      </c>
      <c r="J102" s="6">
        <f>+'[5]Cost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257</v>
      </c>
      <c r="G103" s="273">
        <v>7074</v>
      </c>
      <c r="H103" s="257">
        <f>(G103/7)*12</f>
        <v>12126.857142857143</v>
      </c>
      <c r="I103" s="275">
        <v>6000</v>
      </c>
      <c r="J103" s="16">
        <f>+'[5]Cost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6">
        <f>SUM(G102:G103)</f>
        <v>91031</v>
      </c>
      <c r="H104" s="239">
        <f>SUM(H102:H103)</f>
        <v>156053.14285714284</v>
      </c>
      <c r="I104" s="267">
        <f>SUM(I102:I103)</f>
        <v>126000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258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259</v>
      </c>
      <c r="G107" s="273">
        <v>14833</v>
      </c>
      <c r="H107" s="257">
        <f>(G107/7)*12</f>
        <v>25428</v>
      </c>
      <c r="I107" s="275">
        <v>35124</v>
      </c>
      <c r="J107" s="192" t="e">
        <f>'[5]Cost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260</v>
      </c>
      <c r="G108" s="267">
        <f>SUM(G107)</f>
        <v>14833</v>
      </c>
      <c r="H108" s="244">
        <f>SUM(H107)</f>
        <v>25428</v>
      </c>
      <c r="I108" s="267">
        <f>SUM(I107)</f>
        <v>35124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22</v>
      </c>
      <c r="G110" s="267">
        <v>0</v>
      </c>
      <c r="H110" s="253">
        <f>(G110/7)*12</f>
        <v>0</v>
      </c>
      <c r="I110" s="272">
        <v>0</v>
      </c>
      <c r="J110" s="6" t="e">
        <f>$C$25*'[5]Cost rates'!H63</f>
        <v>#DIV/0!</v>
      </c>
      <c r="K110" s="120"/>
      <c r="L110" s="17" t="e">
        <f>J110*12</f>
        <v>#DIV/0!</v>
      </c>
      <c r="M110" s="250"/>
      <c r="N110" s="120"/>
      <c r="O110" s="134">
        <v>0</v>
      </c>
      <c r="P110" s="134" t="e">
        <f>+L110-O110</f>
        <v>#DIV/0!</v>
      </c>
      <c r="R110" s="134">
        <v>0</v>
      </c>
    </row>
    <row r="111" spans="1:21"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173</v>
      </c>
      <c r="G112" s="267">
        <v>570</v>
      </c>
      <c r="H112" s="253">
        <f>(G112/7)*12</f>
        <v>977.14285714285711</v>
      </c>
      <c r="I112" s="272">
        <v>0</v>
      </c>
      <c r="J112" s="6" t="e">
        <f>$C$25*'[5]Cost rates'!H67</f>
        <v>#DIV/0!</v>
      </c>
      <c r="K112" s="120"/>
      <c r="L112" s="17" t="e">
        <f>J112*12</f>
        <v>#DIV/0!</v>
      </c>
      <c r="M112" s="250"/>
      <c r="N112" s="120"/>
      <c r="O112" s="122">
        <f>71114+125628</f>
        <v>196742</v>
      </c>
      <c r="P112" s="134" t="e">
        <f>+L112-O112</f>
        <v>#DIV/0!</v>
      </c>
      <c r="R112" s="122">
        <v>249410</v>
      </c>
    </row>
    <row r="113" spans="1:21">
      <c r="B113" s="6" t="s">
        <v>293</v>
      </c>
      <c r="K113" s="120"/>
      <c r="L113" s="120"/>
      <c r="N113" s="120"/>
      <c r="O113" s="122"/>
      <c r="P113" s="122"/>
      <c r="R113" s="122"/>
    </row>
    <row r="114" spans="1:21">
      <c r="A114" s="7" t="s">
        <v>174</v>
      </c>
      <c r="G114" s="267">
        <v>1166</v>
      </c>
      <c r="H114" s="253">
        <f>(G114/7)*12</f>
        <v>1998.8571428571431</v>
      </c>
      <c r="I114" s="272">
        <v>0</v>
      </c>
      <c r="J114" s="6" t="e">
        <f>$C$25*'[5]Cost rates'!H71</f>
        <v>#DIV/0!</v>
      </c>
      <c r="K114" s="120"/>
      <c r="L114" s="17" t="e">
        <f>J114*12</f>
        <v>#DIV/0!</v>
      </c>
      <c r="M114" s="250"/>
      <c r="N114" s="120"/>
      <c r="O114" s="122">
        <f>126342+208338</f>
        <v>334680</v>
      </c>
      <c r="P114" s="134" t="e">
        <f>+L114-O114</f>
        <v>#DIV/0!</v>
      </c>
      <c r="R114" s="122">
        <v>408678</v>
      </c>
    </row>
    <row r="115" spans="1:21">
      <c r="A115" s="7"/>
      <c r="B115" s="6" t="s">
        <v>176</v>
      </c>
      <c r="K115" s="120"/>
      <c r="L115" s="120"/>
      <c r="N115" s="120"/>
      <c r="O115" s="122"/>
      <c r="P115" s="122"/>
      <c r="R115" s="122"/>
    </row>
    <row r="116" spans="1:21">
      <c r="B116" s="6" t="s">
        <v>177</v>
      </c>
      <c r="K116" s="120"/>
      <c r="L116" s="120"/>
      <c r="N116" s="120"/>
      <c r="O116" s="122"/>
      <c r="P116" s="122"/>
      <c r="R116" s="122"/>
    </row>
    <row r="117" spans="1:21">
      <c r="A117" s="7" t="s">
        <v>23</v>
      </c>
      <c r="J117" s="120"/>
      <c r="K117" s="120"/>
      <c r="L117" s="120"/>
      <c r="N117" s="120"/>
      <c r="O117" s="122">
        <f>25011+78348</f>
        <v>103359</v>
      </c>
      <c r="P117" s="134">
        <f>+L117-O117</f>
        <v>-103359</v>
      </c>
      <c r="R117" s="122">
        <v>140348</v>
      </c>
    </row>
    <row r="118" spans="1:21">
      <c r="A118" s="7"/>
      <c r="B118" s="6" t="s">
        <v>266</v>
      </c>
      <c r="G118" s="267">
        <v>28600</v>
      </c>
      <c r="H118" s="253">
        <f>(G118/7)*12</f>
        <v>49028.571428571428</v>
      </c>
      <c r="I118" s="272">
        <v>15192</v>
      </c>
      <c r="J118" s="238">
        <v>0</v>
      </c>
      <c r="K118" s="191"/>
      <c r="L118" s="238">
        <f>+J118*12</f>
        <v>0</v>
      </c>
      <c r="M118" s="255">
        <f>(12000*12)+(7800*12)</f>
        <v>237600</v>
      </c>
      <c r="N118" s="191"/>
      <c r="O118" s="122"/>
      <c r="P118" s="122"/>
      <c r="R118" s="122"/>
      <c r="U118" s="6" t="s">
        <v>325</v>
      </c>
    </row>
    <row r="119" spans="1:21">
      <c r="A119" s="7"/>
      <c r="B119" s="6" t="s">
        <v>267</v>
      </c>
      <c r="G119" s="267">
        <v>0</v>
      </c>
      <c r="H119" s="253">
        <f>(G119/7)*12</f>
        <v>0</v>
      </c>
      <c r="I119" s="272">
        <v>14472</v>
      </c>
      <c r="J119" s="191" t="e">
        <f>+C14*'[5]Cost rates'!F75</f>
        <v>#DIV/0!</v>
      </c>
      <c r="K119" s="191"/>
      <c r="L119" s="191" t="e">
        <f>+J119*12</f>
        <v>#DIV/0!</v>
      </c>
      <c r="N119" s="191"/>
      <c r="O119" s="122"/>
      <c r="P119" s="122"/>
      <c r="R119" s="122"/>
    </row>
    <row r="120" spans="1:21">
      <c r="A120" s="7"/>
      <c r="B120" s="6" t="s">
        <v>23</v>
      </c>
      <c r="G120" s="267">
        <f>341+13882+3798</f>
        <v>18021</v>
      </c>
      <c r="H120" s="253">
        <f>(G120/7)*12</f>
        <v>30893.142857142859</v>
      </c>
      <c r="I120" s="272">
        <v>0</v>
      </c>
      <c r="J120" s="191" t="e">
        <f>+C25*'[5]Cost rates'!H76</f>
        <v>#DIV/0!</v>
      </c>
      <c r="K120" s="191"/>
      <c r="L120" s="191" t="e">
        <f>+J120*12</f>
        <v>#DIV/0!</v>
      </c>
      <c r="N120" s="191"/>
      <c r="O120" s="122"/>
      <c r="P120" s="122"/>
      <c r="R120" s="122"/>
      <c r="U120" s="6" t="s">
        <v>322</v>
      </c>
    </row>
    <row r="121" spans="1:21">
      <c r="A121" s="7"/>
      <c r="B121" s="6" t="s">
        <v>268</v>
      </c>
      <c r="G121" s="273">
        <v>0</v>
      </c>
      <c r="H121" s="257">
        <f>(G121/7)*12</f>
        <v>0</v>
      </c>
      <c r="I121" s="275">
        <v>0</v>
      </c>
      <c r="J121" s="192" t="e">
        <f>+C25*'[5]Cost rates'!H77</f>
        <v>#DIV/0!</v>
      </c>
      <c r="K121" s="191"/>
      <c r="L121" s="192" t="e">
        <f>+J121*12</f>
        <v>#DIV/0!</v>
      </c>
      <c r="M121" s="256"/>
      <c r="N121" s="191"/>
      <c r="O121" s="122"/>
      <c r="P121" s="122"/>
      <c r="R121" s="122"/>
    </row>
    <row r="122" spans="1:21">
      <c r="A122" s="6" t="s">
        <v>269</v>
      </c>
      <c r="G122" s="267">
        <f>SUM(G118:G121)</f>
        <v>46621</v>
      </c>
      <c r="H122" s="244">
        <f>SUM(H118:H121)</f>
        <v>79921.71428571429</v>
      </c>
      <c r="I122" s="267">
        <f>SUM(I118:I121)</f>
        <v>29664</v>
      </c>
      <c r="J122" s="191" t="e">
        <f>SUM(J118:J121)</f>
        <v>#DIV/0!</v>
      </c>
      <c r="K122" s="191"/>
      <c r="L122" s="191" t="e">
        <f>SUM(L118:L121)</f>
        <v>#DIV/0!</v>
      </c>
      <c r="M122" s="244">
        <f>SUM(M118:M121)</f>
        <v>237600</v>
      </c>
      <c r="N122" s="191"/>
      <c r="O122" s="122"/>
      <c r="P122" s="122"/>
      <c r="R122" s="122"/>
    </row>
    <row r="123" spans="1:21">
      <c r="J123" s="120"/>
      <c r="K123" s="120"/>
      <c r="L123" s="120"/>
      <c r="N123" s="120"/>
      <c r="O123" s="122"/>
      <c r="P123" s="122"/>
      <c r="R123" s="122"/>
    </row>
    <row r="124" spans="1:21" s="7" customFormat="1">
      <c r="A124" s="7" t="s">
        <v>277</v>
      </c>
      <c r="G124" s="272">
        <v>132</v>
      </c>
      <c r="H124" s="253">
        <f>(G124/7)*12</f>
        <v>226.28571428571428</v>
      </c>
      <c r="I124" s="272">
        <v>0</v>
      </c>
      <c r="J124" s="191" t="e">
        <f>+C25*'[5]Cost rates'!H86</f>
        <v>#DIV/0!</v>
      </c>
      <c r="K124" s="223"/>
      <c r="L124" s="191" t="e">
        <f>+J124*12</f>
        <v>#DIV/0!</v>
      </c>
      <c r="M124" s="244">
        <v>0</v>
      </c>
      <c r="N124" s="223"/>
      <c r="O124" s="224"/>
      <c r="P124" s="224"/>
      <c r="R124" s="224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>
      <c r="A126" s="7" t="s">
        <v>65</v>
      </c>
      <c r="G126" s="267">
        <v>8936</v>
      </c>
      <c r="H126" s="253">
        <f>(G126/7)*12</f>
        <v>15318.857142857145</v>
      </c>
      <c r="I126" s="272">
        <v>0</v>
      </c>
      <c r="J126" s="194">
        <v>0</v>
      </c>
      <c r="K126" s="194"/>
      <c r="L126" s="194">
        <f>J126*12</f>
        <v>0</v>
      </c>
      <c r="M126" s="244">
        <v>17870</v>
      </c>
      <c r="N126" s="194"/>
      <c r="O126" s="134">
        <v>0</v>
      </c>
      <c r="P126" s="134">
        <f>+L126-O126</f>
        <v>0</v>
      </c>
      <c r="R126" s="134">
        <v>0</v>
      </c>
    </row>
    <row r="127" spans="1:21">
      <c r="J127" s="194"/>
      <c r="K127" s="195"/>
      <c r="L127" s="194"/>
      <c r="N127" s="194"/>
      <c r="O127" s="134"/>
      <c r="P127" s="134"/>
      <c r="R127" s="134"/>
    </row>
    <row r="128" spans="1:21">
      <c r="A128" s="7" t="s">
        <v>66</v>
      </c>
      <c r="G128" s="267">
        <v>0</v>
      </c>
      <c r="H128" s="253">
        <f>(G128/7)*12</f>
        <v>0</v>
      </c>
      <c r="I128" s="272">
        <v>0</v>
      </c>
      <c r="J128" s="194">
        <v>0</v>
      </c>
      <c r="K128" s="194"/>
      <c r="L128" s="194">
        <f>+J128*12</f>
        <v>0</v>
      </c>
      <c r="M128" s="244">
        <v>0</v>
      </c>
      <c r="N128" s="194"/>
      <c r="O128" s="134">
        <v>540000</v>
      </c>
      <c r="P128" s="134">
        <f>+L128-O128</f>
        <v>-540000</v>
      </c>
      <c r="R128" s="134">
        <v>434772</v>
      </c>
    </row>
    <row r="129" spans="1:21" s="17" customFormat="1">
      <c r="A129" s="21"/>
      <c r="G129" s="269"/>
      <c r="H129" s="250"/>
      <c r="I129" s="269"/>
      <c r="J129" s="232"/>
      <c r="K129" s="232"/>
      <c r="L129" s="232"/>
      <c r="M129" s="250"/>
      <c r="N129" s="232"/>
      <c r="O129" s="233"/>
      <c r="P129" s="233"/>
      <c r="R129" s="233"/>
    </row>
    <row r="130" spans="1:21">
      <c r="J130" s="194"/>
      <c r="K130" s="194"/>
      <c r="L130" s="194"/>
      <c r="N130" s="194"/>
      <c r="O130" s="122"/>
      <c r="P130" s="122"/>
      <c r="R130" s="122"/>
    </row>
    <row r="131" spans="1:21" ht="13.5" thickBot="1">
      <c r="A131" s="7" t="s">
        <v>67</v>
      </c>
      <c r="G131" s="277">
        <f>+G128+G126+G122+G114+G112+G110+G108+G104+G99+G95+G91+G85+G73+G68+G57+G46+G43+G40+G124</f>
        <v>748955</v>
      </c>
      <c r="H131" s="280">
        <f>+H128+H126+H122+H114+H112+H110+H108+H104+H99+H95+H91+H85+H73+H68+H57+H46+H43+H40+H124</f>
        <v>1283922.857142857</v>
      </c>
      <c r="I131" s="277">
        <f>+I128+I126+I122+I114+I112+I110+I108+I104+I99+I95+I91+I85+I73+I68+I57+I46+I43+I40+I124</f>
        <v>1209967</v>
      </c>
      <c r="J131" s="196" t="e">
        <f>+J128+J126+J122+J114+J112+J110+J108+J104+J99+J95+J91+J85+J73+J68+J57+J46+J43+J40+J124</f>
        <v>#DIV/0!</v>
      </c>
      <c r="K131" s="194"/>
      <c r="L131" s="196" t="e">
        <f>+L128+L126+L122+L114+L112+L110+L108+L104+L99+L95+L91+L85+L73+L68+L57+L46+L43+L40+L124</f>
        <v>#DIV/0!</v>
      </c>
      <c r="M131" s="280">
        <f>+M128+M126+M122+M114+M112+M110+M108+M104+M99+M95+M91+M85+M73+M68+M57+M46+M43+M40+M124</f>
        <v>255470</v>
      </c>
      <c r="N131" s="194"/>
      <c r="O131" s="135" t="e">
        <f>O40+O43+O46+O57+O73+O85+O91+O95+O99+O104+O106+O110+O112+O114+O117+O126+#REF!</f>
        <v>#REF!</v>
      </c>
      <c r="P131" s="135" t="e">
        <f>P40+P43+P46+P57+P73+P85+P91+P95+P99+P104+P106+P110+P112+P114+P117+P126+#REF!</f>
        <v>#DIV/0!</v>
      </c>
      <c r="R131" s="135" t="e">
        <f>R40+R43+R46+R57+R73+R85+R91+R95+R99+R104+R106+R110+R112+R114+R117+R126+#REF!</f>
        <v>#REF!</v>
      </c>
    </row>
    <row r="132" spans="1:21" ht="13.5" thickTop="1">
      <c r="J132" s="194"/>
      <c r="K132" s="194"/>
      <c r="L132" s="194"/>
      <c r="N132" s="194"/>
      <c r="O132" s="122"/>
      <c r="P132" s="122"/>
    </row>
    <row r="133" spans="1:21">
      <c r="J133" s="120"/>
      <c r="K133" s="120"/>
      <c r="L133" s="120"/>
      <c r="N133" s="120"/>
      <c r="O133" s="122"/>
      <c r="P133" s="122"/>
    </row>
    <row r="134" spans="1:21">
      <c r="J134" s="120"/>
      <c r="K134" s="120"/>
      <c r="L134" s="120"/>
      <c r="N134" s="120"/>
      <c r="O134" s="122"/>
      <c r="P134" s="122"/>
      <c r="U134" s="17"/>
    </row>
    <row r="135" spans="1:21">
      <c r="A135" s="136"/>
      <c r="B135" s="28"/>
      <c r="C135" s="28"/>
      <c r="D135" s="28"/>
      <c r="E135" s="28"/>
      <c r="F135" s="28"/>
      <c r="G135" s="278"/>
      <c r="H135" s="254"/>
      <c r="I135" s="278"/>
      <c r="J135" s="122"/>
      <c r="K135" s="122"/>
      <c r="L135" s="122"/>
      <c r="M135" s="254"/>
      <c r="N135" s="122"/>
      <c r="O135" s="122"/>
      <c r="P135" s="122"/>
      <c r="Q135" s="28"/>
      <c r="R135" s="28"/>
      <c r="S135" s="28"/>
    </row>
    <row r="136" spans="1:21">
      <c r="A136" s="28"/>
      <c r="B136" s="28"/>
      <c r="C136" s="28"/>
      <c r="D136" s="28"/>
      <c r="E136" s="28"/>
      <c r="F136" s="28"/>
      <c r="G136" s="278"/>
      <c r="H136" s="254"/>
      <c r="I136" s="278"/>
      <c r="J136" s="122"/>
      <c r="K136" s="122"/>
      <c r="L136" s="122"/>
      <c r="M136" s="254"/>
      <c r="N136" s="122"/>
      <c r="O136" s="122"/>
      <c r="P136" s="122"/>
      <c r="Q136" s="28"/>
      <c r="R136" s="28"/>
      <c r="S136" s="28"/>
    </row>
    <row r="137" spans="1:21">
      <c r="A137" s="119"/>
      <c r="J137" s="120"/>
      <c r="K137" s="120"/>
      <c r="L137" s="120"/>
      <c r="N137" s="120"/>
      <c r="O137" s="122"/>
      <c r="P137" s="122"/>
    </row>
    <row r="138" spans="1:21">
      <c r="A138" s="126"/>
      <c r="B138" s="126"/>
      <c r="C138" s="126"/>
      <c r="D138" s="126"/>
      <c r="E138" s="126"/>
      <c r="F138" s="126"/>
      <c r="G138" s="279"/>
      <c r="H138" s="255"/>
      <c r="I138" s="279"/>
      <c r="J138" s="127"/>
      <c r="K138" s="120"/>
      <c r="L138" s="120"/>
      <c r="N138" s="120"/>
      <c r="O138" s="122"/>
      <c r="P138" s="122"/>
    </row>
    <row r="139" spans="1:21">
      <c r="A139" s="126"/>
      <c r="B139" s="126"/>
      <c r="C139" s="126"/>
      <c r="D139" s="126"/>
      <c r="E139" s="126"/>
      <c r="F139" s="126"/>
      <c r="G139" s="279"/>
      <c r="H139" s="255"/>
      <c r="I139" s="279"/>
      <c r="J139" s="127"/>
      <c r="K139" s="120"/>
      <c r="L139" s="120"/>
      <c r="N139" s="120"/>
      <c r="O139" s="122"/>
      <c r="P139" s="122"/>
    </row>
    <row r="140" spans="1:21">
      <c r="A140" s="125"/>
      <c r="B140" s="126"/>
      <c r="C140" s="126"/>
      <c r="D140" s="126"/>
      <c r="E140" s="126"/>
      <c r="F140" s="126"/>
      <c r="G140" s="279"/>
      <c r="H140" s="255"/>
      <c r="I140" s="279"/>
      <c r="J140" s="127"/>
      <c r="K140" s="120"/>
      <c r="L140" s="120"/>
      <c r="N140" s="120"/>
      <c r="O140" s="122"/>
      <c r="P140" s="122"/>
    </row>
    <row r="141" spans="1:21">
      <c r="J141" s="120"/>
      <c r="K141" s="120"/>
      <c r="L141" s="120"/>
      <c r="N141" s="120"/>
      <c r="O141" s="122"/>
      <c r="P141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/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O:\NAES\Natural Gas Team\Plan 2002 Templates\West\[West Total Orig Income Stmt.xls]Income Statement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>
        <f>[1]Input!C1</f>
        <v>0</v>
      </c>
      <c r="G1" s="68"/>
      <c r="H1" s="68" t="s">
        <v>91</v>
      </c>
      <c r="I1" s="69" t="str">
        <f>CONCATENATE(D1,D2,".sys")</f>
        <v>00.sys</v>
      </c>
    </row>
    <row r="2" spans="1:16" s="52" customFormat="1">
      <c r="C2" s="67" t="s">
        <v>2</v>
      </c>
      <c r="D2" s="56">
        <f>[1]Input!C2</f>
        <v>0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>
        <f>[1]Input!C3</f>
        <v>0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>
        <f>[1]Input!C4</f>
        <v>0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Templates\West\[West Total Orig Income Stmt.xls]Income Statement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14" sqref="A14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289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288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2" sqref="F1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9" t="s">
        <v>286</v>
      </c>
      <c r="B5" s="359"/>
      <c r="D5" s="214"/>
    </row>
    <row r="6" spans="1:11">
      <c r="A6" s="359" t="s">
        <v>287</v>
      </c>
      <c r="B6" s="359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276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261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262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263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264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265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270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267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268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269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275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274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273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278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277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277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279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H11" sqref="H11"/>
    </sheetView>
  </sheetViews>
  <sheetFormatPr defaultRowHeight="12.75"/>
  <cols>
    <col min="1" max="1" width="3.85546875" customWidth="1"/>
    <col min="2" max="2" width="61" customWidth="1"/>
    <col min="3" max="3" width="3.140625" style="348" customWidth="1"/>
    <col min="4" max="4" width="15.7109375" customWidth="1"/>
    <col min="5" max="5" width="3.5703125" style="348" customWidth="1"/>
    <col min="6" max="6" width="15.7109375" customWidth="1"/>
    <col min="7" max="7" width="3.5703125" style="348" customWidth="1"/>
    <col min="8" max="8" width="15.7109375" customWidth="1"/>
  </cols>
  <sheetData>
    <row r="1" spans="1:8" ht="15.75">
      <c r="A1" s="335" t="s">
        <v>482</v>
      </c>
      <c r="C1" s="336"/>
      <c r="E1" s="336"/>
      <c r="G1" s="336"/>
    </row>
    <row r="2" spans="1:8" ht="15.75">
      <c r="C2" s="336"/>
      <c r="E2" s="336"/>
      <c r="G2" s="336"/>
    </row>
    <row r="3" spans="1:8">
      <c r="C3" s="337"/>
      <c r="E3" s="337"/>
      <c r="G3" s="337"/>
    </row>
    <row r="4" spans="1:8" ht="13.5" thickBot="1">
      <c r="A4" s="95"/>
      <c r="B4" s="95"/>
      <c r="C4" s="338"/>
      <c r="D4" s="339" t="s">
        <v>483</v>
      </c>
      <c r="E4" s="338"/>
      <c r="F4" s="339" t="s">
        <v>208</v>
      </c>
      <c r="G4" s="338"/>
      <c r="H4" s="80" t="s">
        <v>204</v>
      </c>
    </row>
    <row r="5" spans="1:8" ht="5.25" customHeight="1">
      <c r="A5" s="95"/>
      <c r="B5" s="95"/>
      <c r="C5" s="337"/>
      <c r="D5" s="95"/>
      <c r="E5" s="337"/>
      <c r="F5" s="95"/>
      <c r="G5" s="337"/>
    </row>
    <row r="6" spans="1:8">
      <c r="A6" s="95" t="s">
        <v>484</v>
      </c>
      <c r="B6" s="95"/>
      <c r="C6" s="340" t="s">
        <v>327</v>
      </c>
      <c r="D6" s="341"/>
      <c r="E6" s="340" t="s">
        <v>327</v>
      </c>
      <c r="F6" s="341"/>
      <c r="G6" s="340" t="s">
        <v>327</v>
      </c>
      <c r="H6" s="341"/>
    </row>
    <row r="7" spans="1:8">
      <c r="A7" s="95" t="s">
        <v>485</v>
      </c>
      <c r="B7" s="95"/>
      <c r="C7" s="340"/>
      <c r="D7" s="95"/>
      <c r="E7" s="340"/>
      <c r="F7" s="95"/>
      <c r="G7" s="340"/>
      <c r="H7" s="95"/>
    </row>
    <row r="8" spans="1:8">
      <c r="A8" s="95" t="s">
        <v>486</v>
      </c>
      <c r="B8" s="95"/>
      <c r="C8" s="340"/>
      <c r="D8" s="95"/>
      <c r="E8" s="340"/>
      <c r="F8" s="95"/>
      <c r="G8" s="340"/>
      <c r="H8" s="95"/>
    </row>
    <row r="9" spans="1:8">
      <c r="A9" s="95" t="s">
        <v>487</v>
      </c>
      <c r="B9" s="95"/>
      <c r="C9" s="340"/>
      <c r="D9" s="95"/>
      <c r="E9" s="340"/>
      <c r="F9" s="95"/>
      <c r="G9" s="340"/>
      <c r="H9" s="95"/>
    </row>
    <row r="10" spans="1:8">
      <c r="A10" s="95" t="s">
        <v>488</v>
      </c>
      <c r="B10" s="95"/>
      <c r="C10" s="340"/>
      <c r="D10" s="95"/>
      <c r="E10" s="340"/>
      <c r="F10" s="95"/>
      <c r="G10" s="340"/>
      <c r="H10" s="95"/>
    </row>
    <row r="11" spans="1:8">
      <c r="A11" s="95" t="s">
        <v>421</v>
      </c>
      <c r="B11" s="95"/>
      <c r="C11" s="340"/>
      <c r="D11" s="104"/>
      <c r="E11" s="340"/>
      <c r="F11" s="104"/>
      <c r="G11" s="340"/>
      <c r="H11" s="104"/>
    </row>
    <row r="12" spans="1:8" ht="8.25" customHeight="1">
      <c r="A12" s="95"/>
      <c r="B12" s="95"/>
      <c r="C12" s="340"/>
      <c r="D12" s="95"/>
      <c r="E12" s="340"/>
      <c r="F12" s="95"/>
      <c r="G12" s="340"/>
    </row>
    <row r="13" spans="1:8">
      <c r="A13" s="146" t="s">
        <v>489</v>
      </c>
      <c r="B13" s="95"/>
      <c r="C13" s="340" t="s">
        <v>327</v>
      </c>
      <c r="D13" s="341"/>
      <c r="E13" s="340" t="s">
        <v>327</v>
      </c>
      <c r="F13" s="341"/>
      <c r="G13" s="340" t="s">
        <v>327</v>
      </c>
      <c r="H13" s="342"/>
    </row>
    <row r="14" spans="1:8">
      <c r="A14" s="146"/>
      <c r="B14" s="95"/>
      <c r="C14" s="343"/>
      <c r="D14" s="342"/>
      <c r="E14" s="343"/>
      <c r="F14" s="342"/>
      <c r="G14" s="343"/>
      <c r="H14" s="342"/>
    </row>
    <row r="15" spans="1:8">
      <c r="A15" s="291" t="s">
        <v>183</v>
      </c>
      <c r="B15" s="95"/>
      <c r="C15" s="343"/>
      <c r="D15" s="344"/>
      <c r="E15" s="343"/>
      <c r="F15" s="345"/>
      <c r="G15" s="343"/>
      <c r="H15" s="344"/>
    </row>
    <row r="16" spans="1:8" ht="6.75" customHeight="1">
      <c r="A16" s="146"/>
      <c r="B16" s="95"/>
      <c r="C16" s="340"/>
      <c r="D16" s="342"/>
      <c r="E16" s="340"/>
      <c r="F16" s="342"/>
      <c r="G16" s="340"/>
      <c r="H16" s="342"/>
    </row>
    <row r="17" spans="1:8">
      <c r="A17" s="146" t="s">
        <v>490</v>
      </c>
      <c r="B17" s="95"/>
      <c r="C17" s="340" t="s">
        <v>327</v>
      </c>
      <c r="D17" s="346"/>
      <c r="E17" s="340" t="s">
        <v>327</v>
      </c>
      <c r="F17" s="346"/>
      <c r="G17" s="340" t="s">
        <v>327</v>
      </c>
      <c r="H17" s="347"/>
    </row>
    <row r="18" spans="1:8">
      <c r="A18" s="95"/>
      <c r="B18" s="95"/>
      <c r="C18" s="340"/>
      <c r="D18" s="95"/>
      <c r="E18" s="340"/>
      <c r="F18" s="95"/>
      <c r="G18" s="340"/>
    </row>
    <row r="19" spans="1:8">
      <c r="A19" s="95" t="s">
        <v>328</v>
      </c>
      <c r="B19" s="95"/>
      <c r="C19" s="340"/>
      <c r="D19" s="96">
        <f>ROUND('Detail Breakdown'!D14/1000,0)</f>
        <v>737</v>
      </c>
      <c r="E19" s="340"/>
      <c r="F19" s="96">
        <f>ROUND('Detail Breakdown'!F14/1000,0)</f>
        <v>860</v>
      </c>
      <c r="G19" s="340"/>
      <c r="H19" s="95">
        <f t="shared" ref="H19:H31" si="0">F19-D19</f>
        <v>123</v>
      </c>
    </row>
    <row r="20" spans="1:8">
      <c r="A20" s="95" t="s">
        <v>491</v>
      </c>
      <c r="B20" s="95"/>
      <c r="C20" s="340"/>
      <c r="D20" s="95">
        <f>ROUND('Detail Breakdown'!D28/1000,0)</f>
        <v>87</v>
      </c>
      <c r="E20" s="340"/>
      <c r="F20" s="95">
        <f>ROUND('Detail Breakdown'!F28/1000,0)</f>
        <v>180</v>
      </c>
      <c r="G20" s="340"/>
      <c r="H20" s="95">
        <f t="shared" si="0"/>
        <v>93</v>
      </c>
    </row>
    <row r="21" spans="1:8">
      <c r="A21" s="95" t="s">
        <v>492</v>
      </c>
      <c r="B21" s="95"/>
      <c r="C21" s="340"/>
      <c r="D21" s="96">
        <f>ROUND('Detail Breakdown'!D38/1000,0)</f>
        <v>93</v>
      </c>
      <c r="E21" s="340"/>
      <c r="F21" s="96">
        <f>ROUND('Detail Breakdown'!F38/1000,0)</f>
        <v>290</v>
      </c>
      <c r="G21" s="340"/>
      <c r="H21" s="95">
        <f t="shared" si="0"/>
        <v>197</v>
      </c>
    </row>
    <row r="22" spans="1:8">
      <c r="A22" s="95" t="s">
        <v>358</v>
      </c>
      <c r="B22" s="95"/>
      <c r="C22" s="340"/>
      <c r="D22" s="96">
        <f>ROUND('Detail Breakdown'!D51/1000,0)</f>
        <v>26</v>
      </c>
      <c r="E22" s="340"/>
      <c r="F22" s="96">
        <f>ROUND('Detail Breakdown'!F51/1000,0)</f>
        <v>40</v>
      </c>
      <c r="G22" s="340"/>
      <c r="H22" s="95">
        <f t="shared" si="0"/>
        <v>14</v>
      </c>
    </row>
    <row r="23" spans="1:8">
      <c r="A23" s="95" t="s">
        <v>370</v>
      </c>
      <c r="B23" s="95"/>
      <c r="C23" s="343"/>
      <c r="D23" s="96">
        <f>ROUND('Detail Breakdown'!D62/1000,0)</f>
        <v>195</v>
      </c>
      <c r="E23" s="343"/>
      <c r="F23" s="96">
        <f>ROUND('Detail Breakdown'!F62/1000,0)</f>
        <v>240</v>
      </c>
      <c r="G23" s="343"/>
      <c r="H23" s="95">
        <f t="shared" si="0"/>
        <v>45</v>
      </c>
    </row>
    <row r="24" spans="1:8">
      <c r="A24" s="95" t="s">
        <v>379</v>
      </c>
      <c r="B24" s="95"/>
      <c r="C24" s="340"/>
      <c r="D24" s="96">
        <f>ROUND('Detail Breakdown'!D73/1000,0)</f>
        <v>1</v>
      </c>
      <c r="E24" s="340"/>
      <c r="F24" s="96">
        <f>'Detail Breakdown'!F73/1000</f>
        <v>1</v>
      </c>
      <c r="G24" s="340"/>
      <c r="H24" s="95">
        <f t="shared" si="0"/>
        <v>0</v>
      </c>
    </row>
    <row r="25" spans="1:8">
      <c r="A25" s="95" t="s">
        <v>388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396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91" t="s">
        <v>504</v>
      </c>
      <c r="B27" s="95"/>
      <c r="D27" s="96">
        <f>ROUND('Detail Breakdown'!D87/1000,0)</f>
        <v>97</v>
      </c>
      <c r="F27" s="96">
        <f>'Detail Breakdown'!F87/1000</f>
        <v>237.6</v>
      </c>
      <c r="H27" s="95">
        <f t="shared" si="0"/>
        <v>140.6</v>
      </c>
    </row>
    <row r="28" spans="1:8">
      <c r="A28" s="95" t="s">
        <v>400</v>
      </c>
      <c r="B28" s="95"/>
      <c r="D28" s="349">
        <f>ROUND('Detail Breakdown'!D96/1000,0)</f>
        <v>31</v>
      </c>
      <c r="F28" s="349">
        <f>'Detail Breakdown'!F96/1000</f>
        <v>62.107999999999997</v>
      </c>
      <c r="H28" s="95">
        <f t="shared" si="0"/>
        <v>31.107999999999997</v>
      </c>
    </row>
    <row r="29" spans="1:8">
      <c r="A29" s="95" t="s">
        <v>407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409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411</v>
      </c>
      <c r="B31" s="95"/>
      <c r="D31" s="104">
        <f>ROUND('Detail Breakdown'!D107/1000,0)</f>
        <v>15</v>
      </c>
      <c r="F31" s="104">
        <f>'Detail Breakdown'!F107/1000</f>
        <v>17.87</v>
      </c>
      <c r="H31" s="104">
        <f t="shared" si="0"/>
        <v>2.870000000000001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0" t="s">
        <v>327</v>
      </c>
      <c r="D33" s="350">
        <f>SUM(D19:D32)</f>
        <v>1282</v>
      </c>
      <c r="E33" s="340" t="s">
        <v>327</v>
      </c>
      <c r="F33" s="350">
        <f>SUM(F19:F32)</f>
        <v>1928.5779999999997</v>
      </c>
      <c r="G33" s="340" t="s">
        <v>327</v>
      </c>
      <c r="H33" s="350">
        <f>SUM(H19:H32)</f>
        <v>646.57799999999997</v>
      </c>
    </row>
    <row r="34" spans="1:8" ht="6.75" customHeight="1">
      <c r="A34" s="95"/>
      <c r="B34" s="95"/>
      <c r="D34" s="95"/>
      <c r="F34" s="96"/>
      <c r="H34" s="22"/>
    </row>
    <row r="35" spans="1:8" ht="13.5" thickBot="1">
      <c r="A35" s="146" t="s">
        <v>493</v>
      </c>
      <c r="B35" s="95"/>
      <c r="C35" s="340" t="s">
        <v>327</v>
      </c>
      <c r="D35" s="351">
        <f>D13-D33</f>
        <v>-1282</v>
      </c>
      <c r="E35" s="340" t="s">
        <v>327</v>
      </c>
      <c r="F35" s="351">
        <f>F13-F33</f>
        <v>-1928.5779999999997</v>
      </c>
      <c r="G35" s="340" t="s">
        <v>327</v>
      </c>
      <c r="H35" s="351">
        <f>H13-H33</f>
        <v>-646.57799999999997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2">
        <v>1</v>
      </c>
      <c r="F39" s="353">
        <v>1</v>
      </c>
      <c r="H39" s="353">
        <f>F39-D39</f>
        <v>0</v>
      </c>
    </row>
    <row r="40" spans="1:8">
      <c r="A40" s="95" t="s">
        <v>494</v>
      </c>
      <c r="B40" s="95"/>
      <c r="D40" s="352">
        <v>1</v>
      </c>
      <c r="F40" s="353">
        <v>2</v>
      </c>
      <c r="H40" s="353">
        <f>F40-D40</f>
        <v>1</v>
      </c>
    </row>
    <row r="41" spans="1:8">
      <c r="A41" s="95" t="s">
        <v>207</v>
      </c>
      <c r="B41" s="95"/>
      <c r="D41" s="352">
        <v>0</v>
      </c>
      <c r="F41" s="353">
        <f>1+1</f>
        <v>2</v>
      </c>
      <c r="H41" s="353">
        <f>F41-D41</f>
        <v>2</v>
      </c>
    </row>
    <row r="42" spans="1:8">
      <c r="A42" s="95" t="s">
        <v>495</v>
      </c>
      <c r="B42" s="95"/>
      <c r="D42" s="352">
        <v>1</v>
      </c>
      <c r="F42" s="353">
        <f>1+1</f>
        <v>2</v>
      </c>
      <c r="H42" s="353">
        <f>F42-D42</f>
        <v>1</v>
      </c>
    </row>
    <row r="43" spans="1:8">
      <c r="A43" s="95" t="s">
        <v>496</v>
      </c>
      <c r="B43" s="95"/>
      <c r="D43" s="354">
        <f>1+1</f>
        <v>2</v>
      </c>
      <c r="F43" s="354">
        <f>1+1</f>
        <v>2</v>
      </c>
      <c r="H43" s="354">
        <f>F43-D43</f>
        <v>0</v>
      </c>
    </row>
    <row r="44" spans="1:8" ht="4.5" customHeight="1">
      <c r="A44" s="145"/>
      <c r="B44" s="145"/>
      <c r="D44" s="355"/>
      <c r="F44" s="355"/>
      <c r="H44" s="355"/>
    </row>
    <row r="45" spans="1:8" ht="13.5" thickBot="1">
      <c r="A45" s="146" t="s">
        <v>497</v>
      </c>
      <c r="B45" s="95"/>
      <c r="D45" s="356">
        <f>SUM(D39:D44)</f>
        <v>5</v>
      </c>
      <c r="F45" s="356">
        <f>SUM(F39:F44)</f>
        <v>9</v>
      </c>
      <c r="H45" s="356">
        <f>SUM(H39:H44)</f>
        <v>4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498</v>
      </c>
      <c r="B47" s="95"/>
      <c r="D47" s="339" t="s">
        <v>499</v>
      </c>
      <c r="F47" s="357"/>
      <c r="H47" s="339" t="s">
        <v>500</v>
      </c>
    </row>
    <row r="48" spans="1:8">
      <c r="A48" s="358" t="s">
        <v>501</v>
      </c>
      <c r="B48" s="95"/>
      <c r="C48" s="340" t="s">
        <v>327</v>
      </c>
      <c r="D48" s="95"/>
      <c r="F48" s="95"/>
      <c r="G48" s="340" t="s">
        <v>327</v>
      </c>
    </row>
    <row r="49" spans="1:7">
      <c r="A49" s="358" t="s">
        <v>502</v>
      </c>
      <c r="B49" s="95"/>
      <c r="C49" s="340" t="s">
        <v>327</v>
      </c>
      <c r="D49" s="95"/>
      <c r="F49" s="95"/>
      <c r="G49" s="340" t="s">
        <v>327</v>
      </c>
    </row>
    <row r="50" spans="1:7">
      <c r="A50" s="358" t="s">
        <v>503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49"/>
  <sheetViews>
    <sheetView tabSelected="1" zoomScale="85" workbookViewId="0">
      <pane xSplit="1" ySplit="5" topLeftCell="C86" activePane="bottomRight" state="frozen"/>
      <selection activeCell="A14" sqref="A14"/>
      <selection pane="topRight" activeCell="A14" sqref="A14"/>
      <selection pane="bottomLeft" activeCell="A14" sqref="A14"/>
      <selection pane="bottomRight" activeCell="A14" sqref="A14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</cols>
  <sheetData>
    <row r="1" spans="1:6" ht="16.5" thickBot="1">
      <c r="A1" s="281" t="s">
        <v>478</v>
      </c>
    </row>
    <row r="2" spans="1:6" ht="15.75">
      <c r="A2" s="281" t="s">
        <v>479</v>
      </c>
      <c r="F2" s="323"/>
    </row>
    <row r="3" spans="1:6">
      <c r="C3" s="25">
        <v>2001</v>
      </c>
      <c r="D3" s="25">
        <v>2001</v>
      </c>
      <c r="E3" s="25">
        <v>2001</v>
      </c>
      <c r="F3" s="324">
        <v>2002</v>
      </c>
    </row>
    <row r="4" spans="1:6">
      <c r="C4" s="25" t="s">
        <v>294</v>
      </c>
      <c r="D4" s="25" t="s">
        <v>295</v>
      </c>
      <c r="E4" s="25" t="s">
        <v>296</v>
      </c>
      <c r="F4" s="324" t="s">
        <v>296</v>
      </c>
    </row>
    <row r="5" spans="1:6">
      <c r="A5" s="282" t="s">
        <v>326</v>
      </c>
      <c r="C5" s="283" t="s">
        <v>327</v>
      </c>
      <c r="D5" s="283" t="s">
        <v>327</v>
      </c>
      <c r="E5" s="283" t="s">
        <v>327</v>
      </c>
      <c r="F5" s="325" t="s">
        <v>327</v>
      </c>
    </row>
    <row r="6" spans="1:6">
      <c r="F6" s="326"/>
    </row>
    <row r="7" spans="1:6">
      <c r="A7" s="24" t="s">
        <v>328</v>
      </c>
      <c r="F7" s="326"/>
    </row>
    <row r="8" spans="1:6">
      <c r="A8" t="s">
        <v>329</v>
      </c>
      <c r="C8" s="284">
        <v>398518</v>
      </c>
      <c r="D8" s="95">
        <f>(C8/7)*12-48000</f>
        <v>635173.71428571432</v>
      </c>
      <c r="F8" s="326"/>
    </row>
    <row r="9" spans="1:6">
      <c r="A9" s="285" t="s">
        <v>330</v>
      </c>
      <c r="C9" s="95">
        <v>0</v>
      </c>
      <c r="D9" s="95">
        <f>(C9/7)*12</f>
        <v>0</v>
      </c>
      <c r="E9" s="95">
        <v>548803</v>
      </c>
      <c r="F9" s="327">
        <v>721799</v>
      </c>
    </row>
    <row r="10" spans="1:6">
      <c r="A10" s="285" t="s">
        <v>331</v>
      </c>
      <c r="C10" s="95">
        <v>0</v>
      </c>
      <c r="D10" s="95">
        <f>(C10/7)*12</f>
        <v>0</v>
      </c>
      <c r="E10" s="95">
        <v>0</v>
      </c>
      <c r="F10" s="327">
        <v>0</v>
      </c>
    </row>
    <row r="11" spans="1:6">
      <c r="A11" t="s">
        <v>332</v>
      </c>
      <c r="C11" s="95"/>
      <c r="D11" s="95"/>
      <c r="E11" s="95"/>
      <c r="F11" s="327"/>
    </row>
    <row r="12" spans="1:6">
      <c r="A12" s="285" t="s">
        <v>333</v>
      </c>
      <c r="C12" s="95">
        <v>39553</v>
      </c>
      <c r="D12" s="95">
        <f>(C12/7)*12</f>
        <v>67805.142857142855</v>
      </c>
      <c r="E12" s="95">
        <v>79564</v>
      </c>
      <c r="F12" s="327">
        <v>99284</v>
      </c>
    </row>
    <row r="13" spans="1:6">
      <c r="A13" s="285" t="s">
        <v>334</v>
      </c>
      <c r="C13" s="95">
        <v>20121</v>
      </c>
      <c r="D13" s="95">
        <f>(C13/7)*12</f>
        <v>34493.142857142855</v>
      </c>
      <c r="E13" s="95">
        <v>42980</v>
      </c>
      <c r="F13" s="327">
        <v>38562</v>
      </c>
    </row>
    <row r="14" spans="1:6">
      <c r="A14" s="24" t="s">
        <v>335</v>
      </c>
      <c r="C14" s="286">
        <f>SUM(C8:C13)</f>
        <v>458192</v>
      </c>
      <c r="D14" s="286">
        <f>SUM(D8:D13)</f>
        <v>737472</v>
      </c>
      <c r="E14" s="286">
        <f>SUM(E8:E13)</f>
        <v>671347</v>
      </c>
      <c r="F14" s="328">
        <f>SUM(F8:F13)</f>
        <v>859645</v>
      </c>
    </row>
    <row r="15" spans="1:6">
      <c r="A15" s="285"/>
      <c r="C15" s="95"/>
      <c r="D15" s="95"/>
      <c r="E15" s="95"/>
      <c r="F15" s="327"/>
    </row>
    <row r="16" spans="1:6">
      <c r="A16" t="s">
        <v>336</v>
      </c>
      <c r="C16" s="95"/>
      <c r="D16" s="95"/>
      <c r="E16" s="95"/>
      <c r="F16" s="327"/>
    </row>
    <row r="17" spans="1:6">
      <c r="A17" s="285" t="s">
        <v>337</v>
      </c>
      <c r="C17" s="95">
        <v>0</v>
      </c>
      <c r="D17" s="95">
        <f t="shared" ref="D17:D24" si="0">(C17/7)*12</f>
        <v>0</v>
      </c>
      <c r="E17" s="95">
        <v>17496</v>
      </c>
      <c r="F17" s="327">
        <f>(E17/6)*9</f>
        <v>26244</v>
      </c>
    </row>
    <row r="18" spans="1:6">
      <c r="A18" s="285" t="s">
        <v>338</v>
      </c>
      <c r="C18" s="95">
        <v>2000</v>
      </c>
      <c r="D18" s="95">
        <f t="shared" si="0"/>
        <v>3428.5714285714284</v>
      </c>
      <c r="E18" s="95">
        <v>0</v>
      </c>
      <c r="F18" s="327">
        <v>3500</v>
      </c>
    </row>
    <row r="19" spans="1:6">
      <c r="A19" s="285" t="s">
        <v>339</v>
      </c>
      <c r="C19" s="95">
        <v>8000</v>
      </c>
      <c r="D19" s="95">
        <f t="shared" si="0"/>
        <v>13714.285714285714</v>
      </c>
      <c r="E19" s="95">
        <v>0</v>
      </c>
      <c r="F19" s="327">
        <v>15000</v>
      </c>
    </row>
    <row r="20" spans="1:6">
      <c r="A20" s="285" t="s">
        <v>340</v>
      </c>
      <c r="C20" s="95">
        <v>6775</v>
      </c>
      <c r="D20" s="95">
        <f t="shared" si="0"/>
        <v>11614.285714285714</v>
      </c>
      <c r="E20" s="95">
        <v>4800</v>
      </c>
      <c r="F20" s="327">
        <f>10000+5000</f>
        <v>15000</v>
      </c>
    </row>
    <row r="21" spans="1:6">
      <c r="A21" s="285" t="s">
        <v>341</v>
      </c>
      <c r="C21" s="95">
        <v>29165</v>
      </c>
      <c r="D21" s="95">
        <f t="shared" si="0"/>
        <v>49997.142857142855</v>
      </c>
      <c r="E21" s="95">
        <v>9600</v>
      </c>
      <c r="F21" s="327">
        <v>50000</v>
      </c>
    </row>
    <row r="22" spans="1:6">
      <c r="A22" s="285" t="s">
        <v>342</v>
      </c>
      <c r="C22" s="95">
        <v>0</v>
      </c>
      <c r="D22" s="95">
        <f t="shared" si="0"/>
        <v>0</v>
      </c>
      <c r="E22" s="95">
        <v>0</v>
      </c>
      <c r="F22" s="327">
        <f>(E22/6)*9</f>
        <v>0</v>
      </c>
    </row>
    <row r="23" spans="1:6">
      <c r="A23" s="285" t="s">
        <v>343</v>
      </c>
      <c r="C23" s="95">
        <v>0</v>
      </c>
      <c r="D23" s="95">
        <f t="shared" si="0"/>
        <v>0</v>
      </c>
      <c r="E23" s="95">
        <v>0</v>
      </c>
      <c r="F23" s="327">
        <v>5000</v>
      </c>
    </row>
    <row r="24" spans="1:6">
      <c r="A24" s="285" t="s">
        <v>344</v>
      </c>
      <c r="C24" s="95">
        <v>5072</v>
      </c>
      <c r="D24" s="95">
        <f t="shared" si="0"/>
        <v>8694.8571428571431</v>
      </c>
      <c r="E24" s="95">
        <v>12000</v>
      </c>
      <c r="F24" s="327">
        <f>(E24/6)*9+2000</f>
        <v>20000</v>
      </c>
    </row>
    <row r="25" spans="1:6">
      <c r="A25" s="137" t="s">
        <v>345</v>
      </c>
      <c r="C25" s="95"/>
      <c r="D25" s="95"/>
      <c r="E25" s="95"/>
      <c r="F25" s="327">
        <f>(E25/6)*9</f>
        <v>0</v>
      </c>
    </row>
    <row r="26" spans="1:6">
      <c r="A26" s="285" t="s">
        <v>346</v>
      </c>
      <c r="C26" s="95">
        <v>0</v>
      </c>
      <c r="D26" s="95">
        <f>(C26/7)*12</f>
        <v>0</v>
      </c>
      <c r="E26" s="95">
        <v>11200</v>
      </c>
      <c r="F26" s="327">
        <v>5000</v>
      </c>
    </row>
    <row r="27" spans="1:6">
      <c r="A27" s="285" t="s">
        <v>347</v>
      </c>
      <c r="C27" s="95">
        <v>0</v>
      </c>
      <c r="D27" s="95">
        <f>(C27/7)*12</f>
        <v>0</v>
      </c>
      <c r="E27" s="95">
        <v>10000</v>
      </c>
      <c r="F27" s="327">
        <f>25000+15000</f>
        <v>40000</v>
      </c>
    </row>
    <row r="28" spans="1:6">
      <c r="A28" s="24" t="s">
        <v>348</v>
      </c>
      <c r="C28" s="286">
        <f>SUM(C17:C27)</f>
        <v>51012</v>
      </c>
      <c r="D28" s="286">
        <f>SUM(D17:D27)</f>
        <v>87449.142857142855</v>
      </c>
      <c r="E28" s="286">
        <f>SUM(E17:E27)</f>
        <v>65096</v>
      </c>
      <c r="F28" s="328">
        <f>SUM(F17:F27)</f>
        <v>179744</v>
      </c>
    </row>
    <row r="29" spans="1:6">
      <c r="F29" s="326"/>
    </row>
    <row r="30" spans="1:6">
      <c r="A30" s="24" t="s">
        <v>349</v>
      </c>
      <c r="F30" s="326"/>
    </row>
    <row r="31" spans="1:6">
      <c r="A31" t="s">
        <v>350</v>
      </c>
      <c r="C31" s="95">
        <v>41160</v>
      </c>
      <c r="D31" s="284">
        <f t="shared" ref="D31:D37" si="1">(C31/7)*12</f>
        <v>70560</v>
      </c>
      <c r="E31" s="95">
        <v>96000</v>
      </c>
      <c r="F31" s="327"/>
    </row>
    <row r="32" spans="1:6">
      <c r="A32" s="285" t="s">
        <v>351</v>
      </c>
      <c r="C32" s="95">
        <v>0</v>
      </c>
      <c r="D32" s="95">
        <f t="shared" si="1"/>
        <v>0</v>
      </c>
      <c r="E32" s="95">
        <v>0</v>
      </c>
      <c r="F32" s="327">
        <f>150000*0.5</f>
        <v>75000</v>
      </c>
    </row>
    <row r="33" spans="1:6">
      <c r="A33" s="285" t="s">
        <v>352</v>
      </c>
      <c r="C33" s="95">
        <v>0</v>
      </c>
      <c r="D33" s="95">
        <f t="shared" si="1"/>
        <v>0</v>
      </c>
      <c r="E33" s="95">
        <v>0</v>
      </c>
      <c r="F33" s="327">
        <f>150000*0.35</f>
        <v>52500</v>
      </c>
    </row>
    <row r="34" spans="1:6">
      <c r="A34" s="285" t="s">
        <v>353</v>
      </c>
      <c r="C34" s="95">
        <v>0</v>
      </c>
      <c r="D34" s="95">
        <f t="shared" si="1"/>
        <v>0</v>
      </c>
      <c r="E34" s="95">
        <v>0</v>
      </c>
      <c r="F34" s="327">
        <f>150000*0.1</f>
        <v>15000</v>
      </c>
    </row>
    <row r="35" spans="1:6">
      <c r="A35" s="285" t="s">
        <v>354</v>
      </c>
      <c r="C35" s="95">
        <v>0</v>
      </c>
      <c r="D35" s="95">
        <f t="shared" si="1"/>
        <v>0</v>
      </c>
      <c r="E35" s="95">
        <v>0</v>
      </c>
      <c r="F35" s="327">
        <f>150000*0.05</f>
        <v>7500</v>
      </c>
    </row>
    <row r="36" spans="1:6">
      <c r="A36" t="s">
        <v>355</v>
      </c>
      <c r="C36" s="95">
        <v>13202</v>
      </c>
      <c r="D36" s="95">
        <f t="shared" si="1"/>
        <v>22632</v>
      </c>
      <c r="E36" s="95">
        <v>18000</v>
      </c>
      <c r="F36" s="327">
        <f>(E36/6)*9+13000</f>
        <v>40000</v>
      </c>
    </row>
    <row r="37" spans="1:6">
      <c r="A37" t="s">
        <v>356</v>
      </c>
      <c r="C37" s="104">
        <v>0</v>
      </c>
      <c r="D37" s="95">
        <f t="shared" si="1"/>
        <v>0</v>
      </c>
      <c r="E37" s="104">
        <v>130000</v>
      </c>
      <c r="F37" s="327">
        <f>(E37/6)*9-95000</f>
        <v>100000</v>
      </c>
    </row>
    <row r="38" spans="1:6">
      <c r="A38" s="24" t="s">
        <v>357</v>
      </c>
      <c r="C38" s="146">
        <f>SUM(C31:C37)</f>
        <v>54362</v>
      </c>
      <c r="D38" s="286">
        <f>SUM(D31:D37)</f>
        <v>93192</v>
      </c>
      <c r="E38" s="146">
        <f>SUM(E31:E37)</f>
        <v>244000</v>
      </c>
      <c r="F38" s="328">
        <f>SUM(F31:F37)</f>
        <v>290000</v>
      </c>
    </row>
    <row r="39" spans="1:6">
      <c r="C39" s="95"/>
      <c r="D39" s="95"/>
      <c r="E39" s="95"/>
      <c r="F39" s="327"/>
    </row>
    <row r="40" spans="1:6">
      <c r="A40" s="24" t="s">
        <v>358</v>
      </c>
      <c r="C40" s="95"/>
      <c r="D40" s="95"/>
      <c r="E40" s="95"/>
      <c r="F40" s="327"/>
    </row>
    <row r="41" spans="1:6">
      <c r="A41" s="137" t="s">
        <v>359</v>
      </c>
      <c r="C41" s="95">
        <v>4904</v>
      </c>
      <c r="D41" s="287">
        <f>(C41/7)*12</f>
        <v>8406.8571428571431</v>
      </c>
      <c r="E41" s="95">
        <v>9996</v>
      </c>
      <c r="F41" s="327">
        <v>10000</v>
      </c>
    </row>
    <row r="42" spans="1:6">
      <c r="A42" s="137" t="s">
        <v>360</v>
      </c>
      <c r="C42" s="95"/>
      <c r="D42" s="95"/>
      <c r="E42" s="95"/>
      <c r="F42" s="327"/>
    </row>
    <row r="43" spans="1:6">
      <c r="A43" s="285" t="s">
        <v>361</v>
      </c>
      <c r="C43" s="95">
        <v>9525</v>
      </c>
      <c r="D43" s="95">
        <f t="shared" ref="D43:D50" si="2">(C43/7)*12</f>
        <v>16328.571428571429</v>
      </c>
      <c r="E43" s="95">
        <v>0</v>
      </c>
      <c r="F43" s="327">
        <v>20000</v>
      </c>
    </row>
    <row r="44" spans="1:6">
      <c r="A44" s="285" t="s">
        <v>362</v>
      </c>
      <c r="C44" s="95">
        <v>0</v>
      </c>
      <c r="D44" s="95">
        <f t="shared" si="2"/>
        <v>0</v>
      </c>
      <c r="E44" s="95">
        <v>0</v>
      </c>
      <c r="F44" s="327">
        <f t="shared" ref="F44:F50" si="3">(E44/6)*9</f>
        <v>0</v>
      </c>
    </row>
    <row r="45" spans="1:6">
      <c r="A45" s="285" t="s">
        <v>363</v>
      </c>
      <c r="C45" s="95">
        <v>0</v>
      </c>
      <c r="D45" s="95">
        <f t="shared" si="2"/>
        <v>0</v>
      </c>
      <c r="E45" s="95">
        <v>0</v>
      </c>
      <c r="F45" s="327">
        <f t="shared" si="3"/>
        <v>0</v>
      </c>
    </row>
    <row r="46" spans="1:6">
      <c r="A46" s="285" t="s">
        <v>364</v>
      </c>
      <c r="C46" s="95">
        <v>0</v>
      </c>
      <c r="D46" s="95">
        <f t="shared" si="2"/>
        <v>0</v>
      </c>
      <c r="E46" s="95">
        <v>0</v>
      </c>
      <c r="F46" s="327">
        <f t="shared" si="3"/>
        <v>0</v>
      </c>
    </row>
    <row r="47" spans="1:6">
      <c r="A47" s="285" t="s">
        <v>365</v>
      </c>
      <c r="C47" s="95">
        <v>0</v>
      </c>
      <c r="D47" s="95">
        <f t="shared" si="2"/>
        <v>0</v>
      </c>
      <c r="E47" s="95">
        <v>0</v>
      </c>
      <c r="F47" s="327">
        <f t="shared" si="3"/>
        <v>0</v>
      </c>
    </row>
    <row r="48" spans="1:6">
      <c r="A48" s="285" t="s">
        <v>366</v>
      </c>
      <c r="C48" s="95">
        <v>0</v>
      </c>
      <c r="D48" s="95">
        <f t="shared" si="2"/>
        <v>0</v>
      </c>
      <c r="E48" s="95">
        <v>0</v>
      </c>
      <c r="F48" s="327">
        <f t="shared" si="3"/>
        <v>0</v>
      </c>
    </row>
    <row r="49" spans="1:6">
      <c r="A49" s="288" t="s">
        <v>367</v>
      </c>
      <c r="C49" s="95">
        <v>884</v>
      </c>
      <c r="D49" s="95">
        <f t="shared" si="2"/>
        <v>1515.4285714285716</v>
      </c>
      <c r="E49" s="95">
        <v>3120</v>
      </c>
      <c r="F49" s="327">
        <f>(E49/6)*9+5320</f>
        <v>10000</v>
      </c>
    </row>
    <row r="50" spans="1:6">
      <c r="A50" s="285" t="s">
        <v>368</v>
      </c>
      <c r="C50" s="104">
        <v>0</v>
      </c>
      <c r="D50" s="95">
        <f t="shared" si="2"/>
        <v>0</v>
      </c>
      <c r="E50" s="104">
        <v>0</v>
      </c>
      <c r="F50" s="327">
        <f t="shared" si="3"/>
        <v>0</v>
      </c>
    </row>
    <row r="51" spans="1:6">
      <c r="A51" s="24" t="s">
        <v>369</v>
      </c>
      <c r="C51" s="146">
        <f>SUM(C41:C50)</f>
        <v>15313</v>
      </c>
      <c r="D51" s="286">
        <f>SUM(D41:D50)</f>
        <v>26250.857142857145</v>
      </c>
      <c r="E51" s="146">
        <f>SUM(E41:E50)</f>
        <v>13116</v>
      </c>
      <c r="F51" s="328">
        <f>SUM(F41:F50)</f>
        <v>40000</v>
      </c>
    </row>
    <row r="52" spans="1:6">
      <c r="C52" s="95"/>
      <c r="D52" s="95"/>
      <c r="E52" s="95"/>
      <c r="F52" s="327"/>
    </row>
    <row r="53" spans="1:6">
      <c r="A53" s="24" t="s">
        <v>370</v>
      </c>
      <c r="C53" s="95"/>
      <c r="D53" s="95"/>
      <c r="E53" s="95"/>
      <c r="F53" s="327"/>
    </row>
    <row r="54" spans="1:6">
      <c r="A54" t="s">
        <v>371</v>
      </c>
      <c r="C54" s="95"/>
      <c r="D54" s="95"/>
      <c r="E54" s="95"/>
      <c r="F54" s="327"/>
    </row>
    <row r="55" spans="1:6">
      <c r="A55" s="285" t="s">
        <v>372</v>
      </c>
      <c r="C55" s="95">
        <v>1459</v>
      </c>
      <c r="D55" s="95">
        <f t="shared" ref="D55:D61" si="4">(C55/7)*12</f>
        <v>2501.1428571428569</v>
      </c>
      <c r="E55" s="95">
        <v>12756</v>
      </c>
      <c r="F55" s="327">
        <f>(E55/6)*9+866</f>
        <v>20000</v>
      </c>
    </row>
    <row r="56" spans="1:6">
      <c r="A56" s="285" t="s">
        <v>373</v>
      </c>
      <c r="C56" s="95">
        <v>937</v>
      </c>
      <c r="D56" s="95">
        <f t="shared" si="4"/>
        <v>1606.2857142857142</v>
      </c>
      <c r="E56" s="95">
        <v>5484</v>
      </c>
      <c r="F56" s="327">
        <f>(E56/6)*9</f>
        <v>8226</v>
      </c>
    </row>
    <row r="57" spans="1:6">
      <c r="A57" s="285" t="s">
        <v>374</v>
      </c>
      <c r="C57" s="95">
        <v>4391</v>
      </c>
      <c r="D57" s="95">
        <f t="shared" si="4"/>
        <v>7527.4285714285725</v>
      </c>
      <c r="E57" s="95">
        <v>3780</v>
      </c>
      <c r="F57" s="327">
        <v>8000</v>
      </c>
    </row>
    <row r="58" spans="1:6">
      <c r="A58" s="137" t="s">
        <v>375</v>
      </c>
      <c r="C58" s="95">
        <v>14833</v>
      </c>
      <c r="D58" s="95">
        <f t="shared" si="4"/>
        <v>25428</v>
      </c>
      <c r="E58" s="95">
        <v>35124</v>
      </c>
      <c r="F58" s="327">
        <f>(E58/6)*9+7314</f>
        <v>60000</v>
      </c>
    </row>
    <row r="59" spans="1:6">
      <c r="A59" s="137" t="s">
        <v>476</v>
      </c>
      <c r="C59" s="95">
        <v>83957</v>
      </c>
      <c r="D59" s="95">
        <f t="shared" si="4"/>
        <v>143926.28571428571</v>
      </c>
      <c r="E59" s="95">
        <v>120000</v>
      </c>
      <c r="F59" s="327">
        <f>E59*1.05</f>
        <v>126000</v>
      </c>
    </row>
    <row r="60" spans="1:6">
      <c r="A60" s="137" t="s">
        <v>376</v>
      </c>
      <c r="C60" s="95">
        <v>7074</v>
      </c>
      <c r="D60" s="95">
        <f t="shared" si="4"/>
        <v>12126.857142857143</v>
      </c>
      <c r="E60" s="95">
        <v>6000</v>
      </c>
      <c r="F60" s="327">
        <v>15000</v>
      </c>
    </row>
    <row r="61" spans="1:6">
      <c r="A61" t="s">
        <v>377</v>
      </c>
      <c r="C61" s="104">
        <v>1166</v>
      </c>
      <c r="D61" s="95">
        <f t="shared" si="4"/>
        <v>1998.8571428571431</v>
      </c>
      <c r="E61" s="104">
        <v>0</v>
      </c>
      <c r="F61" s="327">
        <v>2500</v>
      </c>
    </row>
    <row r="62" spans="1:6">
      <c r="A62" s="24" t="s">
        <v>378</v>
      </c>
      <c r="C62" s="146">
        <f>SUM(C54:C61)</f>
        <v>113817</v>
      </c>
      <c r="D62" s="286">
        <f>SUM(D54:D61)</f>
        <v>195114.8571428571</v>
      </c>
      <c r="E62" s="146">
        <f>SUM(E54:E61)</f>
        <v>183144</v>
      </c>
      <c r="F62" s="328">
        <f>SUM(F54:F61)</f>
        <v>239726</v>
      </c>
    </row>
    <row r="63" spans="1:6">
      <c r="C63" s="95"/>
      <c r="D63" s="95"/>
      <c r="E63" s="95"/>
      <c r="F63" s="327"/>
    </row>
    <row r="64" spans="1:6">
      <c r="A64" s="24" t="s">
        <v>379</v>
      </c>
      <c r="C64" s="95"/>
      <c r="D64" s="97"/>
      <c r="E64" s="95"/>
      <c r="F64" s="327"/>
    </row>
    <row r="65" spans="1:6">
      <c r="A65" s="137" t="s">
        <v>477</v>
      </c>
      <c r="C65" s="164">
        <v>570</v>
      </c>
      <c r="D65" s="95">
        <f>(C65/7)*12</f>
        <v>977.14285714285711</v>
      </c>
      <c r="E65" s="289">
        <v>0</v>
      </c>
      <c r="F65" s="327">
        <v>1000</v>
      </c>
    </row>
    <row r="66" spans="1:6">
      <c r="A66" s="285" t="s">
        <v>380</v>
      </c>
      <c r="C66" s="95">
        <v>0</v>
      </c>
      <c r="D66" s="95">
        <f>(C66/7)*12</f>
        <v>0</v>
      </c>
      <c r="E66" s="289">
        <v>0</v>
      </c>
      <c r="F66" s="327">
        <f>(E66/6)*9</f>
        <v>0</v>
      </c>
    </row>
    <row r="67" spans="1:6">
      <c r="A67" s="285" t="s">
        <v>381</v>
      </c>
      <c r="C67" s="95">
        <v>0</v>
      </c>
      <c r="D67" s="95">
        <f>(C67/7)*12</f>
        <v>0</v>
      </c>
      <c r="E67" s="289">
        <v>0</v>
      </c>
      <c r="F67" s="327">
        <f>(E67/6)*9</f>
        <v>0</v>
      </c>
    </row>
    <row r="68" spans="1:6">
      <c r="A68" s="285" t="s">
        <v>382</v>
      </c>
      <c r="C68" s="95">
        <v>0</v>
      </c>
      <c r="D68" s="95">
        <f>(C68/7)*12</f>
        <v>0</v>
      </c>
      <c r="E68" s="289">
        <v>0</v>
      </c>
      <c r="F68" s="327">
        <f>(E68/6)*9</f>
        <v>0</v>
      </c>
    </row>
    <row r="69" spans="1:6">
      <c r="A69" s="290" t="s">
        <v>383</v>
      </c>
      <c r="F69" s="326"/>
    </row>
    <row r="70" spans="1:6">
      <c r="A70" s="285" t="s">
        <v>384</v>
      </c>
      <c r="C70" s="95">
        <v>0</v>
      </c>
      <c r="D70" s="95">
        <f>(C70/7)*12</f>
        <v>0</v>
      </c>
      <c r="E70" s="289">
        <v>0</v>
      </c>
      <c r="F70" s="327">
        <f>(E70/6)*9</f>
        <v>0</v>
      </c>
    </row>
    <row r="71" spans="1:6">
      <c r="A71" s="285" t="s">
        <v>385</v>
      </c>
      <c r="C71" s="95">
        <v>0</v>
      </c>
      <c r="D71" s="95">
        <f>(C71/7)*12</f>
        <v>0</v>
      </c>
      <c r="E71" s="289">
        <v>0</v>
      </c>
      <c r="F71" s="327">
        <f>(E71/6)*9</f>
        <v>0</v>
      </c>
    </row>
    <row r="72" spans="1:6">
      <c r="A72" s="285" t="s">
        <v>386</v>
      </c>
      <c r="C72" s="145">
        <v>0</v>
      </c>
      <c r="D72" s="95">
        <f>(C72/7)*12</f>
        <v>0</v>
      </c>
      <c r="E72" s="145">
        <v>0</v>
      </c>
      <c r="F72" s="327">
        <f>(E72/6)*9</f>
        <v>0</v>
      </c>
    </row>
    <row r="73" spans="1:6">
      <c r="A73" s="24" t="s">
        <v>387</v>
      </c>
      <c r="C73" s="286">
        <f>SUM(C65:C72)</f>
        <v>570</v>
      </c>
      <c r="D73" s="286">
        <f>SUM(D65:D72)</f>
        <v>977.14285714285711</v>
      </c>
      <c r="E73" s="286">
        <f>SUM(E65:E72)</f>
        <v>0</v>
      </c>
      <c r="F73" s="328">
        <f>SUM(F65:F72)</f>
        <v>1000</v>
      </c>
    </row>
    <row r="74" spans="1:6">
      <c r="C74" s="95"/>
      <c r="D74" s="95"/>
      <c r="E74" s="95"/>
      <c r="F74" s="327"/>
    </row>
    <row r="75" spans="1:6">
      <c r="A75" s="24" t="s">
        <v>388</v>
      </c>
      <c r="C75" s="95">
        <f>SUM(C76:C81)</f>
        <v>0</v>
      </c>
      <c r="D75" s="97">
        <f>(C75/7)*12</f>
        <v>0</v>
      </c>
      <c r="E75" s="95">
        <f>SUM(E76:E81)</f>
        <v>0</v>
      </c>
      <c r="F75" s="327">
        <f>(E75/6)*9</f>
        <v>0</v>
      </c>
    </row>
    <row r="76" spans="1:6" hidden="1">
      <c r="A76" s="137" t="s">
        <v>389</v>
      </c>
      <c r="C76" s="95">
        <v>0</v>
      </c>
      <c r="D76" s="95">
        <v>0</v>
      </c>
      <c r="E76" s="95">
        <v>0</v>
      </c>
      <c r="F76" s="327">
        <v>0</v>
      </c>
    </row>
    <row r="77" spans="1:6" hidden="1">
      <c r="A77" s="137" t="s">
        <v>390</v>
      </c>
      <c r="C77" s="95">
        <v>0</v>
      </c>
      <c r="D77" s="95">
        <v>0</v>
      </c>
      <c r="E77" s="95">
        <v>0</v>
      </c>
      <c r="F77" s="327">
        <v>0</v>
      </c>
    </row>
    <row r="78" spans="1:6" hidden="1">
      <c r="A78" s="137" t="s">
        <v>391</v>
      </c>
      <c r="C78" s="95">
        <v>0</v>
      </c>
      <c r="D78" s="95">
        <v>0</v>
      </c>
      <c r="E78" s="95">
        <v>0</v>
      </c>
      <c r="F78" s="327">
        <v>0</v>
      </c>
    </row>
    <row r="79" spans="1:6" hidden="1">
      <c r="A79" s="137" t="s">
        <v>392</v>
      </c>
      <c r="C79" s="95">
        <v>0</v>
      </c>
      <c r="D79" s="95">
        <v>0</v>
      </c>
      <c r="E79" s="95">
        <v>0</v>
      </c>
      <c r="F79" s="327">
        <v>0</v>
      </c>
    </row>
    <row r="80" spans="1:6" hidden="1">
      <c r="A80" s="137" t="s">
        <v>393</v>
      </c>
      <c r="C80" s="95">
        <v>0</v>
      </c>
      <c r="D80" s="289">
        <v>0</v>
      </c>
      <c r="E80" s="289">
        <v>0</v>
      </c>
      <c r="F80" s="329">
        <v>0</v>
      </c>
    </row>
    <row r="81" spans="1:6" hidden="1">
      <c r="A81" s="137" t="s">
        <v>394</v>
      </c>
      <c r="C81" s="104">
        <v>0</v>
      </c>
      <c r="D81" s="104">
        <v>0</v>
      </c>
      <c r="E81" s="104">
        <v>0</v>
      </c>
      <c r="F81" s="330">
        <v>0</v>
      </c>
    </row>
    <row r="82" spans="1:6">
      <c r="A82" s="24" t="s">
        <v>395</v>
      </c>
      <c r="C82" s="286">
        <f>C75</f>
        <v>0</v>
      </c>
      <c r="D82" s="286">
        <f>D75</f>
        <v>0</v>
      </c>
      <c r="E82" s="286">
        <f>E75</f>
        <v>0</v>
      </c>
      <c r="F82" s="328">
        <f>F75</f>
        <v>0</v>
      </c>
    </row>
    <row r="83" spans="1:6">
      <c r="C83" s="95"/>
      <c r="D83" s="95"/>
      <c r="E83" s="95"/>
      <c r="F83" s="327"/>
    </row>
    <row r="84" spans="1:6">
      <c r="A84" s="24" t="s">
        <v>396</v>
      </c>
      <c r="C84" s="104">
        <v>0</v>
      </c>
      <c r="D84" s="97">
        <f>(C84/7)*12</f>
        <v>0</v>
      </c>
      <c r="E84" s="104">
        <v>0</v>
      </c>
      <c r="F84" s="327">
        <f>(E84/6)*9</f>
        <v>0</v>
      </c>
    </row>
    <row r="85" spans="1:6">
      <c r="A85" s="24" t="s">
        <v>397</v>
      </c>
      <c r="C85" s="291">
        <f>SUM(C84)</f>
        <v>0</v>
      </c>
      <c r="D85" s="292">
        <f>SUM(D84)</f>
        <v>0</v>
      </c>
      <c r="E85" s="291">
        <f>SUM(E84)</f>
        <v>0</v>
      </c>
      <c r="F85" s="331">
        <f>SUM(F84)</f>
        <v>0</v>
      </c>
    </row>
    <row r="86" spans="1:6">
      <c r="C86" s="95"/>
      <c r="D86" s="95"/>
      <c r="E86" s="95"/>
      <c r="F86" s="327"/>
    </row>
    <row r="87" spans="1:6">
      <c r="A87" s="24" t="s">
        <v>398</v>
      </c>
      <c r="C87" s="104">
        <v>28600</v>
      </c>
      <c r="D87" s="287">
        <f>(C87/7)*12+48000</f>
        <v>97028.57142857142</v>
      </c>
      <c r="E87" s="104">
        <v>15192</v>
      </c>
      <c r="F87" s="330">
        <f>(12000*12)+(7800*12)</f>
        <v>237600</v>
      </c>
    </row>
    <row r="88" spans="1:6">
      <c r="A88" s="24" t="s">
        <v>399</v>
      </c>
      <c r="C88" s="286">
        <f>C87</f>
        <v>28600</v>
      </c>
      <c r="D88" s="286">
        <f>D87</f>
        <v>97028.57142857142</v>
      </c>
      <c r="E88" s="286">
        <f>E87</f>
        <v>15192</v>
      </c>
      <c r="F88" s="328">
        <f>F87</f>
        <v>237600</v>
      </c>
    </row>
    <row r="89" spans="1:6">
      <c r="A89" s="137"/>
      <c r="C89" s="145"/>
      <c r="D89" s="145"/>
      <c r="E89" s="145"/>
      <c r="F89" s="327"/>
    </row>
    <row r="90" spans="1:6">
      <c r="A90" s="24" t="s">
        <v>400</v>
      </c>
      <c r="C90" s="95"/>
      <c r="D90" s="95"/>
      <c r="E90" s="95"/>
      <c r="F90" s="327"/>
    </row>
    <row r="91" spans="1:6">
      <c r="A91" s="137" t="s">
        <v>401</v>
      </c>
      <c r="C91" s="95">
        <v>0</v>
      </c>
      <c r="D91" s="287">
        <f>(C91/7)*12</f>
        <v>0</v>
      </c>
      <c r="E91" s="95">
        <v>14472</v>
      </c>
      <c r="F91" s="327">
        <f>(E91/6)*9</f>
        <v>21708</v>
      </c>
    </row>
    <row r="92" spans="1:6">
      <c r="A92" s="137" t="s">
        <v>402</v>
      </c>
      <c r="C92" s="95">
        <v>0</v>
      </c>
      <c r="D92" s="95">
        <f>(C92/7)*12</f>
        <v>0</v>
      </c>
      <c r="E92" s="95">
        <v>3600</v>
      </c>
      <c r="F92" s="327">
        <f>(E92/6)*9</f>
        <v>5400</v>
      </c>
    </row>
    <row r="93" spans="1:6">
      <c r="A93" s="137" t="s">
        <v>403</v>
      </c>
      <c r="C93" s="95">
        <v>0</v>
      </c>
      <c r="D93" s="287">
        <f>(C93/7)*12</f>
        <v>0</v>
      </c>
      <c r="E93" s="95">
        <v>0</v>
      </c>
      <c r="F93" s="327">
        <f>(E93/6)*9</f>
        <v>0</v>
      </c>
    </row>
    <row r="94" spans="1:6">
      <c r="A94" s="137" t="s">
        <v>404</v>
      </c>
      <c r="C94" s="95">
        <v>132</v>
      </c>
      <c r="D94" s="287">
        <f>(C94/7)*12</f>
        <v>226.28571428571428</v>
      </c>
      <c r="E94" s="95">
        <v>0</v>
      </c>
      <c r="F94" s="327">
        <f>(E94/6)*9</f>
        <v>0</v>
      </c>
    </row>
    <row r="95" spans="1:6">
      <c r="A95" s="137" t="s">
        <v>405</v>
      </c>
      <c r="C95" s="104">
        <v>18021</v>
      </c>
      <c r="D95" s="287">
        <f>(C95/7)*12</f>
        <v>30893.142857142859</v>
      </c>
      <c r="E95" s="104">
        <v>0</v>
      </c>
      <c r="F95" s="327">
        <v>35000</v>
      </c>
    </row>
    <row r="96" spans="1:6">
      <c r="A96" s="24" t="s">
        <v>406</v>
      </c>
      <c r="C96" s="146">
        <f>SUM(C91:C95)</f>
        <v>18153</v>
      </c>
      <c r="D96" s="286">
        <f>SUM(D91:D95)</f>
        <v>31119.428571428572</v>
      </c>
      <c r="E96" s="146">
        <f>SUM(E91:E95)</f>
        <v>18072</v>
      </c>
      <c r="F96" s="328">
        <f>SUM(F91:F95)</f>
        <v>62108</v>
      </c>
    </row>
    <row r="97" spans="1:6">
      <c r="C97" s="95"/>
      <c r="D97" s="95"/>
      <c r="E97" s="95"/>
      <c r="F97" s="327"/>
    </row>
    <row r="98" spans="1:6">
      <c r="A98" s="24" t="s">
        <v>407</v>
      </c>
      <c r="C98" s="104">
        <v>0</v>
      </c>
      <c r="D98" s="287">
        <f>(C98/7)*12</f>
        <v>0</v>
      </c>
      <c r="E98" s="293">
        <v>0</v>
      </c>
      <c r="F98" s="327">
        <f>(E98/6)*9</f>
        <v>0</v>
      </c>
    </row>
    <row r="99" spans="1:6">
      <c r="A99" s="24" t="s">
        <v>408</v>
      </c>
      <c r="C99" s="291">
        <f>SUM(C98)</f>
        <v>0</v>
      </c>
      <c r="D99" s="292">
        <f>SUM(D98)</f>
        <v>0</v>
      </c>
      <c r="E99" s="291">
        <f>SUM(E98)</f>
        <v>0</v>
      </c>
      <c r="F99" s="331">
        <f>SUM(F98)</f>
        <v>0</v>
      </c>
    </row>
    <row r="100" spans="1:6">
      <c r="C100" s="95"/>
      <c r="D100" s="95"/>
      <c r="E100" s="95"/>
      <c r="F100" s="327"/>
    </row>
    <row r="101" spans="1:6">
      <c r="A101" s="24" t="s">
        <v>409</v>
      </c>
      <c r="C101" s="104">
        <v>0</v>
      </c>
      <c r="D101" s="287">
        <f>(C101/7)*12</f>
        <v>0</v>
      </c>
      <c r="E101" s="293">
        <v>0</v>
      </c>
      <c r="F101" s="327">
        <f>(E101/6)*9</f>
        <v>0</v>
      </c>
    </row>
    <row r="102" spans="1:6">
      <c r="A102" s="24" t="s">
        <v>410</v>
      </c>
      <c r="C102" s="291">
        <f>SUM(C101)</f>
        <v>0</v>
      </c>
      <c r="D102" s="292">
        <f>SUM(D101)</f>
        <v>0</v>
      </c>
      <c r="E102" s="291">
        <f>SUM(E101)</f>
        <v>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411</v>
      </c>
      <c r="C104" s="95"/>
      <c r="D104" s="95"/>
      <c r="E104" s="95"/>
      <c r="F104" s="327"/>
    </row>
    <row r="105" spans="1:6">
      <c r="A105" s="137" t="s">
        <v>412</v>
      </c>
      <c r="C105" s="145">
        <v>8936</v>
      </c>
      <c r="D105" s="287">
        <f>(C105/7)*12</f>
        <v>15318.857142857145</v>
      </c>
      <c r="E105" s="145">
        <v>0</v>
      </c>
      <c r="F105" s="327">
        <v>17870</v>
      </c>
    </row>
    <row r="106" spans="1:6">
      <c r="A106" s="137" t="s">
        <v>413</v>
      </c>
      <c r="C106" s="145">
        <v>0</v>
      </c>
      <c r="D106" s="287">
        <f>(C106/7)*12</f>
        <v>0</v>
      </c>
      <c r="E106" s="145">
        <v>0</v>
      </c>
      <c r="F106" s="327">
        <f>(E106/7)*10</f>
        <v>0</v>
      </c>
    </row>
    <row r="107" spans="1:6">
      <c r="A107" s="24" t="s">
        <v>414</v>
      </c>
      <c r="C107" s="286">
        <f>SUM(C105:C106)</f>
        <v>8936</v>
      </c>
      <c r="D107" s="286">
        <f>SUM(D105:D106)</f>
        <v>15318.857142857145</v>
      </c>
      <c r="E107" s="286">
        <f>SUM(E105:E106)</f>
        <v>0</v>
      </c>
      <c r="F107" s="328">
        <f>SUM(F105:F106)</f>
        <v>17870</v>
      </c>
    </row>
    <row r="108" spans="1:6" ht="13.5" thickBot="1">
      <c r="C108" s="95"/>
      <c r="D108" s="95"/>
      <c r="E108" s="95"/>
      <c r="F108" s="327"/>
    </row>
    <row r="109" spans="1:6">
      <c r="C109" s="294"/>
      <c r="D109" s="294"/>
      <c r="E109" s="294"/>
      <c r="F109" s="332"/>
    </row>
    <row r="110" spans="1:6" ht="15.75" thickBot="1">
      <c r="A110" s="35" t="s">
        <v>415</v>
      </c>
      <c r="C110" s="295">
        <f>C107+C102+C99+C96+C88+C85+C82+C73+C62+C51+C38+C28+C14</f>
        <v>748955</v>
      </c>
      <c r="D110" s="295">
        <f>D107+D102+D99+D96+D88+D85+D82+D73+D62+D51+D38+D28+D14</f>
        <v>1283922.8571428573</v>
      </c>
      <c r="E110" s="295">
        <f>E107+E102+E99+E96+E88+E85+E82+E73+E62+E51+E38+E28+E14</f>
        <v>1209967</v>
      </c>
      <c r="F110" s="333">
        <f>F107+F102+F99+F96+F88+F85+F82+F73+F62+F51+F38+F28+F14</f>
        <v>1927693</v>
      </c>
    </row>
    <row r="111" spans="1:6" ht="14.25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6" sqref="C26"/>
    </sheetView>
  </sheetViews>
  <sheetFormatPr defaultRowHeight="12.75"/>
  <cols>
    <col min="1" max="1" width="17.42578125" customWidth="1"/>
    <col min="2" max="2" width="3.140625" customWidth="1"/>
  </cols>
  <sheetData>
    <row r="1" spans="1:3">
      <c r="A1" t="s">
        <v>318</v>
      </c>
    </row>
    <row r="2" spans="1:3">
      <c r="A2" t="s">
        <v>311</v>
      </c>
    </row>
    <row r="4" spans="1:3">
      <c r="A4" s="258" t="s">
        <v>298</v>
      </c>
      <c r="C4" s="258" t="s">
        <v>299</v>
      </c>
    </row>
    <row r="5" spans="1:3">
      <c r="A5" t="s">
        <v>319</v>
      </c>
      <c r="C5" t="s">
        <v>300</v>
      </c>
    </row>
    <row r="6" spans="1:3">
      <c r="B6" s="24">
        <v>1</v>
      </c>
      <c r="C6" s="24" t="s">
        <v>301</v>
      </c>
    </row>
    <row r="7" spans="1:3">
      <c r="A7" t="s">
        <v>312</v>
      </c>
      <c r="C7" t="s">
        <v>68</v>
      </c>
    </row>
    <row r="8" spans="1:3">
      <c r="A8" t="s">
        <v>302</v>
      </c>
      <c r="C8" t="s">
        <v>68</v>
      </c>
    </row>
    <row r="9" spans="1:3">
      <c r="B9" s="24">
        <v>2</v>
      </c>
      <c r="C9" s="24" t="s">
        <v>303</v>
      </c>
    </row>
    <row r="10" spans="1:3">
      <c r="A10" t="s">
        <v>302</v>
      </c>
      <c r="C10" t="s">
        <v>207</v>
      </c>
    </row>
    <row r="11" spans="1:3">
      <c r="B11" s="24">
        <v>1</v>
      </c>
      <c r="C11" s="24" t="s">
        <v>304</v>
      </c>
    </row>
    <row r="12" spans="1:3">
      <c r="A12" t="s">
        <v>315</v>
      </c>
      <c r="B12" s="24"/>
      <c r="C12" s="137" t="s">
        <v>313</v>
      </c>
    </row>
    <row r="13" spans="1:3">
      <c r="B13" s="24">
        <v>1</v>
      </c>
      <c r="C13" s="24" t="s">
        <v>314</v>
      </c>
    </row>
    <row r="14" spans="1:3">
      <c r="A14" t="s">
        <v>316</v>
      </c>
      <c r="C14" t="s">
        <v>305</v>
      </c>
    </row>
    <row r="15" spans="1:3">
      <c r="B15" s="24">
        <v>1</v>
      </c>
      <c r="C15" s="24" t="s">
        <v>306</v>
      </c>
    </row>
    <row r="16" spans="1:3">
      <c r="A16" t="s">
        <v>302</v>
      </c>
      <c r="C16" t="s">
        <v>307</v>
      </c>
    </row>
    <row r="17" spans="1:3">
      <c r="B17" s="24">
        <v>1</v>
      </c>
      <c r="C17" s="24" t="s">
        <v>308</v>
      </c>
    </row>
    <row r="18" spans="1:3">
      <c r="A18" t="s">
        <v>302</v>
      </c>
      <c r="B18" s="137">
        <v>1</v>
      </c>
      <c r="C18" s="137" t="s">
        <v>271</v>
      </c>
    </row>
    <row r="19" spans="1:3">
      <c r="B19" s="24"/>
      <c r="C19" s="24" t="s">
        <v>505</v>
      </c>
    </row>
    <row r="20" spans="1:3">
      <c r="A20" t="s">
        <v>317</v>
      </c>
      <c r="C20" t="s">
        <v>39</v>
      </c>
    </row>
    <row r="21" spans="1:3">
      <c r="B21" s="24">
        <v>1</v>
      </c>
      <c r="C21" s="24" t="s">
        <v>309</v>
      </c>
    </row>
    <row r="23" spans="1:3">
      <c r="B23" s="24">
        <f>SUM(B6:B21)</f>
        <v>9</v>
      </c>
      <c r="C23" s="24" t="s">
        <v>310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7" customWidth="1"/>
    <col min="2" max="2" width="11.85546875" style="297" customWidth="1"/>
    <col min="3" max="3" width="1" style="297" customWidth="1"/>
    <col min="4" max="4" width="62.42578125" style="297" customWidth="1"/>
    <col min="5" max="8" width="8" style="297" customWidth="1"/>
    <col min="9" max="9" width="11.42578125" style="297" customWidth="1"/>
    <col min="10" max="16384" width="8" style="297"/>
  </cols>
  <sheetData>
    <row r="1" spans="1:4" ht="13.5" thickBot="1">
      <c r="A1" s="296" t="s">
        <v>416</v>
      </c>
    </row>
    <row r="2" spans="1:4" ht="18" customHeight="1" thickBot="1">
      <c r="B2" s="298">
        <v>4800</v>
      </c>
      <c r="D2" s="297" t="s">
        <v>417</v>
      </c>
    </row>
    <row r="3" spans="1:4" ht="13.5" thickBot="1"/>
    <row r="4" spans="1:4" ht="18" customHeight="1">
      <c r="B4" s="299">
        <v>3.7499999999999999E-2</v>
      </c>
      <c r="D4" s="297" t="s">
        <v>418</v>
      </c>
    </row>
    <row r="5" spans="1:4" ht="18" customHeight="1">
      <c r="B5" s="300">
        <v>1.2500000000000001E-2</v>
      </c>
      <c r="D5" s="297" t="s">
        <v>419</v>
      </c>
    </row>
    <row r="6" spans="1:4" ht="18" customHeight="1">
      <c r="B6" s="300">
        <v>0.03</v>
      </c>
      <c r="D6" s="297" t="s">
        <v>420</v>
      </c>
    </row>
    <row r="7" spans="1:4" ht="18" customHeight="1" thickBot="1">
      <c r="B7" s="301">
        <v>1.0999999999999999E-2</v>
      </c>
      <c r="D7" s="297" t="s">
        <v>421</v>
      </c>
    </row>
    <row r="8" spans="1:4" ht="18" customHeight="1" thickBot="1">
      <c r="B8" s="302">
        <f>SUM(B4:B7)</f>
        <v>9.0999999999999998E-2</v>
      </c>
      <c r="D8" s="297" t="s">
        <v>422</v>
      </c>
    </row>
    <row r="11" spans="1:4" ht="13.5" thickBot="1">
      <c r="A11" s="296" t="s">
        <v>423</v>
      </c>
    </row>
    <row r="12" spans="1:4" ht="18" customHeight="1" thickBot="1">
      <c r="B12" s="298">
        <v>84500</v>
      </c>
      <c r="D12" s="297" t="s">
        <v>424</v>
      </c>
    </row>
    <row r="13" spans="1:4" ht="13.5" thickBot="1"/>
    <row r="14" spans="1:4" ht="18" customHeight="1" thickBot="1">
      <c r="B14" s="302">
        <v>6.2E-2</v>
      </c>
      <c r="D14" s="297" t="s">
        <v>425</v>
      </c>
    </row>
    <row r="15" spans="1:4" ht="13.5" thickBot="1"/>
    <row r="16" spans="1:4" ht="18" customHeight="1" thickBot="1">
      <c r="B16" s="302">
        <v>1.4500000000000001E-2</v>
      </c>
      <c r="D16" s="297" t="s">
        <v>426</v>
      </c>
    </row>
    <row r="20" spans="1:4" ht="13.5" thickBot="1">
      <c r="A20" s="296" t="s">
        <v>427</v>
      </c>
    </row>
    <row r="21" spans="1:4" ht="13.5" thickBot="1">
      <c r="B21" s="303">
        <v>8700</v>
      </c>
      <c r="D21" s="297" t="s">
        <v>428</v>
      </c>
    </row>
    <row r="22" spans="1:4" ht="13.5" thickBot="1"/>
    <row r="23" spans="1:4" ht="13.5" thickBot="1">
      <c r="B23" s="303">
        <v>7800</v>
      </c>
      <c r="D23" s="297" t="s">
        <v>429</v>
      </c>
    </row>
    <row r="24" spans="1:4" ht="13.5" thickBot="1">
      <c r="B24" s="34"/>
    </row>
    <row r="25" spans="1:4" ht="13.5" thickBot="1">
      <c r="B25" s="303">
        <v>3900</v>
      </c>
      <c r="D25" s="297" t="s">
        <v>430</v>
      </c>
    </row>
    <row r="26" spans="1:4" ht="13.5" thickBot="1">
      <c r="B26" s="34"/>
    </row>
    <row r="27" spans="1:4" ht="13.5" thickBot="1">
      <c r="B27" s="303">
        <v>2400</v>
      </c>
      <c r="D27" s="297" t="s">
        <v>431</v>
      </c>
    </row>
    <row r="28" spans="1:4" ht="13.5" thickBot="1">
      <c r="B28" s="34"/>
    </row>
    <row r="29" spans="1:4" ht="13.5" thickBot="1">
      <c r="B29" s="303">
        <v>12000</v>
      </c>
      <c r="D29" s="297" t="s">
        <v>432</v>
      </c>
    </row>
    <row r="30" spans="1:4" ht="13.5" thickBot="1">
      <c r="B30" s="34"/>
    </row>
    <row r="31" spans="1:4" ht="13.5" thickBot="1">
      <c r="B31" s="303">
        <v>6900</v>
      </c>
      <c r="D31" s="297" t="s">
        <v>433</v>
      </c>
    </row>
    <row r="33" spans="1:4">
      <c r="D33" s="296"/>
    </row>
    <row r="34" spans="1:4" ht="13.5" thickBot="1">
      <c r="A34" s="296" t="s">
        <v>434</v>
      </c>
    </row>
    <row r="35" spans="1:4" ht="18" customHeight="1" thickBot="1">
      <c r="B35" s="302">
        <v>4.2500000000000003E-2</v>
      </c>
      <c r="D35" s="297" t="s">
        <v>435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5" workbookViewId="0">
      <selection activeCell="B43" sqref="B43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436</v>
      </c>
    </row>
    <row r="2" spans="1:11" ht="15.75">
      <c r="A2" s="281" t="s">
        <v>475</v>
      </c>
      <c r="G2" s="305" t="s">
        <v>437</v>
      </c>
      <c r="K2" s="305">
        <v>1</v>
      </c>
    </row>
    <row r="3" spans="1:11" ht="15.75">
      <c r="A3" s="281"/>
    </row>
    <row r="4" spans="1:11" ht="12">
      <c r="D4" s="308"/>
    </row>
    <row r="5" spans="1:11" ht="12">
      <c r="A5" s="309"/>
      <c r="B5" s="309"/>
      <c r="C5" s="310"/>
      <c r="D5" s="308" t="s">
        <v>297</v>
      </c>
    </row>
    <row r="6" spans="1:11" ht="12">
      <c r="A6" s="309"/>
      <c r="B6" s="309"/>
      <c r="C6" s="310" t="s">
        <v>438</v>
      </c>
      <c r="D6" s="311" t="s">
        <v>439</v>
      </c>
    </row>
    <row r="7" spans="1:11" ht="12">
      <c r="A7" s="309" t="s">
        <v>440</v>
      </c>
      <c r="B7" s="309" t="s">
        <v>441</v>
      </c>
      <c r="C7" s="310" t="s">
        <v>442</v>
      </c>
      <c r="D7" s="311" t="s">
        <v>443</v>
      </c>
    </row>
    <row r="9" spans="1:11">
      <c r="B9" s="312" t="s">
        <v>444</v>
      </c>
    </row>
    <row r="10" spans="1:11">
      <c r="A10" s="313">
        <v>100164</v>
      </c>
      <c r="B10" s="305" t="s">
        <v>445</v>
      </c>
      <c r="C10" s="306">
        <f>0.48*$K$2</f>
        <v>0.48</v>
      </c>
      <c r="D10" s="307">
        <f>C10*$C$41</f>
        <v>4.32</v>
      </c>
    </row>
    <row r="11" spans="1:11">
      <c r="A11" s="313">
        <v>100166</v>
      </c>
      <c r="B11" s="305" t="s">
        <v>446</v>
      </c>
      <c r="C11" s="306">
        <f>0.84*K2</f>
        <v>0.84</v>
      </c>
      <c r="D11" s="307">
        <f>C11*$C$41</f>
        <v>7.56</v>
      </c>
    </row>
    <row r="12" spans="1:11">
      <c r="A12" s="313">
        <v>100182</v>
      </c>
      <c r="B12" s="305" t="s">
        <v>447</v>
      </c>
      <c r="C12" s="306">
        <f>0.36*K2</f>
        <v>0.36</v>
      </c>
      <c r="D12" s="307">
        <f>C12*$C$41</f>
        <v>3.2399999999999998</v>
      </c>
    </row>
    <row r="13" spans="1:11">
      <c r="A13" s="313">
        <v>100186</v>
      </c>
      <c r="B13" s="305" t="s">
        <v>448</v>
      </c>
      <c r="C13" s="306">
        <f>0.6*K2</f>
        <v>0.6</v>
      </c>
      <c r="D13" s="307">
        <f>C13*$C$41</f>
        <v>5.3999999999999995</v>
      </c>
    </row>
    <row r="14" spans="1:11">
      <c r="A14" s="313">
        <v>100193</v>
      </c>
      <c r="B14" s="305" t="s">
        <v>449</v>
      </c>
      <c r="C14" s="314">
        <v>37.5</v>
      </c>
      <c r="D14" s="307">
        <f>C14*$C$41</f>
        <v>337.5</v>
      </c>
    </row>
    <row r="15" spans="1:11">
      <c r="A15" s="313"/>
      <c r="B15" s="312" t="s">
        <v>450</v>
      </c>
      <c r="C15" s="315">
        <f>SUM(C10:C14)</f>
        <v>39.78</v>
      </c>
      <c r="D15" s="316">
        <f>SUM(D10:D14)</f>
        <v>358.02</v>
      </c>
    </row>
    <row r="16" spans="1:11">
      <c r="A16" s="313"/>
    </row>
    <row r="17" spans="1:4">
      <c r="A17" s="313"/>
      <c r="B17" s="312" t="s">
        <v>451</v>
      </c>
    </row>
    <row r="18" spans="1:4">
      <c r="A18" s="313">
        <v>100150</v>
      </c>
      <c r="B18" s="305" t="s">
        <v>452</v>
      </c>
      <c r="C18" s="306">
        <v>0</v>
      </c>
      <c r="D18" s="307">
        <v>0</v>
      </c>
    </row>
    <row r="19" spans="1:4">
      <c r="A19" s="313">
        <v>100152</v>
      </c>
      <c r="B19" s="305" t="s">
        <v>453</v>
      </c>
      <c r="C19" s="306">
        <v>0</v>
      </c>
      <c r="D19" s="307">
        <f>100*12</f>
        <v>1200</v>
      </c>
    </row>
    <row r="20" spans="1:4">
      <c r="A20" s="313">
        <v>100155</v>
      </c>
      <c r="B20" s="305" t="s">
        <v>454</v>
      </c>
      <c r="C20" s="306">
        <v>0</v>
      </c>
      <c r="D20" s="307">
        <v>0</v>
      </c>
    </row>
    <row r="21" spans="1:4">
      <c r="A21" s="313">
        <v>100169</v>
      </c>
      <c r="B21" s="305" t="s">
        <v>455</v>
      </c>
      <c r="C21" s="306">
        <v>0</v>
      </c>
      <c r="D21" s="307">
        <v>0</v>
      </c>
    </row>
    <row r="22" spans="1:4">
      <c r="A22" s="313">
        <v>100171</v>
      </c>
      <c r="B22" s="305" t="s">
        <v>456</v>
      </c>
      <c r="C22" s="306">
        <v>0</v>
      </c>
      <c r="D22" s="307">
        <v>0</v>
      </c>
    </row>
    <row r="23" spans="1:4">
      <c r="A23" s="313">
        <v>100187</v>
      </c>
      <c r="B23" s="305" t="s">
        <v>457</v>
      </c>
      <c r="C23" s="306">
        <v>0</v>
      </c>
      <c r="D23" s="307">
        <v>0</v>
      </c>
    </row>
    <row r="24" spans="1:4">
      <c r="A24" s="313">
        <v>100188</v>
      </c>
      <c r="B24" s="305" t="s">
        <v>458</v>
      </c>
      <c r="C24" s="306">
        <v>0</v>
      </c>
      <c r="D24" s="307">
        <f>(+C24*20)*6</f>
        <v>0</v>
      </c>
    </row>
    <row r="25" spans="1:4">
      <c r="A25" s="313">
        <v>100191</v>
      </c>
      <c r="B25" s="305" t="s">
        <v>459</v>
      </c>
      <c r="C25" s="306">
        <v>0</v>
      </c>
      <c r="D25" s="307">
        <v>0</v>
      </c>
    </row>
    <row r="26" spans="1:4">
      <c r="A26" s="313">
        <v>100196</v>
      </c>
      <c r="B26" s="305" t="s">
        <v>460</v>
      </c>
      <c r="C26" s="306">
        <v>0</v>
      </c>
      <c r="D26" s="307">
        <v>0</v>
      </c>
    </row>
    <row r="27" spans="1:4">
      <c r="A27" s="313"/>
      <c r="B27" s="312" t="s">
        <v>450</v>
      </c>
      <c r="C27" s="315">
        <f>SUM(C18:C26)</f>
        <v>0</v>
      </c>
      <c r="D27" s="316">
        <f>SUM(D18:D26)</f>
        <v>1200</v>
      </c>
    </row>
    <row r="28" spans="1:4">
      <c r="A28" s="313"/>
    </row>
    <row r="29" spans="1:4">
      <c r="A29" s="313"/>
      <c r="B29" s="312" t="s">
        <v>461</v>
      </c>
    </row>
    <row r="30" spans="1:4">
      <c r="A30" s="313">
        <v>100158</v>
      </c>
      <c r="B30" s="305" t="s">
        <v>462</v>
      </c>
      <c r="C30" s="306">
        <f>45*K2</f>
        <v>45</v>
      </c>
      <c r="D30" s="307">
        <f>C30*$C$43</f>
        <v>38250</v>
      </c>
    </row>
    <row r="31" spans="1:4">
      <c r="A31" s="313">
        <v>100159</v>
      </c>
      <c r="B31" s="305" t="s">
        <v>463</v>
      </c>
      <c r="C31" s="306">
        <f>172.08*K2</f>
        <v>172.08</v>
      </c>
      <c r="D31" s="307">
        <f>C31*$C$43</f>
        <v>146268</v>
      </c>
    </row>
    <row r="32" spans="1:4">
      <c r="A32" s="313">
        <v>100192</v>
      </c>
      <c r="B32" s="305" t="s">
        <v>464</v>
      </c>
      <c r="C32" s="306">
        <f>240*K2</f>
        <v>240</v>
      </c>
      <c r="D32" s="307">
        <f>C32*$C$43</f>
        <v>204000</v>
      </c>
    </row>
    <row r="33" spans="1:4">
      <c r="A33" s="313"/>
      <c r="B33" s="312" t="s">
        <v>450</v>
      </c>
      <c r="C33" s="315">
        <f>SUM(C30:C32)</f>
        <v>457.08000000000004</v>
      </c>
      <c r="D33" s="316">
        <f>SUM(D30:D32)</f>
        <v>388518</v>
      </c>
    </row>
    <row r="34" spans="1:4">
      <c r="A34" s="313"/>
    </row>
    <row r="35" spans="1:4">
      <c r="A35" s="313"/>
      <c r="B35" s="312" t="s">
        <v>465</v>
      </c>
    </row>
    <row r="36" spans="1:4">
      <c r="A36" s="313">
        <v>100154</v>
      </c>
      <c r="B36" s="305" t="s">
        <v>466</v>
      </c>
      <c r="C36" s="306">
        <v>0</v>
      </c>
      <c r="D36" s="307">
        <f>100*12</f>
        <v>1200</v>
      </c>
    </row>
    <row r="37" spans="1:4">
      <c r="A37" s="313">
        <v>100156</v>
      </c>
      <c r="B37" s="305" t="s">
        <v>467</v>
      </c>
      <c r="C37" s="306">
        <v>0</v>
      </c>
      <c r="D37" s="307">
        <v>0</v>
      </c>
    </row>
    <row r="38" spans="1:4">
      <c r="A38" s="313"/>
      <c r="B38" s="312" t="s">
        <v>450</v>
      </c>
      <c r="C38" s="315">
        <f>+C36+C37</f>
        <v>0</v>
      </c>
      <c r="D38" s="316">
        <f>+D36+D37</f>
        <v>1200</v>
      </c>
    </row>
    <row r="39" spans="1:4" ht="12" thickBot="1">
      <c r="A39" s="313"/>
      <c r="B39" s="312" t="s">
        <v>468</v>
      </c>
      <c r="D39" s="317">
        <f>+D15+D27+D33+D38</f>
        <v>391276.02</v>
      </c>
    </row>
    <row r="40" spans="1:4" ht="12.75" thickTop="1" thickBot="1">
      <c r="D40" s="318"/>
    </row>
    <row r="41" spans="1:4">
      <c r="A41" s="305" t="s">
        <v>469</v>
      </c>
      <c r="B41" s="319" t="s">
        <v>480</v>
      </c>
      <c r="C41" s="306">
        <v>9</v>
      </c>
      <c r="D41" s="320"/>
    </row>
    <row r="42" spans="1:4">
      <c r="B42" s="321"/>
    </row>
    <row r="43" spans="1:4" ht="12" thickBot="1">
      <c r="B43" s="322" t="s">
        <v>481</v>
      </c>
      <c r="C43" s="306">
        <v>850</v>
      </c>
    </row>
    <row r="45" spans="1:4">
      <c r="D45" s="318"/>
    </row>
    <row r="46" spans="1:4">
      <c r="D46" s="318"/>
    </row>
    <row r="48" spans="1:4">
      <c r="B48" s="312" t="s">
        <v>470</v>
      </c>
    </row>
    <row r="49" spans="2:2">
      <c r="B49" s="305" t="s">
        <v>471</v>
      </c>
    </row>
    <row r="50" spans="2:2">
      <c r="B50" s="305" t="s">
        <v>472</v>
      </c>
    </row>
    <row r="51" spans="2:2">
      <c r="B51" s="305" t="s">
        <v>473</v>
      </c>
    </row>
    <row r="52" spans="2:2">
      <c r="B52" s="305" t="s">
        <v>474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A14" sqref="A14"/>
    </sheetView>
  </sheetViews>
  <sheetFormatPr defaultRowHeight="12.75"/>
  <cols>
    <col min="1" max="1" width="3.85546875" customWidth="1"/>
    <col min="2" max="2" width="61" customWidth="1"/>
    <col min="3" max="3" width="3.140625" style="348" customWidth="1"/>
    <col min="4" max="4" width="15.7109375" customWidth="1"/>
    <col min="5" max="5" width="3.5703125" style="348" customWidth="1"/>
    <col min="6" max="6" width="15.7109375" customWidth="1"/>
    <col min="7" max="7" width="3.5703125" style="348" customWidth="1"/>
    <col min="8" max="8" width="15.7109375" customWidth="1"/>
  </cols>
  <sheetData>
    <row r="1" spans="1:8" ht="15.75">
      <c r="A1" s="335" t="s">
        <v>482</v>
      </c>
      <c r="C1" s="336"/>
      <c r="E1" s="336"/>
      <c r="G1" s="336"/>
    </row>
    <row r="2" spans="1:8" ht="15.75">
      <c r="A2" s="281" t="s">
        <v>478</v>
      </c>
      <c r="C2" s="336"/>
      <c r="E2" s="336"/>
      <c r="G2" s="336"/>
    </row>
    <row r="3" spans="1:8">
      <c r="C3" s="337"/>
      <c r="E3" s="337"/>
      <c r="G3" s="337"/>
    </row>
    <row r="4" spans="1:8" ht="13.5" thickBot="1">
      <c r="A4" s="95"/>
      <c r="B4" s="95"/>
      <c r="C4" s="338"/>
      <c r="D4" s="339" t="s">
        <v>483</v>
      </c>
      <c r="E4" s="338"/>
      <c r="F4" s="339" t="s">
        <v>208</v>
      </c>
      <c r="G4" s="338"/>
      <c r="H4" s="80" t="s">
        <v>204</v>
      </c>
    </row>
    <row r="5" spans="1:8" ht="5.25" customHeight="1">
      <c r="A5" s="95"/>
      <c r="B5" s="95"/>
      <c r="C5" s="337"/>
      <c r="D5" s="95"/>
      <c r="E5" s="337"/>
      <c r="F5" s="95"/>
      <c r="G5" s="337"/>
    </row>
    <row r="6" spans="1:8">
      <c r="A6" s="95" t="s">
        <v>484</v>
      </c>
      <c r="B6" s="95"/>
      <c r="C6" s="340" t="s">
        <v>327</v>
      </c>
      <c r="D6" s="341"/>
      <c r="E6" s="340" t="s">
        <v>327</v>
      </c>
      <c r="F6" s="341"/>
      <c r="G6" s="340" t="s">
        <v>327</v>
      </c>
      <c r="H6" s="341"/>
    </row>
    <row r="7" spans="1:8">
      <c r="A7" s="95" t="s">
        <v>485</v>
      </c>
      <c r="B7" s="95"/>
      <c r="C7" s="340"/>
      <c r="D7" s="95"/>
      <c r="E7" s="340"/>
      <c r="F7" s="95"/>
      <c r="G7" s="340"/>
      <c r="H7" s="95"/>
    </row>
    <row r="8" spans="1:8">
      <c r="A8" s="95" t="s">
        <v>486</v>
      </c>
      <c r="B8" s="95"/>
      <c r="C8" s="340"/>
      <c r="D8" s="95"/>
      <c r="E8" s="340"/>
      <c r="F8" s="95"/>
      <c r="G8" s="340"/>
      <c r="H8" s="95"/>
    </row>
    <row r="9" spans="1:8">
      <c r="A9" s="95" t="s">
        <v>487</v>
      </c>
      <c r="B9" s="95"/>
      <c r="C9" s="340"/>
      <c r="D9" s="95"/>
      <c r="E9" s="340"/>
      <c r="F9" s="95"/>
      <c r="G9" s="340"/>
      <c r="H9" s="95"/>
    </row>
    <row r="10" spans="1:8">
      <c r="A10" s="95" t="s">
        <v>488</v>
      </c>
      <c r="B10" s="95"/>
      <c r="C10" s="340"/>
      <c r="D10" s="95"/>
      <c r="E10" s="340"/>
      <c r="F10" s="95"/>
      <c r="G10" s="340"/>
      <c r="H10" s="95"/>
    </row>
    <row r="11" spans="1:8">
      <c r="A11" s="95" t="s">
        <v>421</v>
      </c>
      <c r="B11" s="95"/>
      <c r="C11" s="340"/>
      <c r="D11" s="104"/>
      <c r="E11" s="340"/>
      <c r="F11" s="104"/>
      <c r="G11" s="340"/>
      <c r="H11" s="104"/>
    </row>
    <row r="12" spans="1:8" ht="8.25" customHeight="1">
      <c r="A12" s="95"/>
      <c r="B12" s="95"/>
      <c r="C12" s="340"/>
      <c r="D12" s="95"/>
      <c r="E12" s="340"/>
      <c r="F12" s="95"/>
      <c r="G12" s="340"/>
    </row>
    <row r="13" spans="1:8">
      <c r="A13" s="146" t="s">
        <v>489</v>
      </c>
      <c r="B13" s="95"/>
      <c r="C13" s="340" t="s">
        <v>327</v>
      </c>
      <c r="D13" s="341"/>
      <c r="E13" s="340" t="s">
        <v>327</v>
      </c>
      <c r="F13" s="341"/>
      <c r="G13" s="340" t="s">
        <v>327</v>
      </c>
      <c r="H13" s="342"/>
    </row>
    <row r="14" spans="1:8">
      <c r="A14" s="146"/>
      <c r="B14" s="95"/>
      <c r="C14" s="343"/>
      <c r="D14" s="342"/>
      <c r="E14" s="343"/>
      <c r="F14" s="342"/>
      <c r="G14" s="343"/>
      <c r="H14" s="342"/>
    </row>
    <row r="15" spans="1:8">
      <c r="A15" s="291" t="s">
        <v>183</v>
      </c>
      <c r="B15" s="95"/>
      <c r="C15" s="343"/>
      <c r="D15" s="344"/>
      <c r="E15" s="343"/>
      <c r="F15" s="345"/>
      <c r="G15" s="343"/>
      <c r="H15" s="344"/>
    </row>
    <row r="16" spans="1:8" ht="6.75" customHeight="1">
      <c r="A16" s="146"/>
      <c r="B16" s="95"/>
      <c r="C16" s="340"/>
      <c r="D16" s="342"/>
      <c r="E16" s="340"/>
      <c r="F16" s="342"/>
      <c r="G16" s="340"/>
      <c r="H16" s="342"/>
    </row>
    <row r="17" spans="1:8">
      <c r="A17" s="146" t="s">
        <v>490</v>
      </c>
      <c r="B17" s="95"/>
      <c r="C17" s="340" t="s">
        <v>327</v>
      </c>
      <c r="D17" s="346"/>
      <c r="E17" s="340" t="s">
        <v>327</v>
      </c>
      <c r="F17" s="346"/>
      <c r="G17" s="340" t="s">
        <v>327</v>
      </c>
      <c r="H17" s="347"/>
    </row>
    <row r="18" spans="1:8">
      <c r="A18" s="95"/>
      <c r="B18" s="95"/>
      <c r="C18" s="340"/>
      <c r="D18" s="95"/>
      <c r="E18" s="340"/>
      <c r="F18" s="95"/>
      <c r="G18" s="340"/>
    </row>
    <row r="19" spans="1:8">
      <c r="A19" s="95" t="s">
        <v>328</v>
      </c>
      <c r="B19" s="95"/>
      <c r="C19" s="340"/>
      <c r="D19" s="96">
        <f>ROUND('Detail Breakdown'!D14/1000,0)</f>
        <v>737</v>
      </c>
      <c r="E19" s="340"/>
      <c r="F19" s="96">
        <f>ROUND('Detail Breakdown'!F14/1000,0)</f>
        <v>860</v>
      </c>
      <c r="G19" s="340"/>
      <c r="H19" s="95">
        <f>D19-F19</f>
        <v>-123</v>
      </c>
    </row>
    <row r="20" spans="1:8">
      <c r="A20" s="95" t="s">
        <v>491</v>
      </c>
      <c r="B20" s="95"/>
      <c r="C20" s="340"/>
      <c r="D20" s="95">
        <f>ROUND('Detail Breakdown'!D28/1000,0)</f>
        <v>87</v>
      </c>
      <c r="E20" s="340"/>
      <c r="F20" s="95">
        <f>ROUND('Detail Breakdown'!F28/1000,0)</f>
        <v>180</v>
      </c>
      <c r="G20" s="340"/>
      <c r="H20" s="95">
        <f t="shared" ref="H20:H31" si="0">D20-F20</f>
        <v>-93</v>
      </c>
    </row>
    <row r="21" spans="1:8">
      <c r="A21" s="95" t="s">
        <v>492</v>
      </c>
      <c r="B21" s="95"/>
      <c r="C21" s="340"/>
      <c r="D21" s="96">
        <f>ROUND('Detail Breakdown'!D38/1000,0)</f>
        <v>93</v>
      </c>
      <c r="E21" s="340"/>
      <c r="F21" s="96">
        <f>ROUND('Detail Breakdown'!F38/1000,0)</f>
        <v>290</v>
      </c>
      <c r="G21" s="340"/>
      <c r="H21" s="95">
        <f t="shared" si="0"/>
        <v>-197</v>
      </c>
    </row>
    <row r="22" spans="1:8">
      <c r="A22" s="95" t="s">
        <v>358</v>
      </c>
      <c r="B22" s="95"/>
      <c r="C22" s="340"/>
      <c r="D22" s="96">
        <f>ROUND('Detail Breakdown'!D51/1000,0)</f>
        <v>26</v>
      </c>
      <c r="E22" s="340"/>
      <c r="F22" s="96">
        <f>ROUND('Detail Breakdown'!F51/1000,0)</f>
        <v>40</v>
      </c>
      <c r="G22" s="340"/>
      <c r="H22" s="95">
        <f t="shared" si="0"/>
        <v>-14</v>
      </c>
    </row>
    <row r="23" spans="1:8">
      <c r="A23" s="95" t="s">
        <v>370</v>
      </c>
      <c r="B23" s="95"/>
      <c r="C23" s="343"/>
      <c r="D23" s="96">
        <f>ROUND('Detail Breakdown'!D62/1000,0)</f>
        <v>195</v>
      </c>
      <c r="E23" s="343"/>
      <c r="F23" s="96">
        <f>ROUND('Detail Breakdown'!F62/1000,0)</f>
        <v>240</v>
      </c>
      <c r="G23" s="343"/>
      <c r="H23" s="95">
        <f t="shared" si="0"/>
        <v>-45</v>
      </c>
    </row>
    <row r="24" spans="1:8">
      <c r="A24" s="95" t="s">
        <v>379</v>
      </c>
      <c r="B24" s="95"/>
      <c r="C24" s="340"/>
      <c r="D24" s="96">
        <f>ROUND('Detail Breakdown'!D73/1000,0)</f>
        <v>1</v>
      </c>
      <c r="E24" s="340"/>
      <c r="F24" s="96">
        <f>'Detail Breakdown'!F73/1000</f>
        <v>1</v>
      </c>
      <c r="G24" s="340"/>
      <c r="H24" s="95">
        <f t="shared" si="0"/>
        <v>0</v>
      </c>
    </row>
    <row r="25" spans="1:8">
      <c r="A25" s="95" t="s">
        <v>388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396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91" t="s">
        <v>504</v>
      </c>
      <c r="B27" s="95"/>
      <c r="D27" s="96">
        <f>ROUND('Detail Breakdown'!D87/1000,0)</f>
        <v>97</v>
      </c>
      <c r="F27" s="96">
        <f>'Detail Breakdown'!F87/1000</f>
        <v>237.6</v>
      </c>
      <c r="H27" s="95">
        <f t="shared" si="0"/>
        <v>-140.6</v>
      </c>
    </row>
    <row r="28" spans="1:8">
      <c r="A28" s="95" t="s">
        <v>400</v>
      </c>
      <c r="B28" s="95"/>
      <c r="D28" s="349">
        <f>ROUND('Detail Breakdown'!D96/1000,0)</f>
        <v>31</v>
      </c>
      <c r="F28" s="349">
        <f>'Detail Breakdown'!F96/1000</f>
        <v>62.107999999999997</v>
      </c>
      <c r="H28" s="95">
        <f t="shared" si="0"/>
        <v>-31.107999999999997</v>
      </c>
    </row>
    <row r="29" spans="1:8">
      <c r="A29" s="95" t="s">
        <v>407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409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411</v>
      </c>
      <c r="B31" s="95"/>
      <c r="D31" s="104">
        <f>ROUND('Detail Breakdown'!D107/1000,0)</f>
        <v>15</v>
      </c>
      <c r="F31" s="104">
        <f>'Detail Breakdown'!F107/1000</f>
        <v>17.87</v>
      </c>
      <c r="H31" s="104">
        <f t="shared" si="0"/>
        <v>-2.870000000000001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0" t="s">
        <v>327</v>
      </c>
      <c r="D33" s="350">
        <f>SUM(D19:D32)</f>
        <v>1282</v>
      </c>
      <c r="E33" s="340" t="s">
        <v>327</v>
      </c>
      <c r="F33" s="350">
        <f>SUM(F19:F32)</f>
        <v>1928.5779999999997</v>
      </c>
      <c r="G33" s="340" t="s">
        <v>327</v>
      </c>
      <c r="H33" s="350">
        <f>SUM(H19:H32)</f>
        <v>-646.57799999999997</v>
      </c>
    </row>
    <row r="34" spans="1:8" ht="6.75" customHeight="1">
      <c r="A34" s="95"/>
      <c r="B34" s="95"/>
      <c r="D34" s="95"/>
      <c r="F34" s="96"/>
      <c r="H34" s="22"/>
    </row>
    <row r="35" spans="1:8" ht="13.5" thickBot="1">
      <c r="A35" s="146" t="s">
        <v>493</v>
      </c>
      <c r="B35" s="95"/>
      <c r="C35" s="340" t="s">
        <v>327</v>
      </c>
      <c r="D35" s="351">
        <f>D13-D33</f>
        <v>-1282</v>
      </c>
      <c r="E35" s="340" t="s">
        <v>327</v>
      </c>
      <c r="F35" s="351">
        <f>F13-F33</f>
        <v>-1928.5779999999997</v>
      </c>
      <c r="G35" s="340" t="s">
        <v>327</v>
      </c>
      <c r="H35" s="351">
        <f>H13-H33</f>
        <v>646.57799999999997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2">
        <v>1</v>
      </c>
      <c r="F39" s="353">
        <v>1</v>
      </c>
      <c r="H39" s="353">
        <f>D39-F39</f>
        <v>0</v>
      </c>
    </row>
    <row r="40" spans="1:8">
      <c r="A40" s="95" t="s">
        <v>494</v>
      </c>
      <c r="B40" s="95"/>
      <c r="D40" s="352">
        <v>1</v>
      </c>
      <c r="F40" s="353">
        <v>2</v>
      </c>
      <c r="H40" s="353">
        <f>D40-F40</f>
        <v>-1</v>
      </c>
    </row>
    <row r="41" spans="1:8">
      <c r="A41" s="95" t="s">
        <v>207</v>
      </c>
      <c r="B41" s="95"/>
      <c r="D41" s="352">
        <v>0</v>
      </c>
      <c r="F41" s="353">
        <f>1+1</f>
        <v>2</v>
      </c>
      <c r="H41" s="353">
        <f>D41-F41</f>
        <v>-2</v>
      </c>
    </row>
    <row r="42" spans="1:8">
      <c r="A42" s="95" t="s">
        <v>495</v>
      </c>
      <c r="B42" s="95"/>
      <c r="D42" s="352">
        <v>1</v>
      </c>
      <c r="F42" s="353">
        <f>1+1</f>
        <v>2</v>
      </c>
      <c r="H42" s="353">
        <f>D42-F42</f>
        <v>-1</v>
      </c>
    </row>
    <row r="43" spans="1:8">
      <c r="A43" s="95" t="s">
        <v>496</v>
      </c>
      <c r="B43" s="95"/>
      <c r="D43" s="354">
        <f>1+1</f>
        <v>2</v>
      </c>
      <c r="F43" s="354">
        <f>1+1</f>
        <v>2</v>
      </c>
      <c r="H43" s="354">
        <f>D43-F43</f>
        <v>0</v>
      </c>
    </row>
    <row r="44" spans="1:8" ht="4.5" customHeight="1">
      <c r="A44" s="145"/>
      <c r="B44" s="145"/>
      <c r="D44" s="355"/>
      <c r="F44" s="355"/>
      <c r="H44" s="355"/>
    </row>
    <row r="45" spans="1:8" ht="13.5" thickBot="1">
      <c r="A45" s="146" t="s">
        <v>497</v>
      </c>
      <c r="B45" s="95"/>
      <c r="D45" s="356">
        <f>SUM(D39:D44)</f>
        <v>5</v>
      </c>
      <c r="F45" s="356">
        <f>SUM(F39:F44)</f>
        <v>9</v>
      </c>
      <c r="H45" s="356">
        <f>SUM(H39:H44)</f>
        <v>-4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498</v>
      </c>
      <c r="B47" s="95"/>
      <c r="D47" s="339" t="s">
        <v>499</v>
      </c>
      <c r="F47" s="357"/>
      <c r="H47" s="339" t="s">
        <v>500</v>
      </c>
    </row>
    <row r="48" spans="1:8">
      <c r="A48" s="358" t="s">
        <v>501</v>
      </c>
      <c r="B48" s="95"/>
      <c r="C48" s="340" t="s">
        <v>327</v>
      </c>
      <c r="D48" s="95">
        <f>(F19+F20+F23+F27)/F45</f>
        <v>168.62222222222221</v>
      </c>
      <c r="F48" s="95"/>
      <c r="G48" s="340" t="s">
        <v>327</v>
      </c>
    </row>
    <row r="49" spans="1:7">
      <c r="A49" s="358" t="s">
        <v>502</v>
      </c>
      <c r="B49" s="95"/>
      <c r="C49" s="340" t="s">
        <v>327</v>
      </c>
      <c r="D49" s="95">
        <f>F17/F45</f>
        <v>0</v>
      </c>
      <c r="F49" s="95"/>
      <c r="G49" s="340" t="s">
        <v>327</v>
      </c>
    </row>
    <row r="50" spans="1:7">
      <c r="A50" s="358" t="s">
        <v>503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ExpComp</vt:lpstr>
      <vt:lpstr>2001 Headcount</vt:lpstr>
      <vt:lpstr>Cost rates</vt:lpstr>
      <vt:lpstr>Income Statement (2)</vt:lpstr>
      <vt:lpstr>Detail Breakdown</vt:lpstr>
      <vt:lpstr>Headcount Assumptions</vt:lpstr>
      <vt:lpstr>Assumptions (2)</vt:lpstr>
      <vt:lpstr>EPSC</vt:lpstr>
      <vt:lpstr>Income Statement</vt:lpstr>
      <vt:lpstr>Assumptions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Jan Havlíček</cp:lastModifiedBy>
  <cp:lastPrinted>2001-09-20T15:17:36Z</cp:lastPrinted>
  <dcterms:created xsi:type="dcterms:W3CDTF">1998-08-24T18:19:19Z</dcterms:created>
  <dcterms:modified xsi:type="dcterms:W3CDTF">2023-09-11T19:02:58Z</dcterms:modified>
</cp:coreProperties>
</file>