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B9212D-B984-4D06-B64E-62002781B200}" xr6:coauthVersionLast="47" xr6:coauthVersionMax="47" xr10:uidLastSave="{00000000-0000-0000-0000-000000000000}"/>
  <bookViews>
    <workbookView xWindow="-120" yWindow="-120" windowWidth="38640" windowHeight="15720"/>
  </bookViews>
  <sheets>
    <sheet name="Collar" sheetId="13" r:id="rId1"/>
    <sheet name="Payout_Diagram" sheetId="10" r:id="rId2"/>
    <sheet name="Control" sheetId="3" r:id="rId3"/>
    <sheet name="Sheet1" sheetId="9" state="hidden" r:id="rId4"/>
    <sheet name="Model" sheetId="6" r:id="rId5"/>
    <sheet name="CurveFetch" sheetId="1" r:id="rId6"/>
  </sheets>
  <externalReferences>
    <externalReference r:id="rId7"/>
  </externalReferences>
  <definedNames>
    <definedName name="Chart_Date">OFFSET(Model!$A$8,0,0,COUNTIF(Model!$E$8:$E$288,"&gt;0"),1)</definedName>
    <definedName name="Comp_Per">Control!$C$12</definedName>
    <definedName name="Cost_of_Funds">Control!$C$11</definedName>
    <definedName name="Count">CurveFetch!$A$4</definedName>
    <definedName name="curve_date">CurveFetch!$E$2</definedName>
    <definedName name="Curve_Fetch">CurveFetch!$D$8:$AJ$367</definedName>
    <definedName name="CurveCode">CurveFetch!$B$4</definedName>
    <definedName name="CurvePrices">CurveFetch!$D$4:$E$9</definedName>
    <definedName name="CurveTable">CurveFetch!$E$1:$AJ$7</definedName>
    <definedName name="CurveType">CurveFetch!$B$5</definedName>
    <definedName name="date">Control!$C$5</definedName>
    <definedName name="Days_in_Year">Control!$C$13</definedName>
    <definedName name="Dump">CurveFetch!$B$7</definedName>
    <definedName name="EffectiveDate">CurveFetch!$B$2</definedName>
    <definedName name="Holiday" localSheetId="5">CurveFetch!$B$17:$B$29</definedName>
    <definedName name="Holidays">Control!$I$9:$I$20</definedName>
    <definedName name="Month">CurveFetch!$B$3</definedName>
    <definedName name="_xlnm.Print_Area" localSheetId="2">Control!$A$1:$G$62</definedName>
    <definedName name="_xlnm.Print_Area" localSheetId="5">CurveFetch!$D$2:$M$26</definedName>
    <definedName name="_xlnm.Print_Area" localSheetId="1">Payout_Diagram!$A$1:$H$55</definedName>
    <definedName name="RiskType">CurveFetch!$B$6</definedName>
    <definedName name="Val_Date">Control!$C$9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3" l="1"/>
  <c r="I5" i="13"/>
  <c r="B6" i="13"/>
  <c r="E7" i="13"/>
  <c r="G7" i="13"/>
  <c r="E8" i="13"/>
  <c r="G8" i="13"/>
  <c r="J8" i="13"/>
  <c r="J9" i="13"/>
  <c r="J10" i="13"/>
  <c r="E11" i="13"/>
  <c r="G11" i="13"/>
  <c r="J11" i="13"/>
  <c r="E12" i="13"/>
  <c r="G12" i="13"/>
  <c r="C14" i="13"/>
  <c r="I17" i="13"/>
  <c r="I18" i="13"/>
  <c r="G19" i="13"/>
  <c r="I19" i="13"/>
  <c r="I20" i="13"/>
  <c r="I29" i="13"/>
  <c r="M29" i="13"/>
  <c r="Q29" i="13"/>
  <c r="B31" i="13"/>
  <c r="C31" i="13"/>
  <c r="E31" i="13"/>
  <c r="F31" i="13"/>
  <c r="G31" i="13"/>
  <c r="J31" i="13"/>
  <c r="L31" i="13"/>
  <c r="N31" i="13"/>
  <c r="P31" i="13"/>
  <c r="R31" i="13"/>
  <c r="T31" i="13"/>
  <c r="U31" i="13"/>
  <c r="W31" i="13"/>
  <c r="Y31" i="13"/>
  <c r="Z31" i="13"/>
  <c r="AA31" i="13"/>
  <c r="AB31" i="13"/>
  <c r="AD31" i="13"/>
  <c r="AF31" i="13"/>
  <c r="AG31" i="13"/>
  <c r="AH31" i="13"/>
  <c r="AI31" i="13"/>
  <c r="AK31" i="13"/>
  <c r="AL31" i="13"/>
  <c r="AM31" i="13"/>
  <c r="AN31" i="13"/>
  <c r="AO31" i="13"/>
  <c r="AP31" i="13"/>
  <c r="AQ31" i="13"/>
  <c r="AR31" i="13"/>
  <c r="B32" i="13"/>
  <c r="C32" i="13"/>
  <c r="E32" i="13"/>
  <c r="F32" i="13"/>
  <c r="G32" i="13"/>
  <c r="J32" i="13"/>
  <c r="K32" i="13"/>
  <c r="L32" i="13"/>
  <c r="N32" i="13"/>
  <c r="O32" i="13"/>
  <c r="P32" i="13"/>
  <c r="R32" i="13"/>
  <c r="S32" i="13"/>
  <c r="T32" i="13"/>
  <c r="U32" i="13"/>
  <c r="W32" i="13"/>
  <c r="X32" i="13"/>
  <c r="Y32" i="13"/>
  <c r="Z32" i="13"/>
  <c r="AA32" i="13"/>
  <c r="AB32" i="13"/>
  <c r="AD32" i="13"/>
  <c r="AE32" i="13"/>
  <c r="AF32" i="13"/>
  <c r="AG32" i="13"/>
  <c r="AH32" i="13"/>
  <c r="AI32" i="13"/>
  <c r="AK32" i="13"/>
  <c r="AL32" i="13"/>
  <c r="AM32" i="13"/>
  <c r="AN32" i="13"/>
  <c r="AO32" i="13"/>
  <c r="AP32" i="13"/>
  <c r="AQ32" i="13"/>
  <c r="AR32" i="13"/>
  <c r="B33" i="13"/>
  <c r="C33" i="13"/>
  <c r="E33" i="13"/>
  <c r="F33" i="13"/>
  <c r="G33" i="13"/>
  <c r="J33" i="13"/>
  <c r="K33" i="13"/>
  <c r="L33" i="13"/>
  <c r="N33" i="13"/>
  <c r="O33" i="13"/>
  <c r="P33" i="13"/>
  <c r="R33" i="13"/>
  <c r="S33" i="13"/>
  <c r="T33" i="13"/>
  <c r="U33" i="13"/>
  <c r="W33" i="13"/>
  <c r="X33" i="13"/>
  <c r="Y33" i="13"/>
  <c r="Z33" i="13"/>
  <c r="AA33" i="13"/>
  <c r="AB33" i="13"/>
  <c r="AD33" i="13"/>
  <c r="AE33" i="13"/>
  <c r="AF33" i="13"/>
  <c r="AG33" i="13"/>
  <c r="AH33" i="13"/>
  <c r="AI33" i="13"/>
  <c r="AK33" i="13"/>
  <c r="AL33" i="13"/>
  <c r="AM33" i="13"/>
  <c r="AN33" i="13"/>
  <c r="AO33" i="13"/>
  <c r="AP33" i="13"/>
  <c r="AQ33" i="13"/>
  <c r="AR33" i="13"/>
  <c r="B34" i="13"/>
  <c r="C34" i="13"/>
  <c r="E34" i="13"/>
  <c r="F34" i="13"/>
  <c r="G34" i="13"/>
  <c r="J34" i="13"/>
  <c r="K34" i="13"/>
  <c r="L34" i="13"/>
  <c r="N34" i="13"/>
  <c r="O34" i="13"/>
  <c r="P34" i="13"/>
  <c r="R34" i="13"/>
  <c r="S34" i="13"/>
  <c r="T34" i="13"/>
  <c r="U34" i="13"/>
  <c r="W34" i="13"/>
  <c r="X34" i="13"/>
  <c r="Y34" i="13"/>
  <c r="Z34" i="13"/>
  <c r="AA34" i="13"/>
  <c r="AB34" i="13"/>
  <c r="AD34" i="13"/>
  <c r="AE34" i="13"/>
  <c r="AF34" i="13"/>
  <c r="AG34" i="13"/>
  <c r="AH34" i="13"/>
  <c r="AI34" i="13"/>
  <c r="AK34" i="13"/>
  <c r="AL34" i="13"/>
  <c r="AM34" i="13"/>
  <c r="AN34" i="13"/>
  <c r="AO34" i="13"/>
  <c r="AP34" i="13"/>
  <c r="AQ34" i="13"/>
  <c r="AR34" i="13"/>
  <c r="B35" i="13"/>
  <c r="C35" i="13"/>
  <c r="E35" i="13"/>
  <c r="F35" i="13"/>
  <c r="G35" i="13"/>
  <c r="J35" i="13"/>
  <c r="K35" i="13"/>
  <c r="L35" i="13"/>
  <c r="N35" i="13"/>
  <c r="O35" i="13"/>
  <c r="P35" i="13"/>
  <c r="R35" i="13"/>
  <c r="S35" i="13"/>
  <c r="T35" i="13"/>
  <c r="U35" i="13"/>
  <c r="W35" i="13"/>
  <c r="X35" i="13"/>
  <c r="Y35" i="13"/>
  <c r="Z35" i="13"/>
  <c r="AA35" i="13"/>
  <c r="AB35" i="13"/>
  <c r="AD35" i="13"/>
  <c r="AE35" i="13"/>
  <c r="AF35" i="13"/>
  <c r="AG35" i="13"/>
  <c r="AH35" i="13"/>
  <c r="AI35" i="13"/>
  <c r="AK35" i="13"/>
  <c r="AL35" i="13"/>
  <c r="AM35" i="13"/>
  <c r="AN35" i="13"/>
  <c r="AO35" i="13"/>
  <c r="AP35" i="13"/>
  <c r="AQ35" i="13"/>
  <c r="AR35" i="13"/>
  <c r="B36" i="13"/>
  <c r="C36" i="13"/>
  <c r="E36" i="13"/>
  <c r="F36" i="13"/>
  <c r="G36" i="13"/>
  <c r="J36" i="13"/>
  <c r="K36" i="13"/>
  <c r="L36" i="13"/>
  <c r="N36" i="13"/>
  <c r="O36" i="13"/>
  <c r="P36" i="13"/>
  <c r="R36" i="13"/>
  <c r="S36" i="13"/>
  <c r="T36" i="13"/>
  <c r="U36" i="13"/>
  <c r="W36" i="13"/>
  <c r="X36" i="13"/>
  <c r="Y36" i="13"/>
  <c r="Z36" i="13"/>
  <c r="AA36" i="13"/>
  <c r="AB36" i="13"/>
  <c r="AD36" i="13"/>
  <c r="AE36" i="13"/>
  <c r="AF36" i="13"/>
  <c r="AG36" i="13"/>
  <c r="AH36" i="13"/>
  <c r="AI36" i="13"/>
  <c r="AK36" i="13"/>
  <c r="AL36" i="13"/>
  <c r="AM36" i="13"/>
  <c r="AN36" i="13"/>
  <c r="AO36" i="13"/>
  <c r="AP36" i="13"/>
  <c r="AQ36" i="13"/>
  <c r="AR36" i="13"/>
  <c r="B37" i="13"/>
  <c r="C37" i="13"/>
  <c r="E37" i="13"/>
  <c r="F37" i="13"/>
  <c r="G37" i="13"/>
  <c r="J37" i="13"/>
  <c r="K37" i="13"/>
  <c r="L37" i="13"/>
  <c r="N37" i="13"/>
  <c r="O37" i="13"/>
  <c r="P37" i="13"/>
  <c r="R37" i="13"/>
  <c r="S37" i="13"/>
  <c r="T37" i="13"/>
  <c r="U37" i="13"/>
  <c r="W37" i="13"/>
  <c r="X37" i="13"/>
  <c r="Y37" i="13"/>
  <c r="Z37" i="13"/>
  <c r="AA37" i="13"/>
  <c r="AB37" i="13"/>
  <c r="AD37" i="13"/>
  <c r="AE37" i="13"/>
  <c r="AF37" i="13"/>
  <c r="AG37" i="13"/>
  <c r="AH37" i="13"/>
  <c r="AI37" i="13"/>
  <c r="AK37" i="13"/>
  <c r="AL37" i="13"/>
  <c r="AM37" i="13"/>
  <c r="AN37" i="13"/>
  <c r="AO37" i="13"/>
  <c r="AP37" i="13"/>
  <c r="AQ37" i="13"/>
  <c r="AR37" i="13"/>
  <c r="B38" i="13"/>
  <c r="C38" i="13"/>
  <c r="E38" i="13"/>
  <c r="F38" i="13"/>
  <c r="G38" i="13"/>
  <c r="J38" i="13"/>
  <c r="K38" i="13"/>
  <c r="L38" i="13"/>
  <c r="N38" i="13"/>
  <c r="O38" i="13"/>
  <c r="P38" i="13"/>
  <c r="R38" i="13"/>
  <c r="S38" i="13"/>
  <c r="T38" i="13"/>
  <c r="U38" i="13"/>
  <c r="W38" i="13"/>
  <c r="X38" i="13"/>
  <c r="Y38" i="13"/>
  <c r="Z38" i="13"/>
  <c r="AA38" i="13"/>
  <c r="AB38" i="13"/>
  <c r="AD38" i="13"/>
  <c r="AE38" i="13"/>
  <c r="AF38" i="13"/>
  <c r="AG38" i="13"/>
  <c r="AH38" i="13"/>
  <c r="AI38" i="13"/>
  <c r="AK38" i="13"/>
  <c r="AL38" i="13"/>
  <c r="AM38" i="13"/>
  <c r="AN38" i="13"/>
  <c r="AO38" i="13"/>
  <c r="AP38" i="13"/>
  <c r="AQ38" i="13"/>
  <c r="AR38" i="13"/>
  <c r="B39" i="13"/>
  <c r="C39" i="13"/>
  <c r="E39" i="13"/>
  <c r="F39" i="13"/>
  <c r="G39" i="13"/>
  <c r="J39" i="13"/>
  <c r="K39" i="13"/>
  <c r="L39" i="13"/>
  <c r="N39" i="13"/>
  <c r="O39" i="13"/>
  <c r="P39" i="13"/>
  <c r="R39" i="13"/>
  <c r="S39" i="13"/>
  <c r="T39" i="13"/>
  <c r="U39" i="13"/>
  <c r="W39" i="13"/>
  <c r="X39" i="13"/>
  <c r="Y39" i="13"/>
  <c r="Z39" i="13"/>
  <c r="AA39" i="13"/>
  <c r="AB39" i="13"/>
  <c r="AD39" i="13"/>
  <c r="AE39" i="13"/>
  <c r="AF39" i="13"/>
  <c r="AG39" i="13"/>
  <c r="AH39" i="13"/>
  <c r="AI39" i="13"/>
  <c r="AK39" i="13"/>
  <c r="AL39" i="13"/>
  <c r="AM39" i="13"/>
  <c r="AN39" i="13"/>
  <c r="AO39" i="13"/>
  <c r="AP39" i="13"/>
  <c r="AQ39" i="13"/>
  <c r="AR39" i="13"/>
  <c r="B40" i="13"/>
  <c r="C40" i="13"/>
  <c r="E40" i="13"/>
  <c r="F40" i="13"/>
  <c r="G40" i="13"/>
  <c r="J40" i="13"/>
  <c r="K40" i="13"/>
  <c r="L40" i="13"/>
  <c r="N40" i="13"/>
  <c r="O40" i="13"/>
  <c r="P40" i="13"/>
  <c r="R40" i="13"/>
  <c r="S40" i="13"/>
  <c r="T40" i="13"/>
  <c r="U40" i="13"/>
  <c r="W40" i="13"/>
  <c r="X40" i="13"/>
  <c r="Y40" i="13"/>
  <c r="Z40" i="13"/>
  <c r="AA40" i="13"/>
  <c r="AB40" i="13"/>
  <c r="AD40" i="13"/>
  <c r="AE40" i="13"/>
  <c r="AF40" i="13"/>
  <c r="AG40" i="13"/>
  <c r="AH40" i="13"/>
  <c r="AI40" i="13"/>
  <c r="AK40" i="13"/>
  <c r="AL40" i="13"/>
  <c r="AM40" i="13"/>
  <c r="AN40" i="13"/>
  <c r="AO40" i="13"/>
  <c r="AP40" i="13"/>
  <c r="AQ40" i="13"/>
  <c r="AR40" i="13"/>
  <c r="B41" i="13"/>
  <c r="C41" i="13"/>
  <c r="E41" i="13"/>
  <c r="F41" i="13"/>
  <c r="G41" i="13"/>
  <c r="J41" i="13"/>
  <c r="K41" i="13"/>
  <c r="L41" i="13"/>
  <c r="N41" i="13"/>
  <c r="O41" i="13"/>
  <c r="P41" i="13"/>
  <c r="R41" i="13"/>
  <c r="S41" i="13"/>
  <c r="T41" i="13"/>
  <c r="U41" i="13"/>
  <c r="W41" i="13"/>
  <c r="X41" i="13"/>
  <c r="Y41" i="13"/>
  <c r="Z41" i="13"/>
  <c r="AA41" i="13"/>
  <c r="AB41" i="13"/>
  <c r="AD41" i="13"/>
  <c r="AE41" i="13"/>
  <c r="AF41" i="13"/>
  <c r="AG41" i="13"/>
  <c r="AH41" i="13"/>
  <c r="AI41" i="13"/>
  <c r="AK41" i="13"/>
  <c r="AL41" i="13"/>
  <c r="AM41" i="13"/>
  <c r="AN41" i="13"/>
  <c r="AO41" i="13"/>
  <c r="AP41" i="13"/>
  <c r="AQ41" i="13"/>
  <c r="AR41" i="13"/>
  <c r="B42" i="13"/>
  <c r="C42" i="13"/>
  <c r="E42" i="13"/>
  <c r="F42" i="13"/>
  <c r="G42" i="13"/>
  <c r="J42" i="13"/>
  <c r="K42" i="13"/>
  <c r="L42" i="13"/>
  <c r="N42" i="13"/>
  <c r="O42" i="13"/>
  <c r="P42" i="13"/>
  <c r="R42" i="13"/>
  <c r="S42" i="13"/>
  <c r="T42" i="13"/>
  <c r="U42" i="13"/>
  <c r="W42" i="13"/>
  <c r="X42" i="13"/>
  <c r="Y42" i="13"/>
  <c r="Z42" i="13"/>
  <c r="AA42" i="13"/>
  <c r="AB42" i="13"/>
  <c r="AD42" i="13"/>
  <c r="AE42" i="13"/>
  <c r="AF42" i="13"/>
  <c r="AG42" i="13"/>
  <c r="AH42" i="13"/>
  <c r="AI42" i="13"/>
  <c r="AK42" i="13"/>
  <c r="AL42" i="13"/>
  <c r="AM42" i="13"/>
  <c r="AN42" i="13"/>
  <c r="AO42" i="13"/>
  <c r="AP42" i="13"/>
  <c r="AQ42" i="13"/>
  <c r="AR42" i="13"/>
  <c r="B43" i="13"/>
  <c r="C43" i="13"/>
  <c r="E43" i="13"/>
  <c r="F43" i="13"/>
  <c r="G43" i="13"/>
  <c r="J43" i="13"/>
  <c r="K43" i="13"/>
  <c r="L43" i="13"/>
  <c r="N43" i="13"/>
  <c r="O43" i="13"/>
  <c r="P43" i="13"/>
  <c r="R43" i="13"/>
  <c r="S43" i="13"/>
  <c r="T43" i="13"/>
  <c r="U43" i="13"/>
  <c r="W43" i="13"/>
  <c r="X43" i="13"/>
  <c r="Y43" i="13"/>
  <c r="Z43" i="13"/>
  <c r="AA43" i="13"/>
  <c r="AB43" i="13"/>
  <c r="AD43" i="13"/>
  <c r="AE43" i="13"/>
  <c r="AF43" i="13"/>
  <c r="AG43" i="13"/>
  <c r="AH43" i="13"/>
  <c r="AI43" i="13"/>
  <c r="AK43" i="13"/>
  <c r="AL43" i="13"/>
  <c r="AM43" i="13"/>
  <c r="AN43" i="13"/>
  <c r="AO43" i="13"/>
  <c r="AP43" i="13"/>
  <c r="AQ43" i="13"/>
  <c r="AR43" i="13"/>
  <c r="B44" i="13"/>
  <c r="C44" i="13"/>
  <c r="E44" i="13"/>
  <c r="F44" i="13"/>
  <c r="G44" i="13"/>
  <c r="J44" i="13"/>
  <c r="K44" i="13"/>
  <c r="L44" i="13"/>
  <c r="N44" i="13"/>
  <c r="O44" i="13"/>
  <c r="P44" i="13"/>
  <c r="R44" i="13"/>
  <c r="S44" i="13"/>
  <c r="T44" i="13"/>
  <c r="U44" i="13"/>
  <c r="W44" i="13"/>
  <c r="X44" i="13"/>
  <c r="Y44" i="13"/>
  <c r="Z44" i="13"/>
  <c r="AA44" i="13"/>
  <c r="AB44" i="13"/>
  <c r="AD44" i="13"/>
  <c r="AE44" i="13"/>
  <c r="AF44" i="13"/>
  <c r="AG44" i="13"/>
  <c r="AH44" i="13"/>
  <c r="AI44" i="13"/>
  <c r="AK44" i="13"/>
  <c r="AL44" i="13"/>
  <c r="AM44" i="13"/>
  <c r="AN44" i="13"/>
  <c r="AO44" i="13"/>
  <c r="AP44" i="13"/>
  <c r="AQ44" i="13"/>
  <c r="AR44" i="13"/>
  <c r="B45" i="13"/>
  <c r="C45" i="13"/>
  <c r="E45" i="13"/>
  <c r="F45" i="13"/>
  <c r="G45" i="13"/>
  <c r="J45" i="13"/>
  <c r="K45" i="13"/>
  <c r="L45" i="13"/>
  <c r="N45" i="13"/>
  <c r="O45" i="13"/>
  <c r="P45" i="13"/>
  <c r="R45" i="13"/>
  <c r="S45" i="13"/>
  <c r="T45" i="13"/>
  <c r="U45" i="13"/>
  <c r="W45" i="13"/>
  <c r="X45" i="13"/>
  <c r="Y45" i="13"/>
  <c r="Z45" i="13"/>
  <c r="AA45" i="13"/>
  <c r="AB45" i="13"/>
  <c r="AD45" i="13"/>
  <c r="AE45" i="13"/>
  <c r="AF45" i="13"/>
  <c r="AG45" i="13"/>
  <c r="AH45" i="13"/>
  <c r="AI45" i="13"/>
  <c r="AK45" i="13"/>
  <c r="AL45" i="13"/>
  <c r="AM45" i="13"/>
  <c r="AN45" i="13"/>
  <c r="AO45" i="13"/>
  <c r="AP45" i="13"/>
  <c r="AQ45" i="13"/>
  <c r="AR45" i="13"/>
  <c r="B46" i="13"/>
  <c r="C46" i="13"/>
  <c r="E46" i="13"/>
  <c r="F46" i="13"/>
  <c r="G46" i="13"/>
  <c r="J46" i="13"/>
  <c r="K46" i="13"/>
  <c r="L46" i="13"/>
  <c r="N46" i="13"/>
  <c r="O46" i="13"/>
  <c r="P46" i="13"/>
  <c r="R46" i="13"/>
  <c r="S46" i="13"/>
  <c r="T46" i="13"/>
  <c r="U46" i="13"/>
  <c r="W46" i="13"/>
  <c r="X46" i="13"/>
  <c r="Y46" i="13"/>
  <c r="Z46" i="13"/>
  <c r="AA46" i="13"/>
  <c r="AB46" i="13"/>
  <c r="AD46" i="13"/>
  <c r="AE46" i="13"/>
  <c r="AF46" i="13"/>
  <c r="AG46" i="13"/>
  <c r="AH46" i="13"/>
  <c r="AI46" i="13"/>
  <c r="AK46" i="13"/>
  <c r="AL46" i="13"/>
  <c r="AM46" i="13"/>
  <c r="AN46" i="13"/>
  <c r="AO46" i="13"/>
  <c r="AP46" i="13"/>
  <c r="AQ46" i="13"/>
  <c r="AR46" i="13"/>
  <c r="B47" i="13"/>
  <c r="C47" i="13"/>
  <c r="E47" i="13"/>
  <c r="F47" i="13"/>
  <c r="G47" i="13"/>
  <c r="J47" i="13"/>
  <c r="K47" i="13"/>
  <c r="L47" i="13"/>
  <c r="N47" i="13"/>
  <c r="O47" i="13"/>
  <c r="P47" i="13"/>
  <c r="R47" i="13"/>
  <c r="S47" i="13"/>
  <c r="T47" i="13"/>
  <c r="U47" i="13"/>
  <c r="W47" i="13"/>
  <c r="X47" i="13"/>
  <c r="Y47" i="13"/>
  <c r="Z47" i="13"/>
  <c r="AA47" i="13"/>
  <c r="AB47" i="13"/>
  <c r="AD47" i="13"/>
  <c r="AE47" i="13"/>
  <c r="AF47" i="13"/>
  <c r="AG47" i="13"/>
  <c r="AH47" i="13"/>
  <c r="AI47" i="13"/>
  <c r="AK47" i="13"/>
  <c r="AL47" i="13"/>
  <c r="AM47" i="13"/>
  <c r="AN47" i="13"/>
  <c r="AO47" i="13"/>
  <c r="AP47" i="13"/>
  <c r="AQ47" i="13"/>
  <c r="AR47" i="13"/>
  <c r="B48" i="13"/>
  <c r="C48" i="13"/>
  <c r="E48" i="13"/>
  <c r="F48" i="13"/>
  <c r="G48" i="13"/>
  <c r="J48" i="13"/>
  <c r="K48" i="13"/>
  <c r="L48" i="13"/>
  <c r="N48" i="13"/>
  <c r="O48" i="13"/>
  <c r="P48" i="13"/>
  <c r="R48" i="13"/>
  <c r="S48" i="13"/>
  <c r="T48" i="13"/>
  <c r="U48" i="13"/>
  <c r="W48" i="13"/>
  <c r="X48" i="13"/>
  <c r="Y48" i="13"/>
  <c r="Z48" i="13"/>
  <c r="AA48" i="13"/>
  <c r="AB48" i="13"/>
  <c r="AD48" i="13"/>
  <c r="AE48" i="13"/>
  <c r="AF48" i="13"/>
  <c r="AG48" i="13"/>
  <c r="AH48" i="13"/>
  <c r="AI48" i="13"/>
  <c r="AK48" i="13"/>
  <c r="AL48" i="13"/>
  <c r="AM48" i="13"/>
  <c r="AN48" i="13"/>
  <c r="AO48" i="13"/>
  <c r="AP48" i="13"/>
  <c r="AQ48" i="13"/>
  <c r="AR48" i="13"/>
  <c r="B49" i="13"/>
  <c r="C49" i="13"/>
  <c r="E49" i="13"/>
  <c r="F49" i="13"/>
  <c r="G49" i="13"/>
  <c r="J49" i="13"/>
  <c r="K49" i="13"/>
  <c r="L49" i="13"/>
  <c r="N49" i="13"/>
  <c r="O49" i="13"/>
  <c r="P49" i="13"/>
  <c r="R49" i="13"/>
  <c r="S49" i="13"/>
  <c r="T49" i="13"/>
  <c r="U49" i="13"/>
  <c r="W49" i="13"/>
  <c r="X49" i="13"/>
  <c r="Y49" i="13"/>
  <c r="Z49" i="13"/>
  <c r="AA49" i="13"/>
  <c r="AB49" i="13"/>
  <c r="AD49" i="13"/>
  <c r="AE49" i="13"/>
  <c r="AF49" i="13"/>
  <c r="AG49" i="13"/>
  <c r="AH49" i="13"/>
  <c r="AI49" i="13"/>
  <c r="AK49" i="13"/>
  <c r="AL49" i="13"/>
  <c r="AM49" i="13"/>
  <c r="AN49" i="13"/>
  <c r="AO49" i="13"/>
  <c r="AP49" i="13"/>
  <c r="AQ49" i="13"/>
  <c r="AR49" i="13"/>
  <c r="B50" i="13"/>
  <c r="C50" i="13"/>
  <c r="E50" i="13"/>
  <c r="F50" i="13"/>
  <c r="G50" i="13"/>
  <c r="J50" i="13"/>
  <c r="K50" i="13"/>
  <c r="L50" i="13"/>
  <c r="N50" i="13"/>
  <c r="O50" i="13"/>
  <c r="P50" i="13"/>
  <c r="R50" i="13"/>
  <c r="S50" i="13"/>
  <c r="T50" i="13"/>
  <c r="U50" i="13"/>
  <c r="W50" i="13"/>
  <c r="X50" i="13"/>
  <c r="Y50" i="13"/>
  <c r="Z50" i="13"/>
  <c r="AA50" i="13"/>
  <c r="AB50" i="13"/>
  <c r="AD50" i="13"/>
  <c r="AE50" i="13"/>
  <c r="AF50" i="13"/>
  <c r="AG50" i="13"/>
  <c r="AH50" i="13"/>
  <c r="AI50" i="13"/>
  <c r="AK50" i="13"/>
  <c r="AL50" i="13"/>
  <c r="AM50" i="13"/>
  <c r="AN50" i="13"/>
  <c r="AO50" i="13"/>
  <c r="AP50" i="13"/>
  <c r="AQ50" i="13"/>
  <c r="AR50" i="13"/>
  <c r="B51" i="13"/>
  <c r="C51" i="13"/>
  <c r="E51" i="13"/>
  <c r="F51" i="13"/>
  <c r="G51" i="13"/>
  <c r="J51" i="13"/>
  <c r="K51" i="13"/>
  <c r="L51" i="13"/>
  <c r="N51" i="13"/>
  <c r="O51" i="13"/>
  <c r="P51" i="13"/>
  <c r="R51" i="13"/>
  <c r="S51" i="13"/>
  <c r="T51" i="13"/>
  <c r="U51" i="13"/>
  <c r="W51" i="13"/>
  <c r="X51" i="13"/>
  <c r="Y51" i="13"/>
  <c r="Z51" i="13"/>
  <c r="AA51" i="13"/>
  <c r="AB51" i="13"/>
  <c r="AD51" i="13"/>
  <c r="AE51" i="13"/>
  <c r="AF51" i="13"/>
  <c r="AG51" i="13"/>
  <c r="AH51" i="13"/>
  <c r="AI51" i="13"/>
  <c r="AK51" i="13"/>
  <c r="AL51" i="13"/>
  <c r="AM51" i="13"/>
  <c r="AN51" i="13"/>
  <c r="AO51" i="13"/>
  <c r="AP51" i="13"/>
  <c r="AQ51" i="13"/>
  <c r="AR51" i="13"/>
  <c r="B52" i="13"/>
  <c r="C52" i="13"/>
  <c r="E52" i="13"/>
  <c r="F52" i="13"/>
  <c r="G52" i="13"/>
  <c r="J52" i="13"/>
  <c r="K52" i="13"/>
  <c r="L52" i="13"/>
  <c r="N52" i="13"/>
  <c r="O52" i="13"/>
  <c r="P52" i="13"/>
  <c r="R52" i="13"/>
  <c r="S52" i="13"/>
  <c r="T52" i="13"/>
  <c r="U52" i="13"/>
  <c r="W52" i="13"/>
  <c r="X52" i="13"/>
  <c r="Y52" i="13"/>
  <c r="Z52" i="13"/>
  <c r="AA52" i="13"/>
  <c r="AB52" i="13"/>
  <c r="AD52" i="13"/>
  <c r="AE52" i="13"/>
  <c r="AF52" i="13"/>
  <c r="AG52" i="13"/>
  <c r="AH52" i="13"/>
  <c r="AI52" i="13"/>
  <c r="AK52" i="13"/>
  <c r="AL52" i="13"/>
  <c r="AM52" i="13"/>
  <c r="AN52" i="13"/>
  <c r="AO52" i="13"/>
  <c r="AP52" i="13"/>
  <c r="AQ52" i="13"/>
  <c r="AR52" i="13"/>
  <c r="B53" i="13"/>
  <c r="C53" i="13"/>
  <c r="E53" i="13"/>
  <c r="F53" i="13"/>
  <c r="G53" i="13"/>
  <c r="J53" i="13"/>
  <c r="K53" i="13"/>
  <c r="L53" i="13"/>
  <c r="N53" i="13"/>
  <c r="O53" i="13"/>
  <c r="P53" i="13"/>
  <c r="R53" i="13"/>
  <c r="S53" i="13"/>
  <c r="T53" i="13"/>
  <c r="U53" i="13"/>
  <c r="W53" i="13"/>
  <c r="X53" i="13"/>
  <c r="Y53" i="13"/>
  <c r="Z53" i="13"/>
  <c r="AA53" i="13"/>
  <c r="AB53" i="13"/>
  <c r="AD53" i="13"/>
  <c r="AE53" i="13"/>
  <c r="AF53" i="13"/>
  <c r="AG53" i="13"/>
  <c r="AH53" i="13"/>
  <c r="AI53" i="13"/>
  <c r="AK53" i="13"/>
  <c r="AL53" i="13"/>
  <c r="AM53" i="13"/>
  <c r="AN53" i="13"/>
  <c r="AO53" i="13"/>
  <c r="AP53" i="13"/>
  <c r="AQ53" i="13"/>
  <c r="AR53" i="13"/>
  <c r="B54" i="13"/>
  <c r="C54" i="13"/>
  <c r="E54" i="13"/>
  <c r="F54" i="13"/>
  <c r="G54" i="13"/>
  <c r="J54" i="13"/>
  <c r="K54" i="13"/>
  <c r="L54" i="13"/>
  <c r="N54" i="13"/>
  <c r="O54" i="13"/>
  <c r="P54" i="13"/>
  <c r="R54" i="13"/>
  <c r="S54" i="13"/>
  <c r="T54" i="13"/>
  <c r="U54" i="13"/>
  <c r="W54" i="13"/>
  <c r="X54" i="13"/>
  <c r="Y54" i="13"/>
  <c r="Z54" i="13"/>
  <c r="AA54" i="13"/>
  <c r="AB54" i="13"/>
  <c r="AD54" i="13"/>
  <c r="AE54" i="13"/>
  <c r="AF54" i="13"/>
  <c r="AG54" i="13"/>
  <c r="AH54" i="13"/>
  <c r="AI54" i="13"/>
  <c r="AK54" i="13"/>
  <c r="AL54" i="13"/>
  <c r="AM54" i="13"/>
  <c r="AN54" i="13"/>
  <c r="AO54" i="13"/>
  <c r="AP54" i="13"/>
  <c r="AQ54" i="13"/>
  <c r="AR54" i="13"/>
  <c r="B55" i="13"/>
  <c r="C55" i="13"/>
  <c r="E55" i="13"/>
  <c r="F55" i="13"/>
  <c r="G55" i="13"/>
  <c r="J55" i="13"/>
  <c r="K55" i="13"/>
  <c r="L55" i="13"/>
  <c r="N55" i="13"/>
  <c r="O55" i="13"/>
  <c r="P55" i="13"/>
  <c r="R55" i="13"/>
  <c r="S55" i="13"/>
  <c r="T55" i="13"/>
  <c r="U55" i="13"/>
  <c r="W55" i="13"/>
  <c r="X55" i="13"/>
  <c r="Y55" i="13"/>
  <c r="Z55" i="13"/>
  <c r="AA55" i="13"/>
  <c r="AB55" i="13"/>
  <c r="AD55" i="13"/>
  <c r="AE55" i="13"/>
  <c r="AF55" i="13"/>
  <c r="AG55" i="13"/>
  <c r="AH55" i="13"/>
  <c r="AI55" i="13"/>
  <c r="AK55" i="13"/>
  <c r="AL55" i="13"/>
  <c r="AM55" i="13"/>
  <c r="AN55" i="13"/>
  <c r="AO55" i="13"/>
  <c r="AP55" i="13"/>
  <c r="AQ55" i="13"/>
  <c r="AR55" i="13"/>
  <c r="B56" i="13"/>
  <c r="C56" i="13"/>
  <c r="E56" i="13"/>
  <c r="F56" i="13"/>
  <c r="G56" i="13"/>
  <c r="J56" i="13"/>
  <c r="K56" i="13"/>
  <c r="L56" i="13"/>
  <c r="N56" i="13"/>
  <c r="O56" i="13"/>
  <c r="P56" i="13"/>
  <c r="R56" i="13"/>
  <c r="S56" i="13"/>
  <c r="T56" i="13"/>
  <c r="U56" i="13"/>
  <c r="W56" i="13"/>
  <c r="X56" i="13"/>
  <c r="Y56" i="13"/>
  <c r="Z56" i="13"/>
  <c r="AA56" i="13"/>
  <c r="AB56" i="13"/>
  <c r="AD56" i="13"/>
  <c r="AE56" i="13"/>
  <c r="AF56" i="13"/>
  <c r="AG56" i="13"/>
  <c r="AH56" i="13"/>
  <c r="AI56" i="13"/>
  <c r="AK56" i="13"/>
  <c r="AL56" i="13"/>
  <c r="AM56" i="13"/>
  <c r="AN56" i="13"/>
  <c r="AO56" i="13"/>
  <c r="AP56" i="13"/>
  <c r="AQ56" i="13"/>
  <c r="AR56" i="13"/>
  <c r="B57" i="13"/>
  <c r="C57" i="13"/>
  <c r="E57" i="13"/>
  <c r="F57" i="13"/>
  <c r="G57" i="13"/>
  <c r="J57" i="13"/>
  <c r="K57" i="13"/>
  <c r="L57" i="13"/>
  <c r="N57" i="13"/>
  <c r="O57" i="13"/>
  <c r="P57" i="13"/>
  <c r="R57" i="13"/>
  <c r="S57" i="13"/>
  <c r="T57" i="13"/>
  <c r="U57" i="13"/>
  <c r="W57" i="13"/>
  <c r="X57" i="13"/>
  <c r="Y57" i="13"/>
  <c r="Z57" i="13"/>
  <c r="AA57" i="13"/>
  <c r="AB57" i="13"/>
  <c r="AD57" i="13"/>
  <c r="AE57" i="13"/>
  <c r="AF57" i="13"/>
  <c r="AG57" i="13"/>
  <c r="AH57" i="13"/>
  <c r="AI57" i="13"/>
  <c r="AK57" i="13"/>
  <c r="AL57" i="13"/>
  <c r="AM57" i="13"/>
  <c r="AN57" i="13"/>
  <c r="AO57" i="13"/>
  <c r="AP57" i="13"/>
  <c r="AQ57" i="13"/>
  <c r="AR57" i="13"/>
  <c r="B58" i="13"/>
  <c r="C58" i="13"/>
  <c r="E58" i="13"/>
  <c r="F58" i="13"/>
  <c r="G58" i="13"/>
  <c r="J58" i="13"/>
  <c r="K58" i="13"/>
  <c r="L58" i="13"/>
  <c r="N58" i="13"/>
  <c r="O58" i="13"/>
  <c r="P58" i="13"/>
  <c r="R58" i="13"/>
  <c r="S58" i="13"/>
  <c r="T58" i="13"/>
  <c r="U58" i="13"/>
  <c r="W58" i="13"/>
  <c r="X58" i="13"/>
  <c r="Y58" i="13"/>
  <c r="Z58" i="13"/>
  <c r="AA58" i="13"/>
  <c r="AB58" i="13"/>
  <c r="AD58" i="13"/>
  <c r="AE58" i="13"/>
  <c r="AF58" i="13"/>
  <c r="AG58" i="13"/>
  <c r="AH58" i="13"/>
  <c r="AI58" i="13"/>
  <c r="AK58" i="13"/>
  <c r="AL58" i="13"/>
  <c r="AM58" i="13"/>
  <c r="AN58" i="13"/>
  <c r="AO58" i="13"/>
  <c r="AP58" i="13"/>
  <c r="AQ58" i="13"/>
  <c r="AR58" i="13"/>
  <c r="B59" i="13"/>
  <c r="C59" i="13"/>
  <c r="E59" i="13"/>
  <c r="F59" i="13"/>
  <c r="G59" i="13"/>
  <c r="J59" i="13"/>
  <c r="K59" i="13"/>
  <c r="L59" i="13"/>
  <c r="N59" i="13"/>
  <c r="O59" i="13"/>
  <c r="P59" i="13"/>
  <c r="R59" i="13"/>
  <c r="S59" i="13"/>
  <c r="T59" i="13"/>
  <c r="U59" i="13"/>
  <c r="W59" i="13"/>
  <c r="X59" i="13"/>
  <c r="Y59" i="13"/>
  <c r="Z59" i="13"/>
  <c r="AA59" i="13"/>
  <c r="AB59" i="13"/>
  <c r="AD59" i="13"/>
  <c r="AE59" i="13"/>
  <c r="AF59" i="13"/>
  <c r="AG59" i="13"/>
  <c r="AH59" i="13"/>
  <c r="AI59" i="13"/>
  <c r="AK59" i="13"/>
  <c r="AL59" i="13"/>
  <c r="AM59" i="13"/>
  <c r="AN59" i="13"/>
  <c r="AO59" i="13"/>
  <c r="AP59" i="13"/>
  <c r="AQ59" i="13"/>
  <c r="AR59" i="13"/>
  <c r="B60" i="13"/>
  <c r="C60" i="13"/>
  <c r="E60" i="13"/>
  <c r="F60" i="13"/>
  <c r="G60" i="13"/>
  <c r="J60" i="13"/>
  <c r="K60" i="13"/>
  <c r="L60" i="13"/>
  <c r="N60" i="13"/>
  <c r="O60" i="13"/>
  <c r="P60" i="13"/>
  <c r="R60" i="13"/>
  <c r="S60" i="13"/>
  <c r="T60" i="13"/>
  <c r="U60" i="13"/>
  <c r="W60" i="13"/>
  <c r="X60" i="13"/>
  <c r="Y60" i="13"/>
  <c r="Z60" i="13"/>
  <c r="AA60" i="13"/>
  <c r="AB60" i="13"/>
  <c r="AD60" i="13"/>
  <c r="AE60" i="13"/>
  <c r="AF60" i="13"/>
  <c r="AG60" i="13"/>
  <c r="AH60" i="13"/>
  <c r="AI60" i="13"/>
  <c r="AK60" i="13"/>
  <c r="AL60" i="13"/>
  <c r="AM60" i="13"/>
  <c r="AN60" i="13"/>
  <c r="AO60" i="13"/>
  <c r="AP60" i="13"/>
  <c r="AQ60" i="13"/>
  <c r="AR60" i="13"/>
  <c r="B61" i="13"/>
  <c r="C61" i="13"/>
  <c r="E61" i="13"/>
  <c r="F61" i="13"/>
  <c r="G61" i="13"/>
  <c r="J61" i="13"/>
  <c r="K61" i="13"/>
  <c r="L61" i="13"/>
  <c r="N61" i="13"/>
  <c r="O61" i="13"/>
  <c r="P61" i="13"/>
  <c r="R61" i="13"/>
  <c r="S61" i="13"/>
  <c r="T61" i="13"/>
  <c r="U61" i="13"/>
  <c r="W61" i="13"/>
  <c r="X61" i="13"/>
  <c r="Y61" i="13"/>
  <c r="Z61" i="13"/>
  <c r="AA61" i="13"/>
  <c r="AB61" i="13"/>
  <c r="AD61" i="13"/>
  <c r="AE61" i="13"/>
  <c r="AF61" i="13"/>
  <c r="AG61" i="13"/>
  <c r="AH61" i="13"/>
  <c r="AI61" i="13"/>
  <c r="AK61" i="13"/>
  <c r="AL61" i="13"/>
  <c r="AM61" i="13"/>
  <c r="AN61" i="13"/>
  <c r="AO61" i="13"/>
  <c r="AP61" i="13"/>
  <c r="AQ61" i="13"/>
  <c r="AR61" i="13"/>
  <c r="B62" i="13"/>
  <c r="C62" i="13"/>
  <c r="E62" i="13"/>
  <c r="F62" i="13"/>
  <c r="G62" i="13"/>
  <c r="J62" i="13"/>
  <c r="K62" i="13"/>
  <c r="L62" i="13"/>
  <c r="N62" i="13"/>
  <c r="O62" i="13"/>
  <c r="P62" i="13"/>
  <c r="R62" i="13"/>
  <c r="S62" i="13"/>
  <c r="T62" i="13"/>
  <c r="U62" i="13"/>
  <c r="W62" i="13"/>
  <c r="X62" i="13"/>
  <c r="Y62" i="13"/>
  <c r="Z62" i="13"/>
  <c r="AA62" i="13"/>
  <c r="AB62" i="13"/>
  <c r="AD62" i="13"/>
  <c r="AE62" i="13"/>
  <c r="AF62" i="13"/>
  <c r="AG62" i="13"/>
  <c r="AH62" i="13"/>
  <c r="AI62" i="13"/>
  <c r="AK62" i="13"/>
  <c r="AL62" i="13"/>
  <c r="AM62" i="13"/>
  <c r="AN62" i="13"/>
  <c r="AO62" i="13"/>
  <c r="AP62" i="13"/>
  <c r="AQ62" i="13"/>
  <c r="AR62" i="13"/>
  <c r="B63" i="13"/>
  <c r="C63" i="13"/>
  <c r="E63" i="13"/>
  <c r="F63" i="13"/>
  <c r="G63" i="13"/>
  <c r="J63" i="13"/>
  <c r="K63" i="13"/>
  <c r="L63" i="13"/>
  <c r="N63" i="13"/>
  <c r="O63" i="13"/>
  <c r="P63" i="13"/>
  <c r="R63" i="13"/>
  <c r="S63" i="13"/>
  <c r="T63" i="13"/>
  <c r="U63" i="13"/>
  <c r="W63" i="13"/>
  <c r="X63" i="13"/>
  <c r="Y63" i="13"/>
  <c r="Z63" i="13"/>
  <c r="AA63" i="13"/>
  <c r="AB63" i="13"/>
  <c r="AD63" i="13"/>
  <c r="AE63" i="13"/>
  <c r="AF63" i="13"/>
  <c r="AG63" i="13"/>
  <c r="AH63" i="13"/>
  <c r="AI63" i="13"/>
  <c r="AK63" i="13"/>
  <c r="AL63" i="13"/>
  <c r="AM63" i="13"/>
  <c r="AN63" i="13"/>
  <c r="AO63" i="13"/>
  <c r="AP63" i="13"/>
  <c r="AQ63" i="13"/>
  <c r="AR63" i="13"/>
  <c r="B64" i="13"/>
  <c r="C64" i="13"/>
  <c r="E64" i="13"/>
  <c r="F64" i="13"/>
  <c r="G64" i="13"/>
  <c r="J64" i="13"/>
  <c r="K64" i="13"/>
  <c r="L64" i="13"/>
  <c r="N64" i="13"/>
  <c r="O64" i="13"/>
  <c r="P64" i="13"/>
  <c r="R64" i="13"/>
  <c r="S64" i="13"/>
  <c r="T64" i="13"/>
  <c r="U64" i="13"/>
  <c r="W64" i="13"/>
  <c r="X64" i="13"/>
  <c r="Y64" i="13"/>
  <c r="Z64" i="13"/>
  <c r="AA64" i="13"/>
  <c r="AB64" i="13"/>
  <c r="AD64" i="13"/>
  <c r="AE64" i="13"/>
  <c r="AF64" i="13"/>
  <c r="AG64" i="13"/>
  <c r="AH64" i="13"/>
  <c r="AI64" i="13"/>
  <c r="AK64" i="13"/>
  <c r="AL64" i="13"/>
  <c r="AM64" i="13"/>
  <c r="AN64" i="13"/>
  <c r="AO64" i="13"/>
  <c r="AP64" i="13"/>
  <c r="AQ64" i="13"/>
  <c r="AR64" i="13"/>
  <c r="B65" i="13"/>
  <c r="C65" i="13"/>
  <c r="E65" i="13"/>
  <c r="F65" i="13"/>
  <c r="G65" i="13"/>
  <c r="J65" i="13"/>
  <c r="K65" i="13"/>
  <c r="L65" i="13"/>
  <c r="N65" i="13"/>
  <c r="O65" i="13"/>
  <c r="P65" i="13"/>
  <c r="R65" i="13"/>
  <c r="S65" i="13"/>
  <c r="T65" i="13"/>
  <c r="U65" i="13"/>
  <c r="W65" i="13"/>
  <c r="X65" i="13"/>
  <c r="Y65" i="13"/>
  <c r="Z65" i="13"/>
  <c r="AA65" i="13"/>
  <c r="AB65" i="13"/>
  <c r="AD65" i="13"/>
  <c r="AE65" i="13"/>
  <c r="AF65" i="13"/>
  <c r="AG65" i="13"/>
  <c r="AH65" i="13"/>
  <c r="AI65" i="13"/>
  <c r="AK65" i="13"/>
  <c r="AL65" i="13"/>
  <c r="AM65" i="13"/>
  <c r="AN65" i="13"/>
  <c r="AO65" i="13"/>
  <c r="AP65" i="13"/>
  <c r="AQ65" i="13"/>
  <c r="AR65" i="13"/>
  <c r="B66" i="13"/>
  <c r="C66" i="13"/>
  <c r="E66" i="13"/>
  <c r="F66" i="13"/>
  <c r="G66" i="13"/>
  <c r="J66" i="13"/>
  <c r="K66" i="13"/>
  <c r="L66" i="13"/>
  <c r="N66" i="13"/>
  <c r="O66" i="13"/>
  <c r="P66" i="13"/>
  <c r="R66" i="13"/>
  <c r="S66" i="13"/>
  <c r="T66" i="13"/>
  <c r="U66" i="13"/>
  <c r="W66" i="13"/>
  <c r="X66" i="13"/>
  <c r="Y66" i="13"/>
  <c r="Z66" i="13"/>
  <c r="AA66" i="13"/>
  <c r="AB66" i="13"/>
  <c r="AD66" i="13"/>
  <c r="AE66" i="13"/>
  <c r="AF66" i="13"/>
  <c r="AG66" i="13"/>
  <c r="AH66" i="13"/>
  <c r="AI66" i="13"/>
  <c r="AK66" i="13"/>
  <c r="AL66" i="13"/>
  <c r="AM66" i="13"/>
  <c r="AN66" i="13"/>
  <c r="AO66" i="13"/>
  <c r="AP66" i="13"/>
  <c r="AQ66" i="13"/>
  <c r="AR66" i="13"/>
  <c r="B67" i="13"/>
  <c r="C67" i="13"/>
  <c r="E67" i="13"/>
  <c r="F67" i="13"/>
  <c r="G67" i="13"/>
  <c r="J67" i="13"/>
  <c r="K67" i="13"/>
  <c r="L67" i="13"/>
  <c r="N67" i="13"/>
  <c r="O67" i="13"/>
  <c r="P67" i="13"/>
  <c r="R67" i="13"/>
  <c r="S67" i="13"/>
  <c r="T67" i="13"/>
  <c r="U67" i="13"/>
  <c r="W67" i="13"/>
  <c r="X67" i="13"/>
  <c r="Y67" i="13"/>
  <c r="Z67" i="13"/>
  <c r="AA67" i="13"/>
  <c r="AB67" i="13"/>
  <c r="AD67" i="13"/>
  <c r="AE67" i="13"/>
  <c r="AF67" i="13"/>
  <c r="AG67" i="13"/>
  <c r="AH67" i="13"/>
  <c r="AI67" i="13"/>
  <c r="AK67" i="13"/>
  <c r="AL67" i="13"/>
  <c r="AM67" i="13"/>
  <c r="AN67" i="13"/>
  <c r="AO67" i="13"/>
  <c r="AP67" i="13"/>
  <c r="AQ67" i="13"/>
  <c r="AR67" i="13"/>
  <c r="B68" i="13"/>
  <c r="C68" i="13"/>
  <c r="E68" i="13"/>
  <c r="F68" i="13"/>
  <c r="G68" i="13"/>
  <c r="J68" i="13"/>
  <c r="K68" i="13"/>
  <c r="L68" i="13"/>
  <c r="N68" i="13"/>
  <c r="O68" i="13"/>
  <c r="P68" i="13"/>
  <c r="R68" i="13"/>
  <c r="S68" i="13"/>
  <c r="T68" i="13"/>
  <c r="U68" i="13"/>
  <c r="W68" i="13"/>
  <c r="X68" i="13"/>
  <c r="Y68" i="13"/>
  <c r="Z68" i="13"/>
  <c r="AA68" i="13"/>
  <c r="AB68" i="13"/>
  <c r="AD68" i="13"/>
  <c r="AE68" i="13"/>
  <c r="AF68" i="13"/>
  <c r="AG68" i="13"/>
  <c r="AH68" i="13"/>
  <c r="AI68" i="13"/>
  <c r="AK68" i="13"/>
  <c r="AL68" i="13"/>
  <c r="AM68" i="13"/>
  <c r="AN68" i="13"/>
  <c r="AO68" i="13"/>
  <c r="AP68" i="13"/>
  <c r="AQ68" i="13"/>
  <c r="AR68" i="13"/>
  <c r="B69" i="13"/>
  <c r="C69" i="13"/>
  <c r="E69" i="13"/>
  <c r="F69" i="13"/>
  <c r="G69" i="13"/>
  <c r="J69" i="13"/>
  <c r="K69" i="13"/>
  <c r="L69" i="13"/>
  <c r="N69" i="13"/>
  <c r="O69" i="13"/>
  <c r="P69" i="13"/>
  <c r="R69" i="13"/>
  <c r="S69" i="13"/>
  <c r="T69" i="13"/>
  <c r="U69" i="13"/>
  <c r="W69" i="13"/>
  <c r="X69" i="13"/>
  <c r="Y69" i="13"/>
  <c r="Z69" i="13"/>
  <c r="AA69" i="13"/>
  <c r="AB69" i="13"/>
  <c r="AD69" i="13"/>
  <c r="AE69" i="13"/>
  <c r="AF69" i="13"/>
  <c r="AG69" i="13"/>
  <c r="AH69" i="13"/>
  <c r="AI69" i="13"/>
  <c r="AK69" i="13"/>
  <c r="AL69" i="13"/>
  <c r="AM69" i="13"/>
  <c r="AN69" i="13"/>
  <c r="AO69" i="13"/>
  <c r="AP69" i="13"/>
  <c r="AQ69" i="13"/>
  <c r="AR69" i="13"/>
  <c r="B70" i="13"/>
  <c r="C70" i="13"/>
  <c r="E70" i="13"/>
  <c r="F70" i="13"/>
  <c r="G70" i="13"/>
  <c r="J70" i="13"/>
  <c r="K70" i="13"/>
  <c r="L70" i="13"/>
  <c r="N70" i="13"/>
  <c r="O70" i="13"/>
  <c r="P70" i="13"/>
  <c r="R70" i="13"/>
  <c r="S70" i="13"/>
  <c r="T70" i="13"/>
  <c r="U70" i="13"/>
  <c r="W70" i="13"/>
  <c r="X70" i="13"/>
  <c r="Y70" i="13"/>
  <c r="Z70" i="13"/>
  <c r="AA70" i="13"/>
  <c r="AB70" i="13"/>
  <c r="AD70" i="13"/>
  <c r="AE70" i="13"/>
  <c r="AF70" i="13"/>
  <c r="AG70" i="13"/>
  <c r="AH70" i="13"/>
  <c r="AI70" i="13"/>
  <c r="AK70" i="13"/>
  <c r="AL70" i="13"/>
  <c r="AM70" i="13"/>
  <c r="AN70" i="13"/>
  <c r="AO70" i="13"/>
  <c r="AP70" i="13"/>
  <c r="AQ70" i="13"/>
  <c r="AR70" i="13"/>
  <c r="B71" i="13"/>
  <c r="C71" i="13"/>
  <c r="E71" i="13"/>
  <c r="F71" i="13"/>
  <c r="G71" i="13"/>
  <c r="J71" i="13"/>
  <c r="K71" i="13"/>
  <c r="L71" i="13"/>
  <c r="N71" i="13"/>
  <c r="O71" i="13"/>
  <c r="P71" i="13"/>
  <c r="R71" i="13"/>
  <c r="S71" i="13"/>
  <c r="T71" i="13"/>
  <c r="U71" i="13"/>
  <c r="W71" i="13"/>
  <c r="X71" i="13"/>
  <c r="Y71" i="13"/>
  <c r="Z71" i="13"/>
  <c r="AA71" i="13"/>
  <c r="AB71" i="13"/>
  <c r="AD71" i="13"/>
  <c r="AE71" i="13"/>
  <c r="AF71" i="13"/>
  <c r="AG71" i="13"/>
  <c r="AH71" i="13"/>
  <c r="AI71" i="13"/>
  <c r="AK71" i="13"/>
  <c r="AL71" i="13"/>
  <c r="AM71" i="13"/>
  <c r="AN71" i="13"/>
  <c r="AO71" i="13"/>
  <c r="AP71" i="13"/>
  <c r="AQ71" i="13"/>
  <c r="AR71" i="13"/>
  <c r="B72" i="13"/>
  <c r="C72" i="13"/>
  <c r="E72" i="13"/>
  <c r="F72" i="13"/>
  <c r="G72" i="13"/>
  <c r="J72" i="13"/>
  <c r="K72" i="13"/>
  <c r="L72" i="13"/>
  <c r="N72" i="13"/>
  <c r="O72" i="13"/>
  <c r="P72" i="13"/>
  <c r="R72" i="13"/>
  <c r="S72" i="13"/>
  <c r="T72" i="13"/>
  <c r="U72" i="13"/>
  <c r="W72" i="13"/>
  <c r="X72" i="13"/>
  <c r="Y72" i="13"/>
  <c r="Z72" i="13"/>
  <c r="AA72" i="13"/>
  <c r="AB72" i="13"/>
  <c r="AD72" i="13"/>
  <c r="AE72" i="13"/>
  <c r="AF72" i="13"/>
  <c r="AG72" i="13"/>
  <c r="AH72" i="13"/>
  <c r="AI72" i="13"/>
  <c r="AK72" i="13"/>
  <c r="AL72" i="13"/>
  <c r="AM72" i="13"/>
  <c r="AN72" i="13"/>
  <c r="AO72" i="13"/>
  <c r="AP72" i="13"/>
  <c r="AQ72" i="13"/>
  <c r="AR72" i="13"/>
  <c r="B73" i="13"/>
  <c r="C73" i="13"/>
  <c r="E73" i="13"/>
  <c r="F73" i="13"/>
  <c r="G73" i="13"/>
  <c r="J73" i="13"/>
  <c r="K73" i="13"/>
  <c r="L73" i="13"/>
  <c r="N73" i="13"/>
  <c r="O73" i="13"/>
  <c r="P73" i="13"/>
  <c r="R73" i="13"/>
  <c r="S73" i="13"/>
  <c r="T73" i="13"/>
  <c r="U73" i="13"/>
  <c r="W73" i="13"/>
  <c r="X73" i="13"/>
  <c r="Y73" i="13"/>
  <c r="Z73" i="13"/>
  <c r="AA73" i="13"/>
  <c r="AB73" i="13"/>
  <c r="AD73" i="13"/>
  <c r="AE73" i="13"/>
  <c r="AF73" i="13"/>
  <c r="AG73" i="13"/>
  <c r="AH73" i="13"/>
  <c r="AI73" i="13"/>
  <c r="AK73" i="13"/>
  <c r="AL73" i="13"/>
  <c r="AM73" i="13"/>
  <c r="AN73" i="13"/>
  <c r="AO73" i="13"/>
  <c r="AP73" i="13"/>
  <c r="AQ73" i="13"/>
  <c r="AR73" i="13"/>
  <c r="B74" i="13"/>
  <c r="C74" i="13"/>
  <c r="E74" i="13"/>
  <c r="F74" i="13"/>
  <c r="G74" i="13"/>
  <c r="J74" i="13"/>
  <c r="K74" i="13"/>
  <c r="L74" i="13"/>
  <c r="N74" i="13"/>
  <c r="O74" i="13"/>
  <c r="P74" i="13"/>
  <c r="R74" i="13"/>
  <c r="S74" i="13"/>
  <c r="T74" i="13"/>
  <c r="U74" i="13"/>
  <c r="W74" i="13"/>
  <c r="X74" i="13"/>
  <c r="Y74" i="13"/>
  <c r="Z74" i="13"/>
  <c r="AA74" i="13"/>
  <c r="AB74" i="13"/>
  <c r="AD74" i="13"/>
  <c r="AE74" i="13"/>
  <c r="AF74" i="13"/>
  <c r="AG74" i="13"/>
  <c r="AH74" i="13"/>
  <c r="AI74" i="13"/>
  <c r="AK74" i="13"/>
  <c r="AL74" i="13"/>
  <c r="AM74" i="13"/>
  <c r="AN74" i="13"/>
  <c r="AO74" i="13"/>
  <c r="AP74" i="13"/>
  <c r="AQ74" i="13"/>
  <c r="AR74" i="13"/>
  <c r="B75" i="13"/>
  <c r="C75" i="13"/>
  <c r="E75" i="13"/>
  <c r="F75" i="13"/>
  <c r="G75" i="13"/>
  <c r="J75" i="13"/>
  <c r="K75" i="13"/>
  <c r="L75" i="13"/>
  <c r="N75" i="13"/>
  <c r="O75" i="13"/>
  <c r="P75" i="13"/>
  <c r="R75" i="13"/>
  <c r="S75" i="13"/>
  <c r="T75" i="13"/>
  <c r="U75" i="13"/>
  <c r="W75" i="13"/>
  <c r="X75" i="13"/>
  <c r="Y75" i="13"/>
  <c r="Z75" i="13"/>
  <c r="AA75" i="13"/>
  <c r="AB75" i="13"/>
  <c r="AD75" i="13"/>
  <c r="AE75" i="13"/>
  <c r="AF75" i="13"/>
  <c r="AG75" i="13"/>
  <c r="AH75" i="13"/>
  <c r="AI75" i="13"/>
  <c r="AK75" i="13"/>
  <c r="AL75" i="13"/>
  <c r="AM75" i="13"/>
  <c r="AN75" i="13"/>
  <c r="AO75" i="13"/>
  <c r="AP75" i="13"/>
  <c r="AQ75" i="13"/>
  <c r="AR75" i="13"/>
  <c r="B76" i="13"/>
  <c r="C76" i="13"/>
  <c r="E76" i="13"/>
  <c r="F76" i="13"/>
  <c r="G76" i="13"/>
  <c r="J76" i="13"/>
  <c r="K76" i="13"/>
  <c r="L76" i="13"/>
  <c r="N76" i="13"/>
  <c r="O76" i="13"/>
  <c r="P76" i="13"/>
  <c r="R76" i="13"/>
  <c r="S76" i="13"/>
  <c r="T76" i="13"/>
  <c r="U76" i="13"/>
  <c r="W76" i="13"/>
  <c r="X76" i="13"/>
  <c r="Y76" i="13"/>
  <c r="Z76" i="13"/>
  <c r="AA76" i="13"/>
  <c r="AB76" i="13"/>
  <c r="AD76" i="13"/>
  <c r="AE76" i="13"/>
  <c r="AF76" i="13"/>
  <c r="AG76" i="13"/>
  <c r="AH76" i="13"/>
  <c r="AI76" i="13"/>
  <c r="AK76" i="13"/>
  <c r="AL76" i="13"/>
  <c r="AM76" i="13"/>
  <c r="AN76" i="13"/>
  <c r="AO76" i="13"/>
  <c r="AP76" i="13"/>
  <c r="AQ76" i="13"/>
  <c r="AR76" i="13"/>
  <c r="B77" i="13"/>
  <c r="C77" i="13"/>
  <c r="E77" i="13"/>
  <c r="F77" i="13"/>
  <c r="G77" i="13"/>
  <c r="J77" i="13"/>
  <c r="K77" i="13"/>
  <c r="L77" i="13"/>
  <c r="N77" i="13"/>
  <c r="O77" i="13"/>
  <c r="P77" i="13"/>
  <c r="R77" i="13"/>
  <c r="S77" i="13"/>
  <c r="T77" i="13"/>
  <c r="U77" i="13"/>
  <c r="W77" i="13"/>
  <c r="X77" i="13"/>
  <c r="Y77" i="13"/>
  <c r="Z77" i="13"/>
  <c r="AA77" i="13"/>
  <c r="AB77" i="13"/>
  <c r="AD77" i="13"/>
  <c r="AE77" i="13"/>
  <c r="AF77" i="13"/>
  <c r="AG77" i="13"/>
  <c r="AH77" i="13"/>
  <c r="AI77" i="13"/>
  <c r="AK77" i="13"/>
  <c r="AL77" i="13"/>
  <c r="AM77" i="13"/>
  <c r="AN77" i="13"/>
  <c r="AO77" i="13"/>
  <c r="AP77" i="13"/>
  <c r="AQ77" i="13"/>
  <c r="AR77" i="13"/>
  <c r="B78" i="13"/>
  <c r="C78" i="13"/>
  <c r="E78" i="13"/>
  <c r="F78" i="13"/>
  <c r="G78" i="13"/>
  <c r="J78" i="13"/>
  <c r="K78" i="13"/>
  <c r="L78" i="13"/>
  <c r="N78" i="13"/>
  <c r="O78" i="13"/>
  <c r="P78" i="13"/>
  <c r="R78" i="13"/>
  <c r="S78" i="13"/>
  <c r="T78" i="13"/>
  <c r="U78" i="13"/>
  <c r="W78" i="13"/>
  <c r="X78" i="13"/>
  <c r="Y78" i="13"/>
  <c r="Z78" i="13"/>
  <c r="AA78" i="13"/>
  <c r="AB78" i="13"/>
  <c r="AD78" i="13"/>
  <c r="AE78" i="13"/>
  <c r="AF78" i="13"/>
  <c r="AG78" i="13"/>
  <c r="AH78" i="13"/>
  <c r="AI78" i="13"/>
  <c r="AK78" i="13"/>
  <c r="AL78" i="13"/>
  <c r="AM78" i="13"/>
  <c r="AN78" i="13"/>
  <c r="AO78" i="13"/>
  <c r="AP78" i="13"/>
  <c r="AQ78" i="13"/>
  <c r="AR78" i="13"/>
  <c r="B79" i="13"/>
  <c r="C79" i="13"/>
  <c r="E79" i="13"/>
  <c r="F79" i="13"/>
  <c r="G79" i="13"/>
  <c r="J79" i="13"/>
  <c r="K79" i="13"/>
  <c r="L79" i="13"/>
  <c r="N79" i="13"/>
  <c r="O79" i="13"/>
  <c r="P79" i="13"/>
  <c r="R79" i="13"/>
  <c r="S79" i="13"/>
  <c r="T79" i="13"/>
  <c r="U79" i="13"/>
  <c r="W79" i="13"/>
  <c r="X79" i="13"/>
  <c r="Y79" i="13"/>
  <c r="Z79" i="13"/>
  <c r="AA79" i="13"/>
  <c r="AB79" i="13"/>
  <c r="AD79" i="13"/>
  <c r="AE79" i="13"/>
  <c r="AF79" i="13"/>
  <c r="AG79" i="13"/>
  <c r="AH79" i="13"/>
  <c r="AI79" i="13"/>
  <c r="AK79" i="13"/>
  <c r="AL79" i="13"/>
  <c r="AM79" i="13"/>
  <c r="AN79" i="13"/>
  <c r="AO79" i="13"/>
  <c r="AP79" i="13"/>
  <c r="AQ79" i="13"/>
  <c r="AR79" i="13"/>
  <c r="B80" i="13"/>
  <c r="C80" i="13"/>
  <c r="E80" i="13"/>
  <c r="F80" i="13"/>
  <c r="G80" i="13"/>
  <c r="J80" i="13"/>
  <c r="K80" i="13"/>
  <c r="L80" i="13"/>
  <c r="N80" i="13"/>
  <c r="O80" i="13"/>
  <c r="P80" i="13"/>
  <c r="R80" i="13"/>
  <c r="S80" i="13"/>
  <c r="T80" i="13"/>
  <c r="U80" i="13"/>
  <c r="W80" i="13"/>
  <c r="X80" i="13"/>
  <c r="Y80" i="13"/>
  <c r="Z80" i="13"/>
  <c r="AA80" i="13"/>
  <c r="AB80" i="13"/>
  <c r="AD80" i="13"/>
  <c r="AE80" i="13"/>
  <c r="AF80" i="13"/>
  <c r="AG80" i="13"/>
  <c r="AH80" i="13"/>
  <c r="AI80" i="13"/>
  <c r="AK80" i="13"/>
  <c r="AL80" i="13"/>
  <c r="AM80" i="13"/>
  <c r="AN80" i="13"/>
  <c r="AO80" i="13"/>
  <c r="AP80" i="13"/>
  <c r="AQ80" i="13"/>
  <c r="AR80" i="13"/>
  <c r="B81" i="13"/>
  <c r="C81" i="13"/>
  <c r="E81" i="13"/>
  <c r="F81" i="13"/>
  <c r="G81" i="13"/>
  <c r="J81" i="13"/>
  <c r="K81" i="13"/>
  <c r="L81" i="13"/>
  <c r="N81" i="13"/>
  <c r="O81" i="13"/>
  <c r="P81" i="13"/>
  <c r="R81" i="13"/>
  <c r="S81" i="13"/>
  <c r="T81" i="13"/>
  <c r="U81" i="13"/>
  <c r="W81" i="13"/>
  <c r="X81" i="13"/>
  <c r="Y81" i="13"/>
  <c r="Z81" i="13"/>
  <c r="AA81" i="13"/>
  <c r="AB81" i="13"/>
  <c r="AD81" i="13"/>
  <c r="AE81" i="13"/>
  <c r="AF81" i="13"/>
  <c r="AG81" i="13"/>
  <c r="AH81" i="13"/>
  <c r="AI81" i="13"/>
  <c r="AK81" i="13"/>
  <c r="AL81" i="13"/>
  <c r="AM81" i="13"/>
  <c r="AN81" i="13"/>
  <c r="AO81" i="13"/>
  <c r="AP81" i="13"/>
  <c r="AQ81" i="13"/>
  <c r="AR81" i="13"/>
  <c r="B82" i="13"/>
  <c r="C82" i="13"/>
  <c r="E82" i="13"/>
  <c r="F82" i="13"/>
  <c r="G82" i="13"/>
  <c r="J82" i="13"/>
  <c r="K82" i="13"/>
  <c r="L82" i="13"/>
  <c r="N82" i="13"/>
  <c r="O82" i="13"/>
  <c r="P82" i="13"/>
  <c r="R82" i="13"/>
  <c r="S82" i="13"/>
  <c r="T82" i="13"/>
  <c r="U82" i="13"/>
  <c r="W82" i="13"/>
  <c r="X82" i="13"/>
  <c r="Y82" i="13"/>
  <c r="Z82" i="13"/>
  <c r="AA82" i="13"/>
  <c r="AB82" i="13"/>
  <c r="AD82" i="13"/>
  <c r="AE82" i="13"/>
  <c r="AF82" i="13"/>
  <c r="AG82" i="13"/>
  <c r="AH82" i="13"/>
  <c r="AI82" i="13"/>
  <c r="AK82" i="13"/>
  <c r="AL82" i="13"/>
  <c r="AM82" i="13"/>
  <c r="AN82" i="13"/>
  <c r="AO82" i="13"/>
  <c r="AP82" i="13"/>
  <c r="AQ82" i="13"/>
  <c r="AR82" i="13"/>
  <c r="B83" i="13"/>
  <c r="C83" i="13"/>
  <c r="E83" i="13"/>
  <c r="F83" i="13"/>
  <c r="G83" i="13"/>
  <c r="J83" i="13"/>
  <c r="K83" i="13"/>
  <c r="L83" i="13"/>
  <c r="N83" i="13"/>
  <c r="O83" i="13"/>
  <c r="P83" i="13"/>
  <c r="R83" i="13"/>
  <c r="S83" i="13"/>
  <c r="T83" i="13"/>
  <c r="U83" i="13"/>
  <c r="W83" i="13"/>
  <c r="X83" i="13"/>
  <c r="Y83" i="13"/>
  <c r="Z83" i="13"/>
  <c r="AA83" i="13"/>
  <c r="AB83" i="13"/>
  <c r="AD83" i="13"/>
  <c r="AE83" i="13"/>
  <c r="AF83" i="13"/>
  <c r="AG83" i="13"/>
  <c r="AH83" i="13"/>
  <c r="AI83" i="13"/>
  <c r="AK83" i="13"/>
  <c r="AL83" i="13"/>
  <c r="AM83" i="13"/>
  <c r="AN83" i="13"/>
  <c r="AO83" i="13"/>
  <c r="AP83" i="13"/>
  <c r="AQ83" i="13"/>
  <c r="AR83" i="13"/>
  <c r="B84" i="13"/>
  <c r="C84" i="13"/>
  <c r="E84" i="13"/>
  <c r="F84" i="13"/>
  <c r="G84" i="13"/>
  <c r="J84" i="13"/>
  <c r="K84" i="13"/>
  <c r="L84" i="13"/>
  <c r="N84" i="13"/>
  <c r="O84" i="13"/>
  <c r="P84" i="13"/>
  <c r="R84" i="13"/>
  <c r="S84" i="13"/>
  <c r="T84" i="13"/>
  <c r="U84" i="13"/>
  <c r="W84" i="13"/>
  <c r="X84" i="13"/>
  <c r="Y84" i="13"/>
  <c r="Z84" i="13"/>
  <c r="AA84" i="13"/>
  <c r="AB84" i="13"/>
  <c r="AD84" i="13"/>
  <c r="AE84" i="13"/>
  <c r="AF84" i="13"/>
  <c r="AG84" i="13"/>
  <c r="AH84" i="13"/>
  <c r="AI84" i="13"/>
  <c r="AK84" i="13"/>
  <c r="AL84" i="13"/>
  <c r="AM84" i="13"/>
  <c r="AN84" i="13"/>
  <c r="AO84" i="13"/>
  <c r="AP84" i="13"/>
  <c r="AQ84" i="13"/>
  <c r="AR84" i="13"/>
  <c r="B85" i="13"/>
  <c r="C85" i="13"/>
  <c r="E85" i="13"/>
  <c r="F85" i="13"/>
  <c r="G85" i="13"/>
  <c r="J85" i="13"/>
  <c r="K85" i="13"/>
  <c r="L85" i="13"/>
  <c r="N85" i="13"/>
  <c r="O85" i="13"/>
  <c r="P85" i="13"/>
  <c r="R85" i="13"/>
  <c r="S85" i="13"/>
  <c r="T85" i="13"/>
  <c r="U85" i="13"/>
  <c r="W85" i="13"/>
  <c r="X85" i="13"/>
  <c r="Y85" i="13"/>
  <c r="Z85" i="13"/>
  <c r="AA85" i="13"/>
  <c r="AB85" i="13"/>
  <c r="AD85" i="13"/>
  <c r="AE85" i="13"/>
  <c r="AF85" i="13"/>
  <c r="AG85" i="13"/>
  <c r="AH85" i="13"/>
  <c r="AI85" i="13"/>
  <c r="AK85" i="13"/>
  <c r="AL85" i="13"/>
  <c r="AM85" i="13"/>
  <c r="AN85" i="13"/>
  <c r="AO85" i="13"/>
  <c r="AP85" i="13"/>
  <c r="AQ85" i="13"/>
  <c r="AR85" i="13"/>
  <c r="B86" i="13"/>
  <c r="C86" i="13"/>
  <c r="E86" i="13"/>
  <c r="F86" i="13"/>
  <c r="G86" i="13"/>
  <c r="J86" i="13"/>
  <c r="K86" i="13"/>
  <c r="L86" i="13"/>
  <c r="N86" i="13"/>
  <c r="O86" i="13"/>
  <c r="P86" i="13"/>
  <c r="R86" i="13"/>
  <c r="S86" i="13"/>
  <c r="T86" i="13"/>
  <c r="U86" i="13"/>
  <c r="W86" i="13"/>
  <c r="X86" i="13"/>
  <c r="Y86" i="13"/>
  <c r="Z86" i="13"/>
  <c r="AA86" i="13"/>
  <c r="AB86" i="13"/>
  <c r="AD86" i="13"/>
  <c r="AE86" i="13"/>
  <c r="AF86" i="13"/>
  <c r="AG86" i="13"/>
  <c r="AH86" i="13"/>
  <c r="AI86" i="13"/>
  <c r="AK86" i="13"/>
  <c r="AL86" i="13"/>
  <c r="AM86" i="13"/>
  <c r="AN86" i="13"/>
  <c r="AO86" i="13"/>
  <c r="AP86" i="13"/>
  <c r="AQ86" i="13"/>
  <c r="AR86" i="13"/>
  <c r="B87" i="13"/>
  <c r="C87" i="13"/>
  <c r="E87" i="13"/>
  <c r="F87" i="13"/>
  <c r="G87" i="13"/>
  <c r="J87" i="13"/>
  <c r="K87" i="13"/>
  <c r="L87" i="13"/>
  <c r="N87" i="13"/>
  <c r="O87" i="13"/>
  <c r="P87" i="13"/>
  <c r="R87" i="13"/>
  <c r="S87" i="13"/>
  <c r="T87" i="13"/>
  <c r="U87" i="13"/>
  <c r="W87" i="13"/>
  <c r="X87" i="13"/>
  <c r="Y87" i="13"/>
  <c r="Z87" i="13"/>
  <c r="AA87" i="13"/>
  <c r="AB87" i="13"/>
  <c r="AD87" i="13"/>
  <c r="AE87" i="13"/>
  <c r="AF87" i="13"/>
  <c r="AG87" i="13"/>
  <c r="AH87" i="13"/>
  <c r="AI87" i="13"/>
  <c r="AK87" i="13"/>
  <c r="AL87" i="13"/>
  <c r="AM87" i="13"/>
  <c r="AN87" i="13"/>
  <c r="AO87" i="13"/>
  <c r="AP87" i="13"/>
  <c r="AQ87" i="13"/>
  <c r="AR87" i="13"/>
  <c r="B88" i="13"/>
  <c r="C88" i="13"/>
  <c r="E88" i="13"/>
  <c r="F88" i="13"/>
  <c r="G88" i="13"/>
  <c r="J88" i="13"/>
  <c r="K88" i="13"/>
  <c r="L88" i="13"/>
  <c r="N88" i="13"/>
  <c r="O88" i="13"/>
  <c r="P88" i="13"/>
  <c r="R88" i="13"/>
  <c r="S88" i="13"/>
  <c r="T88" i="13"/>
  <c r="U88" i="13"/>
  <c r="W88" i="13"/>
  <c r="X88" i="13"/>
  <c r="Y88" i="13"/>
  <c r="Z88" i="13"/>
  <c r="AA88" i="13"/>
  <c r="AB88" i="13"/>
  <c r="AD88" i="13"/>
  <c r="AE88" i="13"/>
  <c r="AF88" i="13"/>
  <c r="AG88" i="13"/>
  <c r="AH88" i="13"/>
  <c r="AI88" i="13"/>
  <c r="AK88" i="13"/>
  <c r="AL88" i="13"/>
  <c r="AM88" i="13"/>
  <c r="AN88" i="13"/>
  <c r="AO88" i="13"/>
  <c r="AP88" i="13"/>
  <c r="AQ88" i="13"/>
  <c r="AR88" i="13"/>
  <c r="B89" i="13"/>
  <c r="C89" i="13"/>
  <c r="E89" i="13"/>
  <c r="F89" i="13"/>
  <c r="G89" i="13"/>
  <c r="J89" i="13"/>
  <c r="K89" i="13"/>
  <c r="L89" i="13"/>
  <c r="N89" i="13"/>
  <c r="O89" i="13"/>
  <c r="P89" i="13"/>
  <c r="R89" i="13"/>
  <c r="S89" i="13"/>
  <c r="T89" i="13"/>
  <c r="U89" i="13"/>
  <c r="W89" i="13"/>
  <c r="X89" i="13"/>
  <c r="Y89" i="13"/>
  <c r="Z89" i="13"/>
  <c r="AA89" i="13"/>
  <c r="AB89" i="13"/>
  <c r="AD89" i="13"/>
  <c r="AE89" i="13"/>
  <c r="AF89" i="13"/>
  <c r="AG89" i="13"/>
  <c r="AH89" i="13"/>
  <c r="AI89" i="13"/>
  <c r="AK89" i="13"/>
  <c r="AL89" i="13"/>
  <c r="AM89" i="13"/>
  <c r="AN89" i="13"/>
  <c r="AO89" i="13"/>
  <c r="AP89" i="13"/>
  <c r="AQ89" i="13"/>
  <c r="AR89" i="13"/>
  <c r="B90" i="13"/>
  <c r="C90" i="13"/>
  <c r="E90" i="13"/>
  <c r="F90" i="13"/>
  <c r="G90" i="13"/>
  <c r="J90" i="13"/>
  <c r="K90" i="13"/>
  <c r="L90" i="13"/>
  <c r="N90" i="13"/>
  <c r="O90" i="13"/>
  <c r="P90" i="13"/>
  <c r="R90" i="13"/>
  <c r="S90" i="13"/>
  <c r="T90" i="13"/>
  <c r="U90" i="13"/>
  <c r="W90" i="13"/>
  <c r="X90" i="13"/>
  <c r="Y90" i="13"/>
  <c r="Z90" i="13"/>
  <c r="AA90" i="13"/>
  <c r="AB90" i="13"/>
  <c r="AD90" i="13"/>
  <c r="AE90" i="13"/>
  <c r="AF90" i="13"/>
  <c r="AG90" i="13"/>
  <c r="AH90" i="13"/>
  <c r="AI90" i="13"/>
  <c r="AK90" i="13"/>
  <c r="AL90" i="13"/>
  <c r="AM90" i="13"/>
  <c r="AN90" i="13"/>
  <c r="AO90" i="13"/>
  <c r="AP90" i="13"/>
  <c r="AQ90" i="13"/>
  <c r="AR90" i="13"/>
  <c r="B91" i="13"/>
  <c r="C91" i="13"/>
  <c r="E91" i="13"/>
  <c r="F91" i="13"/>
  <c r="G91" i="13"/>
  <c r="J91" i="13"/>
  <c r="K91" i="13"/>
  <c r="L91" i="13"/>
  <c r="N91" i="13"/>
  <c r="O91" i="13"/>
  <c r="P91" i="13"/>
  <c r="R91" i="13"/>
  <c r="S91" i="13"/>
  <c r="T91" i="13"/>
  <c r="U91" i="13"/>
  <c r="W91" i="13"/>
  <c r="X91" i="13"/>
  <c r="Y91" i="13"/>
  <c r="Z91" i="13"/>
  <c r="AA91" i="13"/>
  <c r="AB91" i="13"/>
  <c r="AD91" i="13"/>
  <c r="AE91" i="13"/>
  <c r="AF91" i="13"/>
  <c r="AG91" i="13"/>
  <c r="AH91" i="13"/>
  <c r="AI91" i="13"/>
  <c r="AK91" i="13"/>
  <c r="AL91" i="13"/>
  <c r="AM91" i="13"/>
  <c r="AN91" i="13"/>
  <c r="AO91" i="13"/>
  <c r="AP91" i="13"/>
  <c r="AQ91" i="13"/>
  <c r="AR91" i="13"/>
  <c r="B92" i="13"/>
  <c r="C92" i="13"/>
  <c r="E92" i="13"/>
  <c r="F92" i="13"/>
  <c r="G92" i="13"/>
  <c r="J92" i="13"/>
  <c r="K92" i="13"/>
  <c r="L92" i="13"/>
  <c r="N92" i="13"/>
  <c r="O92" i="13"/>
  <c r="P92" i="13"/>
  <c r="R92" i="13"/>
  <c r="S92" i="13"/>
  <c r="T92" i="13"/>
  <c r="U92" i="13"/>
  <c r="W92" i="13"/>
  <c r="X92" i="13"/>
  <c r="Y92" i="13"/>
  <c r="Z92" i="13"/>
  <c r="AA92" i="13"/>
  <c r="AB92" i="13"/>
  <c r="AD92" i="13"/>
  <c r="AE92" i="13"/>
  <c r="AF92" i="13"/>
  <c r="AG92" i="13"/>
  <c r="AH92" i="13"/>
  <c r="AI92" i="13"/>
  <c r="AK92" i="13"/>
  <c r="AL92" i="13"/>
  <c r="AM92" i="13"/>
  <c r="AN92" i="13"/>
  <c r="AO92" i="13"/>
  <c r="AP92" i="13"/>
  <c r="AQ92" i="13"/>
  <c r="AR92" i="13"/>
  <c r="B93" i="13"/>
  <c r="C93" i="13"/>
  <c r="E93" i="13"/>
  <c r="F93" i="13"/>
  <c r="G93" i="13"/>
  <c r="J93" i="13"/>
  <c r="K93" i="13"/>
  <c r="L93" i="13"/>
  <c r="N93" i="13"/>
  <c r="O93" i="13"/>
  <c r="P93" i="13"/>
  <c r="R93" i="13"/>
  <c r="S93" i="13"/>
  <c r="T93" i="13"/>
  <c r="U93" i="13"/>
  <c r="W93" i="13"/>
  <c r="X93" i="13"/>
  <c r="Y93" i="13"/>
  <c r="Z93" i="13"/>
  <c r="AA93" i="13"/>
  <c r="AB93" i="13"/>
  <c r="AD93" i="13"/>
  <c r="AE93" i="13"/>
  <c r="AF93" i="13"/>
  <c r="AG93" i="13"/>
  <c r="AH93" i="13"/>
  <c r="AI93" i="13"/>
  <c r="AK93" i="13"/>
  <c r="AL93" i="13"/>
  <c r="AM93" i="13"/>
  <c r="AN93" i="13"/>
  <c r="AO93" i="13"/>
  <c r="AP93" i="13"/>
  <c r="AQ93" i="13"/>
  <c r="AR93" i="13"/>
  <c r="B94" i="13"/>
  <c r="C94" i="13"/>
  <c r="E94" i="13"/>
  <c r="F94" i="13"/>
  <c r="G94" i="13"/>
  <c r="J94" i="13"/>
  <c r="K94" i="13"/>
  <c r="L94" i="13"/>
  <c r="N94" i="13"/>
  <c r="O94" i="13"/>
  <c r="P94" i="13"/>
  <c r="R94" i="13"/>
  <c r="S94" i="13"/>
  <c r="T94" i="13"/>
  <c r="U94" i="13"/>
  <c r="W94" i="13"/>
  <c r="X94" i="13"/>
  <c r="Y94" i="13"/>
  <c r="Z94" i="13"/>
  <c r="AA94" i="13"/>
  <c r="AB94" i="13"/>
  <c r="AD94" i="13"/>
  <c r="AE94" i="13"/>
  <c r="AF94" i="13"/>
  <c r="AG94" i="13"/>
  <c r="AH94" i="13"/>
  <c r="AI94" i="13"/>
  <c r="AK94" i="13"/>
  <c r="AL94" i="13"/>
  <c r="AM94" i="13"/>
  <c r="AN94" i="13"/>
  <c r="AO94" i="13"/>
  <c r="AP94" i="13"/>
  <c r="AQ94" i="13"/>
  <c r="AR94" i="13"/>
  <c r="B95" i="13"/>
  <c r="C95" i="13"/>
  <c r="E95" i="13"/>
  <c r="F95" i="13"/>
  <c r="G95" i="13"/>
  <c r="J95" i="13"/>
  <c r="K95" i="13"/>
  <c r="L95" i="13"/>
  <c r="N95" i="13"/>
  <c r="O95" i="13"/>
  <c r="P95" i="13"/>
  <c r="R95" i="13"/>
  <c r="S95" i="13"/>
  <c r="T95" i="13"/>
  <c r="U95" i="13"/>
  <c r="W95" i="13"/>
  <c r="X95" i="13"/>
  <c r="Y95" i="13"/>
  <c r="Z95" i="13"/>
  <c r="AA95" i="13"/>
  <c r="AB95" i="13"/>
  <c r="AD95" i="13"/>
  <c r="AE95" i="13"/>
  <c r="AF95" i="13"/>
  <c r="AG95" i="13"/>
  <c r="AH95" i="13"/>
  <c r="AI95" i="13"/>
  <c r="AK95" i="13"/>
  <c r="AL95" i="13"/>
  <c r="AM95" i="13"/>
  <c r="AN95" i="13"/>
  <c r="AO95" i="13"/>
  <c r="AP95" i="13"/>
  <c r="AQ95" i="13"/>
  <c r="AR95" i="13"/>
  <c r="B96" i="13"/>
  <c r="C96" i="13"/>
  <c r="E96" i="13"/>
  <c r="F96" i="13"/>
  <c r="G96" i="13"/>
  <c r="J96" i="13"/>
  <c r="K96" i="13"/>
  <c r="L96" i="13"/>
  <c r="N96" i="13"/>
  <c r="O96" i="13"/>
  <c r="P96" i="13"/>
  <c r="R96" i="13"/>
  <c r="S96" i="13"/>
  <c r="T96" i="13"/>
  <c r="U96" i="13"/>
  <c r="W96" i="13"/>
  <c r="X96" i="13"/>
  <c r="Y96" i="13"/>
  <c r="Z96" i="13"/>
  <c r="AA96" i="13"/>
  <c r="AB96" i="13"/>
  <c r="AD96" i="13"/>
  <c r="AE96" i="13"/>
  <c r="AF96" i="13"/>
  <c r="AG96" i="13"/>
  <c r="AH96" i="13"/>
  <c r="AI96" i="13"/>
  <c r="AK96" i="13"/>
  <c r="AL96" i="13"/>
  <c r="AM96" i="13"/>
  <c r="AN96" i="13"/>
  <c r="AO96" i="13"/>
  <c r="AP96" i="13"/>
  <c r="AQ96" i="13"/>
  <c r="AR96" i="13"/>
  <c r="B97" i="13"/>
  <c r="C97" i="13"/>
  <c r="E97" i="13"/>
  <c r="F97" i="13"/>
  <c r="G97" i="13"/>
  <c r="J97" i="13"/>
  <c r="K97" i="13"/>
  <c r="L97" i="13"/>
  <c r="N97" i="13"/>
  <c r="O97" i="13"/>
  <c r="P97" i="13"/>
  <c r="R97" i="13"/>
  <c r="S97" i="13"/>
  <c r="T97" i="13"/>
  <c r="U97" i="13"/>
  <c r="W97" i="13"/>
  <c r="X97" i="13"/>
  <c r="Y97" i="13"/>
  <c r="Z97" i="13"/>
  <c r="AA97" i="13"/>
  <c r="AB97" i="13"/>
  <c r="AD97" i="13"/>
  <c r="AE97" i="13"/>
  <c r="AF97" i="13"/>
  <c r="AG97" i="13"/>
  <c r="AH97" i="13"/>
  <c r="AI97" i="13"/>
  <c r="AK97" i="13"/>
  <c r="AL97" i="13"/>
  <c r="AM97" i="13"/>
  <c r="AN97" i="13"/>
  <c r="AO97" i="13"/>
  <c r="AP97" i="13"/>
  <c r="AQ97" i="13"/>
  <c r="AR97" i="13"/>
  <c r="B98" i="13"/>
  <c r="C98" i="13"/>
  <c r="E98" i="13"/>
  <c r="F98" i="13"/>
  <c r="G98" i="13"/>
  <c r="J98" i="13"/>
  <c r="K98" i="13"/>
  <c r="L98" i="13"/>
  <c r="N98" i="13"/>
  <c r="O98" i="13"/>
  <c r="P98" i="13"/>
  <c r="R98" i="13"/>
  <c r="S98" i="13"/>
  <c r="T98" i="13"/>
  <c r="U98" i="13"/>
  <c r="W98" i="13"/>
  <c r="X98" i="13"/>
  <c r="Y98" i="13"/>
  <c r="Z98" i="13"/>
  <c r="AA98" i="13"/>
  <c r="AB98" i="13"/>
  <c r="AD98" i="13"/>
  <c r="AE98" i="13"/>
  <c r="AF98" i="13"/>
  <c r="AG98" i="13"/>
  <c r="AH98" i="13"/>
  <c r="AI98" i="13"/>
  <c r="AK98" i="13"/>
  <c r="AL98" i="13"/>
  <c r="AM98" i="13"/>
  <c r="AN98" i="13"/>
  <c r="AO98" i="13"/>
  <c r="AP98" i="13"/>
  <c r="AQ98" i="13"/>
  <c r="AR98" i="13"/>
  <c r="B99" i="13"/>
  <c r="C99" i="13"/>
  <c r="E99" i="13"/>
  <c r="F99" i="13"/>
  <c r="G99" i="13"/>
  <c r="J99" i="13"/>
  <c r="K99" i="13"/>
  <c r="L99" i="13"/>
  <c r="N99" i="13"/>
  <c r="O99" i="13"/>
  <c r="P99" i="13"/>
  <c r="R99" i="13"/>
  <c r="S99" i="13"/>
  <c r="T99" i="13"/>
  <c r="U99" i="13"/>
  <c r="W99" i="13"/>
  <c r="X99" i="13"/>
  <c r="Y99" i="13"/>
  <c r="Z99" i="13"/>
  <c r="AA99" i="13"/>
  <c r="AB99" i="13"/>
  <c r="AD99" i="13"/>
  <c r="AE99" i="13"/>
  <c r="AF99" i="13"/>
  <c r="AG99" i="13"/>
  <c r="AH99" i="13"/>
  <c r="AI99" i="13"/>
  <c r="AK99" i="13"/>
  <c r="AL99" i="13"/>
  <c r="AM99" i="13"/>
  <c r="AN99" i="13"/>
  <c r="AO99" i="13"/>
  <c r="AP99" i="13"/>
  <c r="AQ99" i="13"/>
  <c r="AR99" i="13"/>
  <c r="B100" i="13"/>
  <c r="C100" i="13"/>
  <c r="E100" i="13"/>
  <c r="F100" i="13"/>
  <c r="G100" i="13"/>
  <c r="J100" i="13"/>
  <c r="K100" i="13"/>
  <c r="L100" i="13"/>
  <c r="N100" i="13"/>
  <c r="O100" i="13"/>
  <c r="P100" i="13"/>
  <c r="R100" i="13"/>
  <c r="S100" i="13"/>
  <c r="T100" i="13"/>
  <c r="U100" i="13"/>
  <c r="W100" i="13"/>
  <c r="X100" i="13"/>
  <c r="Y100" i="13"/>
  <c r="Z100" i="13"/>
  <c r="AA100" i="13"/>
  <c r="AB100" i="13"/>
  <c r="AD100" i="13"/>
  <c r="AE100" i="13"/>
  <c r="AF100" i="13"/>
  <c r="AG100" i="13"/>
  <c r="AH100" i="13"/>
  <c r="AI100" i="13"/>
  <c r="AK100" i="13"/>
  <c r="AL100" i="13"/>
  <c r="AM100" i="13"/>
  <c r="AN100" i="13"/>
  <c r="AO100" i="13"/>
  <c r="AP100" i="13"/>
  <c r="AQ100" i="13"/>
  <c r="AR100" i="13"/>
  <c r="B101" i="13"/>
  <c r="C101" i="13"/>
  <c r="E101" i="13"/>
  <c r="F101" i="13"/>
  <c r="G101" i="13"/>
  <c r="J101" i="13"/>
  <c r="K101" i="13"/>
  <c r="L101" i="13"/>
  <c r="N101" i="13"/>
  <c r="O101" i="13"/>
  <c r="P101" i="13"/>
  <c r="R101" i="13"/>
  <c r="S101" i="13"/>
  <c r="T101" i="13"/>
  <c r="U101" i="13"/>
  <c r="W101" i="13"/>
  <c r="X101" i="13"/>
  <c r="Y101" i="13"/>
  <c r="Z101" i="13"/>
  <c r="AA101" i="13"/>
  <c r="AB101" i="13"/>
  <c r="AD101" i="13"/>
  <c r="AE101" i="13"/>
  <c r="AF101" i="13"/>
  <c r="AG101" i="13"/>
  <c r="AH101" i="13"/>
  <c r="AI101" i="13"/>
  <c r="AK101" i="13"/>
  <c r="AL101" i="13"/>
  <c r="AM101" i="13"/>
  <c r="AN101" i="13"/>
  <c r="AO101" i="13"/>
  <c r="AP101" i="13"/>
  <c r="AQ101" i="13"/>
  <c r="AR101" i="13"/>
  <c r="B102" i="13"/>
  <c r="C102" i="13"/>
  <c r="E102" i="13"/>
  <c r="F102" i="13"/>
  <c r="G102" i="13"/>
  <c r="J102" i="13"/>
  <c r="K102" i="13"/>
  <c r="L102" i="13"/>
  <c r="N102" i="13"/>
  <c r="O102" i="13"/>
  <c r="P102" i="13"/>
  <c r="R102" i="13"/>
  <c r="S102" i="13"/>
  <c r="T102" i="13"/>
  <c r="U102" i="13"/>
  <c r="W102" i="13"/>
  <c r="X102" i="13"/>
  <c r="Y102" i="13"/>
  <c r="Z102" i="13"/>
  <c r="AA102" i="13"/>
  <c r="AB102" i="13"/>
  <c r="AD102" i="13"/>
  <c r="AE102" i="13"/>
  <c r="AF102" i="13"/>
  <c r="AG102" i="13"/>
  <c r="AH102" i="13"/>
  <c r="AI102" i="13"/>
  <c r="AK102" i="13"/>
  <c r="AL102" i="13"/>
  <c r="AM102" i="13"/>
  <c r="AN102" i="13"/>
  <c r="AO102" i="13"/>
  <c r="AP102" i="13"/>
  <c r="AQ102" i="13"/>
  <c r="AR102" i="13"/>
  <c r="B103" i="13"/>
  <c r="C103" i="13"/>
  <c r="E103" i="13"/>
  <c r="F103" i="13"/>
  <c r="G103" i="13"/>
  <c r="J103" i="13"/>
  <c r="K103" i="13"/>
  <c r="L103" i="13"/>
  <c r="N103" i="13"/>
  <c r="O103" i="13"/>
  <c r="P103" i="13"/>
  <c r="R103" i="13"/>
  <c r="S103" i="13"/>
  <c r="T103" i="13"/>
  <c r="U103" i="13"/>
  <c r="W103" i="13"/>
  <c r="X103" i="13"/>
  <c r="Y103" i="13"/>
  <c r="Z103" i="13"/>
  <c r="AA103" i="13"/>
  <c r="AB103" i="13"/>
  <c r="AD103" i="13"/>
  <c r="AE103" i="13"/>
  <c r="AF103" i="13"/>
  <c r="AG103" i="13"/>
  <c r="AH103" i="13"/>
  <c r="AI103" i="13"/>
  <c r="AK103" i="13"/>
  <c r="AL103" i="13"/>
  <c r="AM103" i="13"/>
  <c r="AN103" i="13"/>
  <c r="AO103" i="13"/>
  <c r="AP103" i="13"/>
  <c r="AQ103" i="13"/>
  <c r="AR103" i="13"/>
  <c r="B104" i="13"/>
  <c r="C104" i="13"/>
  <c r="E104" i="13"/>
  <c r="F104" i="13"/>
  <c r="G104" i="13"/>
  <c r="J104" i="13"/>
  <c r="K104" i="13"/>
  <c r="L104" i="13"/>
  <c r="N104" i="13"/>
  <c r="O104" i="13"/>
  <c r="P104" i="13"/>
  <c r="R104" i="13"/>
  <c r="S104" i="13"/>
  <c r="T104" i="13"/>
  <c r="U104" i="13"/>
  <c r="W104" i="13"/>
  <c r="X104" i="13"/>
  <c r="Y104" i="13"/>
  <c r="Z104" i="13"/>
  <c r="AA104" i="13"/>
  <c r="AB104" i="13"/>
  <c r="AD104" i="13"/>
  <c r="AE104" i="13"/>
  <c r="AF104" i="13"/>
  <c r="AG104" i="13"/>
  <c r="AH104" i="13"/>
  <c r="AI104" i="13"/>
  <c r="AK104" i="13"/>
  <c r="AL104" i="13"/>
  <c r="AM104" i="13"/>
  <c r="AN104" i="13"/>
  <c r="AO104" i="13"/>
  <c r="AP104" i="13"/>
  <c r="AQ104" i="13"/>
  <c r="AR104" i="13"/>
  <c r="B105" i="13"/>
  <c r="C105" i="13"/>
  <c r="E105" i="13"/>
  <c r="F105" i="13"/>
  <c r="G105" i="13"/>
  <c r="J105" i="13"/>
  <c r="K105" i="13"/>
  <c r="L105" i="13"/>
  <c r="N105" i="13"/>
  <c r="O105" i="13"/>
  <c r="P105" i="13"/>
  <c r="R105" i="13"/>
  <c r="S105" i="13"/>
  <c r="T105" i="13"/>
  <c r="U105" i="13"/>
  <c r="W105" i="13"/>
  <c r="X105" i="13"/>
  <c r="Y105" i="13"/>
  <c r="Z105" i="13"/>
  <c r="AA105" i="13"/>
  <c r="AB105" i="13"/>
  <c r="AD105" i="13"/>
  <c r="AE105" i="13"/>
  <c r="AF105" i="13"/>
  <c r="AG105" i="13"/>
  <c r="AH105" i="13"/>
  <c r="AI105" i="13"/>
  <c r="AK105" i="13"/>
  <c r="AL105" i="13"/>
  <c r="AM105" i="13"/>
  <c r="AN105" i="13"/>
  <c r="AO105" i="13"/>
  <c r="AP105" i="13"/>
  <c r="AQ105" i="13"/>
  <c r="AR105" i="13"/>
  <c r="B106" i="13"/>
  <c r="C106" i="13"/>
  <c r="E106" i="13"/>
  <c r="F106" i="13"/>
  <c r="G106" i="13"/>
  <c r="J106" i="13"/>
  <c r="K106" i="13"/>
  <c r="L106" i="13"/>
  <c r="N106" i="13"/>
  <c r="O106" i="13"/>
  <c r="P106" i="13"/>
  <c r="R106" i="13"/>
  <c r="S106" i="13"/>
  <c r="T106" i="13"/>
  <c r="U106" i="13"/>
  <c r="W106" i="13"/>
  <c r="X106" i="13"/>
  <c r="Y106" i="13"/>
  <c r="Z106" i="13"/>
  <c r="AA106" i="13"/>
  <c r="AB106" i="13"/>
  <c r="AD106" i="13"/>
  <c r="AE106" i="13"/>
  <c r="AF106" i="13"/>
  <c r="AG106" i="13"/>
  <c r="AH106" i="13"/>
  <c r="AI106" i="13"/>
  <c r="AK106" i="13"/>
  <c r="AL106" i="13"/>
  <c r="AM106" i="13"/>
  <c r="AN106" i="13"/>
  <c r="AO106" i="13"/>
  <c r="AP106" i="13"/>
  <c r="AQ106" i="13"/>
  <c r="AR106" i="13"/>
  <c r="B107" i="13"/>
  <c r="C107" i="13"/>
  <c r="E107" i="13"/>
  <c r="F107" i="13"/>
  <c r="G107" i="13"/>
  <c r="J107" i="13"/>
  <c r="K107" i="13"/>
  <c r="L107" i="13"/>
  <c r="N107" i="13"/>
  <c r="O107" i="13"/>
  <c r="P107" i="13"/>
  <c r="R107" i="13"/>
  <c r="S107" i="13"/>
  <c r="T107" i="13"/>
  <c r="U107" i="13"/>
  <c r="W107" i="13"/>
  <c r="X107" i="13"/>
  <c r="Y107" i="13"/>
  <c r="Z107" i="13"/>
  <c r="AA107" i="13"/>
  <c r="AB107" i="13"/>
  <c r="AD107" i="13"/>
  <c r="AE107" i="13"/>
  <c r="AF107" i="13"/>
  <c r="AG107" i="13"/>
  <c r="AH107" i="13"/>
  <c r="AI107" i="13"/>
  <c r="AK107" i="13"/>
  <c r="AL107" i="13"/>
  <c r="AM107" i="13"/>
  <c r="AN107" i="13"/>
  <c r="AO107" i="13"/>
  <c r="AP107" i="13"/>
  <c r="AQ107" i="13"/>
  <c r="AR107" i="13"/>
  <c r="B108" i="13"/>
  <c r="C108" i="13"/>
  <c r="E108" i="13"/>
  <c r="F108" i="13"/>
  <c r="G108" i="13"/>
  <c r="J108" i="13"/>
  <c r="K108" i="13"/>
  <c r="L108" i="13"/>
  <c r="N108" i="13"/>
  <c r="O108" i="13"/>
  <c r="P108" i="13"/>
  <c r="R108" i="13"/>
  <c r="S108" i="13"/>
  <c r="T108" i="13"/>
  <c r="U108" i="13"/>
  <c r="W108" i="13"/>
  <c r="X108" i="13"/>
  <c r="Y108" i="13"/>
  <c r="Z108" i="13"/>
  <c r="AA108" i="13"/>
  <c r="AB108" i="13"/>
  <c r="AD108" i="13"/>
  <c r="AE108" i="13"/>
  <c r="AF108" i="13"/>
  <c r="AG108" i="13"/>
  <c r="AH108" i="13"/>
  <c r="AI108" i="13"/>
  <c r="AK108" i="13"/>
  <c r="AL108" i="13"/>
  <c r="AM108" i="13"/>
  <c r="AN108" i="13"/>
  <c r="AO108" i="13"/>
  <c r="AP108" i="13"/>
  <c r="AQ108" i="13"/>
  <c r="AR108" i="13"/>
  <c r="B109" i="13"/>
  <c r="C109" i="13"/>
  <c r="E109" i="13"/>
  <c r="F109" i="13"/>
  <c r="G109" i="13"/>
  <c r="J109" i="13"/>
  <c r="K109" i="13"/>
  <c r="L109" i="13"/>
  <c r="N109" i="13"/>
  <c r="O109" i="13"/>
  <c r="P109" i="13"/>
  <c r="R109" i="13"/>
  <c r="S109" i="13"/>
  <c r="T109" i="13"/>
  <c r="U109" i="13"/>
  <c r="W109" i="13"/>
  <c r="X109" i="13"/>
  <c r="Y109" i="13"/>
  <c r="Z109" i="13"/>
  <c r="AA109" i="13"/>
  <c r="AB109" i="13"/>
  <c r="AD109" i="13"/>
  <c r="AE109" i="13"/>
  <c r="AF109" i="13"/>
  <c r="AG109" i="13"/>
  <c r="AH109" i="13"/>
  <c r="AI109" i="13"/>
  <c r="AK109" i="13"/>
  <c r="AL109" i="13"/>
  <c r="AM109" i="13"/>
  <c r="AN109" i="13"/>
  <c r="AO109" i="13"/>
  <c r="AP109" i="13"/>
  <c r="AQ109" i="13"/>
  <c r="AR109" i="13"/>
  <c r="B110" i="13"/>
  <c r="C110" i="13"/>
  <c r="E110" i="13"/>
  <c r="F110" i="13"/>
  <c r="G110" i="13"/>
  <c r="J110" i="13"/>
  <c r="K110" i="13"/>
  <c r="L110" i="13"/>
  <c r="N110" i="13"/>
  <c r="O110" i="13"/>
  <c r="P110" i="13"/>
  <c r="R110" i="13"/>
  <c r="S110" i="13"/>
  <c r="T110" i="13"/>
  <c r="U110" i="13"/>
  <c r="W110" i="13"/>
  <c r="X110" i="13"/>
  <c r="Y110" i="13"/>
  <c r="Z110" i="13"/>
  <c r="AA110" i="13"/>
  <c r="AB110" i="13"/>
  <c r="AD110" i="13"/>
  <c r="AE110" i="13"/>
  <c r="AF110" i="13"/>
  <c r="AG110" i="13"/>
  <c r="AH110" i="13"/>
  <c r="AI110" i="13"/>
  <c r="AK110" i="13"/>
  <c r="AL110" i="13"/>
  <c r="AM110" i="13"/>
  <c r="AN110" i="13"/>
  <c r="AO110" i="13"/>
  <c r="AP110" i="13"/>
  <c r="AQ110" i="13"/>
  <c r="AR110" i="13"/>
  <c r="B111" i="13"/>
  <c r="C111" i="13"/>
  <c r="E111" i="13"/>
  <c r="F111" i="13"/>
  <c r="G111" i="13"/>
  <c r="J111" i="13"/>
  <c r="K111" i="13"/>
  <c r="L111" i="13"/>
  <c r="N111" i="13"/>
  <c r="O111" i="13"/>
  <c r="P111" i="13"/>
  <c r="R111" i="13"/>
  <c r="S111" i="13"/>
  <c r="T111" i="13"/>
  <c r="U111" i="13"/>
  <c r="W111" i="13"/>
  <c r="X111" i="13"/>
  <c r="Y111" i="13"/>
  <c r="Z111" i="13"/>
  <c r="AA111" i="13"/>
  <c r="AB111" i="13"/>
  <c r="AD111" i="13"/>
  <c r="AE111" i="13"/>
  <c r="AF111" i="13"/>
  <c r="AG111" i="13"/>
  <c r="AH111" i="13"/>
  <c r="AI111" i="13"/>
  <c r="AK111" i="13"/>
  <c r="AL111" i="13"/>
  <c r="AM111" i="13"/>
  <c r="AN111" i="13"/>
  <c r="AO111" i="13"/>
  <c r="AP111" i="13"/>
  <c r="AQ111" i="13"/>
  <c r="AR111" i="13"/>
  <c r="B112" i="13"/>
  <c r="C112" i="13"/>
  <c r="E112" i="13"/>
  <c r="F112" i="13"/>
  <c r="G112" i="13"/>
  <c r="J112" i="13"/>
  <c r="K112" i="13"/>
  <c r="L112" i="13"/>
  <c r="N112" i="13"/>
  <c r="O112" i="13"/>
  <c r="P112" i="13"/>
  <c r="R112" i="13"/>
  <c r="S112" i="13"/>
  <c r="T112" i="13"/>
  <c r="U112" i="13"/>
  <c r="W112" i="13"/>
  <c r="X112" i="13"/>
  <c r="Y112" i="13"/>
  <c r="Z112" i="13"/>
  <c r="AA112" i="13"/>
  <c r="AB112" i="13"/>
  <c r="AD112" i="13"/>
  <c r="AE112" i="13"/>
  <c r="AF112" i="13"/>
  <c r="AG112" i="13"/>
  <c r="AH112" i="13"/>
  <c r="AI112" i="13"/>
  <c r="AK112" i="13"/>
  <c r="AL112" i="13"/>
  <c r="AM112" i="13"/>
  <c r="AN112" i="13"/>
  <c r="AO112" i="13"/>
  <c r="AP112" i="13"/>
  <c r="AQ112" i="13"/>
  <c r="AR112" i="13"/>
  <c r="B113" i="13"/>
  <c r="C113" i="13"/>
  <c r="E113" i="13"/>
  <c r="F113" i="13"/>
  <c r="G113" i="13"/>
  <c r="J113" i="13"/>
  <c r="K113" i="13"/>
  <c r="L113" i="13"/>
  <c r="N113" i="13"/>
  <c r="O113" i="13"/>
  <c r="P113" i="13"/>
  <c r="R113" i="13"/>
  <c r="S113" i="13"/>
  <c r="T113" i="13"/>
  <c r="U113" i="13"/>
  <c r="W113" i="13"/>
  <c r="X113" i="13"/>
  <c r="Y113" i="13"/>
  <c r="Z113" i="13"/>
  <c r="AA113" i="13"/>
  <c r="AB113" i="13"/>
  <c r="AD113" i="13"/>
  <c r="AE113" i="13"/>
  <c r="AF113" i="13"/>
  <c r="AG113" i="13"/>
  <c r="AH113" i="13"/>
  <c r="AI113" i="13"/>
  <c r="AK113" i="13"/>
  <c r="AL113" i="13"/>
  <c r="AM113" i="13"/>
  <c r="AN113" i="13"/>
  <c r="AO113" i="13"/>
  <c r="AP113" i="13"/>
  <c r="AQ113" i="13"/>
  <c r="AR113" i="13"/>
  <c r="B114" i="13"/>
  <c r="C114" i="13"/>
  <c r="E114" i="13"/>
  <c r="F114" i="13"/>
  <c r="G114" i="13"/>
  <c r="J114" i="13"/>
  <c r="K114" i="13"/>
  <c r="L114" i="13"/>
  <c r="N114" i="13"/>
  <c r="O114" i="13"/>
  <c r="P114" i="13"/>
  <c r="R114" i="13"/>
  <c r="S114" i="13"/>
  <c r="T114" i="13"/>
  <c r="U114" i="13"/>
  <c r="W114" i="13"/>
  <c r="X114" i="13"/>
  <c r="Y114" i="13"/>
  <c r="Z114" i="13"/>
  <c r="AA114" i="13"/>
  <c r="AB114" i="13"/>
  <c r="AD114" i="13"/>
  <c r="AE114" i="13"/>
  <c r="AF114" i="13"/>
  <c r="AG114" i="13"/>
  <c r="AH114" i="13"/>
  <c r="AI114" i="13"/>
  <c r="AK114" i="13"/>
  <c r="AL114" i="13"/>
  <c r="AM114" i="13"/>
  <c r="AN114" i="13"/>
  <c r="AO114" i="13"/>
  <c r="AP114" i="13"/>
  <c r="AQ114" i="13"/>
  <c r="AR114" i="13"/>
  <c r="B115" i="13"/>
  <c r="C115" i="13"/>
  <c r="E115" i="13"/>
  <c r="F115" i="13"/>
  <c r="G115" i="13"/>
  <c r="J115" i="13"/>
  <c r="K115" i="13"/>
  <c r="L115" i="13"/>
  <c r="N115" i="13"/>
  <c r="O115" i="13"/>
  <c r="P115" i="13"/>
  <c r="R115" i="13"/>
  <c r="S115" i="13"/>
  <c r="T115" i="13"/>
  <c r="U115" i="13"/>
  <c r="W115" i="13"/>
  <c r="X115" i="13"/>
  <c r="Y115" i="13"/>
  <c r="Z115" i="13"/>
  <c r="AA115" i="13"/>
  <c r="AB115" i="13"/>
  <c r="AD115" i="13"/>
  <c r="AE115" i="13"/>
  <c r="AF115" i="13"/>
  <c r="AG115" i="13"/>
  <c r="AH115" i="13"/>
  <c r="AI115" i="13"/>
  <c r="AK115" i="13"/>
  <c r="AL115" i="13"/>
  <c r="AM115" i="13"/>
  <c r="AN115" i="13"/>
  <c r="AO115" i="13"/>
  <c r="AP115" i="13"/>
  <c r="AQ115" i="13"/>
  <c r="AR115" i="13"/>
  <c r="B116" i="13"/>
  <c r="C116" i="13"/>
  <c r="E116" i="13"/>
  <c r="F116" i="13"/>
  <c r="G116" i="13"/>
  <c r="J116" i="13"/>
  <c r="K116" i="13"/>
  <c r="L116" i="13"/>
  <c r="N116" i="13"/>
  <c r="O116" i="13"/>
  <c r="P116" i="13"/>
  <c r="R116" i="13"/>
  <c r="S116" i="13"/>
  <c r="T116" i="13"/>
  <c r="U116" i="13"/>
  <c r="W116" i="13"/>
  <c r="X116" i="13"/>
  <c r="Y116" i="13"/>
  <c r="Z116" i="13"/>
  <c r="AA116" i="13"/>
  <c r="AB116" i="13"/>
  <c r="AD116" i="13"/>
  <c r="AE116" i="13"/>
  <c r="AF116" i="13"/>
  <c r="AG116" i="13"/>
  <c r="AH116" i="13"/>
  <c r="AI116" i="13"/>
  <c r="AK116" i="13"/>
  <c r="AL116" i="13"/>
  <c r="AM116" i="13"/>
  <c r="AN116" i="13"/>
  <c r="AO116" i="13"/>
  <c r="AP116" i="13"/>
  <c r="AQ116" i="13"/>
  <c r="AR116" i="13"/>
  <c r="B117" i="13"/>
  <c r="C117" i="13"/>
  <c r="E117" i="13"/>
  <c r="F117" i="13"/>
  <c r="G117" i="13"/>
  <c r="J117" i="13"/>
  <c r="K117" i="13"/>
  <c r="L117" i="13"/>
  <c r="N117" i="13"/>
  <c r="O117" i="13"/>
  <c r="P117" i="13"/>
  <c r="R117" i="13"/>
  <c r="S117" i="13"/>
  <c r="T117" i="13"/>
  <c r="U117" i="13"/>
  <c r="W117" i="13"/>
  <c r="X117" i="13"/>
  <c r="Y117" i="13"/>
  <c r="Z117" i="13"/>
  <c r="AA117" i="13"/>
  <c r="AB117" i="13"/>
  <c r="AD117" i="13"/>
  <c r="AE117" i="13"/>
  <c r="AF117" i="13"/>
  <c r="AG117" i="13"/>
  <c r="AH117" i="13"/>
  <c r="AI117" i="13"/>
  <c r="AK117" i="13"/>
  <c r="AL117" i="13"/>
  <c r="AM117" i="13"/>
  <c r="AN117" i="13"/>
  <c r="AO117" i="13"/>
  <c r="AP117" i="13"/>
  <c r="AQ117" i="13"/>
  <c r="AR117" i="13"/>
  <c r="B118" i="13"/>
  <c r="C118" i="13"/>
  <c r="E118" i="13"/>
  <c r="F118" i="13"/>
  <c r="G118" i="13"/>
  <c r="J118" i="13"/>
  <c r="K118" i="13"/>
  <c r="L118" i="13"/>
  <c r="N118" i="13"/>
  <c r="O118" i="13"/>
  <c r="P118" i="13"/>
  <c r="R118" i="13"/>
  <c r="S118" i="13"/>
  <c r="T118" i="13"/>
  <c r="U118" i="13"/>
  <c r="W118" i="13"/>
  <c r="X118" i="13"/>
  <c r="Y118" i="13"/>
  <c r="Z118" i="13"/>
  <c r="AA118" i="13"/>
  <c r="AB118" i="13"/>
  <c r="AD118" i="13"/>
  <c r="AE118" i="13"/>
  <c r="AF118" i="13"/>
  <c r="AG118" i="13"/>
  <c r="AH118" i="13"/>
  <c r="AI118" i="13"/>
  <c r="AK118" i="13"/>
  <c r="AL118" i="13"/>
  <c r="AM118" i="13"/>
  <c r="AN118" i="13"/>
  <c r="AO118" i="13"/>
  <c r="AP118" i="13"/>
  <c r="AQ118" i="13"/>
  <c r="AR118" i="13"/>
  <c r="B119" i="13"/>
  <c r="C119" i="13"/>
  <c r="E119" i="13"/>
  <c r="F119" i="13"/>
  <c r="G119" i="13"/>
  <c r="J119" i="13"/>
  <c r="K119" i="13"/>
  <c r="L119" i="13"/>
  <c r="N119" i="13"/>
  <c r="O119" i="13"/>
  <c r="P119" i="13"/>
  <c r="R119" i="13"/>
  <c r="S119" i="13"/>
  <c r="T119" i="13"/>
  <c r="U119" i="13"/>
  <c r="W119" i="13"/>
  <c r="X119" i="13"/>
  <c r="Y119" i="13"/>
  <c r="Z119" i="13"/>
  <c r="AA119" i="13"/>
  <c r="AB119" i="13"/>
  <c r="AD119" i="13"/>
  <c r="AE119" i="13"/>
  <c r="AF119" i="13"/>
  <c r="AG119" i="13"/>
  <c r="AH119" i="13"/>
  <c r="AI119" i="13"/>
  <c r="AK119" i="13"/>
  <c r="AL119" i="13"/>
  <c r="AM119" i="13"/>
  <c r="AN119" i="13"/>
  <c r="AO119" i="13"/>
  <c r="AP119" i="13"/>
  <c r="AQ119" i="13"/>
  <c r="AR119" i="13"/>
  <c r="B120" i="13"/>
  <c r="C120" i="13"/>
  <c r="E120" i="13"/>
  <c r="F120" i="13"/>
  <c r="G120" i="13"/>
  <c r="J120" i="13"/>
  <c r="K120" i="13"/>
  <c r="L120" i="13"/>
  <c r="N120" i="13"/>
  <c r="O120" i="13"/>
  <c r="P120" i="13"/>
  <c r="R120" i="13"/>
  <c r="S120" i="13"/>
  <c r="T120" i="13"/>
  <c r="U120" i="13"/>
  <c r="W120" i="13"/>
  <c r="X120" i="13"/>
  <c r="Y120" i="13"/>
  <c r="Z120" i="13"/>
  <c r="AA120" i="13"/>
  <c r="AB120" i="13"/>
  <c r="AD120" i="13"/>
  <c r="AE120" i="13"/>
  <c r="AF120" i="13"/>
  <c r="AG120" i="13"/>
  <c r="AH120" i="13"/>
  <c r="AI120" i="13"/>
  <c r="AK120" i="13"/>
  <c r="AL120" i="13"/>
  <c r="AM120" i="13"/>
  <c r="AN120" i="13"/>
  <c r="AO120" i="13"/>
  <c r="AP120" i="13"/>
  <c r="AQ120" i="13"/>
  <c r="AR120" i="13"/>
  <c r="B121" i="13"/>
  <c r="C121" i="13"/>
  <c r="E121" i="13"/>
  <c r="F121" i="13"/>
  <c r="G121" i="13"/>
  <c r="J121" i="13"/>
  <c r="K121" i="13"/>
  <c r="L121" i="13"/>
  <c r="N121" i="13"/>
  <c r="O121" i="13"/>
  <c r="P121" i="13"/>
  <c r="R121" i="13"/>
  <c r="S121" i="13"/>
  <c r="T121" i="13"/>
  <c r="U121" i="13"/>
  <c r="W121" i="13"/>
  <c r="X121" i="13"/>
  <c r="Y121" i="13"/>
  <c r="Z121" i="13"/>
  <c r="AA121" i="13"/>
  <c r="AB121" i="13"/>
  <c r="AD121" i="13"/>
  <c r="AE121" i="13"/>
  <c r="AF121" i="13"/>
  <c r="AG121" i="13"/>
  <c r="AH121" i="13"/>
  <c r="AI121" i="13"/>
  <c r="AK121" i="13"/>
  <c r="AL121" i="13"/>
  <c r="AM121" i="13"/>
  <c r="AN121" i="13"/>
  <c r="AO121" i="13"/>
  <c r="AP121" i="13"/>
  <c r="AQ121" i="13"/>
  <c r="AR121" i="13"/>
  <c r="B122" i="13"/>
  <c r="C122" i="13"/>
  <c r="E122" i="13"/>
  <c r="F122" i="13"/>
  <c r="G122" i="13"/>
  <c r="J122" i="13"/>
  <c r="K122" i="13"/>
  <c r="L122" i="13"/>
  <c r="N122" i="13"/>
  <c r="O122" i="13"/>
  <c r="P122" i="13"/>
  <c r="R122" i="13"/>
  <c r="S122" i="13"/>
  <c r="T122" i="13"/>
  <c r="U122" i="13"/>
  <c r="W122" i="13"/>
  <c r="X122" i="13"/>
  <c r="Y122" i="13"/>
  <c r="Z122" i="13"/>
  <c r="AA122" i="13"/>
  <c r="AB122" i="13"/>
  <c r="AD122" i="13"/>
  <c r="AE122" i="13"/>
  <c r="AF122" i="13"/>
  <c r="AG122" i="13"/>
  <c r="AH122" i="13"/>
  <c r="AI122" i="13"/>
  <c r="AK122" i="13"/>
  <c r="AL122" i="13"/>
  <c r="AM122" i="13"/>
  <c r="AN122" i="13"/>
  <c r="AO122" i="13"/>
  <c r="AP122" i="13"/>
  <c r="AQ122" i="13"/>
  <c r="AR122" i="13"/>
  <c r="B123" i="13"/>
  <c r="C123" i="13"/>
  <c r="E123" i="13"/>
  <c r="F123" i="13"/>
  <c r="G123" i="13"/>
  <c r="J123" i="13"/>
  <c r="K123" i="13"/>
  <c r="L123" i="13"/>
  <c r="N123" i="13"/>
  <c r="O123" i="13"/>
  <c r="P123" i="13"/>
  <c r="R123" i="13"/>
  <c r="S123" i="13"/>
  <c r="T123" i="13"/>
  <c r="U123" i="13"/>
  <c r="W123" i="13"/>
  <c r="X123" i="13"/>
  <c r="Y123" i="13"/>
  <c r="Z123" i="13"/>
  <c r="AA123" i="13"/>
  <c r="AB123" i="13"/>
  <c r="AD123" i="13"/>
  <c r="AE123" i="13"/>
  <c r="AF123" i="13"/>
  <c r="AG123" i="13"/>
  <c r="AH123" i="13"/>
  <c r="AI123" i="13"/>
  <c r="AK123" i="13"/>
  <c r="AL123" i="13"/>
  <c r="AM123" i="13"/>
  <c r="AN123" i="13"/>
  <c r="AO123" i="13"/>
  <c r="AP123" i="13"/>
  <c r="AQ123" i="13"/>
  <c r="AR123" i="13"/>
  <c r="B124" i="13"/>
  <c r="C124" i="13"/>
  <c r="E124" i="13"/>
  <c r="F124" i="13"/>
  <c r="G124" i="13"/>
  <c r="J124" i="13"/>
  <c r="K124" i="13"/>
  <c r="L124" i="13"/>
  <c r="N124" i="13"/>
  <c r="O124" i="13"/>
  <c r="P124" i="13"/>
  <c r="R124" i="13"/>
  <c r="S124" i="13"/>
  <c r="T124" i="13"/>
  <c r="U124" i="13"/>
  <c r="W124" i="13"/>
  <c r="X124" i="13"/>
  <c r="Y124" i="13"/>
  <c r="Z124" i="13"/>
  <c r="AA124" i="13"/>
  <c r="AB124" i="13"/>
  <c r="AD124" i="13"/>
  <c r="AE124" i="13"/>
  <c r="AF124" i="13"/>
  <c r="AG124" i="13"/>
  <c r="AH124" i="13"/>
  <c r="AI124" i="13"/>
  <c r="AK124" i="13"/>
  <c r="AL124" i="13"/>
  <c r="AM124" i="13"/>
  <c r="AN124" i="13"/>
  <c r="AO124" i="13"/>
  <c r="AP124" i="13"/>
  <c r="AQ124" i="13"/>
  <c r="AR124" i="13"/>
  <c r="B125" i="13"/>
  <c r="C125" i="13"/>
  <c r="E125" i="13"/>
  <c r="F125" i="13"/>
  <c r="G125" i="13"/>
  <c r="J125" i="13"/>
  <c r="K125" i="13"/>
  <c r="L125" i="13"/>
  <c r="N125" i="13"/>
  <c r="O125" i="13"/>
  <c r="P125" i="13"/>
  <c r="R125" i="13"/>
  <c r="S125" i="13"/>
  <c r="T125" i="13"/>
  <c r="U125" i="13"/>
  <c r="W125" i="13"/>
  <c r="X125" i="13"/>
  <c r="Y125" i="13"/>
  <c r="Z125" i="13"/>
  <c r="AA125" i="13"/>
  <c r="AB125" i="13"/>
  <c r="AD125" i="13"/>
  <c r="AE125" i="13"/>
  <c r="AF125" i="13"/>
  <c r="AG125" i="13"/>
  <c r="AH125" i="13"/>
  <c r="AI125" i="13"/>
  <c r="AK125" i="13"/>
  <c r="AL125" i="13"/>
  <c r="AM125" i="13"/>
  <c r="AN125" i="13"/>
  <c r="AO125" i="13"/>
  <c r="AP125" i="13"/>
  <c r="AQ125" i="13"/>
  <c r="AR125" i="13"/>
  <c r="B126" i="13"/>
  <c r="C126" i="13"/>
  <c r="E126" i="13"/>
  <c r="F126" i="13"/>
  <c r="G126" i="13"/>
  <c r="J126" i="13"/>
  <c r="K126" i="13"/>
  <c r="L126" i="13"/>
  <c r="N126" i="13"/>
  <c r="O126" i="13"/>
  <c r="P126" i="13"/>
  <c r="R126" i="13"/>
  <c r="S126" i="13"/>
  <c r="T126" i="13"/>
  <c r="U126" i="13"/>
  <c r="W126" i="13"/>
  <c r="X126" i="13"/>
  <c r="Y126" i="13"/>
  <c r="Z126" i="13"/>
  <c r="AA126" i="13"/>
  <c r="AB126" i="13"/>
  <c r="AD126" i="13"/>
  <c r="AE126" i="13"/>
  <c r="AF126" i="13"/>
  <c r="AG126" i="13"/>
  <c r="AH126" i="13"/>
  <c r="AI126" i="13"/>
  <c r="AK126" i="13"/>
  <c r="AL126" i="13"/>
  <c r="AM126" i="13"/>
  <c r="AN126" i="13"/>
  <c r="AO126" i="13"/>
  <c r="AP126" i="13"/>
  <c r="AQ126" i="13"/>
  <c r="AR126" i="13"/>
  <c r="B127" i="13"/>
  <c r="C127" i="13"/>
  <c r="E127" i="13"/>
  <c r="F127" i="13"/>
  <c r="G127" i="13"/>
  <c r="J127" i="13"/>
  <c r="K127" i="13"/>
  <c r="L127" i="13"/>
  <c r="N127" i="13"/>
  <c r="O127" i="13"/>
  <c r="P127" i="13"/>
  <c r="R127" i="13"/>
  <c r="S127" i="13"/>
  <c r="T127" i="13"/>
  <c r="U127" i="13"/>
  <c r="W127" i="13"/>
  <c r="X127" i="13"/>
  <c r="Y127" i="13"/>
  <c r="Z127" i="13"/>
  <c r="AA127" i="13"/>
  <c r="AB127" i="13"/>
  <c r="AD127" i="13"/>
  <c r="AE127" i="13"/>
  <c r="AF127" i="13"/>
  <c r="AG127" i="13"/>
  <c r="AH127" i="13"/>
  <c r="AI127" i="13"/>
  <c r="AK127" i="13"/>
  <c r="AL127" i="13"/>
  <c r="AM127" i="13"/>
  <c r="AN127" i="13"/>
  <c r="AO127" i="13"/>
  <c r="AP127" i="13"/>
  <c r="AQ127" i="13"/>
  <c r="AR127" i="13"/>
  <c r="B128" i="13"/>
  <c r="C128" i="13"/>
  <c r="E128" i="13"/>
  <c r="F128" i="13"/>
  <c r="G128" i="13"/>
  <c r="J128" i="13"/>
  <c r="K128" i="13"/>
  <c r="L128" i="13"/>
  <c r="N128" i="13"/>
  <c r="O128" i="13"/>
  <c r="P128" i="13"/>
  <c r="R128" i="13"/>
  <c r="S128" i="13"/>
  <c r="T128" i="13"/>
  <c r="U128" i="13"/>
  <c r="W128" i="13"/>
  <c r="X128" i="13"/>
  <c r="Y128" i="13"/>
  <c r="Z128" i="13"/>
  <c r="AA128" i="13"/>
  <c r="AB128" i="13"/>
  <c r="AD128" i="13"/>
  <c r="AE128" i="13"/>
  <c r="AF128" i="13"/>
  <c r="AG128" i="13"/>
  <c r="AH128" i="13"/>
  <c r="AI128" i="13"/>
  <c r="AK128" i="13"/>
  <c r="AL128" i="13"/>
  <c r="AM128" i="13"/>
  <c r="AN128" i="13"/>
  <c r="AO128" i="13"/>
  <c r="AP128" i="13"/>
  <c r="AQ128" i="13"/>
  <c r="AR128" i="13"/>
  <c r="B129" i="13"/>
  <c r="C129" i="13"/>
  <c r="E129" i="13"/>
  <c r="F129" i="13"/>
  <c r="G129" i="13"/>
  <c r="J129" i="13"/>
  <c r="K129" i="13"/>
  <c r="L129" i="13"/>
  <c r="N129" i="13"/>
  <c r="O129" i="13"/>
  <c r="P129" i="13"/>
  <c r="R129" i="13"/>
  <c r="S129" i="13"/>
  <c r="T129" i="13"/>
  <c r="U129" i="13"/>
  <c r="W129" i="13"/>
  <c r="X129" i="13"/>
  <c r="Y129" i="13"/>
  <c r="Z129" i="13"/>
  <c r="AA129" i="13"/>
  <c r="AB129" i="13"/>
  <c r="AD129" i="13"/>
  <c r="AE129" i="13"/>
  <c r="AF129" i="13"/>
  <c r="AG129" i="13"/>
  <c r="AH129" i="13"/>
  <c r="AI129" i="13"/>
  <c r="AK129" i="13"/>
  <c r="AL129" i="13"/>
  <c r="AM129" i="13"/>
  <c r="AN129" i="13"/>
  <c r="AO129" i="13"/>
  <c r="AP129" i="13"/>
  <c r="AQ129" i="13"/>
  <c r="AR129" i="13"/>
  <c r="B130" i="13"/>
  <c r="C130" i="13"/>
  <c r="E130" i="13"/>
  <c r="F130" i="13"/>
  <c r="G130" i="13"/>
  <c r="J130" i="13"/>
  <c r="K130" i="13"/>
  <c r="L130" i="13"/>
  <c r="N130" i="13"/>
  <c r="O130" i="13"/>
  <c r="P130" i="13"/>
  <c r="R130" i="13"/>
  <c r="S130" i="13"/>
  <c r="T130" i="13"/>
  <c r="U130" i="13"/>
  <c r="W130" i="13"/>
  <c r="X130" i="13"/>
  <c r="Y130" i="13"/>
  <c r="Z130" i="13"/>
  <c r="AA130" i="13"/>
  <c r="AB130" i="13"/>
  <c r="AD130" i="13"/>
  <c r="AE130" i="13"/>
  <c r="AF130" i="13"/>
  <c r="AG130" i="13"/>
  <c r="AH130" i="13"/>
  <c r="AI130" i="13"/>
  <c r="AK130" i="13"/>
  <c r="AL130" i="13"/>
  <c r="AM130" i="13"/>
  <c r="AN130" i="13"/>
  <c r="AO130" i="13"/>
  <c r="AP130" i="13"/>
  <c r="AQ130" i="13"/>
  <c r="AR130" i="13"/>
  <c r="B131" i="13"/>
  <c r="C131" i="13"/>
  <c r="E131" i="13"/>
  <c r="F131" i="13"/>
  <c r="G131" i="13"/>
  <c r="J131" i="13"/>
  <c r="K131" i="13"/>
  <c r="L131" i="13"/>
  <c r="N131" i="13"/>
  <c r="O131" i="13"/>
  <c r="P131" i="13"/>
  <c r="R131" i="13"/>
  <c r="S131" i="13"/>
  <c r="T131" i="13"/>
  <c r="U131" i="13"/>
  <c r="W131" i="13"/>
  <c r="X131" i="13"/>
  <c r="Y131" i="13"/>
  <c r="Z131" i="13"/>
  <c r="AA131" i="13"/>
  <c r="AB131" i="13"/>
  <c r="AD131" i="13"/>
  <c r="AE131" i="13"/>
  <c r="AF131" i="13"/>
  <c r="AG131" i="13"/>
  <c r="AH131" i="13"/>
  <c r="AI131" i="13"/>
  <c r="AK131" i="13"/>
  <c r="AL131" i="13"/>
  <c r="AM131" i="13"/>
  <c r="AN131" i="13"/>
  <c r="AO131" i="13"/>
  <c r="AP131" i="13"/>
  <c r="AQ131" i="13"/>
  <c r="AR131" i="13"/>
  <c r="B132" i="13"/>
  <c r="C132" i="13"/>
  <c r="E132" i="13"/>
  <c r="F132" i="13"/>
  <c r="G132" i="13"/>
  <c r="J132" i="13"/>
  <c r="K132" i="13"/>
  <c r="L132" i="13"/>
  <c r="N132" i="13"/>
  <c r="O132" i="13"/>
  <c r="P132" i="13"/>
  <c r="R132" i="13"/>
  <c r="S132" i="13"/>
  <c r="T132" i="13"/>
  <c r="U132" i="13"/>
  <c r="W132" i="13"/>
  <c r="X132" i="13"/>
  <c r="Y132" i="13"/>
  <c r="Z132" i="13"/>
  <c r="AA132" i="13"/>
  <c r="AB132" i="13"/>
  <c r="AD132" i="13"/>
  <c r="AE132" i="13"/>
  <c r="AF132" i="13"/>
  <c r="AG132" i="13"/>
  <c r="AH132" i="13"/>
  <c r="AI132" i="13"/>
  <c r="AK132" i="13"/>
  <c r="AL132" i="13"/>
  <c r="AM132" i="13"/>
  <c r="AN132" i="13"/>
  <c r="AO132" i="13"/>
  <c r="AP132" i="13"/>
  <c r="AQ132" i="13"/>
  <c r="AR132" i="13"/>
  <c r="B133" i="13"/>
  <c r="C133" i="13"/>
  <c r="E133" i="13"/>
  <c r="F133" i="13"/>
  <c r="G133" i="13"/>
  <c r="J133" i="13"/>
  <c r="K133" i="13"/>
  <c r="L133" i="13"/>
  <c r="N133" i="13"/>
  <c r="O133" i="13"/>
  <c r="P133" i="13"/>
  <c r="R133" i="13"/>
  <c r="S133" i="13"/>
  <c r="T133" i="13"/>
  <c r="U133" i="13"/>
  <c r="W133" i="13"/>
  <c r="X133" i="13"/>
  <c r="Y133" i="13"/>
  <c r="Z133" i="13"/>
  <c r="AA133" i="13"/>
  <c r="AB133" i="13"/>
  <c r="AD133" i="13"/>
  <c r="AE133" i="13"/>
  <c r="AF133" i="13"/>
  <c r="AG133" i="13"/>
  <c r="AH133" i="13"/>
  <c r="AI133" i="13"/>
  <c r="AK133" i="13"/>
  <c r="AL133" i="13"/>
  <c r="AM133" i="13"/>
  <c r="AN133" i="13"/>
  <c r="AO133" i="13"/>
  <c r="AP133" i="13"/>
  <c r="AQ133" i="13"/>
  <c r="AR133" i="13"/>
  <c r="B134" i="13"/>
  <c r="C134" i="13"/>
  <c r="E134" i="13"/>
  <c r="F134" i="13"/>
  <c r="G134" i="13"/>
  <c r="J134" i="13"/>
  <c r="K134" i="13"/>
  <c r="L134" i="13"/>
  <c r="N134" i="13"/>
  <c r="O134" i="13"/>
  <c r="P134" i="13"/>
  <c r="R134" i="13"/>
  <c r="S134" i="13"/>
  <c r="T134" i="13"/>
  <c r="U134" i="13"/>
  <c r="W134" i="13"/>
  <c r="X134" i="13"/>
  <c r="Y134" i="13"/>
  <c r="Z134" i="13"/>
  <c r="AA134" i="13"/>
  <c r="AB134" i="13"/>
  <c r="AD134" i="13"/>
  <c r="AE134" i="13"/>
  <c r="AF134" i="13"/>
  <c r="AG134" i="13"/>
  <c r="AH134" i="13"/>
  <c r="AI134" i="13"/>
  <c r="AK134" i="13"/>
  <c r="AL134" i="13"/>
  <c r="AM134" i="13"/>
  <c r="AN134" i="13"/>
  <c r="AO134" i="13"/>
  <c r="AP134" i="13"/>
  <c r="AQ134" i="13"/>
  <c r="AR134" i="13"/>
  <c r="B135" i="13"/>
  <c r="C135" i="13"/>
  <c r="E135" i="13"/>
  <c r="F135" i="13"/>
  <c r="G135" i="13"/>
  <c r="J135" i="13"/>
  <c r="K135" i="13"/>
  <c r="L135" i="13"/>
  <c r="N135" i="13"/>
  <c r="O135" i="13"/>
  <c r="P135" i="13"/>
  <c r="R135" i="13"/>
  <c r="S135" i="13"/>
  <c r="T135" i="13"/>
  <c r="U135" i="13"/>
  <c r="W135" i="13"/>
  <c r="X135" i="13"/>
  <c r="Y135" i="13"/>
  <c r="Z135" i="13"/>
  <c r="AA135" i="13"/>
  <c r="AB135" i="13"/>
  <c r="AD135" i="13"/>
  <c r="AE135" i="13"/>
  <c r="AF135" i="13"/>
  <c r="AG135" i="13"/>
  <c r="AH135" i="13"/>
  <c r="AI135" i="13"/>
  <c r="AK135" i="13"/>
  <c r="AL135" i="13"/>
  <c r="AM135" i="13"/>
  <c r="AN135" i="13"/>
  <c r="AO135" i="13"/>
  <c r="AP135" i="13"/>
  <c r="AQ135" i="13"/>
  <c r="AR135" i="13"/>
  <c r="B136" i="13"/>
  <c r="C136" i="13"/>
  <c r="E136" i="13"/>
  <c r="F136" i="13"/>
  <c r="G136" i="13"/>
  <c r="J136" i="13"/>
  <c r="K136" i="13"/>
  <c r="L136" i="13"/>
  <c r="N136" i="13"/>
  <c r="O136" i="13"/>
  <c r="P136" i="13"/>
  <c r="R136" i="13"/>
  <c r="S136" i="13"/>
  <c r="T136" i="13"/>
  <c r="U136" i="13"/>
  <c r="W136" i="13"/>
  <c r="X136" i="13"/>
  <c r="Y136" i="13"/>
  <c r="Z136" i="13"/>
  <c r="AA136" i="13"/>
  <c r="AB136" i="13"/>
  <c r="AD136" i="13"/>
  <c r="AE136" i="13"/>
  <c r="AF136" i="13"/>
  <c r="AG136" i="13"/>
  <c r="AH136" i="13"/>
  <c r="AI136" i="13"/>
  <c r="AK136" i="13"/>
  <c r="AL136" i="13"/>
  <c r="AM136" i="13"/>
  <c r="AN136" i="13"/>
  <c r="AO136" i="13"/>
  <c r="AP136" i="13"/>
  <c r="AQ136" i="13"/>
  <c r="AR136" i="13"/>
  <c r="B137" i="13"/>
  <c r="C137" i="13"/>
  <c r="E137" i="13"/>
  <c r="F137" i="13"/>
  <c r="G137" i="13"/>
  <c r="J137" i="13"/>
  <c r="K137" i="13"/>
  <c r="L137" i="13"/>
  <c r="N137" i="13"/>
  <c r="O137" i="13"/>
  <c r="P137" i="13"/>
  <c r="R137" i="13"/>
  <c r="S137" i="13"/>
  <c r="T137" i="13"/>
  <c r="U137" i="13"/>
  <c r="W137" i="13"/>
  <c r="X137" i="13"/>
  <c r="Y137" i="13"/>
  <c r="Z137" i="13"/>
  <c r="AA137" i="13"/>
  <c r="AB137" i="13"/>
  <c r="AD137" i="13"/>
  <c r="AE137" i="13"/>
  <c r="AF137" i="13"/>
  <c r="AG137" i="13"/>
  <c r="AH137" i="13"/>
  <c r="AI137" i="13"/>
  <c r="AK137" i="13"/>
  <c r="AL137" i="13"/>
  <c r="AM137" i="13"/>
  <c r="AN137" i="13"/>
  <c r="AO137" i="13"/>
  <c r="AP137" i="13"/>
  <c r="AQ137" i="13"/>
  <c r="AR137" i="13"/>
  <c r="B138" i="13"/>
  <c r="C138" i="13"/>
  <c r="E138" i="13"/>
  <c r="F138" i="13"/>
  <c r="G138" i="13"/>
  <c r="J138" i="13"/>
  <c r="K138" i="13"/>
  <c r="L138" i="13"/>
  <c r="N138" i="13"/>
  <c r="O138" i="13"/>
  <c r="P138" i="13"/>
  <c r="R138" i="13"/>
  <c r="S138" i="13"/>
  <c r="T138" i="13"/>
  <c r="U138" i="13"/>
  <c r="W138" i="13"/>
  <c r="X138" i="13"/>
  <c r="Y138" i="13"/>
  <c r="Z138" i="13"/>
  <c r="AA138" i="13"/>
  <c r="AB138" i="13"/>
  <c r="AD138" i="13"/>
  <c r="AE138" i="13"/>
  <c r="AF138" i="13"/>
  <c r="AG138" i="13"/>
  <c r="AH138" i="13"/>
  <c r="AI138" i="13"/>
  <c r="AK138" i="13"/>
  <c r="AL138" i="13"/>
  <c r="AM138" i="13"/>
  <c r="AN138" i="13"/>
  <c r="AO138" i="13"/>
  <c r="AP138" i="13"/>
  <c r="AQ138" i="13"/>
  <c r="AR138" i="13"/>
  <c r="B139" i="13"/>
  <c r="C139" i="13"/>
  <c r="E139" i="13"/>
  <c r="F139" i="13"/>
  <c r="G139" i="13"/>
  <c r="J139" i="13"/>
  <c r="K139" i="13"/>
  <c r="L139" i="13"/>
  <c r="N139" i="13"/>
  <c r="O139" i="13"/>
  <c r="P139" i="13"/>
  <c r="R139" i="13"/>
  <c r="S139" i="13"/>
  <c r="T139" i="13"/>
  <c r="U139" i="13"/>
  <c r="W139" i="13"/>
  <c r="X139" i="13"/>
  <c r="Y139" i="13"/>
  <c r="Z139" i="13"/>
  <c r="AA139" i="13"/>
  <c r="AB139" i="13"/>
  <c r="AD139" i="13"/>
  <c r="AE139" i="13"/>
  <c r="AF139" i="13"/>
  <c r="AG139" i="13"/>
  <c r="AH139" i="13"/>
  <c r="AI139" i="13"/>
  <c r="AK139" i="13"/>
  <c r="AL139" i="13"/>
  <c r="AM139" i="13"/>
  <c r="AN139" i="13"/>
  <c r="AO139" i="13"/>
  <c r="AP139" i="13"/>
  <c r="AQ139" i="13"/>
  <c r="AR139" i="13"/>
  <c r="B140" i="13"/>
  <c r="C140" i="13"/>
  <c r="E140" i="13"/>
  <c r="F140" i="13"/>
  <c r="G140" i="13"/>
  <c r="J140" i="13"/>
  <c r="K140" i="13"/>
  <c r="L140" i="13"/>
  <c r="N140" i="13"/>
  <c r="O140" i="13"/>
  <c r="P140" i="13"/>
  <c r="R140" i="13"/>
  <c r="S140" i="13"/>
  <c r="T140" i="13"/>
  <c r="U140" i="13"/>
  <c r="W140" i="13"/>
  <c r="X140" i="13"/>
  <c r="Y140" i="13"/>
  <c r="Z140" i="13"/>
  <c r="AA140" i="13"/>
  <c r="AB140" i="13"/>
  <c r="AD140" i="13"/>
  <c r="AE140" i="13"/>
  <c r="AF140" i="13"/>
  <c r="AG140" i="13"/>
  <c r="AH140" i="13"/>
  <c r="AI140" i="13"/>
  <c r="AK140" i="13"/>
  <c r="AL140" i="13"/>
  <c r="AM140" i="13"/>
  <c r="AN140" i="13"/>
  <c r="AO140" i="13"/>
  <c r="AP140" i="13"/>
  <c r="AQ140" i="13"/>
  <c r="AR140" i="13"/>
  <c r="B141" i="13"/>
  <c r="C141" i="13"/>
  <c r="E141" i="13"/>
  <c r="F141" i="13"/>
  <c r="G141" i="13"/>
  <c r="J141" i="13"/>
  <c r="K141" i="13"/>
  <c r="L141" i="13"/>
  <c r="N141" i="13"/>
  <c r="O141" i="13"/>
  <c r="P141" i="13"/>
  <c r="R141" i="13"/>
  <c r="S141" i="13"/>
  <c r="T141" i="13"/>
  <c r="U141" i="13"/>
  <c r="W141" i="13"/>
  <c r="X141" i="13"/>
  <c r="Y141" i="13"/>
  <c r="Z141" i="13"/>
  <c r="AA141" i="13"/>
  <c r="AB141" i="13"/>
  <c r="AD141" i="13"/>
  <c r="AE141" i="13"/>
  <c r="AF141" i="13"/>
  <c r="AG141" i="13"/>
  <c r="AH141" i="13"/>
  <c r="AI141" i="13"/>
  <c r="AK141" i="13"/>
  <c r="AL141" i="13"/>
  <c r="AM141" i="13"/>
  <c r="AN141" i="13"/>
  <c r="AO141" i="13"/>
  <c r="AP141" i="13"/>
  <c r="AQ141" i="13"/>
  <c r="AR141" i="13"/>
  <c r="B142" i="13"/>
  <c r="C142" i="13"/>
  <c r="E142" i="13"/>
  <c r="F142" i="13"/>
  <c r="G142" i="13"/>
  <c r="J142" i="13"/>
  <c r="K142" i="13"/>
  <c r="L142" i="13"/>
  <c r="N142" i="13"/>
  <c r="O142" i="13"/>
  <c r="P142" i="13"/>
  <c r="R142" i="13"/>
  <c r="S142" i="13"/>
  <c r="T142" i="13"/>
  <c r="U142" i="13"/>
  <c r="W142" i="13"/>
  <c r="X142" i="13"/>
  <c r="Y142" i="13"/>
  <c r="Z142" i="13"/>
  <c r="AA142" i="13"/>
  <c r="AB142" i="13"/>
  <c r="AD142" i="13"/>
  <c r="AE142" i="13"/>
  <c r="AF142" i="13"/>
  <c r="AG142" i="13"/>
  <c r="AH142" i="13"/>
  <c r="AI142" i="13"/>
  <c r="AK142" i="13"/>
  <c r="AL142" i="13"/>
  <c r="AM142" i="13"/>
  <c r="AN142" i="13"/>
  <c r="AO142" i="13"/>
  <c r="AP142" i="13"/>
  <c r="AQ142" i="13"/>
  <c r="AR142" i="13"/>
  <c r="B143" i="13"/>
  <c r="C143" i="13"/>
  <c r="E143" i="13"/>
  <c r="F143" i="13"/>
  <c r="G143" i="13"/>
  <c r="J143" i="13"/>
  <c r="K143" i="13"/>
  <c r="L143" i="13"/>
  <c r="N143" i="13"/>
  <c r="O143" i="13"/>
  <c r="P143" i="13"/>
  <c r="R143" i="13"/>
  <c r="S143" i="13"/>
  <c r="T143" i="13"/>
  <c r="U143" i="13"/>
  <c r="W143" i="13"/>
  <c r="X143" i="13"/>
  <c r="Y143" i="13"/>
  <c r="Z143" i="13"/>
  <c r="AA143" i="13"/>
  <c r="AB143" i="13"/>
  <c r="AD143" i="13"/>
  <c r="AE143" i="13"/>
  <c r="AF143" i="13"/>
  <c r="AG143" i="13"/>
  <c r="AH143" i="13"/>
  <c r="AI143" i="13"/>
  <c r="AK143" i="13"/>
  <c r="AL143" i="13"/>
  <c r="AM143" i="13"/>
  <c r="AN143" i="13"/>
  <c r="AO143" i="13"/>
  <c r="AP143" i="13"/>
  <c r="AQ143" i="13"/>
  <c r="AR143" i="13"/>
  <c r="B144" i="13"/>
  <c r="C144" i="13"/>
  <c r="E144" i="13"/>
  <c r="F144" i="13"/>
  <c r="G144" i="13"/>
  <c r="J144" i="13"/>
  <c r="K144" i="13"/>
  <c r="L144" i="13"/>
  <c r="N144" i="13"/>
  <c r="O144" i="13"/>
  <c r="P144" i="13"/>
  <c r="R144" i="13"/>
  <c r="S144" i="13"/>
  <c r="T144" i="13"/>
  <c r="U144" i="13"/>
  <c r="W144" i="13"/>
  <c r="X144" i="13"/>
  <c r="Y144" i="13"/>
  <c r="Z144" i="13"/>
  <c r="AA144" i="13"/>
  <c r="AB144" i="13"/>
  <c r="AD144" i="13"/>
  <c r="AE144" i="13"/>
  <c r="AF144" i="13"/>
  <c r="AG144" i="13"/>
  <c r="AH144" i="13"/>
  <c r="AI144" i="13"/>
  <c r="AK144" i="13"/>
  <c r="AL144" i="13"/>
  <c r="AM144" i="13"/>
  <c r="AN144" i="13"/>
  <c r="AO144" i="13"/>
  <c r="AP144" i="13"/>
  <c r="AQ144" i="13"/>
  <c r="AR144" i="13"/>
  <c r="B145" i="13"/>
  <c r="C145" i="13"/>
  <c r="E145" i="13"/>
  <c r="F145" i="13"/>
  <c r="G145" i="13"/>
  <c r="J145" i="13"/>
  <c r="K145" i="13"/>
  <c r="L145" i="13"/>
  <c r="N145" i="13"/>
  <c r="O145" i="13"/>
  <c r="P145" i="13"/>
  <c r="R145" i="13"/>
  <c r="S145" i="13"/>
  <c r="T145" i="13"/>
  <c r="U145" i="13"/>
  <c r="W145" i="13"/>
  <c r="X145" i="13"/>
  <c r="Y145" i="13"/>
  <c r="Z145" i="13"/>
  <c r="AA145" i="13"/>
  <c r="AB145" i="13"/>
  <c r="AD145" i="13"/>
  <c r="AE145" i="13"/>
  <c r="AF145" i="13"/>
  <c r="AG145" i="13"/>
  <c r="AH145" i="13"/>
  <c r="AI145" i="13"/>
  <c r="AK145" i="13"/>
  <c r="AL145" i="13"/>
  <c r="AM145" i="13"/>
  <c r="AN145" i="13"/>
  <c r="AO145" i="13"/>
  <c r="AP145" i="13"/>
  <c r="AQ145" i="13"/>
  <c r="AR145" i="13"/>
  <c r="B146" i="13"/>
  <c r="C146" i="13"/>
  <c r="E146" i="13"/>
  <c r="F146" i="13"/>
  <c r="G146" i="13"/>
  <c r="J146" i="13"/>
  <c r="K146" i="13"/>
  <c r="L146" i="13"/>
  <c r="N146" i="13"/>
  <c r="O146" i="13"/>
  <c r="P146" i="13"/>
  <c r="R146" i="13"/>
  <c r="S146" i="13"/>
  <c r="T146" i="13"/>
  <c r="U146" i="13"/>
  <c r="W146" i="13"/>
  <c r="X146" i="13"/>
  <c r="Y146" i="13"/>
  <c r="Z146" i="13"/>
  <c r="AA146" i="13"/>
  <c r="AB146" i="13"/>
  <c r="AD146" i="13"/>
  <c r="AE146" i="13"/>
  <c r="AF146" i="13"/>
  <c r="AG146" i="13"/>
  <c r="AH146" i="13"/>
  <c r="AI146" i="13"/>
  <c r="AK146" i="13"/>
  <c r="AL146" i="13"/>
  <c r="AM146" i="13"/>
  <c r="AN146" i="13"/>
  <c r="AO146" i="13"/>
  <c r="AP146" i="13"/>
  <c r="AQ146" i="13"/>
  <c r="AR146" i="13"/>
  <c r="B147" i="13"/>
  <c r="C147" i="13"/>
  <c r="E147" i="13"/>
  <c r="F147" i="13"/>
  <c r="G147" i="13"/>
  <c r="J147" i="13"/>
  <c r="K147" i="13"/>
  <c r="L147" i="13"/>
  <c r="N147" i="13"/>
  <c r="O147" i="13"/>
  <c r="P147" i="13"/>
  <c r="R147" i="13"/>
  <c r="S147" i="13"/>
  <c r="T147" i="13"/>
  <c r="U147" i="13"/>
  <c r="W147" i="13"/>
  <c r="X147" i="13"/>
  <c r="Y147" i="13"/>
  <c r="Z147" i="13"/>
  <c r="AA147" i="13"/>
  <c r="AB147" i="13"/>
  <c r="AD147" i="13"/>
  <c r="AE147" i="13"/>
  <c r="AF147" i="13"/>
  <c r="AG147" i="13"/>
  <c r="AH147" i="13"/>
  <c r="AI147" i="13"/>
  <c r="AK147" i="13"/>
  <c r="AL147" i="13"/>
  <c r="AM147" i="13"/>
  <c r="AN147" i="13"/>
  <c r="AO147" i="13"/>
  <c r="AP147" i="13"/>
  <c r="AQ147" i="13"/>
  <c r="AR147" i="13"/>
  <c r="B148" i="13"/>
  <c r="C148" i="13"/>
  <c r="E148" i="13"/>
  <c r="F148" i="13"/>
  <c r="G148" i="13"/>
  <c r="J148" i="13"/>
  <c r="K148" i="13"/>
  <c r="L148" i="13"/>
  <c r="N148" i="13"/>
  <c r="O148" i="13"/>
  <c r="P148" i="13"/>
  <c r="R148" i="13"/>
  <c r="S148" i="13"/>
  <c r="T148" i="13"/>
  <c r="U148" i="13"/>
  <c r="W148" i="13"/>
  <c r="X148" i="13"/>
  <c r="Y148" i="13"/>
  <c r="Z148" i="13"/>
  <c r="AA148" i="13"/>
  <c r="AB148" i="13"/>
  <c r="AD148" i="13"/>
  <c r="AE148" i="13"/>
  <c r="AF148" i="13"/>
  <c r="AG148" i="13"/>
  <c r="AH148" i="13"/>
  <c r="AI148" i="13"/>
  <c r="AK148" i="13"/>
  <c r="AL148" i="13"/>
  <c r="AM148" i="13"/>
  <c r="AN148" i="13"/>
  <c r="AO148" i="13"/>
  <c r="AP148" i="13"/>
  <c r="AQ148" i="13"/>
  <c r="AR148" i="13"/>
  <c r="B149" i="13"/>
  <c r="C149" i="13"/>
  <c r="E149" i="13"/>
  <c r="F149" i="13"/>
  <c r="G149" i="13"/>
  <c r="J149" i="13"/>
  <c r="K149" i="13"/>
  <c r="L149" i="13"/>
  <c r="N149" i="13"/>
  <c r="O149" i="13"/>
  <c r="P149" i="13"/>
  <c r="R149" i="13"/>
  <c r="S149" i="13"/>
  <c r="T149" i="13"/>
  <c r="U149" i="13"/>
  <c r="W149" i="13"/>
  <c r="X149" i="13"/>
  <c r="Y149" i="13"/>
  <c r="Z149" i="13"/>
  <c r="AA149" i="13"/>
  <c r="AB149" i="13"/>
  <c r="AD149" i="13"/>
  <c r="AE149" i="13"/>
  <c r="AF149" i="13"/>
  <c r="AG149" i="13"/>
  <c r="AH149" i="13"/>
  <c r="AI149" i="13"/>
  <c r="AK149" i="13"/>
  <c r="AL149" i="13"/>
  <c r="AM149" i="13"/>
  <c r="AN149" i="13"/>
  <c r="AO149" i="13"/>
  <c r="AP149" i="13"/>
  <c r="AQ149" i="13"/>
  <c r="AR149" i="13"/>
  <c r="B150" i="13"/>
  <c r="C150" i="13"/>
  <c r="E150" i="13"/>
  <c r="F150" i="13"/>
  <c r="G150" i="13"/>
  <c r="J150" i="13"/>
  <c r="K150" i="13"/>
  <c r="L150" i="13"/>
  <c r="N150" i="13"/>
  <c r="O150" i="13"/>
  <c r="P150" i="13"/>
  <c r="R150" i="13"/>
  <c r="S150" i="13"/>
  <c r="T150" i="13"/>
  <c r="U150" i="13"/>
  <c r="W150" i="13"/>
  <c r="X150" i="13"/>
  <c r="Y150" i="13"/>
  <c r="Z150" i="13"/>
  <c r="AA150" i="13"/>
  <c r="AB150" i="13"/>
  <c r="AD150" i="13"/>
  <c r="AE150" i="13"/>
  <c r="AF150" i="13"/>
  <c r="AG150" i="13"/>
  <c r="AH150" i="13"/>
  <c r="AI150" i="13"/>
  <c r="AK150" i="13"/>
  <c r="AL150" i="13"/>
  <c r="AM150" i="13"/>
  <c r="AN150" i="13"/>
  <c r="AO150" i="13"/>
  <c r="AP150" i="13"/>
  <c r="AQ150" i="13"/>
  <c r="AR150" i="13"/>
  <c r="B151" i="13"/>
  <c r="C151" i="13"/>
  <c r="E151" i="13"/>
  <c r="F151" i="13"/>
  <c r="G151" i="13"/>
  <c r="J151" i="13"/>
  <c r="K151" i="13"/>
  <c r="L151" i="13"/>
  <c r="N151" i="13"/>
  <c r="O151" i="13"/>
  <c r="P151" i="13"/>
  <c r="R151" i="13"/>
  <c r="S151" i="13"/>
  <c r="T151" i="13"/>
  <c r="U151" i="13"/>
  <c r="W151" i="13"/>
  <c r="X151" i="13"/>
  <c r="Y151" i="13"/>
  <c r="Z151" i="13"/>
  <c r="AA151" i="13"/>
  <c r="AB151" i="13"/>
  <c r="AD151" i="13"/>
  <c r="AE151" i="13"/>
  <c r="AF151" i="13"/>
  <c r="AG151" i="13"/>
  <c r="AH151" i="13"/>
  <c r="AI151" i="13"/>
  <c r="AK151" i="13"/>
  <c r="AL151" i="13"/>
  <c r="AM151" i="13"/>
  <c r="AN151" i="13"/>
  <c r="AO151" i="13"/>
  <c r="AP151" i="13"/>
  <c r="AQ151" i="13"/>
  <c r="AR151" i="13"/>
  <c r="B152" i="13"/>
  <c r="C152" i="13"/>
  <c r="E152" i="13"/>
  <c r="F152" i="13"/>
  <c r="G152" i="13"/>
  <c r="J152" i="13"/>
  <c r="K152" i="13"/>
  <c r="L152" i="13"/>
  <c r="N152" i="13"/>
  <c r="O152" i="13"/>
  <c r="P152" i="13"/>
  <c r="R152" i="13"/>
  <c r="S152" i="13"/>
  <c r="T152" i="13"/>
  <c r="U152" i="13"/>
  <c r="W152" i="13"/>
  <c r="X152" i="13"/>
  <c r="Y152" i="13"/>
  <c r="Z152" i="13"/>
  <c r="AA152" i="13"/>
  <c r="AB152" i="13"/>
  <c r="AD152" i="13"/>
  <c r="AE152" i="13"/>
  <c r="AF152" i="13"/>
  <c r="AG152" i="13"/>
  <c r="AH152" i="13"/>
  <c r="AI152" i="13"/>
  <c r="AK152" i="13"/>
  <c r="AL152" i="13"/>
  <c r="AM152" i="13"/>
  <c r="AN152" i="13"/>
  <c r="AO152" i="13"/>
  <c r="AP152" i="13"/>
  <c r="AQ152" i="13"/>
  <c r="AR152" i="13"/>
  <c r="B153" i="13"/>
  <c r="C153" i="13"/>
  <c r="E153" i="13"/>
  <c r="F153" i="13"/>
  <c r="G153" i="13"/>
  <c r="J153" i="13"/>
  <c r="K153" i="13"/>
  <c r="L153" i="13"/>
  <c r="N153" i="13"/>
  <c r="O153" i="13"/>
  <c r="P153" i="13"/>
  <c r="R153" i="13"/>
  <c r="S153" i="13"/>
  <c r="T153" i="13"/>
  <c r="U153" i="13"/>
  <c r="W153" i="13"/>
  <c r="X153" i="13"/>
  <c r="Y153" i="13"/>
  <c r="Z153" i="13"/>
  <c r="AA153" i="13"/>
  <c r="AB153" i="13"/>
  <c r="AD153" i="13"/>
  <c r="AE153" i="13"/>
  <c r="AF153" i="13"/>
  <c r="AG153" i="13"/>
  <c r="AH153" i="13"/>
  <c r="AI153" i="13"/>
  <c r="AK153" i="13"/>
  <c r="AL153" i="13"/>
  <c r="AM153" i="13"/>
  <c r="AN153" i="13"/>
  <c r="AO153" i="13"/>
  <c r="AP153" i="13"/>
  <c r="AQ153" i="13"/>
  <c r="AR153" i="13"/>
  <c r="B154" i="13"/>
  <c r="C154" i="13"/>
  <c r="E154" i="13"/>
  <c r="F154" i="13"/>
  <c r="G154" i="13"/>
  <c r="J154" i="13"/>
  <c r="K154" i="13"/>
  <c r="L154" i="13"/>
  <c r="N154" i="13"/>
  <c r="O154" i="13"/>
  <c r="P154" i="13"/>
  <c r="R154" i="13"/>
  <c r="S154" i="13"/>
  <c r="T154" i="13"/>
  <c r="U154" i="13"/>
  <c r="W154" i="13"/>
  <c r="X154" i="13"/>
  <c r="Y154" i="13"/>
  <c r="Z154" i="13"/>
  <c r="AA154" i="13"/>
  <c r="AB154" i="13"/>
  <c r="AD154" i="13"/>
  <c r="AE154" i="13"/>
  <c r="AF154" i="13"/>
  <c r="AG154" i="13"/>
  <c r="AH154" i="13"/>
  <c r="AI154" i="13"/>
  <c r="AK154" i="13"/>
  <c r="AL154" i="13"/>
  <c r="AM154" i="13"/>
  <c r="AN154" i="13"/>
  <c r="AO154" i="13"/>
  <c r="AP154" i="13"/>
  <c r="AQ154" i="13"/>
  <c r="AR154" i="13"/>
  <c r="B155" i="13"/>
  <c r="C155" i="13"/>
  <c r="E155" i="13"/>
  <c r="F155" i="13"/>
  <c r="G155" i="13"/>
  <c r="J155" i="13"/>
  <c r="K155" i="13"/>
  <c r="L155" i="13"/>
  <c r="N155" i="13"/>
  <c r="O155" i="13"/>
  <c r="P155" i="13"/>
  <c r="R155" i="13"/>
  <c r="S155" i="13"/>
  <c r="T155" i="13"/>
  <c r="U155" i="13"/>
  <c r="W155" i="13"/>
  <c r="X155" i="13"/>
  <c r="Y155" i="13"/>
  <c r="Z155" i="13"/>
  <c r="AA155" i="13"/>
  <c r="AB155" i="13"/>
  <c r="AD155" i="13"/>
  <c r="AE155" i="13"/>
  <c r="AF155" i="13"/>
  <c r="AG155" i="13"/>
  <c r="AH155" i="13"/>
  <c r="AI155" i="13"/>
  <c r="AK155" i="13"/>
  <c r="AL155" i="13"/>
  <c r="AM155" i="13"/>
  <c r="AN155" i="13"/>
  <c r="AO155" i="13"/>
  <c r="AP155" i="13"/>
  <c r="AQ155" i="13"/>
  <c r="AR155" i="13"/>
  <c r="B156" i="13"/>
  <c r="C156" i="13"/>
  <c r="E156" i="13"/>
  <c r="F156" i="13"/>
  <c r="G156" i="13"/>
  <c r="J156" i="13"/>
  <c r="K156" i="13"/>
  <c r="L156" i="13"/>
  <c r="N156" i="13"/>
  <c r="O156" i="13"/>
  <c r="P156" i="13"/>
  <c r="R156" i="13"/>
  <c r="S156" i="13"/>
  <c r="T156" i="13"/>
  <c r="U156" i="13"/>
  <c r="W156" i="13"/>
  <c r="X156" i="13"/>
  <c r="Y156" i="13"/>
  <c r="Z156" i="13"/>
  <c r="AA156" i="13"/>
  <c r="AB156" i="13"/>
  <c r="AD156" i="13"/>
  <c r="AE156" i="13"/>
  <c r="AF156" i="13"/>
  <c r="AG156" i="13"/>
  <c r="AH156" i="13"/>
  <c r="AI156" i="13"/>
  <c r="AK156" i="13"/>
  <c r="AL156" i="13"/>
  <c r="AM156" i="13"/>
  <c r="AN156" i="13"/>
  <c r="AO156" i="13"/>
  <c r="AP156" i="13"/>
  <c r="AQ156" i="13"/>
  <c r="AR156" i="13"/>
  <c r="B157" i="13"/>
  <c r="C157" i="13"/>
  <c r="E157" i="13"/>
  <c r="F157" i="13"/>
  <c r="G157" i="13"/>
  <c r="J157" i="13"/>
  <c r="K157" i="13"/>
  <c r="L157" i="13"/>
  <c r="N157" i="13"/>
  <c r="O157" i="13"/>
  <c r="P157" i="13"/>
  <c r="R157" i="13"/>
  <c r="S157" i="13"/>
  <c r="T157" i="13"/>
  <c r="U157" i="13"/>
  <c r="W157" i="13"/>
  <c r="X157" i="13"/>
  <c r="Y157" i="13"/>
  <c r="Z157" i="13"/>
  <c r="AA157" i="13"/>
  <c r="AB157" i="13"/>
  <c r="AD157" i="13"/>
  <c r="AE157" i="13"/>
  <c r="AF157" i="13"/>
  <c r="AG157" i="13"/>
  <c r="AH157" i="13"/>
  <c r="AI157" i="13"/>
  <c r="AK157" i="13"/>
  <c r="AL157" i="13"/>
  <c r="AM157" i="13"/>
  <c r="AN157" i="13"/>
  <c r="AO157" i="13"/>
  <c r="AP157" i="13"/>
  <c r="AQ157" i="13"/>
  <c r="AR157" i="13"/>
  <c r="B158" i="13"/>
  <c r="C158" i="13"/>
  <c r="E158" i="13"/>
  <c r="F158" i="13"/>
  <c r="G158" i="13"/>
  <c r="J158" i="13"/>
  <c r="K158" i="13"/>
  <c r="L158" i="13"/>
  <c r="N158" i="13"/>
  <c r="O158" i="13"/>
  <c r="P158" i="13"/>
  <c r="R158" i="13"/>
  <c r="S158" i="13"/>
  <c r="T158" i="13"/>
  <c r="U158" i="13"/>
  <c r="W158" i="13"/>
  <c r="X158" i="13"/>
  <c r="Y158" i="13"/>
  <c r="Z158" i="13"/>
  <c r="AA158" i="13"/>
  <c r="AB158" i="13"/>
  <c r="AD158" i="13"/>
  <c r="AE158" i="13"/>
  <c r="AF158" i="13"/>
  <c r="AG158" i="13"/>
  <c r="AH158" i="13"/>
  <c r="AI158" i="13"/>
  <c r="AK158" i="13"/>
  <c r="AL158" i="13"/>
  <c r="AM158" i="13"/>
  <c r="AN158" i="13"/>
  <c r="AO158" i="13"/>
  <c r="AP158" i="13"/>
  <c r="AQ158" i="13"/>
  <c r="AR158" i="13"/>
  <c r="B159" i="13"/>
  <c r="C159" i="13"/>
  <c r="E159" i="13"/>
  <c r="F159" i="13"/>
  <c r="G159" i="13"/>
  <c r="J159" i="13"/>
  <c r="K159" i="13"/>
  <c r="L159" i="13"/>
  <c r="N159" i="13"/>
  <c r="O159" i="13"/>
  <c r="P159" i="13"/>
  <c r="R159" i="13"/>
  <c r="S159" i="13"/>
  <c r="T159" i="13"/>
  <c r="U159" i="13"/>
  <c r="W159" i="13"/>
  <c r="X159" i="13"/>
  <c r="Y159" i="13"/>
  <c r="Z159" i="13"/>
  <c r="AA159" i="13"/>
  <c r="AB159" i="13"/>
  <c r="AD159" i="13"/>
  <c r="AE159" i="13"/>
  <c r="AF159" i="13"/>
  <c r="AG159" i="13"/>
  <c r="AH159" i="13"/>
  <c r="AI159" i="13"/>
  <c r="AK159" i="13"/>
  <c r="AL159" i="13"/>
  <c r="AM159" i="13"/>
  <c r="AN159" i="13"/>
  <c r="AO159" i="13"/>
  <c r="AP159" i="13"/>
  <c r="AQ159" i="13"/>
  <c r="AR159" i="13"/>
  <c r="B160" i="13"/>
  <c r="C160" i="13"/>
  <c r="E160" i="13"/>
  <c r="F160" i="13"/>
  <c r="G160" i="13"/>
  <c r="J160" i="13"/>
  <c r="K160" i="13"/>
  <c r="L160" i="13"/>
  <c r="N160" i="13"/>
  <c r="O160" i="13"/>
  <c r="P160" i="13"/>
  <c r="R160" i="13"/>
  <c r="S160" i="13"/>
  <c r="T160" i="13"/>
  <c r="U160" i="13"/>
  <c r="W160" i="13"/>
  <c r="X160" i="13"/>
  <c r="Y160" i="13"/>
  <c r="Z160" i="13"/>
  <c r="AA160" i="13"/>
  <c r="AB160" i="13"/>
  <c r="AD160" i="13"/>
  <c r="AE160" i="13"/>
  <c r="AF160" i="13"/>
  <c r="AG160" i="13"/>
  <c r="AH160" i="13"/>
  <c r="AI160" i="13"/>
  <c r="AK160" i="13"/>
  <c r="AL160" i="13"/>
  <c r="AM160" i="13"/>
  <c r="AN160" i="13"/>
  <c r="AO160" i="13"/>
  <c r="AP160" i="13"/>
  <c r="AQ160" i="13"/>
  <c r="AR160" i="13"/>
  <c r="B161" i="13"/>
  <c r="C161" i="13"/>
  <c r="E161" i="13"/>
  <c r="F161" i="13"/>
  <c r="G161" i="13"/>
  <c r="J161" i="13"/>
  <c r="K161" i="13"/>
  <c r="L161" i="13"/>
  <c r="N161" i="13"/>
  <c r="O161" i="13"/>
  <c r="P161" i="13"/>
  <c r="R161" i="13"/>
  <c r="S161" i="13"/>
  <c r="T161" i="13"/>
  <c r="U161" i="13"/>
  <c r="W161" i="13"/>
  <c r="X161" i="13"/>
  <c r="Y161" i="13"/>
  <c r="Z161" i="13"/>
  <c r="AA161" i="13"/>
  <c r="AB161" i="13"/>
  <c r="AD161" i="13"/>
  <c r="AE161" i="13"/>
  <c r="AF161" i="13"/>
  <c r="AG161" i="13"/>
  <c r="AH161" i="13"/>
  <c r="AI161" i="13"/>
  <c r="AK161" i="13"/>
  <c r="AL161" i="13"/>
  <c r="AM161" i="13"/>
  <c r="AN161" i="13"/>
  <c r="AO161" i="13"/>
  <c r="AP161" i="13"/>
  <c r="AQ161" i="13"/>
  <c r="AR161" i="13"/>
  <c r="B162" i="13"/>
  <c r="C162" i="13"/>
  <c r="E162" i="13"/>
  <c r="F162" i="13"/>
  <c r="G162" i="13"/>
  <c r="J162" i="13"/>
  <c r="K162" i="13"/>
  <c r="L162" i="13"/>
  <c r="N162" i="13"/>
  <c r="O162" i="13"/>
  <c r="P162" i="13"/>
  <c r="R162" i="13"/>
  <c r="S162" i="13"/>
  <c r="T162" i="13"/>
  <c r="U162" i="13"/>
  <c r="W162" i="13"/>
  <c r="X162" i="13"/>
  <c r="Y162" i="13"/>
  <c r="Z162" i="13"/>
  <c r="AA162" i="13"/>
  <c r="AB162" i="13"/>
  <c r="AD162" i="13"/>
  <c r="AE162" i="13"/>
  <c r="AF162" i="13"/>
  <c r="AG162" i="13"/>
  <c r="AH162" i="13"/>
  <c r="AI162" i="13"/>
  <c r="AK162" i="13"/>
  <c r="AL162" i="13"/>
  <c r="AM162" i="13"/>
  <c r="AN162" i="13"/>
  <c r="AO162" i="13"/>
  <c r="AP162" i="13"/>
  <c r="AQ162" i="13"/>
  <c r="AR162" i="13"/>
  <c r="B163" i="13"/>
  <c r="C163" i="13"/>
  <c r="E163" i="13"/>
  <c r="F163" i="13"/>
  <c r="G163" i="13"/>
  <c r="J163" i="13"/>
  <c r="K163" i="13"/>
  <c r="L163" i="13"/>
  <c r="N163" i="13"/>
  <c r="O163" i="13"/>
  <c r="P163" i="13"/>
  <c r="R163" i="13"/>
  <c r="S163" i="13"/>
  <c r="T163" i="13"/>
  <c r="U163" i="13"/>
  <c r="W163" i="13"/>
  <c r="X163" i="13"/>
  <c r="Y163" i="13"/>
  <c r="Z163" i="13"/>
  <c r="AA163" i="13"/>
  <c r="AB163" i="13"/>
  <c r="AD163" i="13"/>
  <c r="AE163" i="13"/>
  <c r="AF163" i="13"/>
  <c r="AG163" i="13"/>
  <c r="AH163" i="13"/>
  <c r="AI163" i="13"/>
  <c r="AK163" i="13"/>
  <c r="AL163" i="13"/>
  <c r="AM163" i="13"/>
  <c r="AN163" i="13"/>
  <c r="AO163" i="13"/>
  <c r="AP163" i="13"/>
  <c r="AQ163" i="13"/>
  <c r="AR163" i="13"/>
  <c r="B164" i="13"/>
  <c r="C164" i="13"/>
  <c r="E164" i="13"/>
  <c r="F164" i="13"/>
  <c r="G164" i="13"/>
  <c r="J164" i="13"/>
  <c r="K164" i="13"/>
  <c r="L164" i="13"/>
  <c r="N164" i="13"/>
  <c r="O164" i="13"/>
  <c r="P164" i="13"/>
  <c r="R164" i="13"/>
  <c r="S164" i="13"/>
  <c r="T164" i="13"/>
  <c r="U164" i="13"/>
  <c r="W164" i="13"/>
  <c r="X164" i="13"/>
  <c r="Y164" i="13"/>
  <c r="Z164" i="13"/>
  <c r="AA164" i="13"/>
  <c r="AB164" i="13"/>
  <c r="AD164" i="13"/>
  <c r="AE164" i="13"/>
  <c r="AF164" i="13"/>
  <c r="AG164" i="13"/>
  <c r="AH164" i="13"/>
  <c r="AI164" i="13"/>
  <c r="AK164" i="13"/>
  <c r="AL164" i="13"/>
  <c r="AM164" i="13"/>
  <c r="AN164" i="13"/>
  <c r="AO164" i="13"/>
  <c r="AP164" i="13"/>
  <c r="AQ164" i="13"/>
  <c r="AR164" i="13"/>
  <c r="B165" i="13"/>
  <c r="C165" i="13"/>
  <c r="E165" i="13"/>
  <c r="F165" i="13"/>
  <c r="G165" i="13"/>
  <c r="J165" i="13"/>
  <c r="K165" i="13"/>
  <c r="L165" i="13"/>
  <c r="N165" i="13"/>
  <c r="O165" i="13"/>
  <c r="P165" i="13"/>
  <c r="R165" i="13"/>
  <c r="S165" i="13"/>
  <c r="T165" i="13"/>
  <c r="U165" i="13"/>
  <c r="W165" i="13"/>
  <c r="X165" i="13"/>
  <c r="Y165" i="13"/>
  <c r="Z165" i="13"/>
  <c r="AA165" i="13"/>
  <c r="AB165" i="13"/>
  <c r="AD165" i="13"/>
  <c r="AE165" i="13"/>
  <c r="AF165" i="13"/>
  <c r="AG165" i="13"/>
  <c r="AH165" i="13"/>
  <c r="AI165" i="13"/>
  <c r="AK165" i="13"/>
  <c r="AL165" i="13"/>
  <c r="AM165" i="13"/>
  <c r="AN165" i="13"/>
  <c r="AO165" i="13"/>
  <c r="AP165" i="13"/>
  <c r="AQ165" i="13"/>
  <c r="AR165" i="13"/>
  <c r="B166" i="13"/>
  <c r="C166" i="13"/>
  <c r="E166" i="13"/>
  <c r="F166" i="13"/>
  <c r="G166" i="13"/>
  <c r="J166" i="13"/>
  <c r="K166" i="13"/>
  <c r="L166" i="13"/>
  <c r="N166" i="13"/>
  <c r="O166" i="13"/>
  <c r="P166" i="13"/>
  <c r="R166" i="13"/>
  <c r="S166" i="13"/>
  <c r="T166" i="13"/>
  <c r="U166" i="13"/>
  <c r="W166" i="13"/>
  <c r="X166" i="13"/>
  <c r="Y166" i="13"/>
  <c r="Z166" i="13"/>
  <c r="AA166" i="13"/>
  <c r="AB166" i="13"/>
  <c r="AD166" i="13"/>
  <c r="AE166" i="13"/>
  <c r="AF166" i="13"/>
  <c r="AG166" i="13"/>
  <c r="AH166" i="13"/>
  <c r="AI166" i="13"/>
  <c r="AK166" i="13"/>
  <c r="AL166" i="13"/>
  <c r="AM166" i="13"/>
  <c r="AN166" i="13"/>
  <c r="AO166" i="13"/>
  <c r="AP166" i="13"/>
  <c r="AQ166" i="13"/>
  <c r="AR166" i="13"/>
  <c r="B167" i="13"/>
  <c r="C167" i="13"/>
  <c r="E167" i="13"/>
  <c r="F167" i="13"/>
  <c r="G167" i="13"/>
  <c r="J167" i="13"/>
  <c r="K167" i="13"/>
  <c r="L167" i="13"/>
  <c r="N167" i="13"/>
  <c r="O167" i="13"/>
  <c r="P167" i="13"/>
  <c r="R167" i="13"/>
  <c r="S167" i="13"/>
  <c r="T167" i="13"/>
  <c r="U167" i="13"/>
  <c r="W167" i="13"/>
  <c r="X167" i="13"/>
  <c r="Y167" i="13"/>
  <c r="Z167" i="13"/>
  <c r="AA167" i="13"/>
  <c r="AB167" i="13"/>
  <c r="AD167" i="13"/>
  <c r="AE167" i="13"/>
  <c r="AF167" i="13"/>
  <c r="AG167" i="13"/>
  <c r="AH167" i="13"/>
  <c r="AI167" i="13"/>
  <c r="AK167" i="13"/>
  <c r="AL167" i="13"/>
  <c r="AM167" i="13"/>
  <c r="AN167" i="13"/>
  <c r="AO167" i="13"/>
  <c r="AP167" i="13"/>
  <c r="AQ167" i="13"/>
  <c r="AR167" i="13"/>
  <c r="B168" i="13"/>
  <c r="C168" i="13"/>
  <c r="E168" i="13"/>
  <c r="F168" i="13"/>
  <c r="G168" i="13"/>
  <c r="J168" i="13"/>
  <c r="K168" i="13"/>
  <c r="L168" i="13"/>
  <c r="N168" i="13"/>
  <c r="O168" i="13"/>
  <c r="P168" i="13"/>
  <c r="R168" i="13"/>
  <c r="S168" i="13"/>
  <c r="T168" i="13"/>
  <c r="U168" i="13"/>
  <c r="W168" i="13"/>
  <c r="X168" i="13"/>
  <c r="Y168" i="13"/>
  <c r="Z168" i="13"/>
  <c r="AA168" i="13"/>
  <c r="AB168" i="13"/>
  <c r="AD168" i="13"/>
  <c r="AE168" i="13"/>
  <c r="AF168" i="13"/>
  <c r="AG168" i="13"/>
  <c r="AH168" i="13"/>
  <c r="AI168" i="13"/>
  <c r="AK168" i="13"/>
  <c r="AL168" i="13"/>
  <c r="AM168" i="13"/>
  <c r="AN168" i="13"/>
  <c r="AO168" i="13"/>
  <c r="AP168" i="13"/>
  <c r="AQ168" i="13"/>
  <c r="AR168" i="13"/>
  <c r="B169" i="13"/>
  <c r="C169" i="13"/>
  <c r="E169" i="13"/>
  <c r="F169" i="13"/>
  <c r="G169" i="13"/>
  <c r="J169" i="13"/>
  <c r="K169" i="13"/>
  <c r="L169" i="13"/>
  <c r="N169" i="13"/>
  <c r="O169" i="13"/>
  <c r="P169" i="13"/>
  <c r="R169" i="13"/>
  <c r="S169" i="13"/>
  <c r="T169" i="13"/>
  <c r="U169" i="13"/>
  <c r="W169" i="13"/>
  <c r="X169" i="13"/>
  <c r="Y169" i="13"/>
  <c r="Z169" i="13"/>
  <c r="AA169" i="13"/>
  <c r="AB169" i="13"/>
  <c r="AD169" i="13"/>
  <c r="AE169" i="13"/>
  <c r="AF169" i="13"/>
  <c r="AG169" i="13"/>
  <c r="AH169" i="13"/>
  <c r="AI169" i="13"/>
  <c r="AK169" i="13"/>
  <c r="AL169" i="13"/>
  <c r="AM169" i="13"/>
  <c r="AN169" i="13"/>
  <c r="AO169" i="13"/>
  <c r="AP169" i="13"/>
  <c r="AQ169" i="13"/>
  <c r="AR169" i="13"/>
  <c r="B170" i="13"/>
  <c r="C170" i="13"/>
  <c r="E170" i="13"/>
  <c r="F170" i="13"/>
  <c r="G170" i="13"/>
  <c r="J170" i="13"/>
  <c r="K170" i="13"/>
  <c r="L170" i="13"/>
  <c r="N170" i="13"/>
  <c r="O170" i="13"/>
  <c r="P170" i="13"/>
  <c r="R170" i="13"/>
  <c r="S170" i="13"/>
  <c r="T170" i="13"/>
  <c r="U170" i="13"/>
  <c r="W170" i="13"/>
  <c r="X170" i="13"/>
  <c r="Y170" i="13"/>
  <c r="Z170" i="13"/>
  <c r="AA170" i="13"/>
  <c r="AB170" i="13"/>
  <c r="AD170" i="13"/>
  <c r="AE170" i="13"/>
  <c r="AF170" i="13"/>
  <c r="AG170" i="13"/>
  <c r="AH170" i="13"/>
  <c r="AI170" i="13"/>
  <c r="AK170" i="13"/>
  <c r="AL170" i="13"/>
  <c r="AM170" i="13"/>
  <c r="AN170" i="13"/>
  <c r="AO170" i="13"/>
  <c r="AP170" i="13"/>
  <c r="AQ170" i="13"/>
  <c r="AR170" i="13"/>
  <c r="B171" i="13"/>
  <c r="C171" i="13"/>
  <c r="E171" i="13"/>
  <c r="F171" i="13"/>
  <c r="G171" i="13"/>
  <c r="J171" i="13"/>
  <c r="K171" i="13"/>
  <c r="L171" i="13"/>
  <c r="N171" i="13"/>
  <c r="O171" i="13"/>
  <c r="P171" i="13"/>
  <c r="R171" i="13"/>
  <c r="S171" i="13"/>
  <c r="T171" i="13"/>
  <c r="U171" i="13"/>
  <c r="W171" i="13"/>
  <c r="X171" i="13"/>
  <c r="Y171" i="13"/>
  <c r="Z171" i="13"/>
  <c r="AA171" i="13"/>
  <c r="AB171" i="13"/>
  <c r="AD171" i="13"/>
  <c r="AE171" i="13"/>
  <c r="AF171" i="13"/>
  <c r="AG171" i="13"/>
  <c r="AH171" i="13"/>
  <c r="AI171" i="13"/>
  <c r="AK171" i="13"/>
  <c r="AL171" i="13"/>
  <c r="AM171" i="13"/>
  <c r="AN171" i="13"/>
  <c r="AO171" i="13"/>
  <c r="AP171" i="13"/>
  <c r="AQ171" i="13"/>
  <c r="AR171" i="13"/>
  <c r="B172" i="13"/>
  <c r="C172" i="13"/>
  <c r="E172" i="13"/>
  <c r="F172" i="13"/>
  <c r="G172" i="13"/>
  <c r="J172" i="13"/>
  <c r="K172" i="13"/>
  <c r="L172" i="13"/>
  <c r="N172" i="13"/>
  <c r="O172" i="13"/>
  <c r="P172" i="13"/>
  <c r="R172" i="13"/>
  <c r="S172" i="13"/>
  <c r="T172" i="13"/>
  <c r="U172" i="13"/>
  <c r="W172" i="13"/>
  <c r="X172" i="13"/>
  <c r="Y172" i="13"/>
  <c r="Z172" i="13"/>
  <c r="AA172" i="13"/>
  <c r="AB172" i="13"/>
  <c r="AD172" i="13"/>
  <c r="AE172" i="13"/>
  <c r="AF172" i="13"/>
  <c r="AG172" i="13"/>
  <c r="AH172" i="13"/>
  <c r="AI172" i="13"/>
  <c r="AK172" i="13"/>
  <c r="AL172" i="13"/>
  <c r="AM172" i="13"/>
  <c r="AN172" i="13"/>
  <c r="AO172" i="13"/>
  <c r="AP172" i="13"/>
  <c r="AQ172" i="13"/>
  <c r="AR172" i="13"/>
  <c r="B173" i="13"/>
  <c r="C173" i="13"/>
  <c r="E173" i="13"/>
  <c r="F173" i="13"/>
  <c r="G173" i="13"/>
  <c r="J173" i="13"/>
  <c r="K173" i="13"/>
  <c r="L173" i="13"/>
  <c r="N173" i="13"/>
  <c r="O173" i="13"/>
  <c r="P173" i="13"/>
  <c r="R173" i="13"/>
  <c r="S173" i="13"/>
  <c r="T173" i="13"/>
  <c r="U173" i="13"/>
  <c r="W173" i="13"/>
  <c r="X173" i="13"/>
  <c r="Y173" i="13"/>
  <c r="Z173" i="13"/>
  <c r="AA173" i="13"/>
  <c r="AB173" i="13"/>
  <c r="AD173" i="13"/>
  <c r="AE173" i="13"/>
  <c r="AF173" i="13"/>
  <c r="AG173" i="13"/>
  <c r="AH173" i="13"/>
  <c r="AI173" i="13"/>
  <c r="AK173" i="13"/>
  <c r="AL173" i="13"/>
  <c r="AM173" i="13"/>
  <c r="AN173" i="13"/>
  <c r="AO173" i="13"/>
  <c r="AP173" i="13"/>
  <c r="AQ173" i="13"/>
  <c r="AR173" i="13"/>
  <c r="B174" i="13"/>
  <c r="C174" i="13"/>
  <c r="E174" i="13"/>
  <c r="F174" i="13"/>
  <c r="G174" i="13"/>
  <c r="J174" i="13"/>
  <c r="K174" i="13"/>
  <c r="L174" i="13"/>
  <c r="N174" i="13"/>
  <c r="O174" i="13"/>
  <c r="P174" i="13"/>
  <c r="R174" i="13"/>
  <c r="S174" i="13"/>
  <c r="T174" i="13"/>
  <c r="U174" i="13"/>
  <c r="W174" i="13"/>
  <c r="X174" i="13"/>
  <c r="Y174" i="13"/>
  <c r="Z174" i="13"/>
  <c r="AA174" i="13"/>
  <c r="AB174" i="13"/>
  <c r="AD174" i="13"/>
  <c r="AE174" i="13"/>
  <c r="AF174" i="13"/>
  <c r="AG174" i="13"/>
  <c r="AH174" i="13"/>
  <c r="AI174" i="13"/>
  <c r="AK174" i="13"/>
  <c r="AL174" i="13"/>
  <c r="AM174" i="13"/>
  <c r="AN174" i="13"/>
  <c r="AO174" i="13"/>
  <c r="AP174" i="13"/>
  <c r="AQ174" i="13"/>
  <c r="AR174" i="13"/>
  <c r="B175" i="13"/>
  <c r="C175" i="13"/>
  <c r="E175" i="13"/>
  <c r="F175" i="13"/>
  <c r="G175" i="13"/>
  <c r="J175" i="13"/>
  <c r="K175" i="13"/>
  <c r="L175" i="13"/>
  <c r="N175" i="13"/>
  <c r="O175" i="13"/>
  <c r="P175" i="13"/>
  <c r="R175" i="13"/>
  <c r="S175" i="13"/>
  <c r="T175" i="13"/>
  <c r="U175" i="13"/>
  <c r="W175" i="13"/>
  <c r="X175" i="13"/>
  <c r="Y175" i="13"/>
  <c r="Z175" i="13"/>
  <c r="AA175" i="13"/>
  <c r="AB175" i="13"/>
  <c r="AD175" i="13"/>
  <c r="AE175" i="13"/>
  <c r="AF175" i="13"/>
  <c r="AG175" i="13"/>
  <c r="AH175" i="13"/>
  <c r="AI175" i="13"/>
  <c r="AK175" i="13"/>
  <c r="AL175" i="13"/>
  <c r="AM175" i="13"/>
  <c r="AN175" i="13"/>
  <c r="AO175" i="13"/>
  <c r="AP175" i="13"/>
  <c r="AQ175" i="13"/>
  <c r="AR175" i="13"/>
  <c r="B176" i="13"/>
  <c r="C176" i="13"/>
  <c r="E176" i="13"/>
  <c r="F176" i="13"/>
  <c r="G176" i="13"/>
  <c r="J176" i="13"/>
  <c r="K176" i="13"/>
  <c r="L176" i="13"/>
  <c r="N176" i="13"/>
  <c r="O176" i="13"/>
  <c r="P176" i="13"/>
  <c r="R176" i="13"/>
  <c r="S176" i="13"/>
  <c r="T176" i="13"/>
  <c r="U176" i="13"/>
  <c r="W176" i="13"/>
  <c r="X176" i="13"/>
  <c r="Y176" i="13"/>
  <c r="Z176" i="13"/>
  <c r="AA176" i="13"/>
  <c r="AB176" i="13"/>
  <c r="AD176" i="13"/>
  <c r="AE176" i="13"/>
  <c r="AF176" i="13"/>
  <c r="AG176" i="13"/>
  <c r="AH176" i="13"/>
  <c r="AI176" i="13"/>
  <c r="AK176" i="13"/>
  <c r="AL176" i="13"/>
  <c r="AM176" i="13"/>
  <c r="AN176" i="13"/>
  <c r="AO176" i="13"/>
  <c r="AP176" i="13"/>
  <c r="AQ176" i="13"/>
  <c r="AR176" i="13"/>
  <c r="B177" i="13"/>
  <c r="C177" i="13"/>
  <c r="E177" i="13"/>
  <c r="F177" i="13"/>
  <c r="G177" i="13"/>
  <c r="J177" i="13"/>
  <c r="K177" i="13"/>
  <c r="L177" i="13"/>
  <c r="N177" i="13"/>
  <c r="O177" i="13"/>
  <c r="P177" i="13"/>
  <c r="R177" i="13"/>
  <c r="S177" i="13"/>
  <c r="T177" i="13"/>
  <c r="U177" i="13"/>
  <c r="W177" i="13"/>
  <c r="X177" i="13"/>
  <c r="Y177" i="13"/>
  <c r="Z177" i="13"/>
  <c r="AA177" i="13"/>
  <c r="AB177" i="13"/>
  <c r="AD177" i="13"/>
  <c r="AE177" i="13"/>
  <c r="AF177" i="13"/>
  <c r="AG177" i="13"/>
  <c r="AH177" i="13"/>
  <c r="AI177" i="13"/>
  <c r="AK177" i="13"/>
  <c r="AL177" i="13"/>
  <c r="AM177" i="13"/>
  <c r="AN177" i="13"/>
  <c r="AO177" i="13"/>
  <c r="AP177" i="13"/>
  <c r="AQ177" i="13"/>
  <c r="AR177" i="13"/>
  <c r="B178" i="13"/>
  <c r="C178" i="13"/>
  <c r="E178" i="13"/>
  <c r="F178" i="13"/>
  <c r="G178" i="13"/>
  <c r="J178" i="13"/>
  <c r="K178" i="13"/>
  <c r="L178" i="13"/>
  <c r="N178" i="13"/>
  <c r="O178" i="13"/>
  <c r="P178" i="13"/>
  <c r="R178" i="13"/>
  <c r="S178" i="13"/>
  <c r="T178" i="13"/>
  <c r="U178" i="13"/>
  <c r="W178" i="13"/>
  <c r="X178" i="13"/>
  <c r="Y178" i="13"/>
  <c r="Z178" i="13"/>
  <c r="AA178" i="13"/>
  <c r="AB178" i="13"/>
  <c r="AD178" i="13"/>
  <c r="AE178" i="13"/>
  <c r="AF178" i="13"/>
  <c r="AG178" i="13"/>
  <c r="AH178" i="13"/>
  <c r="AI178" i="13"/>
  <c r="AK178" i="13"/>
  <c r="AL178" i="13"/>
  <c r="AM178" i="13"/>
  <c r="AN178" i="13"/>
  <c r="AO178" i="13"/>
  <c r="AP178" i="13"/>
  <c r="AQ178" i="13"/>
  <c r="AR178" i="13"/>
  <c r="B179" i="13"/>
  <c r="C179" i="13"/>
  <c r="E179" i="13"/>
  <c r="F179" i="13"/>
  <c r="G179" i="13"/>
  <c r="J179" i="13"/>
  <c r="K179" i="13"/>
  <c r="L179" i="13"/>
  <c r="N179" i="13"/>
  <c r="O179" i="13"/>
  <c r="P179" i="13"/>
  <c r="R179" i="13"/>
  <c r="S179" i="13"/>
  <c r="T179" i="13"/>
  <c r="U179" i="13"/>
  <c r="W179" i="13"/>
  <c r="X179" i="13"/>
  <c r="Y179" i="13"/>
  <c r="Z179" i="13"/>
  <c r="AA179" i="13"/>
  <c r="AB179" i="13"/>
  <c r="AD179" i="13"/>
  <c r="AE179" i="13"/>
  <c r="AF179" i="13"/>
  <c r="AG179" i="13"/>
  <c r="AH179" i="13"/>
  <c r="AI179" i="13"/>
  <c r="AK179" i="13"/>
  <c r="AL179" i="13"/>
  <c r="AM179" i="13"/>
  <c r="AN179" i="13"/>
  <c r="AO179" i="13"/>
  <c r="AP179" i="13"/>
  <c r="AQ179" i="13"/>
  <c r="AR179" i="13"/>
  <c r="B180" i="13"/>
  <c r="C180" i="13"/>
  <c r="E180" i="13"/>
  <c r="F180" i="13"/>
  <c r="G180" i="13"/>
  <c r="J180" i="13"/>
  <c r="K180" i="13"/>
  <c r="L180" i="13"/>
  <c r="N180" i="13"/>
  <c r="O180" i="13"/>
  <c r="P180" i="13"/>
  <c r="R180" i="13"/>
  <c r="S180" i="13"/>
  <c r="T180" i="13"/>
  <c r="U180" i="13"/>
  <c r="W180" i="13"/>
  <c r="X180" i="13"/>
  <c r="Y180" i="13"/>
  <c r="Z180" i="13"/>
  <c r="AA180" i="13"/>
  <c r="AB180" i="13"/>
  <c r="AD180" i="13"/>
  <c r="AE180" i="13"/>
  <c r="AF180" i="13"/>
  <c r="AG180" i="13"/>
  <c r="AH180" i="13"/>
  <c r="AI180" i="13"/>
  <c r="AK180" i="13"/>
  <c r="AL180" i="13"/>
  <c r="AM180" i="13"/>
  <c r="AN180" i="13"/>
  <c r="AO180" i="13"/>
  <c r="AP180" i="13"/>
  <c r="AQ180" i="13"/>
  <c r="AR180" i="13"/>
  <c r="B181" i="13"/>
  <c r="C181" i="13"/>
  <c r="E181" i="13"/>
  <c r="F181" i="13"/>
  <c r="G181" i="13"/>
  <c r="J181" i="13"/>
  <c r="K181" i="13"/>
  <c r="L181" i="13"/>
  <c r="N181" i="13"/>
  <c r="O181" i="13"/>
  <c r="P181" i="13"/>
  <c r="R181" i="13"/>
  <c r="S181" i="13"/>
  <c r="T181" i="13"/>
  <c r="U181" i="13"/>
  <c r="W181" i="13"/>
  <c r="X181" i="13"/>
  <c r="Y181" i="13"/>
  <c r="Z181" i="13"/>
  <c r="AA181" i="13"/>
  <c r="AB181" i="13"/>
  <c r="AD181" i="13"/>
  <c r="AE181" i="13"/>
  <c r="AF181" i="13"/>
  <c r="AG181" i="13"/>
  <c r="AH181" i="13"/>
  <c r="AI181" i="13"/>
  <c r="AK181" i="13"/>
  <c r="AL181" i="13"/>
  <c r="AM181" i="13"/>
  <c r="AN181" i="13"/>
  <c r="AO181" i="13"/>
  <c r="AP181" i="13"/>
  <c r="AQ181" i="13"/>
  <c r="AR181" i="13"/>
  <c r="B182" i="13"/>
  <c r="C182" i="13"/>
  <c r="E182" i="13"/>
  <c r="F182" i="13"/>
  <c r="G182" i="13"/>
  <c r="J182" i="13"/>
  <c r="K182" i="13"/>
  <c r="L182" i="13"/>
  <c r="N182" i="13"/>
  <c r="O182" i="13"/>
  <c r="P182" i="13"/>
  <c r="R182" i="13"/>
  <c r="S182" i="13"/>
  <c r="T182" i="13"/>
  <c r="U182" i="13"/>
  <c r="W182" i="13"/>
  <c r="X182" i="13"/>
  <c r="Y182" i="13"/>
  <c r="Z182" i="13"/>
  <c r="AA182" i="13"/>
  <c r="AB182" i="13"/>
  <c r="AD182" i="13"/>
  <c r="AE182" i="13"/>
  <c r="AF182" i="13"/>
  <c r="AG182" i="13"/>
  <c r="AH182" i="13"/>
  <c r="AI182" i="13"/>
  <c r="AK182" i="13"/>
  <c r="AL182" i="13"/>
  <c r="AM182" i="13"/>
  <c r="AN182" i="13"/>
  <c r="AO182" i="13"/>
  <c r="AP182" i="13"/>
  <c r="AQ182" i="13"/>
  <c r="AR182" i="13"/>
  <c r="B183" i="13"/>
  <c r="C183" i="13"/>
  <c r="E183" i="13"/>
  <c r="F183" i="13"/>
  <c r="G183" i="13"/>
  <c r="J183" i="13"/>
  <c r="K183" i="13"/>
  <c r="L183" i="13"/>
  <c r="N183" i="13"/>
  <c r="O183" i="13"/>
  <c r="P183" i="13"/>
  <c r="R183" i="13"/>
  <c r="S183" i="13"/>
  <c r="T183" i="13"/>
  <c r="U183" i="13"/>
  <c r="W183" i="13"/>
  <c r="X183" i="13"/>
  <c r="Y183" i="13"/>
  <c r="Z183" i="13"/>
  <c r="AA183" i="13"/>
  <c r="AB183" i="13"/>
  <c r="AD183" i="13"/>
  <c r="AE183" i="13"/>
  <c r="AF183" i="13"/>
  <c r="AG183" i="13"/>
  <c r="AH183" i="13"/>
  <c r="AI183" i="13"/>
  <c r="AK183" i="13"/>
  <c r="AL183" i="13"/>
  <c r="AM183" i="13"/>
  <c r="AN183" i="13"/>
  <c r="AO183" i="13"/>
  <c r="AP183" i="13"/>
  <c r="AQ183" i="13"/>
  <c r="AR183" i="13"/>
  <c r="B184" i="13"/>
  <c r="C184" i="13"/>
  <c r="E184" i="13"/>
  <c r="F184" i="13"/>
  <c r="G184" i="13"/>
  <c r="J184" i="13"/>
  <c r="K184" i="13"/>
  <c r="L184" i="13"/>
  <c r="N184" i="13"/>
  <c r="O184" i="13"/>
  <c r="P184" i="13"/>
  <c r="R184" i="13"/>
  <c r="S184" i="13"/>
  <c r="T184" i="13"/>
  <c r="U184" i="13"/>
  <c r="W184" i="13"/>
  <c r="X184" i="13"/>
  <c r="Y184" i="13"/>
  <c r="Z184" i="13"/>
  <c r="AA184" i="13"/>
  <c r="AB184" i="13"/>
  <c r="AD184" i="13"/>
  <c r="AE184" i="13"/>
  <c r="AF184" i="13"/>
  <c r="AG184" i="13"/>
  <c r="AH184" i="13"/>
  <c r="AI184" i="13"/>
  <c r="AK184" i="13"/>
  <c r="AL184" i="13"/>
  <c r="AM184" i="13"/>
  <c r="AN184" i="13"/>
  <c r="AO184" i="13"/>
  <c r="AP184" i="13"/>
  <c r="AQ184" i="13"/>
  <c r="AR184" i="13"/>
  <c r="B185" i="13"/>
  <c r="C3" i="3"/>
  <c r="F3" i="3"/>
  <c r="C4" i="3"/>
  <c r="F5" i="3"/>
  <c r="C6" i="3"/>
  <c r="C9" i="3"/>
  <c r="C10" i="3"/>
  <c r="F10" i="3"/>
  <c r="B16" i="3"/>
  <c r="B17" i="3"/>
  <c r="B18" i="3"/>
  <c r="B21" i="3"/>
  <c r="F26" i="3"/>
  <c r="F27" i="3"/>
  <c r="F28" i="3"/>
  <c r="F29" i="3"/>
  <c r="F30" i="3"/>
  <c r="F31" i="3"/>
  <c r="F32" i="3"/>
  <c r="F33" i="3"/>
  <c r="F34" i="3"/>
  <c r="F35" i="3"/>
  <c r="F36" i="3"/>
  <c r="F37" i="3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B4" i="1"/>
  <c r="B5" i="1"/>
  <c r="B6" i="1"/>
  <c r="B7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I3" i="6"/>
  <c r="I4" i="6"/>
  <c r="G6" i="6"/>
  <c r="F7" i="6"/>
  <c r="G7" i="6"/>
  <c r="A8" i="6"/>
  <c r="B8" i="6"/>
  <c r="C8" i="6"/>
  <c r="E8" i="6"/>
  <c r="F8" i="6"/>
  <c r="G8" i="6"/>
  <c r="H8" i="6"/>
  <c r="I8" i="6"/>
  <c r="J8" i="6"/>
  <c r="A9" i="6"/>
  <c r="B9" i="6"/>
  <c r="C9" i="6"/>
  <c r="E9" i="6"/>
  <c r="F9" i="6"/>
  <c r="G9" i="6"/>
  <c r="H9" i="6"/>
  <c r="I9" i="6"/>
  <c r="J9" i="6"/>
  <c r="A10" i="6"/>
  <c r="B10" i="6"/>
  <c r="C10" i="6"/>
  <c r="E10" i="6"/>
  <c r="F10" i="6"/>
  <c r="G10" i="6"/>
  <c r="H10" i="6"/>
  <c r="I10" i="6"/>
  <c r="J10" i="6"/>
  <c r="A11" i="6"/>
  <c r="B11" i="6"/>
  <c r="C11" i="6"/>
  <c r="E11" i="6"/>
  <c r="F11" i="6"/>
  <c r="G11" i="6"/>
  <c r="H11" i="6"/>
  <c r="I11" i="6"/>
  <c r="J11" i="6"/>
  <c r="A12" i="6"/>
  <c r="B12" i="6"/>
  <c r="C12" i="6"/>
  <c r="E12" i="6"/>
  <c r="F12" i="6"/>
  <c r="G12" i="6"/>
  <c r="H12" i="6"/>
  <c r="I12" i="6"/>
  <c r="J12" i="6"/>
  <c r="A13" i="6"/>
  <c r="B13" i="6"/>
  <c r="C13" i="6"/>
  <c r="E13" i="6"/>
  <c r="F13" i="6"/>
  <c r="G13" i="6"/>
  <c r="H13" i="6"/>
  <c r="I13" i="6"/>
  <c r="J13" i="6"/>
  <c r="A14" i="6"/>
  <c r="B14" i="6"/>
  <c r="C14" i="6"/>
  <c r="E14" i="6"/>
  <c r="F14" i="6"/>
  <c r="G14" i="6"/>
  <c r="H14" i="6"/>
  <c r="I14" i="6"/>
  <c r="J14" i="6"/>
  <c r="A15" i="6"/>
  <c r="B15" i="6"/>
  <c r="C15" i="6"/>
  <c r="E15" i="6"/>
  <c r="F15" i="6"/>
  <c r="G15" i="6"/>
  <c r="H15" i="6"/>
  <c r="I15" i="6"/>
  <c r="J15" i="6"/>
  <c r="A16" i="6"/>
  <c r="B16" i="6"/>
  <c r="C16" i="6"/>
  <c r="E16" i="6"/>
  <c r="F16" i="6"/>
  <c r="G16" i="6"/>
  <c r="H16" i="6"/>
  <c r="I16" i="6"/>
  <c r="J16" i="6"/>
  <c r="A17" i="6"/>
  <c r="B17" i="6"/>
  <c r="C17" i="6"/>
  <c r="E17" i="6"/>
  <c r="F17" i="6"/>
  <c r="G17" i="6"/>
  <c r="H17" i="6"/>
  <c r="I17" i="6"/>
  <c r="J17" i="6"/>
  <c r="A18" i="6"/>
  <c r="B18" i="6"/>
  <c r="C18" i="6"/>
  <c r="E18" i="6"/>
  <c r="F18" i="6"/>
  <c r="G18" i="6"/>
  <c r="H18" i="6"/>
  <c r="I18" i="6"/>
  <c r="J18" i="6"/>
  <c r="A19" i="6"/>
  <c r="B19" i="6"/>
  <c r="C19" i="6"/>
  <c r="E19" i="6"/>
  <c r="F19" i="6"/>
  <c r="G19" i="6"/>
  <c r="H19" i="6"/>
  <c r="I19" i="6"/>
  <c r="J19" i="6"/>
  <c r="A20" i="6"/>
  <c r="B20" i="6"/>
  <c r="C20" i="6"/>
  <c r="E20" i="6"/>
  <c r="F20" i="6"/>
  <c r="G20" i="6"/>
  <c r="H20" i="6"/>
  <c r="I20" i="6"/>
  <c r="J20" i="6"/>
  <c r="A21" i="6"/>
  <c r="B21" i="6"/>
  <c r="C21" i="6"/>
  <c r="E21" i="6"/>
  <c r="F21" i="6"/>
  <c r="G21" i="6"/>
  <c r="H21" i="6"/>
  <c r="I21" i="6"/>
  <c r="J21" i="6"/>
  <c r="A22" i="6"/>
  <c r="B22" i="6"/>
  <c r="C22" i="6"/>
  <c r="E22" i="6"/>
  <c r="F22" i="6"/>
  <c r="G22" i="6"/>
  <c r="H22" i="6"/>
  <c r="I22" i="6"/>
  <c r="J22" i="6"/>
  <c r="A23" i="6"/>
  <c r="B23" i="6"/>
  <c r="C23" i="6"/>
  <c r="E23" i="6"/>
  <c r="F23" i="6"/>
  <c r="G23" i="6"/>
  <c r="H23" i="6"/>
  <c r="I23" i="6"/>
  <c r="J23" i="6"/>
  <c r="A24" i="6"/>
  <c r="B24" i="6"/>
  <c r="C24" i="6"/>
  <c r="E24" i="6"/>
  <c r="F24" i="6"/>
  <c r="G24" i="6"/>
  <c r="H24" i="6"/>
  <c r="I24" i="6"/>
  <c r="J24" i="6"/>
  <c r="A25" i="6"/>
  <c r="B25" i="6"/>
  <c r="C25" i="6"/>
  <c r="E25" i="6"/>
  <c r="F25" i="6"/>
  <c r="G25" i="6"/>
  <c r="H25" i="6"/>
  <c r="I25" i="6"/>
  <c r="J25" i="6"/>
  <c r="A26" i="6"/>
  <c r="B26" i="6"/>
  <c r="C26" i="6"/>
  <c r="E26" i="6"/>
  <c r="F26" i="6"/>
  <c r="G26" i="6"/>
  <c r="H26" i="6"/>
  <c r="I26" i="6"/>
  <c r="J26" i="6"/>
  <c r="A27" i="6"/>
  <c r="B27" i="6"/>
  <c r="C27" i="6"/>
  <c r="E27" i="6"/>
  <c r="F27" i="6"/>
  <c r="G27" i="6"/>
  <c r="H27" i="6"/>
  <c r="I27" i="6"/>
  <c r="J27" i="6"/>
  <c r="A28" i="6"/>
  <c r="B28" i="6"/>
  <c r="C28" i="6"/>
  <c r="E28" i="6"/>
  <c r="F28" i="6"/>
  <c r="G28" i="6"/>
  <c r="H28" i="6"/>
  <c r="I28" i="6"/>
  <c r="J28" i="6"/>
  <c r="A29" i="6"/>
  <c r="B29" i="6"/>
  <c r="C29" i="6"/>
  <c r="E29" i="6"/>
  <c r="F29" i="6"/>
  <c r="G29" i="6"/>
  <c r="H29" i="6"/>
  <c r="I29" i="6"/>
  <c r="J29" i="6"/>
  <c r="A30" i="6"/>
  <c r="B30" i="6"/>
  <c r="C30" i="6"/>
  <c r="E30" i="6"/>
  <c r="F30" i="6"/>
  <c r="G30" i="6"/>
  <c r="H30" i="6"/>
  <c r="I30" i="6"/>
  <c r="J30" i="6"/>
  <c r="A31" i="6"/>
  <c r="B31" i="6"/>
  <c r="C31" i="6"/>
  <c r="E31" i="6"/>
  <c r="F31" i="6"/>
  <c r="G31" i="6"/>
  <c r="H31" i="6"/>
  <c r="I31" i="6"/>
  <c r="J31" i="6"/>
  <c r="A32" i="6"/>
  <c r="B32" i="6"/>
  <c r="C32" i="6"/>
  <c r="E32" i="6"/>
  <c r="F32" i="6"/>
  <c r="G32" i="6"/>
  <c r="H32" i="6"/>
  <c r="I32" i="6"/>
  <c r="J32" i="6"/>
  <c r="A33" i="6"/>
  <c r="B33" i="6"/>
  <c r="C33" i="6"/>
  <c r="E33" i="6"/>
  <c r="F33" i="6"/>
  <c r="G33" i="6"/>
  <c r="H33" i="6"/>
  <c r="I33" i="6"/>
  <c r="J33" i="6"/>
  <c r="A34" i="6"/>
  <c r="B34" i="6"/>
  <c r="C34" i="6"/>
  <c r="E34" i="6"/>
  <c r="F34" i="6"/>
  <c r="G34" i="6"/>
  <c r="H34" i="6"/>
  <c r="I34" i="6"/>
  <c r="J34" i="6"/>
  <c r="A35" i="6"/>
  <c r="B35" i="6"/>
  <c r="C35" i="6"/>
  <c r="E35" i="6"/>
  <c r="F35" i="6"/>
  <c r="G35" i="6"/>
  <c r="H35" i="6"/>
  <c r="I35" i="6"/>
  <c r="J35" i="6"/>
  <c r="A36" i="6"/>
  <c r="B36" i="6"/>
  <c r="C36" i="6"/>
  <c r="E36" i="6"/>
  <c r="F36" i="6"/>
  <c r="G36" i="6"/>
  <c r="H36" i="6"/>
  <c r="I36" i="6"/>
  <c r="J36" i="6"/>
  <c r="A37" i="6"/>
  <c r="B37" i="6"/>
  <c r="C37" i="6"/>
  <c r="E37" i="6"/>
  <c r="F37" i="6"/>
  <c r="G37" i="6"/>
  <c r="H37" i="6"/>
  <c r="I37" i="6"/>
  <c r="J37" i="6"/>
  <c r="A38" i="6"/>
  <c r="B38" i="6"/>
  <c r="C38" i="6"/>
  <c r="E38" i="6"/>
  <c r="F38" i="6"/>
  <c r="G38" i="6"/>
  <c r="H38" i="6"/>
  <c r="I38" i="6"/>
  <c r="J38" i="6"/>
  <c r="A39" i="6"/>
  <c r="B39" i="6"/>
  <c r="C39" i="6"/>
  <c r="E39" i="6"/>
  <c r="F39" i="6"/>
  <c r="G39" i="6"/>
  <c r="H39" i="6"/>
  <c r="I39" i="6"/>
  <c r="J39" i="6"/>
  <c r="A40" i="6"/>
  <c r="B40" i="6"/>
  <c r="C40" i="6"/>
  <c r="E40" i="6"/>
  <c r="F40" i="6"/>
  <c r="G40" i="6"/>
  <c r="H40" i="6"/>
  <c r="I40" i="6"/>
  <c r="J40" i="6"/>
  <c r="A41" i="6"/>
  <c r="B41" i="6"/>
  <c r="C41" i="6"/>
  <c r="E41" i="6"/>
  <c r="F41" i="6"/>
  <c r="G41" i="6"/>
  <c r="H41" i="6"/>
  <c r="I41" i="6"/>
  <c r="J41" i="6"/>
  <c r="A42" i="6"/>
  <c r="B42" i="6"/>
  <c r="C42" i="6"/>
  <c r="E42" i="6"/>
  <c r="F42" i="6"/>
  <c r="G42" i="6"/>
  <c r="H42" i="6"/>
  <c r="I42" i="6"/>
  <c r="J42" i="6"/>
  <c r="A43" i="6"/>
  <c r="B43" i="6"/>
  <c r="C43" i="6"/>
  <c r="E43" i="6"/>
  <c r="F43" i="6"/>
  <c r="G43" i="6"/>
  <c r="H43" i="6"/>
  <c r="I43" i="6"/>
  <c r="J43" i="6"/>
  <c r="A44" i="6"/>
  <c r="B44" i="6"/>
  <c r="C44" i="6"/>
  <c r="E44" i="6"/>
  <c r="F44" i="6"/>
  <c r="G44" i="6"/>
  <c r="H44" i="6"/>
  <c r="I44" i="6"/>
  <c r="J44" i="6"/>
  <c r="A45" i="6"/>
  <c r="B45" i="6"/>
  <c r="C45" i="6"/>
  <c r="E45" i="6"/>
  <c r="F45" i="6"/>
  <c r="G45" i="6"/>
  <c r="H45" i="6"/>
  <c r="I45" i="6"/>
  <c r="J45" i="6"/>
  <c r="A46" i="6"/>
  <c r="B46" i="6"/>
  <c r="C46" i="6"/>
  <c r="E46" i="6"/>
  <c r="F46" i="6"/>
  <c r="G46" i="6"/>
  <c r="H46" i="6"/>
  <c r="I46" i="6"/>
  <c r="J46" i="6"/>
  <c r="A47" i="6"/>
  <c r="B47" i="6"/>
  <c r="C47" i="6"/>
  <c r="E47" i="6"/>
  <c r="F47" i="6"/>
  <c r="G47" i="6"/>
  <c r="H47" i="6"/>
  <c r="I47" i="6"/>
  <c r="J47" i="6"/>
  <c r="A48" i="6"/>
  <c r="B48" i="6"/>
  <c r="C48" i="6"/>
  <c r="E48" i="6"/>
  <c r="F48" i="6"/>
  <c r="G48" i="6"/>
  <c r="H48" i="6"/>
  <c r="I48" i="6"/>
  <c r="J48" i="6"/>
  <c r="A49" i="6"/>
  <c r="B49" i="6"/>
  <c r="C49" i="6"/>
  <c r="E49" i="6"/>
  <c r="F49" i="6"/>
  <c r="G49" i="6"/>
  <c r="H49" i="6"/>
  <c r="I49" i="6"/>
  <c r="J49" i="6"/>
  <c r="A50" i="6"/>
  <c r="B50" i="6"/>
  <c r="C50" i="6"/>
  <c r="E50" i="6"/>
  <c r="F50" i="6"/>
  <c r="G50" i="6"/>
  <c r="H50" i="6"/>
  <c r="I50" i="6"/>
  <c r="J50" i="6"/>
  <c r="A51" i="6"/>
  <c r="B51" i="6"/>
  <c r="C51" i="6"/>
  <c r="E51" i="6"/>
  <c r="F51" i="6"/>
  <c r="G51" i="6"/>
  <c r="H51" i="6"/>
  <c r="I51" i="6"/>
  <c r="J51" i="6"/>
  <c r="A52" i="6"/>
  <c r="B52" i="6"/>
  <c r="C52" i="6"/>
  <c r="E52" i="6"/>
  <c r="F52" i="6"/>
  <c r="G52" i="6"/>
  <c r="H52" i="6"/>
  <c r="I52" i="6"/>
  <c r="J52" i="6"/>
  <c r="A53" i="6"/>
  <c r="B53" i="6"/>
  <c r="C53" i="6"/>
  <c r="E53" i="6"/>
  <c r="F53" i="6"/>
  <c r="G53" i="6"/>
  <c r="H53" i="6"/>
  <c r="I53" i="6"/>
  <c r="J53" i="6"/>
  <c r="A54" i="6"/>
  <c r="B54" i="6"/>
  <c r="C54" i="6"/>
  <c r="E54" i="6"/>
  <c r="F54" i="6"/>
  <c r="G54" i="6"/>
  <c r="H54" i="6"/>
  <c r="I54" i="6"/>
  <c r="J54" i="6"/>
  <c r="A55" i="6"/>
  <c r="B55" i="6"/>
  <c r="C55" i="6"/>
  <c r="E55" i="6"/>
  <c r="F55" i="6"/>
  <c r="G55" i="6"/>
  <c r="H55" i="6"/>
  <c r="I55" i="6"/>
  <c r="J55" i="6"/>
  <c r="A56" i="6"/>
  <c r="B56" i="6"/>
  <c r="C56" i="6"/>
  <c r="E56" i="6"/>
  <c r="F56" i="6"/>
  <c r="G56" i="6"/>
  <c r="H56" i="6"/>
  <c r="I56" i="6"/>
  <c r="J56" i="6"/>
  <c r="A57" i="6"/>
  <c r="B57" i="6"/>
  <c r="C57" i="6"/>
  <c r="E57" i="6"/>
  <c r="F57" i="6"/>
  <c r="G57" i="6"/>
  <c r="H57" i="6"/>
  <c r="I57" i="6"/>
  <c r="J57" i="6"/>
  <c r="A58" i="6"/>
  <c r="B58" i="6"/>
  <c r="C58" i="6"/>
  <c r="E58" i="6"/>
  <c r="F58" i="6"/>
  <c r="G58" i="6"/>
  <c r="H58" i="6"/>
  <c r="I58" i="6"/>
  <c r="J58" i="6"/>
  <c r="A59" i="6"/>
  <c r="B59" i="6"/>
  <c r="C59" i="6"/>
  <c r="E59" i="6"/>
  <c r="F59" i="6"/>
  <c r="G59" i="6"/>
  <c r="H59" i="6"/>
  <c r="I59" i="6"/>
  <c r="J59" i="6"/>
  <c r="A60" i="6"/>
  <c r="B60" i="6"/>
  <c r="C60" i="6"/>
  <c r="E60" i="6"/>
  <c r="F60" i="6"/>
  <c r="G60" i="6"/>
  <c r="H60" i="6"/>
  <c r="I60" i="6"/>
  <c r="J60" i="6"/>
  <c r="A61" i="6"/>
  <c r="B61" i="6"/>
  <c r="C61" i="6"/>
  <c r="E61" i="6"/>
  <c r="F61" i="6"/>
  <c r="G61" i="6"/>
  <c r="H61" i="6"/>
  <c r="I61" i="6"/>
  <c r="J61" i="6"/>
  <c r="A62" i="6"/>
  <c r="B62" i="6"/>
  <c r="C62" i="6"/>
  <c r="E62" i="6"/>
  <c r="F62" i="6"/>
  <c r="G62" i="6"/>
  <c r="H62" i="6"/>
  <c r="I62" i="6"/>
  <c r="J62" i="6"/>
  <c r="A63" i="6"/>
  <c r="B63" i="6"/>
  <c r="C63" i="6"/>
  <c r="E63" i="6"/>
  <c r="F63" i="6"/>
  <c r="G63" i="6"/>
  <c r="H63" i="6"/>
  <c r="I63" i="6"/>
  <c r="J63" i="6"/>
  <c r="A64" i="6"/>
  <c r="B64" i="6"/>
  <c r="C64" i="6"/>
  <c r="E64" i="6"/>
  <c r="F64" i="6"/>
  <c r="G64" i="6"/>
  <c r="H64" i="6"/>
  <c r="I64" i="6"/>
  <c r="J64" i="6"/>
  <c r="A65" i="6"/>
  <c r="B65" i="6"/>
  <c r="C65" i="6"/>
  <c r="E65" i="6"/>
  <c r="F65" i="6"/>
  <c r="G65" i="6"/>
  <c r="H65" i="6"/>
  <c r="I65" i="6"/>
  <c r="J65" i="6"/>
  <c r="A66" i="6"/>
  <c r="B66" i="6"/>
  <c r="C66" i="6"/>
  <c r="E66" i="6"/>
  <c r="F66" i="6"/>
  <c r="G66" i="6"/>
  <c r="H66" i="6"/>
  <c r="I66" i="6"/>
  <c r="J66" i="6"/>
  <c r="A67" i="6"/>
  <c r="B67" i="6"/>
  <c r="C67" i="6"/>
  <c r="E67" i="6"/>
  <c r="F67" i="6"/>
  <c r="G67" i="6"/>
  <c r="H67" i="6"/>
  <c r="I67" i="6"/>
  <c r="J67" i="6"/>
  <c r="A68" i="6"/>
  <c r="B68" i="6"/>
  <c r="C68" i="6"/>
  <c r="E68" i="6"/>
  <c r="F68" i="6"/>
  <c r="G68" i="6"/>
  <c r="H68" i="6"/>
  <c r="I68" i="6"/>
  <c r="J68" i="6"/>
  <c r="A69" i="6"/>
  <c r="B69" i="6"/>
  <c r="C69" i="6"/>
  <c r="E69" i="6"/>
  <c r="F69" i="6"/>
  <c r="G69" i="6"/>
  <c r="H69" i="6"/>
  <c r="I69" i="6"/>
  <c r="J69" i="6"/>
  <c r="A70" i="6"/>
  <c r="B70" i="6"/>
  <c r="C70" i="6"/>
  <c r="E70" i="6"/>
  <c r="F70" i="6"/>
  <c r="G70" i="6"/>
  <c r="H70" i="6"/>
  <c r="I70" i="6"/>
  <c r="J70" i="6"/>
  <c r="A71" i="6"/>
  <c r="B71" i="6"/>
  <c r="C71" i="6"/>
  <c r="E71" i="6"/>
  <c r="F71" i="6"/>
  <c r="G71" i="6"/>
  <c r="H71" i="6"/>
  <c r="I71" i="6"/>
  <c r="J71" i="6"/>
  <c r="A72" i="6"/>
  <c r="B72" i="6"/>
  <c r="C72" i="6"/>
  <c r="E72" i="6"/>
  <c r="F72" i="6"/>
  <c r="G72" i="6"/>
  <c r="H72" i="6"/>
  <c r="I72" i="6"/>
  <c r="J72" i="6"/>
  <c r="A73" i="6"/>
  <c r="B73" i="6"/>
  <c r="C73" i="6"/>
  <c r="E73" i="6"/>
  <c r="F73" i="6"/>
  <c r="G73" i="6"/>
  <c r="H73" i="6"/>
  <c r="I73" i="6"/>
  <c r="J73" i="6"/>
  <c r="A74" i="6"/>
  <c r="B74" i="6"/>
  <c r="C74" i="6"/>
  <c r="E74" i="6"/>
  <c r="F74" i="6"/>
  <c r="G74" i="6"/>
  <c r="H74" i="6"/>
  <c r="I74" i="6"/>
  <c r="J74" i="6"/>
  <c r="A75" i="6"/>
  <c r="B75" i="6"/>
  <c r="C75" i="6"/>
  <c r="E75" i="6"/>
  <c r="F75" i="6"/>
  <c r="G75" i="6"/>
  <c r="H75" i="6"/>
  <c r="I75" i="6"/>
  <c r="J75" i="6"/>
  <c r="A76" i="6"/>
  <c r="B76" i="6"/>
  <c r="C76" i="6"/>
  <c r="E76" i="6"/>
  <c r="F76" i="6"/>
  <c r="G76" i="6"/>
  <c r="H76" i="6"/>
  <c r="I76" i="6"/>
  <c r="J76" i="6"/>
  <c r="A77" i="6"/>
  <c r="B77" i="6"/>
  <c r="C77" i="6"/>
  <c r="E77" i="6"/>
  <c r="F77" i="6"/>
  <c r="G77" i="6"/>
  <c r="H77" i="6"/>
  <c r="I77" i="6"/>
  <c r="J77" i="6"/>
  <c r="A78" i="6"/>
  <c r="B78" i="6"/>
  <c r="C78" i="6"/>
  <c r="E78" i="6"/>
  <c r="F78" i="6"/>
  <c r="G78" i="6"/>
  <c r="H78" i="6"/>
  <c r="I78" i="6"/>
  <c r="J78" i="6"/>
  <c r="A79" i="6"/>
  <c r="B79" i="6"/>
  <c r="C79" i="6"/>
  <c r="E79" i="6"/>
  <c r="F79" i="6"/>
  <c r="G79" i="6"/>
  <c r="H79" i="6"/>
  <c r="I79" i="6"/>
  <c r="J79" i="6"/>
  <c r="A80" i="6"/>
  <c r="B80" i="6"/>
  <c r="C80" i="6"/>
  <c r="E80" i="6"/>
  <c r="F80" i="6"/>
  <c r="G80" i="6"/>
  <c r="H80" i="6"/>
  <c r="I80" i="6"/>
  <c r="J80" i="6"/>
  <c r="A81" i="6"/>
  <c r="B81" i="6"/>
  <c r="C81" i="6"/>
  <c r="E81" i="6"/>
  <c r="F81" i="6"/>
  <c r="G81" i="6"/>
  <c r="H81" i="6"/>
  <c r="I81" i="6"/>
  <c r="J81" i="6"/>
  <c r="A82" i="6"/>
  <c r="B82" i="6"/>
  <c r="C82" i="6"/>
  <c r="E82" i="6"/>
  <c r="F82" i="6"/>
  <c r="G82" i="6"/>
  <c r="H82" i="6"/>
  <c r="I82" i="6"/>
  <c r="J82" i="6"/>
  <c r="A83" i="6"/>
  <c r="B83" i="6"/>
  <c r="C83" i="6"/>
  <c r="E83" i="6"/>
  <c r="F83" i="6"/>
  <c r="G83" i="6"/>
  <c r="H83" i="6"/>
  <c r="I83" i="6"/>
  <c r="J83" i="6"/>
  <c r="A84" i="6"/>
  <c r="B84" i="6"/>
  <c r="C84" i="6"/>
  <c r="E84" i="6"/>
  <c r="F84" i="6"/>
  <c r="G84" i="6"/>
  <c r="H84" i="6"/>
  <c r="I84" i="6"/>
  <c r="J84" i="6"/>
  <c r="A85" i="6"/>
  <c r="B85" i="6"/>
  <c r="C85" i="6"/>
  <c r="E85" i="6"/>
  <c r="F85" i="6"/>
  <c r="G85" i="6"/>
  <c r="H85" i="6"/>
  <c r="I85" i="6"/>
  <c r="J85" i="6"/>
  <c r="A86" i="6"/>
  <c r="B86" i="6"/>
  <c r="C86" i="6"/>
  <c r="E86" i="6"/>
  <c r="F86" i="6"/>
  <c r="G86" i="6"/>
  <c r="H86" i="6"/>
  <c r="I86" i="6"/>
  <c r="J86" i="6"/>
  <c r="A87" i="6"/>
  <c r="B87" i="6"/>
  <c r="C87" i="6"/>
  <c r="E87" i="6"/>
  <c r="F87" i="6"/>
  <c r="G87" i="6"/>
  <c r="H87" i="6"/>
  <c r="I87" i="6"/>
  <c r="J87" i="6"/>
  <c r="A88" i="6"/>
  <c r="B88" i="6"/>
  <c r="C88" i="6"/>
  <c r="E88" i="6"/>
  <c r="F88" i="6"/>
  <c r="G88" i="6"/>
  <c r="H88" i="6"/>
  <c r="I88" i="6"/>
  <c r="J88" i="6"/>
  <c r="A89" i="6"/>
  <c r="B89" i="6"/>
  <c r="C89" i="6"/>
  <c r="E89" i="6"/>
  <c r="F89" i="6"/>
  <c r="G89" i="6"/>
  <c r="H89" i="6"/>
  <c r="I89" i="6"/>
  <c r="J89" i="6"/>
  <c r="A90" i="6"/>
  <c r="B90" i="6"/>
  <c r="C90" i="6"/>
  <c r="E90" i="6"/>
  <c r="F90" i="6"/>
  <c r="G90" i="6"/>
  <c r="H90" i="6"/>
  <c r="I90" i="6"/>
  <c r="J90" i="6"/>
  <c r="A91" i="6"/>
  <c r="B91" i="6"/>
  <c r="C91" i="6"/>
  <c r="E91" i="6"/>
  <c r="F91" i="6"/>
  <c r="G91" i="6"/>
  <c r="H91" i="6"/>
  <c r="I91" i="6"/>
  <c r="J91" i="6"/>
  <c r="A92" i="6"/>
  <c r="B92" i="6"/>
  <c r="C92" i="6"/>
  <c r="E92" i="6"/>
  <c r="F92" i="6"/>
  <c r="G92" i="6"/>
  <c r="H92" i="6"/>
  <c r="I92" i="6"/>
  <c r="J92" i="6"/>
  <c r="A93" i="6"/>
  <c r="B93" i="6"/>
  <c r="C93" i="6"/>
  <c r="E93" i="6"/>
  <c r="F93" i="6"/>
  <c r="G93" i="6"/>
  <c r="H93" i="6"/>
  <c r="I93" i="6"/>
  <c r="J93" i="6"/>
  <c r="A94" i="6"/>
  <c r="B94" i="6"/>
  <c r="C94" i="6"/>
  <c r="E94" i="6"/>
  <c r="F94" i="6"/>
  <c r="G94" i="6"/>
  <c r="H94" i="6"/>
  <c r="I94" i="6"/>
  <c r="J94" i="6"/>
  <c r="A95" i="6"/>
  <c r="B95" i="6"/>
  <c r="C95" i="6"/>
  <c r="E95" i="6"/>
  <c r="F95" i="6"/>
  <c r="G95" i="6"/>
  <c r="H95" i="6"/>
  <c r="I95" i="6"/>
  <c r="J95" i="6"/>
  <c r="A96" i="6"/>
  <c r="B96" i="6"/>
  <c r="C96" i="6"/>
  <c r="E96" i="6"/>
  <c r="F96" i="6"/>
  <c r="G96" i="6"/>
  <c r="H96" i="6"/>
  <c r="I96" i="6"/>
  <c r="J96" i="6"/>
  <c r="A97" i="6"/>
  <c r="B97" i="6"/>
  <c r="C97" i="6"/>
  <c r="E97" i="6"/>
  <c r="F97" i="6"/>
  <c r="G97" i="6"/>
  <c r="H97" i="6"/>
  <c r="I97" i="6"/>
  <c r="J97" i="6"/>
  <c r="A98" i="6"/>
  <c r="B98" i="6"/>
  <c r="C98" i="6"/>
  <c r="E98" i="6"/>
  <c r="F98" i="6"/>
  <c r="G98" i="6"/>
  <c r="H98" i="6"/>
  <c r="I98" i="6"/>
  <c r="J98" i="6"/>
  <c r="A99" i="6"/>
  <c r="B99" i="6"/>
  <c r="C99" i="6"/>
  <c r="E99" i="6"/>
  <c r="F99" i="6"/>
  <c r="G99" i="6"/>
  <c r="H99" i="6"/>
  <c r="I99" i="6"/>
  <c r="J99" i="6"/>
  <c r="A100" i="6"/>
  <c r="B100" i="6"/>
  <c r="C100" i="6"/>
  <c r="E100" i="6"/>
  <c r="F100" i="6"/>
  <c r="G100" i="6"/>
  <c r="H100" i="6"/>
  <c r="I100" i="6"/>
  <c r="J100" i="6"/>
  <c r="A101" i="6"/>
  <c r="B101" i="6"/>
  <c r="C101" i="6"/>
  <c r="E101" i="6"/>
  <c r="F101" i="6"/>
  <c r="G101" i="6"/>
  <c r="H101" i="6"/>
  <c r="I101" i="6"/>
  <c r="J101" i="6"/>
  <c r="A102" i="6"/>
  <c r="B102" i="6"/>
  <c r="C102" i="6"/>
  <c r="E102" i="6"/>
  <c r="F102" i="6"/>
  <c r="G102" i="6"/>
  <c r="H102" i="6"/>
  <c r="I102" i="6"/>
  <c r="J102" i="6"/>
  <c r="A103" i="6"/>
  <c r="B103" i="6"/>
  <c r="C103" i="6"/>
  <c r="E103" i="6"/>
  <c r="F103" i="6"/>
  <c r="G103" i="6"/>
  <c r="H103" i="6"/>
  <c r="I103" i="6"/>
  <c r="J103" i="6"/>
  <c r="A104" i="6"/>
  <c r="B104" i="6"/>
  <c r="C104" i="6"/>
  <c r="E104" i="6"/>
  <c r="F104" i="6"/>
  <c r="G104" i="6"/>
  <c r="H104" i="6"/>
  <c r="I104" i="6"/>
  <c r="J104" i="6"/>
  <c r="A105" i="6"/>
  <c r="B105" i="6"/>
  <c r="C105" i="6"/>
  <c r="E105" i="6"/>
  <c r="F105" i="6"/>
  <c r="G105" i="6"/>
  <c r="H105" i="6"/>
  <c r="I105" i="6"/>
  <c r="J105" i="6"/>
  <c r="A106" i="6"/>
  <c r="B106" i="6"/>
  <c r="C106" i="6"/>
  <c r="E106" i="6"/>
  <c r="F106" i="6"/>
  <c r="G106" i="6"/>
  <c r="H106" i="6"/>
  <c r="I106" i="6"/>
  <c r="J106" i="6"/>
  <c r="A107" i="6"/>
  <c r="B107" i="6"/>
  <c r="C107" i="6"/>
  <c r="E107" i="6"/>
  <c r="F107" i="6"/>
  <c r="G107" i="6"/>
  <c r="H107" i="6"/>
  <c r="I107" i="6"/>
  <c r="J107" i="6"/>
  <c r="A108" i="6"/>
  <c r="B108" i="6"/>
  <c r="C108" i="6"/>
  <c r="E108" i="6"/>
  <c r="F108" i="6"/>
  <c r="G108" i="6"/>
  <c r="H108" i="6"/>
  <c r="I108" i="6"/>
  <c r="J108" i="6"/>
  <c r="A109" i="6"/>
  <c r="B109" i="6"/>
  <c r="C109" i="6"/>
  <c r="E109" i="6"/>
  <c r="F109" i="6"/>
  <c r="G109" i="6"/>
  <c r="H109" i="6"/>
  <c r="I109" i="6"/>
  <c r="J109" i="6"/>
  <c r="A110" i="6"/>
  <c r="B110" i="6"/>
  <c r="C110" i="6"/>
  <c r="E110" i="6"/>
  <c r="F110" i="6"/>
  <c r="G110" i="6"/>
  <c r="H110" i="6"/>
  <c r="I110" i="6"/>
  <c r="J110" i="6"/>
  <c r="A111" i="6"/>
  <c r="B111" i="6"/>
  <c r="C111" i="6"/>
  <c r="E111" i="6"/>
  <c r="F111" i="6"/>
  <c r="G111" i="6"/>
  <c r="H111" i="6"/>
  <c r="I111" i="6"/>
  <c r="J111" i="6"/>
  <c r="A112" i="6"/>
  <c r="B112" i="6"/>
  <c r="C112" i="6"/>
  <c r="E112" i="6"/>
  <c r="F112" i="6"/>
  <c r="G112" i="6"/>
  <c r="H112" i="6"/>
  <c r="I112" i="6"/>
  <c r="J112" i="6"/>
  <c r="A113" i="6"/>
  <c r="B113" i="6"/>
  <c r="C113" i="6"/>
  <c r="E113" i="6"/>
  <c r="F113" i="6"/>
  <c r="G113" i="6"/>
  <c r="H113" i="6"/>
  <c r="I113" i="6"/>
  <c r="J113" i="6"/>
  <c r="A114" i="6"/>
  <c r="B114" i="6"/>
  <c r="C114" i="6"/>
  <c r="E114" i="6"/>
  <c r="F114" i="6"/>
  <c r="G114" i="6"/>
  <c r="H114" i="6"/>
  <c r="I114" i="6"/>
  <c r="J114" i="6"/>
  <c r="A115" i="6"/>
  <c r="B115" i="6"/>
  <c r="C115" i="6"/>
  <c r="E115" i="6"/>
  <c r="F115" i="6"/>
  <c r="G115" i="6"/>
  <c r="H115" i="6"/>
  <c r="I115" i="6"/>
  <c r="J115" i="6"/>
  <c r="A116" i="6"/>
  <c r="B116" i="6"/>
  <c r="C116" i="6"/>
  <c r="E116" i="6"/>
  <c r="F116" i="6"/>
  <c r="G116" i="6"/>
  <c r="H116" i="6"/>
  <c r="I116" i="6"/>
  <c r="J116" i="6"/>
  <c r="A117" i="6"/>
  <c r="B117" i="6"/>
  <c r="C117" i="6"/>
  <c r="E117" i="6"/>
  <c r="F117" i="6"/>
  <c r="G117" i="6"/>
  <c r="H117" i="6"/>
  <c r="I117" i="6"/>
  <c r="J117" i="6"/>
  <c r="A118" i="6"/>
  <c r="B118" i="6"/>
  <c r="C118" i="6"/>
  <c r="E118" i="6"/>
  <c r="F118" i="6"/>
  <c r="G118" i="6"/>
  <c r="H118" i="6"/>
  <c r="I118" i="6"/>
  <c r="J118" i="6"/>
  <c r="A119" i="6"/>
  <c r="B119" i="6"/>
  <c r="C119" i="6"/>
  <c r="E119" i="6"/>
  <c r="F119" i="6"/>
  <c r="G119" i="6"/>
  <c r="H119" i="6"/>
  <c r="I119" i="6"/>
  <c r="J119" i="6"/>
  <c r="A120" i="6"/>
  <c r="B120" i="6"/>
  <c r="C120" i="6"/>
  <c r="E120" i="6"/>
  <c r="F120" i="6"/>
  <c r="G120" i="6"/>
  <c r="H120" i="6"/>
  <c r="I120" i="6"/>
  <c r="J120" i="6"/>
  <c r="A121" i="6"/>
  <c r="B121" i="6"/>
  <c r="C121" i="6"/>
  <c r="E121" i="6"/>
  <c r="F121" i="6"/>
  <c r="G121" i="6"/>
  <c r="H121" i="6"/>
  <c r="I121" i="6"/>
  <c r="J121" i="6"/>
  <c r="A122" i="6"/>
  <c r="B122" i="6"/>
  <c r="C122" i="6"/>
  <c r="E122" i="6"/>
  <c r="F122" i="6"/>
  <c r="G122" i="6"/>
  <c r="H122" i="6"/>
  <c r="I122" i="6"/>
  <c r="J122" i="6"/>
  <c r="A123" i="6"/>
  <c r="B123" i="6"/>
  <c r="C123" i="6"/>
  <c r="E123" i="6"/>
  <c r="F123" i="6"/>
  <c r="G123" i="6"/>
  <c r="H123" i="6"/>
  <c r="I123" i="6"/>
  <c r="J123" i="6"/>
  <c r="A124" i="6"/>
  <c r="B124" i="6"/>
  <c r="C124" i="6"/>
  <c r="E124" i="6"/>
  <c r="F124" i="6"/>
  <c r="G124" i="6"/>
  <c r="H124" i="6"/>
  <c r="I124" i="6"/>
  <c r="J124" i="6"/>
  <c r="A125" i="6"/>
  <c r="B125" i="6"/>
  <c r="C125" i="6"/>
  <c r="E125" i="6"/>
  <c r="F125" i="6"/>
  <c r="G125" i="6"/>
  <c r="H125" i="6"/>
  <c r="I125" i="6"/>
  <c r="J125" i="6"/>
  <c r="A126" i="6"/>
  <c r="B126" i="6"/>
  <c r="C126" i="6"/>
  <c r="E126" i="6"/>
  <c r="F126" i="6"/>
  <c r="G126" i="6"/>
  <c r="H126" i="6"/>
  <c r="I126" i="6"/>
  <c r="J126" i="6"/>
  <c r="A127" i="6"/>
  <c r="B127" i="6"/>
  <c r="C127" i="6"/>
  <c r="E127" i="6"/>
  <c r="F127" i="6"/>
  <c r="G127" i="6"/>
  <c r="H127" i="6"/>
  <c r="I127" i="6"/>
  <c r="J127" i="6"/>
  <c r="A128" i="6"/>
  <c r="B128" i="6"/>
  <c r="C128" i="6"/>
  <c r="E128" i="6"/>
  <c r="F128" i="6"/>
  <c r="G128" i="6"/>
  <c r="H128" i="6"/>
  <c r="I128" i="6"/>
  <c r="J128" i="6"/>
  <c r="A129" i="6"/>
  <c r="B129" i="6"/>
  <c r="C129" i="6"/>
  <c r="E129" i="6"/>
  <c r="F129" i="6"/>
  <c r="G129" i="6"/>
  <c r="H129" i="6"/>
  <c r="I129" i="6"/>
  <c r="J129" i="6"/>
  <c r="A130" i="6"/>
  <c r="B130" i="6"/>
  <c r="C130" i="6"/>
  <c r="E130" i="6"/>
  <c r="F130" i="6"/>
  <c r="G130" i="6"/>
  <c r="H130" i="6"/>
  <c r="I130" i="6"/>
  <c r="J130" i="6"/>
  <c r="A131" i="6"/>
  <c r="B131" i="6"/>
  <c r="C131" i="6"/>
  <c r="E131" i="6"/>
  <c r="F131" i="6"/>
  <c r="G131" i="6"/>
  <c r="H131" i="6"/>
  <c r="I131" i="6"/>
  <c r="J131" i="6"/>
  <c r="A132" i="6"/>
  <c r="B132" i="6"/>
  <c r="C132" i="6"/>
  <c r="E132" i="6"/>
  <c r="F132" i="6"/>
  <c r="G132" i="6"/>
  <c r="H132" i="6"/>
  <c r="I132" i="6"/>
  <c r="J132" i="6"/>
  <c r="A133" i="6"/>
  <c r="B133" i="6"/>
  <c r="C133" i="6"/>
  <c r="E133" i="6"/>
  <c r="F133" i="6"/>
  <c r="G133" i="6"/>
  <c r="H133" i="6"/>
  <c r="I133" i="6"/>
  <c r="J133" i="6"/>
  <c r="A134" i="6"/>
  <c r="B134" i="6"/>
  <c r="C134" i="6"/>
  <c r="E134" i="6"/>
  <c r="F134" i="6"/>
  <c r="G134" i="6"/>
  <c r="H134" i="6"/>
  <c r="I134" i="6"/>
  <c r="J134" i="6"/>
  <c r="A135" i="6"/>
  <c r="B135" i="6"/>
  <c r="C135" i="6"/>
  <c r="E135" i="6"/>
  <c r="F135" i="6"/>
  <c r="G135" i="6"/>
  <c r="H135" i="6"/>
  <c r="I135" i="6"/>
  <c r="J135" i="6"/>
  <c r="A136" i="6"/>
  <c r="B136" i="6"/>
  <c r="C136" i="6"/>
  <c r="E136" i="6"/>
  <c r="F136" i="6"/>
  <c r="G136" i="6"/>
  <c r="H136" i="6"/>
  <c r="I136" i="6"/>
  <c r="J136" i="6"/>
  <c r="A137" i="6"/>
  <c r="B137" i="6"/>
  <c r="C137" i="6"/>
  <c r="E137" i="6"/>
  <c r="F137" i="6"/>
  <c r="G137" i="6"/>
  <c r="H137" i="6"/>
  <c r="I137" i="6"/>
  <c r="J137" i="6"/>
  <c r="A138" i="6"/>
  <c r="B138" i="6"/>
  <c r="C138" i="6"/>
  <c r="E138" i="6"/>
  <c r="F138" i="6"/>
  <c r="G138" i="6"/>
  <c r="H138" i="6"/>
  <c r="I138" i="6"/>
  <c r="J138" i="6"/>
  <c r="A139" i="6"/>
  <c r="B139" i="6"/>
  <c r="C139" i="6"/>
  <c r="E139" i="6"/>
  <c r="F139" i="6"/>
  <c r="G139" i="6"/>
  <c r="H139" i="6"/>
  <c r="I139" i="6"/>
  <c r="J139" i="6"/>
  <c r="A140" i="6"/>
  <c r="B140" i="6"/>
  <c r="C140" i="6"/>
  <c r="E140" i="6"/>
  <c r="F140" i="6"/>
  <c r="G140" i="6"/>
  <c r="H140" i="6"/>
  <c r="I140" i="6"/>
  <c r="J140" i="6"/>
  <c r="A141" i="6"/>
  <c r="B141" i="6"/>
  <c r="C141" i="6"/>
  <c r="E141" i="6"/>
  <c r="F141" i="6"/>
  <c r="G141" i="6"/>
  <c r="H141" i="6"/>
  <c r="I141" i="6"/>
  <c r="J141" i="6"/>
  <c r="A142" i="6"/>
  <c r="B142" i="6"/>
  <c r="C142" i="6"/>
  <c r="E142" i="6"/>
  <c r="F142" i="6"/>
  <c r="G142" i="6"/>
  <c r="H142" i="6"/>
  <c r="I142" i="6"/>
  <c r="J142" i="6"/>
  <c r="A143" i="6"/>
  <c r="B143" i="6"/>
  <c r="C143" i="6"/>
  <c r="E143" i="6"/>
  <c r="F143" i="6"/>
  <c r="G143" i="6"/>
  <c r="H143" i="6"/>
  <c r="I143" i="6"/>
  <c r="J143" i="6"/>
  <c r="A144" i="6"/>
  <c r="B144" i="6"/>
  <c r="C144" i="6"/>
  <c r="E144" i="6"/>
  <c r="F144" i="6"/>
  <c r="G144" i="6"/>
  <c r="H144" i="6"/>
  <c r="I144" i="6"/>
  <c r="J144" i="6"/>
  <c r="A145" i="6"/>
  <c r="B145" i="6"/>
  <c r="C145" i="6"/>
  <c r="E145" i="6"/>
  <c r="F145" i="6"/>
  <c r="G145" i="6"/>
  <c r="H145" i="6"/>
  <c r="I145" i="6"/>
  <c r="J145" i="6"/>
  <c r="A146" i="6"/>
  <c r="B146" i="6"/>
  <c r="C146" i="6"/>
  <c r="E146" i="6"/>
  <c r="F146" i="6"/>
  <c r="G146" i="6"/>
  <c r="H146" i="6"/>
  <c r="I146" i="6"/>
  <c r="J146" i="6"/>
  <c r="A147" i="6"/>
  <c r="B147" i="6"/>
  <c r="C147" i="6"/>
  <c r="E147" i="6"/>
  <c r="F147" i="6"/>
  <c r="G147" i="6"/>
  <c r="H147" i="6"/>
  <c r="I147" i="6"/>
  <c r="J147" i="6"/>
  <c r="A148" i="6"/>
  <c r="B148" i="6"/>
  <c r="C148" i="6"/>
  <c r="E148" i="6"/>
  <c r="F148" i="6"/>
  <c r="G148" i="6"/>
  <c r="H148" i="6"/>
  <c r="I148" i="6"/>
  <c r="J148" i="6"/>
  <c r="A149" i="6"/>
  <c r="B149" i="6"/>
  <c r="C149" i="6"/>
  <c r="E149" i="6"/>
  <c r="F149" i="6"/>
  <c r="G149" i="6"/>
  <c r="H149" i="6"/>
  <c r="I149" i="6"/>
  <c r="J149" i="6"/>
  <c r="A150" i="6"/>
  <c r="B150" i="6"/>
  <c r="C150" i="6"/>
  <c r="E150" i="6"/>
  <c r="F150" i="6"/>
  <c r="G150" i="6"/>
  <c r="H150" i="6"/>
  <c r="I150" i="6"/>
  <c r="J150" i="6"/>
  <c r="A151" i="6"/>
  <c r="B151" i="6"/>
  <c r="C151" i="6"/>
  <c r="E151" i="6"/>
  <c r="F151" i="6"/>
  <c r="G151" i="6"/>
  <c r="H151" i="6"/>
  <c r="I151" i="6"/>
  <c r="J151" i="6"/>
  <c r="A152" i="6"/>
  <c r="B152" i="6"/>
  <c r="C152" i="6"/>
  <c r="E152" i="6"/>
  <c r="F152" i="6"/>
  <c r="G152" i="6"/>
  <c r="H152" i="6"/>
  <c r="I152" i="6"/>
  <c r="J152" i="6"/>
  <c r="A153" i="6"/>
  <c r="B153" i="6"/>
  <c r="C153" i="6"/>
  <c r="E153" i="6"/>
  <c r="F153" i="6"/>
  <c r="G153" i="6"/>
  <c r="H153" i="6"/>
  <c r="I153" i="6"/>
  <c r="J153" i="6"/>
  <c r="A154" i="6"/>
  <c r="B154" i="6"/>
  <c r="C154" i="6"/>
  <c r="E154" i="6"/>
  <c r="F154" i="6"/>
  <c r="G154" i="6"/>
  <c r="H154" i="6"/>
  <c r="I154" i="6"/>
  <c r="J154" i="6"/>
  <c r="A155" i="6"/>
  <c r="B155" i="6"/>
  <c r="C155" i="6"/>
  <c r="E155" i="6"/>
  <c r="F155" i="6"/>
  <c r="G155" i="6"/>
  <c r="H155" i="6"/>
  <c r="I155" i="6"/>
  <c r="J155" i="6"/>
  <c r="A156" i="6"/>
  <c r="B156" i="6"/>
  <c r="C156" i="6"/>
  <c r="E156" i="6"/>
  <c r="F156" i="6"/>
  <c r="G156" i="6"/>
  <c r="H156" i="6"/>
  <c r="I156" i="6"/>
  <c r="J156" i="6"/>
  <c r="A157" i="6"/>
  <c r="B157" i="6"/>
  <c r="C157" i="6"/>
  <c r="E157" i="6"/>
  <c r="F157" i="6"/>
  <c r="G157" i="6"/>
  <c r="H157" i="6"/>
  <c r="I157" i="6"/>
  <c r="J157" i="6"/>
  <c r="A158" i="6"/>
  <c r="B158" i="6"/>
  <c r="C158" i="6"/>
  <c r="E158" i="6"/>
  <c r="F158" i="6"/>
  <c r="G158" i="6"/>
  <c r="H158" i="6"/>
  <c r="I158" i="6"/>
  <c r="J158" i="6"/>
  <c r="A159" i="6"/>
  <c r="B159" i="6"/>
  <c r="C159" i="6"/>
  <c r="E159" i="6"/>
  <c r="F159" i="6"/>
  <c r="G159" i="6"/>
  <c r="H159" i="6"/>
  <c r="I159" i="6"/>
  <c r="J159" i="6"/>
  <c r="A160" i="6"/>
  <c r="B160" i="6"/>
  <c r="C160" i="6"/>
  <c r="E160" i="6"/>
  <c r="F160" i="6"/>
  <c r="G160" i="6"/>
  <c r="H160" i="6"/>
  <c r="I160" i="6"/>
  <c r="J160" i="6"/>
  <c r="A161" i="6"/>
  <c r="B161" i="6"/>
  <c r="C161" i="6"/>
  <c r="E161" i="6"/>
  <c r="F161" i="6"/>
  <c r="G161" i="6"/>
  <c r="H161" i="6"/>
  <c r="I161" i="6"/>
  <c r="J161" i="6"/>
  <c r="A162" i="6"/>
  <c r="B162" i="6"/>
  <c r="C162" i="6"/>
  <c r="E162" i="6"/>
  <c r="F162" i="6"/>
  <c r="G162" i="6"/>
  <c r="H162" i="6"/>
  <c r="I162" i="6"/>
  <c r="J162" i="6"/>
  <c r="A163" i="6"/>
  <c r="B163" i="6"/>
  <c r="C163" i="6"/>
  <c r="E163" i="6"/>
  <c r="F163" i="6"/>
  <c r="G163" i="6"/>
  <c r="H163" i="6"/>
  <c r="I163" i="6"/>
  <c r="J163" i="6"/>
  <c r="A164" i="6"/>
  <c r="B164" i="6"/>
  <c r="C164" i="6"/>
  <c r="E164" i="6"/>
  <c r="F164" i="6"/>
  <c r="G164" i="6"/>
  <c r="H164" i="6"/>
  <c r="I164" i="6"/>
  <c r="J164" i="6"/>
  <c r="A165" i="6"/>
  <c r="B165" i="6"/>
  <c r="C165" i="6"/>
  <c r="E165" i="6"/>
  <c r="F165" i="6"/>
  <c r="G165" i="6"/>
  <c r="H165" i="6"/>
  <c r="I165" i="6"/>
  <c r="J165" i="6"/>
  <c r="A166" i="6"/>
  <c r="B166" i="6"/>
  <c r="C166" i="6"/>
  <c r="E166" i="6"/>
  <c r="F166" i="6"/>
  <c r="G166" i="6"/>
  <c r="H166" i="6"/>
  <c r="I166" i="6"/>
  <c r="J166" i="6"/>
  <c r="A167" i="6"/>
  <c r="B167" i="6"/>
  <c r="C167" i="6"/>
  <c r="E167" i="6"/>
  <c r="F167" i="6"/>
  <c r="G167" i="6"/>
  <c r="H167" i="6"/>
  <c r="I167" i="6"/>
  <c r="J167" i="6"/>
  <c r="A168" i="6"/>
  <c r="B168" i="6"/>
  <c r="C168" i="6"/>
  <c r="E168" i="6"/>
  <c r="F168" i="6"/>
  <c r="G168" i="6"/>
  <c r="H168" i="6"/>
  <c r="I168" i="6"/>
  <c r="J168" i="6"/>
  <c r="A169" i="6"/>
  <c r="B169" i="6"/>
  <c r="C169" i="6"/>
  <c r="E169" i="6"/>
  <c r="F169" i="6"/>
  <c r="G169" i="6"/>
  <c r="H169" i="6"/>
  <c r="I169" i="6"/>
  <c r="J169" i="6"/>
  <c r="A170" i="6"/>
  <c r="B170" i="6"/>
  <c r="C170" i="6"/>
  <c r="E170" i="6"/>
  <c r="F170" i="6"/>
  <c r="G170" i="6"/>
  <c r="H170" i="6"/>
  <c r="I170" i="6"/>
  <c r="J170" i="6"/>
  <c r="A171" i="6"/>
  <c r="B171" i="6"/>
  <c r="C171" i="6"/>
  <c r="E171" i="6"/>
  <c r="F171" i="6"/>
  <c r="G171" i="6"/>
  <c r="H171" i="6"/>
  <c r="I171" i="6"/>
  <c r="J171" i="6"/>
  <c r="A172" i="6"/>
  <c r="B172" i="6"/>
  <c r="C172" i="6"/>
  <c r="E172" i="6"/>
  <c r="F172" i="6"/>
  <c r="G172" i="6"/>
  <c r="H172" i="6"/>
  <c r="I172" i="6"/>
  <c r="J172" i="6"/>
  <c r="A173" i="6"/>
  <c r="B173" i="6"/>
  <c r="C173" i="6"/>
  <c r="E173" i="6"/>
  <c r="F173" i="6"/>
  <c r="G173" i="6"/>
  <c r="H173" i="6"/>
  <c r="I173" i="6"/>
  <c r="J173" i="6"/>
  <c r="A174" i="6"/>
  <c r="B174" i="6"/>
  <c r="C174" i="6"/>
  <c r="E174" i="6"/>
  <c r="F174" i="6"/>
  <c r="G174" i="6"/>
  <c r="H174" i="6"/>
  <c r="I174" i="6"/>
  <c r="J174" i="6"/>
  <c r="A175" i="6"/>
  <c r="B175" i="6"/>
  <c r="C175" i="6"/>
  <c r="E175" i="6"/>
  <c r="F175" i="6"/>
  <c r="G175" i="6"/>
  <c r="H175" i="6"/>
  <c r="I175" i="6"/>
  <c r="J175" i="6"/>
  <c r="A176" i="6"/>
  <c r="B176" i="6"/>
  <c r="C176" i="6"/>
  <c r="E176" i="6"/>
  <c r="F176" i="6"/>
  <c r="G176" i="6"/>
  <c r="H176" i="6"/>
  <c r="I176" i="6"/>
  <c r="J176" i="6"/>
  <c r="A177" i="6"/>
  <c r="B177" i="6"/>
  <c r="C177" i="6"/>
  <c r="E177" i="6"/>
  <c r="F177" i="6"/>
  <c r="G177" i="6"/>
  <c r="H177" i="6"/>
  <c r="I177" i="6"/>
  <c r="J177" i="6"/>
  <c r="A178" i="6"/>
  <c r="B178" i="6"/>
  <c r="C178" i="6"/>
  <c r="E178" i="6"/>
  <c r="F178" i="6"/>
  <c r="G178" i="6"/>
  <c r="H178" i="6"/>
  <c r="I178" i="6"/>
  <c r="J178" i="6"/>
  <c r="A179" i="6"/>
  <c r="B179" i="6"/>
  <c r="C179" i="6"/>
  <c r="E179" i="6"/>
  <c r="F179" i="6"/>
  <c r="G179" i="6"/>
  <c r="H179" i="6"/>
  <c r="I179" i="6"/>
  <c r="J179" i="6"/>
  <c r="A180" i="6"/>
  <c r="B180" i="6"/>
  <c r="C180" i="6"/>
  <c r="E180" i="6"/>
  <c r="F180" i="6"/>
  <c r="G180" i="6"/>
  <c r="H180" i="6"/>
  <c r="I180" i="6"/>
  <c r="J180" i="6"/>
  <c r="A181" i="6"/>
  <c r="B181" i="6"/>
  <c r="C181" i="6"/>
  <c r="E181" i="6"/>
  <c r="F181" i="6"/>
  <c r="G181" i="6"/>
  <c r="H181" i="6"/>
  <c r="I181" i="6"/>
  <c r="J181" i="6"/>
  <c r="A182" i="6"/>
  <c r="B182" i="6"/>
  <c r="C182" i="6"/>
  <c r="E182" i="6"/>
  <c r="F182" i="6"/>
  <c r="G182" i="6"/>
  <c r="H182" i="6"/>
  <c r="I182" i="6"/>
  <c r="J182" i="6"/>
  <c r="A183" i="6"/>
  <c r="B183" i="6"/>
  <c r="C183" i="6"/>
  <c r="E183" i="6"/>
  <c r="F183" i="6"/>
  <c r="G183" i="6"/>
  <c r="H183" i="6"/>
  <c r="I183" i="6"/>
  <c r="J183" i="6"/>
  <c r="A184" i="6"/>
  <c r="B184" i="6"/>
  <c r="C184" i="6"/>
  <c r="E184" i="6"/>
  <c r="F184" i="6"/>
  <c r="G184" i="6"/>
  <c r="H184" i="6"/>
  <c r="I184" i="6"/>
  <c r="J184" i="6"/>
  <c r="A185" i="6"/>
  <c r="B185" i="6"/>
  <c r="C185" i="6"/>
  <c r="E185" i="6"/>
  <c r="F185" i="6"/>
  <c r="G185" i="6"/>
  <c r="H185" i="6"/>
  <c r="I185" i="6"/>
  <c r="J185" i="6"/>
  <c r="A186" i="6"/>
  <c r="B186" i="6"/>
  <c r="C186" i="6"/>
  <c r="E186" i="6"/>
  <c r="F186" i="6"/>
  <c r="G186" i="6"/>
  <c r="H186" i="6"/>
  <c r="I186" i="6"/>
  <c r="J186" i="6"/>
  <c r="A187" i="6"/>
  <c r="B187" i="6"/>
  <c r="C187" i="6"/>
  <c r="E187" i="6"/>
  <c r="F187" i="6"/>
  <c r="G187" i="6"/>
  <c r="H187" i="6"/>
  <c r="I187" i="6"/>
  <c r="J187" i="6"/>
  <c r="A188" i="6"/>
  <c r="B188" i="6"/>
  <c r="C188" i="6"/>
  <c r="E188" i="6"/>
  <c r="F188" i="6"/>
  <c r="G188" i="6"/>
  <c r="H188" i="6"/>
  <c r="I188" i="6"/>
  <c r="J188" i="6"/>
  <c r="A189" i="6"/>
  <c r="B189" i="6"/>
  <c r="C189" i="6"/>
  <c r="E189" i="6"/>
  <c r="F189" i="6"/>
  <c r="G189" i="6"/>
  <c r="H189" i="6"/>
  <c r="I189" i="6"/>
  <c r="J189" i="6"/>
  <c r="A190" i="6"/>
  <c r="B190" i="6"/>
  <c r="C190" i="6"/>
  <c r="E190" i="6"/>
  <c r="F190" i="6"/>
  <c r="G190" i="6"/>
  <c r="H190" i="6"/>
  <c r="I190" i="6"/>
  <c r="J190" i="6"/>
  <c r="A191" i="6"/>
  <c r="B191" i="6"/>
  <c r="C191" i="6"/>
  <c r="E191" i="6"/>
  <c r="F191" i="6"/>
  <c r="G191" i="6"/>
  <c r="H191" i="6"/>
  <c r="I191" i="6"/>
  <c r="J191" i="6"/>
  <c r="A192" i="6"/>
  <c r="B192" i="6"/>
  <c r="C192" i="6"/>
  <c r="E192" i="6"/>
  <c r="F192" i="6"/>
  <c r="G192" i="6"/>
  <c r="H192" i="6"/>
  <c r="I192" i="6"/>
  <c r="J192" i="6"/>
  <c r="A193" i="6"/>
  <c r="B193" i="6"/>
  <c r="C193" i="6"/>
  <c r="E193" i="6"/>
  <c r="F193" i="6"/>
  <c r="G193" i="6"/>
  <c r="H193" i="6"/>
  <c r="I193" i="6"/>
  <c r="J193" i="6"/>
  <c r="A194" i="6"/>
  <c r="B194" i="6"/>
  <c r="C194" i="6"/>
  <c r="E194" i="6"/>
  <c r="F194" i="6"/>
  <c r="G194" i="6"/>
  <c r="H194" i="6"/>
  <c r="I194" i="6"/>
  <c r="J194" i="6"/>
  <c r="A195" i="6"/>
  <c r="B195" i="6"/>
  <c r="C195" i="6"/>
  <c r="E195" i="6"/>
  <c r="F195" i="6"/>
  <c r="G195" i="6"/>
  <c r="H195" i="6"/>
  <c r="I195" i="6"/>
  <c r="J195" i="6"/>
  <c r="A196" i="6"/>
  <c r="B196" i="6"/>
  <c r="C196" i="6"/>
  <c r="E196" i="6"/>
  <c r="F196" i="6"/>
  <c r="G196" i="6"/>
  <c r="H196" i="6"/>
  <c r="I196" i="6"/>
  <c r="J196" i="6"/>
  <c r="A197" i="6"/>
  <c r="B197" i="6"/>
  <c r="C197" i="6"/>
  <c r="E197" i="6"/>
  <c r="F197" i="6"/>
  <c r="G197" i="6"/>
  <c r="H197" i="6"/>
  <c r="I197" i="6"/>
  <c r="J197" i="6"/>
  <c r="A198" i="6"/>
  <c r="B198" i="6"/>
  <c r="C198" i="6"/>
  <c r="E198" i="6"/>
  <c r="F198" i="6"/>
  <c r="G198" i="6"/>
  <c r="H198" i="6"/>
  <c r="I198" i="6"/>
  <c r="J198" i="6"/>
  <c r="A199" i="6"/>
  <c r="B199" i="6"/>
  <c r="C199" i="6"/>
  <c r="E199" i="6"/>
  <c r="F199" i="6"/>
  <c r="G199" i="6"/>
  <c r="H199" i="6"/>
  <c r="I199" i="6"/>
  <c r="J199" i="6"/>
  <c r="A200" i="6"/>
  <c r="B200" i="6"/>
  <c r="C200" i="6"/>
  <c r="E200" i="6"/>
  <c r="F200" i="6"/>
  <c r="G200" i="6"/>
  <c r="H200" i="6"/>
  <c r="I200" i="6"/>
  <c r="J200" i="6"/>
  <c r="A201" i="6"/>
  <c r="B201" i="6"/>
  <c r="C201" i="6"/>
  <c r="E201" i="6"/>
  <c r="F201" i="6"/>
  <c r="G201" i="6"/>
  <c r="H201" i="6"/>
  <c r="I201" i="6"/>
  <c r="J201" i="6"/>
  <c r="A202" i="6"/>
  <c r="B202" i="6"/>
  <c r="C202" i="6"/>
  <c r="E202" i="6"/>
  <c r="F202" i="6"/>
  <c r="G202" i="6"/>
  <c r="H202" i="6"/>
  <c r="I202" i="6"/>
  <c r="J202" i="6"/>
  <c r="A203" i="6"/>
  <c r="B203" i="6"/>
  <c r="C203" i="6"/>
  <c r="E203" i="6"/>
  <c r="F203" i="6"/>
  <c r="G203" i="6"/>
  <c r="H203" i="6"/>
  <c r="I203" i="6"/>
  <c r="J203" i="6"/>
  <c r="A204" i="6"/>
  <c r="B204" i="6"/>
  <c r="C204" i="6"/>
  <c r="E204" i="6"/>
  <c r="F204" i="6"/>
  <c r="G204" i="6"/>
  <c r="H204" i="6"/>
  <c r="I204" i="6"/>
  <c r="J204" i="6"/>
  <c r="A205" i="6"/>
  <c r="B205" i="6"/>
  <c r="C205" i="6"/>
  <c r="E205" i="6"/>
  <c r="F205" i="6"/>
  <c r="G205" i="6"/>
  <c r="H205" i="6"/>
  <c r="I205" i="6"/>
  <c r="J205" i="6"/>
  <c r="A206" i="6"/>
  <c r="B206" i="6"/>
  <c r="C206" i="6"/>
  <c r="E206" i="6"/>
  <c r="F206" i="6"/>
  <c r="G206" i="6"/>
  <c r="H206" i="6"/>
  <c r="I206" i="6"/>
  <c r="J206" i="6"/>
  <c r="A207" i="6"/>
  <c r="B207" i="6"/>
  <c r="C207" i="6"/>
  <c r="E207" i="6"/>
  <c r="F207" i="6"/>
  <c r="G207" i="6"/>
  <c r="H207" i="6"/>
  <c r="I207" i="6"/>
  <c r="J207" i="6"/>
  <c r="A208" i="6"/>
  <c r="B208" i="6"/>
  <c r="C208" i="6"/>
  <c r="E208" i="6"/>
  <c r="F208" i="6"/>
  <c r="G208" i="6"/>
  <c r="H208" i="6"/>
  <c r="I208" i="6"/>
  <c r="J208" i="6"/>
  <c r="A209" i="6"/>
  <c r="B209" i="6"/>
  <c r="C209" i="6"/>
  <c r="E209" i="6"/>
  <c r="F209" i="6"/>
  <c r="G209" i="6"/>
  <c r="H209" i="6"/>
  <c r="I209" i="6"/>
  <c r="J209" i="6"/>
  <c r="A210" i="6"/>
  <c r="B210" i="6"/>
  <c r="C210" i="6"/>
  <c r="E210" i="6"/>
  <c r="F210" i="6"/>
  <c r="G210" i="6"/>
  <c r="H210" i="6"/>
  <c r="I210" i="6"/>
  <c r="J210" i="6"/>
  <c r="A211" i="6"/>
  <c r="B211" i="6"/>
  <c r="C211" i="6"/>
  <c r="E211" i="6"/>
  <c r="F211" i="6"/>
  <c r="G211" i="6"/>
  <c r="H211" i="6"/>
  <c r="I211" i="6"/>
  <c r="J211" i="6"/>
  <c r="A212" i="6"/>
  <c r="B212" i="6"/>
  <c r="C212" i="6"/>
  <c r="E212" i="6"/>
  <c r="F212" i="6"/>
  <c r="G212" i="6"/>
  <c r="H212" i="6"/>
  <c r="I212" i="6"/>
  <c r="J212" i="6"/>
  <c r="A213" i="6"/>
  <c r="B213" i="6"/>
  <c r="C213" i="6"/>
  <c r="E213" i="6"/>
  <c r="F213" i="6"/>
  <c r="G213" i="6"/>
  <c r="H213" i="6"/>
  <c r="I213" i="6"/>
  <c r="J213" i="6"/>
  <c r="A214" i="6"/>
  <c r="B214" i="6"/>
  <c r="C214" i="6"/>
  <c r="E214" i="6"/>
  <c r="F214" i="6"/>
  <c r="G214" i="6"/>
  <c r="H214" i="6"/>
  <c r="I214" i="6"/>
  <c r="J214" i="6"/>
  <c r="A215" i="6"/>
  <c r="B215" i="6"/>
  <c r="C215" i="6"/>
  <c r="E215" i="6"/>
  <c r="F215" i="6"/>
  <c r="G215" i="6"/>
  <c r="H215" i="6"/>
  <c r="I215" i="6"/>
  <c r="J215" i="6"/>
  <c r="A216" i="6"/>
  <c r="B216" i="6"/>
  <c r="C216" i="6"/>
  <c r="E216" i="6"/>
  <c r="F216" i="6"/>
  <c r="G216" i="6"/>
  <c r="H216" i="6"/>
  <c r="I216" i="6"/>
  <c r="J216" i="6"/>
  <c r="A217" i="6"/>
  <c r="B217" i="6"/>
  <c r="C217" i="6"/>
  <c r="E217" i="6"/>
  <c r="F217" i="6"/>
  <c r="G217" i="6"/>
  <c r="H217" i="6"/>
  <c r="I217" i="6"/>
  <c r="J217" i="6"/>
  <c r="A218" i="6"/>
  <c r="B218" i="6"/>
  <c r="C218" i="6"/>
  <c r="E218" i="6"/>
  <c r="F218" i="6"/>
  <c r="G218" i="6"/>
  <c r="H218" i="6"/>
  <c r="I218" i="6"/>
  <c r="J218" i="6"/>
  <c r="A219" i="6"/>
  <c r="B219" i="6"/>
  <c r="C219" i="6"/>
  <c r="E219" i="6"/>
  <c r="F219" i="6"/>
  <c r="G219" i="6"/>
  <c r="H219" i="6"/>
  <c r="I219" i="6"/>
  <c r="J219" i="6"/>
  <c r="A220" i="6"/>
  <c r="B220" i="6"/>
  <c r="C220" i="6"/>
  <c r="E220" i="6"/>
  <c r="F220" i="6"/>
  <c r="G220" i="6"/>
  <c r="H220" i="6"/>
  <c r="I220" i="6"/>
  <c r="J220" i="6"/>
  <c r="A221" i="6"/>
  <c r="B221" i="6"/>
  <c r="C221" i="6"/>
  <c r="E221" i="6"/>
  <c r="F221" i="6"/>
  <c r="G221" i="6"/>
  <c r="H221" i="6"/>
  <c r="I221" i="6"/>
  <c r="J221" i="6"/>
  <c r="A222" i="6"/>
  <c r="B222" i="6"/>
  <c r="C222" i="6"/>
  <c r="E222" i="6"/>
  <c r="F222" i="6"/>
  <c r="G222" i="6"/>
  <c r="H222" i="6"/>
  <c r="I222" i="6"/>
  <c r="J222" i="6"/>
  <c r="A223" i="6"/>
  <c r="B223" i="6"/>
  <c r="C223" i="6"/>
  <c r="E223" i="6"/>
  <c r="F223" i="6"/>
  <c r="G223" i="6"/>
  <c r="H223" i="6"/>
  <c r="I223" i="6"/>
  <c r="J223" i="6"/>
  <c r="A224" i="6"/>
  <c r="B224" i="6"/>
  <c r="C224" i="6"/>
  <c r="E224" i="6"/>
  <c r="F224" i="6"/>
  <c r="G224" i="6"/>
  <c r="H224" i="6"/>
  <c r="I224" i="6"/>
  <c r="J224" i="6"/>
  <c r="A225" i="6"/>
  <c r="B225" i="6"/>
  <c r="C225" i="6"/>
  <c r="E225" i="6"/>
  <c r="F225" i="6"/>
  <c r="G225" i="6"/>
  <c r="H225" i="6"/>
  <c r="I225" i="6"/>
  <c r="J225" i="6"/>
  <c r="A226" i="6"/>
  <c r="B226" i="6"/>
  <c r="C226" i="6"/>
  <c r="E226" i="6"/>
  <c r="F226" i="6"/>
  <c r="G226" i="6"/>
  <c r="H226" i="6"/>
  <c r="I226" i="6"/>
  <c r="J226" i="6"/>
  <c r="A227" i="6"/>
  <c r="B227" i="6"/>
  <c r="C227" i="6"/>
  <c r="E227" i="6"/>
  <c r="F227" i="6"/>
  <c r="G227" i="6"/>
  <c r="H227" i="6"/>
  <c r="I227" i="6"/>
  <c r="J227" i="6"/>
  <c r="A228" i="6"/>
  <c r="B228" i="6"/>
  <c r="C228" i="6"/>
  <c r="E228" i="6"/>
  <c r="F228" i="6"/>
  <c r="G228" i="6"/>
  <c r="H228" i="6"/>
  <c r="I228" i="6"/>
  <c r="J228" i="6"/>
  <c r="A229" i="6"/>
  <c r="B229" i="6"/>
  <c r="C229" i="6"/>
  <c r="E229" i="6"/>
  <c r="F229" i="6"/>
  <c r="G229" i="6"/>
  <c r="H229" i="6"/>
  <c r="I229" i="6"/>
  <c r="J229" i="6"/>
  <c r="A230" i="6"/>
  <c r="B230" i="6"/>
  <c r="C230" i="6"/>
  <c r="E230" i="6"/>
  <c r="F230" i="6"/>
  <c r="G230" i="6"/>
  <c r="H230" i="6"/>
  <c r="I230" i="6"/>
  <c r="J230" i="6"/>
  <c r="A231" i="6"/>
  <c r="B231" i="6"/>
  <c r="C231" i="6"/>
  <c r="E231" i="6"/>
  <c r="F231" i="6"/>
  <c r="G231" i="6"/>
  <c r="H231" i="6"/>
  <c r="I231" i="6"/>
  <c r="J231" i="6"/>
  <c r="A232" i="6"/>
  <c r="B232" i="6"/>
  <c r="C232" i="6"/>
  <c r="E232" i="6"/>
  <c r="F232" i="6"/>
  <c r="G232" i="6"/>
  <c r="H232" i="6"/>
  <c r="I232" i="6"/>
  <c r="J232" i="6"/>
  <c r="A233" i="6"/>
  <c r="B233" i="6"/>
  <c r="C233" i="6"/>
  <c r="E233" i="6"/>
  <c r="F233" i="6"/>
  <c r="G233" i="6"/>
  <c r="H233" i="6"/>
  <c r="I233" i="6"/>
  <c r="J233" i="6"/>
  <c r="A234" i="6"/>
  <c r="B234" i="6"/>
  <c r="C234" i="6"/>
  <c r="E234" i="6"/>
  <c r="F234" i="6"/>
  <c r="G234" i="6"/>
  <c r="H234" i="6"/>
  <c r="I234" i="6"/>
  <c r="J234" i="6"/>
  <c r="A235" i="6"/>
  <c r="B235" i="6"/>
  <c r="C235" i="6"/>
  <c r="E235" i="6"/>
  <c r="F235" i="6"/>
  <c r="G235" i="6"/>
  <c r="H235" i="6"/>
  <c r="I235" i="6"/>
  <c r="J235" i="6"/>
  <c r="A236" i="6"/>
  <c r="B236" i="6"/>
  <c r="C236" i="6"/>
  <c r="E236" i="6"/>
  <c r="F236" i="6"/>
  <c r="G236" i="6"/>
  <c r="H236" i="6"/>
  <c r="I236" i="6"/>
  <c r="J236" i="6"/>
  <c r="A237" i="6"/>
  <c r="B237" i="6"/>
  <c r="C237" i="6"/>
  <c r="E237" i="6"/>
  <c r="F237" i="6"/>
  <c r="G237" i="6"/>
  <c r="H237" i="6"/>
  <c r="I237" i="6"/>
  <c r="J237" i="6"/>
  <c r="A238" i="6"/>
  <c r="B238" i="6"/>
  <c r="C238" i="6"/>
  <c r="E238" i="6"/>
  <c r="F238" i="6"/>
  <c r="G238" i="6"/>
  <c r="H238" i="6"/>
  <c r="I238" i="6"/>
  <c r="J238" i="6"/>
  <c r="A239" i="6"/>
  <c r="B239" i="6"/>
  <c r="C239" i="6"/>
  <c r="E239" i="6"/>
  <c r="F239" i="6"/>
  <c r="G239" i="6"/>
  <c r="H239" i="6"/>
  <c r="I239" i="6"/>
  <c r="J239" i="6"/>
  <c r="A240" i="6"/>
  <c r="B240" i="6"/>
  <c r="C240" i="6"/>
  <c r="E240" i="6"/>
  <c r="F240" i="6"/>
  <c r="G240" i="6"/>
  <c r="H240" i="6"/>
  <c r="I240" i="6"/>
  <c r="J240" i="6"/>
  <c r="A241" i="6"/>
  <c r="B241" i="6"/>
  <c r="C241" i="6"/>
  <c r="E241" i="6"/>
  <c r="F241" i="6"/>
  <c r="G241" i="6"/>
  <c r="H241" i="6"/>
  <c r="I241" i="6"/>
  <c r="J241" i="6"/>
  <c r="A242" i="6"/>
  <c r="B242" i="6"/>
  <c r="C242" i="6"/>
  <c r="E242" i="6"/>
  <c r="F242" i="6"/>
  <c r="G242" i="6"/>
  <c r="H242" i="6"/>
  <c r="I242" i="6"/>
  <c r="J242" i="6"/>
  <c r="A243" i="6"/>
  <c r="B243" i="6"/>
  <c r="C243" i="6"/>
  <c r="E243" i="6"/>
  <c r="F243" i="6"/>
  <c r="G243" i="6"/>
  <c r="H243" i="6"/>
  <c r="I243" i="6"/>
  <c r="J243" i="6"/>
  <c r="A244" i="6"/>
  <c r="B244" i="6"/>
  <c r="C244" i="6"/>
  <c r="E244" i="6"/>
  <c r="F244" i="6"/>
  <c r="G244" i="6"/>
  <c r="H244" i="6"/>
  <c r="I244" i="6"/>
  <c r="J244" i="6"/>
  <c r="A245" i="6"/>
  <c r="B245" i="6"/>
  <c r="C245" i="6"/>
  <c r="E245" i="6"/>
  <c r="F245" i="6"/>
  <c r="G245" i="6"/>
  <c r="H245" i="6"/>
  <c r="I245" i="6"/>
  <c r="J245" i="6"/>
  <c r="A246" i="6"/>
  <c r="B246" i="6"/>
  <c r="C246" i="6"/>
  <c r="E246" i="6"/>
  <c r="F246" i="6"/>
  <c r="G246" i="6"/>
  <c r="H246" i="6"/>
  <c r="I246" i="6"/>
  <c r="J246" i="6"/>
  <c r="A247" i="6"/>
  <c r="B247" i="6"/>
  <c r="C247" i="6"/>
  <c r="E247" i="6"/>
  <c r="F247" i="6"/>
  <c r="G247" i="6"/>
  <c r="H247" i="6"/>
  <c r="I247" i="6"/>
  <c r="J247" i="6"/>
  <c r="A248" i="6"/>
  <c r="B248" i="6"/>
  <c r="C248" i="6"/>
  <c r="E248" i="6"/>
  <c r="F248" i="6"/>
  <c r="G248" i="6"/>
  <c r="H248" i="6"/>
  <c r="I248" i="6"/>
  <c r="J248" i="6"/>
  <c r="A249" i="6"/>
  <c r="B249" i="6"/>
  <c r="C249" i="6"/>
  <c r="E249" i="6"/>
  <c r="F249" i="6"/>
  <c r="G249" i="6"/>
  <c r="H249" i="6"/>
  <c r="I249" i="6"/>
  <c r="J249" i="6"/>
  <c r="A250" i="6"/>
  <c r="B250" i="6"/>
  <c r="C250" i="6"/>
  <c r="E250" i="6"/>
  <c r="F250" i="6"/>
  <c r="G250" i="6"/>
  <c r="H250" i="6"/>
  <c r="I250" i="6"/>
  <c r="J250" i="6"/>
  <c r="A251" i="6"/>
  <c r="B251" i="6"/>
  <c r="C251" i="6"/>
  <c r="E251" i="6"/>
  <c r="F251" i="6"/>
  <c r="G251" i="6"/>
  <c r="H251" i="6"/>
  <c r="I251" i="6"/>
  <c r="J251" i="6"/>
  <c r="A252" i="6"/>
  <c r="B252" i="6"/>
  <c r="C252" i="6"/>
  <c r="E252" i="6"/>
  <c r="F252" i="6"/>
  <c r="G252" i="6"/>
  <c r="H252" i="6"/>
  <c r="I252" i="6"/>
  <c r="J252" i="6"/>
  <c r="A253" i="6"/>
  <c r="B253" i="6"/>
  <c r="C253" i="6"/>
  <c r="E253" i="6"/>
  <c r="F253" i="6"/>
  <c r="G253" i="6"/>
  <c r="H253" i="6"/>
  <c r="I253" i="6"/>
  <c r="J253" i="6"/>
  <c r="A254" i="6"/>
  <c r="B254" i="6"/>
  <c r="C254" i="6"/>
  <c r="E254" i="6"/>
  <c r="F254" i="6"/>
  <c r="G254" i="6"/>
  <c r="H254" i="6"/>
  <c r="I254" i="6"/>
  <c r="J254" i="6"/>
  <c r="A255" i="6"/>
  <c r="B255" i="6"/>
  <c r="C255" i="6"/>
  <c r="E255" i="6"/>
  <c r="F255" i="6"/>
  <c r="G255" i="6"/>
  <c r="H255" i="6"/>
  <c r="I255" i="6"/>
  <c r="J255" i="6"/>
  <c r="A256" i="6"/>
  <c r="B256" i="6"/>
  <c r="C256" i="6"/>
  <c r="E256" i="6"/>
  <c r="F256" i="6"/>
  <c r="G256" i="6"/>
  <c r="H256" i="6"/>
  <c r="I256" i="6"/>
  <c r="J256" i="6"/>
  <c r="A257" i="6"/>
  <c r="B257" i="6"/>
  <c r="C257" i="6"/>
  <c r="E257" i="6"/>
  <c r="F257" i="6"/>
  <c r="G257" i="6"/>
  <c r="H257" i="6"/>
  <c r="I257" i="6"/>
  <c r="J257" i="6"/>
  <c r="A258" i="6"/>
  <c r="B258" i="6"/>
  <c r="C258" i="6"/>
  <c r="E258" i="6"/>
  <c r="F258" i="6"/>
  <c r="G258" i="6"/>
  <c r="H258" i="6"/>
  <c r="I258" i="6"/>
  <c r="J258" i="6"/>
  <c r="A259" i="6"/>
  <c r="B259" i="6"/>
  <c r="C259" i="6"/>
  <c r="E259" i="6"/>
  <c r="F259" i="6"/>
  <c r="G259" i="6"/>
  <c r="H259" i="6"/>
  <c r="I259" i="6"/>
  <c r="J259" i="6"/>
  <c r="A260" i="6"/>
  <c r="B260" i="6"/>
  <c r="C260" i="6"/>
  <c r="E260" i="6"/>
  <c r="F260" i="6"/>
  <c r="G260" i="6"/>
  <c r="H260" i="6"/>
  <c r="I260" i="6"/>
  <c r="J260" i="6"/>
  <c r="A261" i="6"/>
  <c r="B261" i="6"/>
  <c r="C261" i="6"/>
  <c r="E261" i="6"/>
  <c r="F261" i="6"/>
  <c r="G261" i="6"/>
  <c r="H261" i="6"/>
  <c r="I261" i="6"/>
  <c r="J261" i="6"/>
  <c r="A262" i="6"/>
  <c r="B262" i="6"/>
  <c r="C262" i="6"/>
  <c r="E262" i="6"/>
  <c r="F262" i="6"/>
  <c r="G262" i="6"/>
  <c r="H262" i="6"/>
  <c r="I262" i="6"/>
  <c r="J262" i="6"/>
  <c r="A263" i="6"/>
  <c r="B263" i="6"/>
  <c r="C263" i="6"/>
  <c r="E263" i="6"/>
  <c r="F263" i="6"/>
  <c r="G263" i="6"/>
  <c r="H263" i="6"/>
  <c r="I263" i="6"/>
  <c r="J263" i="6"/>
  <c r="A264" i="6"/>
  <c r="B264" i="6"/>
  <c r="C264" i="6"/>
  <c r="E264" i="6"/>
  <c r="F264" i="6"/>
  <c r="G264" i="6"/>
  <c r="H264" i="6"/>
  <c r="I264" i="6"/>
  <c r="J264" i="6"/>
  <c r="A265" i="6"/>
  <c r="B265" i="6"/>
  <c r="C265" i="6"/>
  <c r="E265" i="6"/>
  <c r="F265" i="6"/>
  <c r="G265" i="6"/>
  <c r="H265" i="6"/>
  <c r="I265" i="6"/>
  <c r="J265" i="6"/>
  <c r="A266" i="6"/>
  <c r="B266" i="6"/>
  <c r="C266" i="6"/>
  <c r="E266" i="6"/>
  <c r="F266" i="6"/>
  <c r="G266" i="6"/>
  <c r="H266" i="6"/>
  <c r="I266" i="6"/>
  <c r="J266" i="6"/>
  <c r="A267" i="6"/>
  <c r="B267" i="6"/>
  <c r="C267" i="6"/>
  <c r="E267" i="6"/>
  <c r="F267" i="6"/>
  <c r="G267" i="6"/>
  <c r="H267" i="6"/>
  <c r="I267" i="6"/>
  <c r="J267" i="6"/>
  <c r="A268" i="6"/>
  <c r="B268" i="6"/>
  <c r="C268" i="6"/>
  <c r="E268" i="6"/>
  <c r="F268" i="6"/>
  <c r="G268" i="6"/>
  <c r="H268" i="6"/>
  <c r="I268" i="6"/>
  <c r="J268" i="6"/>
  <c r="A269" i="6"/>
  <c r="B269" i="6"/>
  <c r="C269" i="6"/>
  <c r="E269" i="6"/>
  <c r="F269" i="6"/>
  <c r="G269" i="6"/>
  <c r="H269" i="6"/>
  <c r="I269" i="6"/>
  <c r="J269" i="6"/>
  <c r="A270" i="6"/>
  <c r="B270" i="6"/>
  <c r="C270" i="6"/>
  <c r="E270" i="6"/>
  <c r="F270" i="6"/>
  <c r="G270" i="6"/>
  <c r="H270" i="6"/>
  <c r="I270" i="6"/>
  <c r="J270" i="6"/>
  <c r="A271" i="6"/>
  <c r="B271" i="6"/>
  <c r="C271" i="6"/>
  <c r="E271" i="6"/>
  <c r="F271" i="6"/>
  <c r="G271" i="6"/>
  <c r="H271" i="6"/>
  <c r="I271" i="6"/>
  <c r="J271" i="6"/>
  <c r="A272" i="6"/>
  <c r="B272" i="6"/>
  <c r="C272" i="6"/>
  <c r="E272" i="6"/>
  <c r="F272" i="6"/>
  <c r="G272" i="6"/>
  <c r="H272" i="6"/>
  <c r="I272" i="6"/>
  <c r="J272" i="6"/>
  <c r="A273" i="6"/>
  <c r="B273" i="6"/>
  <c r="C273" i="6"/>
  <c r="E273" i="6"/>
  <c r="F273" i="6"/>
  <c r="G273" i="6"/>
  <c r="H273" i="6"/>
  <c r="I273" i="6"/>
  <c r="J273" i="6"/>
  <c r="A274" i="6"/>
  <c r="B274" i="6"/>
  <c r="C274" i="6"/>
  <c r="E274" i="6"/>
  <c r="F274" i="6"/>
  <c r="G274" i="6"/>
  <c r="H274" i="6"/>
  <c r="I274" i="6"/>
  <c r="J274" i="6"/>
  <c r="A275" i="6"/>
  <c r="B275" i="6"/>
  <c r="C275" i="6"/>
  <c r="E275" i="6"/>
  <c r="F275" i="6"/>
  <c r="G275" i="6"/>
  <c r="H275" i="6"/>
  <c r="I275" i="6"/>
  <c r="J275" i="6"/>
  <c r="A276" i="6"/>
  <c r="B276" i="6"/>
  <c r="C276" i="6"/>
  <c r="E276" i="6"/>
  <c r="F276" i="6"/>
  <c r="G276" i="6"/>
  <c r="H276" i="6"/>
  <c r="I276" i="6"/>
  <c r="J276" i="6"/>
  <c r="A277" i="6"/>
  <c r="B277" i="6"/>
  <c r="C277" i="6"/>
  <c r="E277" i="6"/>
  <c r="F277" i="6"/>
  <c r="G277" i="6"/>
  <c r="H277" i="6"/>
  <c r="I277" i="6"/>
  <c r="J277" i="6"/>
  <c r="A278" i="6"/>
  <c r="B278" i="6"/>
  <c r="C278" i="6"/>
  <c r="E278" i="6"/>
  <c r="F278" i="6"/>
  <c r="G278" i="6"/>
  <c r="H278" i="6"/>
  <c r="I278" i="6"/>
  <c r="J278" i="6"/>
  <c r="A279" i="6"/>
  <c r="B279" i="6"/>
  <c r="C279" i="6"/>
  <c r="E279" i="6"/>
  <c r="F279" i="6"/>
  <c r="G279" i="6"/>
  <c r="H279" i="6"/>
  <c r="I279" i="6"/>
  <c r="J279" i="6"/>
  <c r="A280" i="6"/>
  <c r="B280" i="6"/>
  <c r="C280" i="6"/>
  <c r="E280" i="6"/>
  <c r="F280" i="6"/>
  <c r="G280" i="6"/>
  <c r="H280" i="6"/>
  <c r="I280" i="6"/>
  <c r="J280" i="6"/>
  <c r="A281" i="6"/>
  <c r="B281" i="6"/>
  <c r="C281" i="6"/>
  <c r="E281" i="6"/>
  <c r="F281" i="6"/>
  <c r="G281" i="6"/>
  <c r="H281" i="6"/>
  <c r="I281" i="6"/>
  <c r="J281" i="6"/>
  <c r="A282" i="6"/>
  <c r="B282" i="6"/>
  <c r="C282" i="6"/>
  <c r="E282" i="6"/>
  <c r="F282" i="6"/>
  <c r="G282" i="6"/>
  <c r="H282" i="6"/>
  <c r="I282" i="6"/>
  <c r="J282" i="6"/>
  <c r="A283" i="6"/>
  <c r="B283" i="6"/>
  <c r="C283" i="6"/>
  <c r="E283" i="6"/>
  <c r="F283" i="6"/>
  <c r="G283" i="6"/>
  <c r="H283" i="6"/>
  <c r="I283" i="6"/>
  <c r="J283" i="6"/>
  <c r="A284" i="6"/>
  <c r="B284" i="6"/>
  <c r="C284" i="6"/>
  <c r="E284" i="6"/>
  <c r="F284" i="6"/>
  <c r="G284" i="6"/>
  <c r="H284" i="6"/>
  <c r="I284" i="6"/>
  <c r="J284" i="6"/>
  <c r="A285" i="6"/>
  <c r="B285" i="6"/>
  <c r="C285" i="6"/>
  <c r="E285" i="6"/>
  <c r="F285" i="6"/>
  <c r="G285" i="6"/>
  <c r="H285" i="6"/>
  <c r="I285" i="6"/>
  <c r="J285" i="6"/>
  <c r="A286" i="6"/>
  <c r="B286" i="6"/>
  <c r="C286" i="6"/>
  <c r="E286" i="6"/>
  <c r="F286" i="6"/>
  <c r="G286" i="6"/>
  <c r="H286" i="6"/>
  <c r="I286" i="6"/>
  <c r="J286" i="6"/>
  <c r="A287" i="6"/>
  <c r="B287" i="6"/>
  <c r="C287" i="6"/>
  <c r="E287" i="6"/>
  <c r="F287" i="6"/>
  <c r="G287" i="6"/>
  <c r="H287" i="6"/>
  <c r="I287" i="6"/>
  <c r="J287" i="6"/>
  <c r="A288" i="6"/>
  <c r="B288" i="6"/>
  <c r="C288" i="6"/>
  <c r="E288" i="6"/>
  <c r="F288" i="6"/>
  <c r="G288" i="6"/>
  <c r="H288" i="6"/>
  <c r="I288" i="6"/>
  <c r="J288" i="6"/>
  <c r="A289" i="6"/>
  <c r="A1" i="10"/>
  <c r="J2" i="10"/>
  <c r="K4" i="10"/>
  <c r="L4" i="10"/>
  <c r="A6" i="10"/>
  <c r="K6" i="10"/>
  <c r="L6" i="10"/>
  <c r="K11" i="10"/>
  <c r="B32" i="10"/>
  <c r="E32" i="10"/>
  <c r="B33" i="10"/>
  <c r="C33" i="10"/>
  <c r="D33" i="10"/>
  <c r="E33" i="10"/>
  <c r="F33" i="10"/>
  <c r="G33" i="10"/>
  <c r="H33" i="10"/>
  <c r="A34" i="10"/>
  <c r="B34" i="10"/>
  <c r="C34" i="10"/>
  <c r="D34" i="10"/>
  <c r="E34" i="10"/>
  <c r="F34" i="10"/>
  <c r="G34" i="10"/>
  <c r="H34" i="10"/>
  <c r="A35" i="10"/>
  <c r="B35" i="10"/>
  <c r="C35" i="10"/>
  <c r="D35" i="10"/>
  <c r="E35" i="10"/>
  <c r="F35" i="10"/>
  <c r="G35" i="10"/>
  <c r="H35" i="10"/>
  <c r="A36" i="10"/>
  <c r="B36" i="10"/>
  <c r="C36" i="10"/>
  <c r="D36" i="10"/>
  <c r="E36" i="10"/>
  <c r="F36" i="10"/>
  <c r="G36" i="10"/>
  <c r="H36" i="10"/>
  <c r="A37" i="10"/>
  <c r="B37" i="10"/>
  <c r="C37" i="10"/>
  <c r="D37" i="10"/>
  <c r="E37" i="10"/>
  <c r="F37" i="10"/>
  <c r="G37" i="10"/>
  <c r="H37" i="10"/>
  <c r="A38" i="10"/>
  <c r="B38" i="10"/>
  <c r="C38" i="10"/>
  <c r="D38" i="10"/>
  <c r="E38" i="10"/>
  <c r="F38" i="10"/>
  <c r="G38" i="10"/>
  <c r="H38" i="10"/>
  <c r="A39" i="10"/>
  <c r="B39" i="10"/>
  <c r="C39" i="10"/>
  <c r="D39" i="10"/>
  <c r="E39" i="10"/>
  <c r="F39" i="10"/>
  <c r="G39" i="10"/>
  <c r="H39" i="10"/>
  <c r="A40" i="10"/>
  <c r="B40" i="10"/>
  <c r="C40" i="10"/>
  <c r="D40" i="10"/>
  <c r="E40" i="10"/>
  <c r="F40" i="10"/>
  <c r="G40" i="10"/>
  <c r="H40" i="10"/>
  <c r="A41" i="10"/>
  <c r="B41" i="10"/>
  <c r="C41" i="10"/>
  <c r="D41" i="10"/>
  <c r="E41" i="10"/>
  <c r="F41" i="10"/>
  <c r="G41" i="10"/>
  <c r="H41" i="10"/>
  <c r="A42" i="10"/>
  <c r="B42" i="10"/>
  <c r="C42" i="10"/>
  <c r="D42" i="10"/>
  <c r="E42" i="10"/>
  <c r="F42" i="10"/>
  <c r="G42" i="10"/>
  <c r="H42" i="10"/>
  <c r="A43" i="10"/>
  <c r="B43" i="10"/>
  <c r="C43" i="10"/>
  <c r="D43" i="10"/>
  <c r="E43" i="10"/>
  <c r="F43" i="10"/>
  <c r="G43" i="10"/>
  <c r="H43" i="10"/>
  <c r="A44" i="10"/>
  <c r="B44" i="10"/>
  <c r="C44" i="10"/>
  <c r="D44" i="10"/>
  <c r="E44" i="10"/>
  <c r="F44" i="10"/>
  <c r="G44" i="10"/>
  <c r="H44" i="10"/>
  <c r="A45" i="10"/>
  <c r="B45" i="10"/>
  <c r="C45" i="10"/>
  <c r="D45" i="10"/>
  <c r="E45" i="10"/>
  <c r="F45" i="10"/>
  <c r="G45" i="10"/>
  <c r="H45" i="10"/>
  <c r="A46" i="10"/>
  <c r="B46" i="10"/>
  <c r="C46" i="10"/>
  <c r="D46" i="10"/>
  <c r="E46" i="10"/>
  <c r="F46" i="10"/>
  <c r="G46" i="10"/>
  <c r="H46" i="10"/>
  <c r="A47" i="10"/>
  <c r="B47" i="10"/>
  <c r="C47" i="10"/>
  <c r="D47" i="10"/>
  <c r="E47" i="10"/>
  <c r="F47" i="10"/>
  <c r="G47" i="10"/>
  <c r="H47" i="10"/>
  <c r="A48" i="10"/>
  <c r="B48" i="10"/>
  <c r="C48" i="10"/>
  <c r="D48" i="10"/>
  <c r="E48" i="10"/>
  <c r="F48" i="10"/>
  <c r="G48" i="10"/>
  <c r="H48" i="10"/>
  <c r="A49" i="10"/>
  <c r="B49" i="10"/>
  <c r="C49" i="10"/>
  <c r="D49" i="10"/>
  <c r="E49" i="10"/>
  <c r="F49" i="10"/>
  <c r="G49" i="10"/>
  <c r="H49" i="10"/>
  <c r="A50" i="10"/>
  <c r="B50" i="10"/>
  <c r="C50" i="10"/>
  <c r="D50" i="10"/>
  <c r="E50" i="10"/>
  <c r="F50" i="10"/>
  <c r="G50" i="10"/>
  <c r="H50" i="10"/>
  <c r="A51" i="10"/>
  <c r="B51" i="10"/>
  <c r="C51" i="10"/>
  <c r="D51" i="10"/>
  <c r="E51" i="10"/>
  <c r="F51" i="10"/>
  <c r="G51" i="10"/>
  <c r="H51" i="10"/>
  <c r="A52" i="10"/>
  <c r="B52" i="10"/>
  <c r="C52" i="10"/>
  <c r="D52" i="10"/>
  <c r="E52" i="10"/>
  <c r="F52" i="10"/>
  <c r="G52" i="10"/>
  <c r="H52" i="10"/>
  <c r="A53" i="10"/>
  <c r="B53" i="10"/>
  <c r="C53" i="10"/>
  <c r="D53" i="10"/>
  <c r="E53" i="10"/>
  <c r="F53" i="10"/>
  <c r="G53" i="10"/>
  <c r="H53" i="10"/>
  <c r="A54" i="10"/>
  <c r="B54" i="10"/>
  <c r="C54" i="10"/>
  <c r="D54" i="10"/>
  <c r="E54" i="10"/>
  <c r="F54" i="10"/>
  <c r="G54" i="10"/>
  <c r="H54" i="10"/>
  <c r="A55" i="10"/>
  <c r="B55" i="10"/>
  <c r="C55" i="10"/>
  <c r="D55" i="10"/>
  <c r="E55" i="10"/>
  <c r="F55" i="10"/>
  <c r="G55" i="10"/>
  <c r="H55" i="10"/>
  <c r="B6" i="9"/>
  <c r="F6" i="9"/>
  <c r="H6" i="9"/>
  <c r="B7" i="9"/>
  <c r="F7" i="9"/>
  <c r="H7" i="9"/>
  <c r="B8" i="9"/>
  <c r="F8" i="9"/>
  <c r="H8" i="9"/>
  <c r="B9" i="9"/>
  <c r="H9" i="9"/>
  <c r="B10" i="9"/>
  <c r="H10" i="9"/>
  <c r="B11" i="9"/>
  <c r="H11" i="9"/>
  <c r="B12" i="9"/>
  <c r="H12" i="9"/>
  <c r="B13" i="9"/>
  <c r="H13" i="9"/>
  <c r="B14" i="9"/>
  <c r="H14" i="9"/>
  <c r="B15" i="9"/>
  <c r="H15" i="9"/>
  <c r="B16" i="9"/>
  <c r="H16" i="9"/>
  <c r="B17" i="9"/>
  <c r="H17" i="9"/>
  <c r="B18" i="9"/>
  <c r="H18" i="9"/>
  <c r="B19" i="9"/>
  <c r="H19" i="9"/>
  <c r="B20" i="9"/>
  <c r="H20" i="9"/>
  <c r="B21" i="9"/>
  <c r="H21" i="9"/>
  <c r="B22" i="9"/>
  <c r="H22" i="9"/>
  <c r="B23" i="9"/>
  <c r="H23" i="9"/>
  <c r="B24" i="9"/>
  <c r="H24" i="9"/>
  <c r="B25" i="9"/>
  <c r="H25" i="9"/>
  <c r="B26" i="9"/>
  <c r="H26" i="9"/>
  <c r="B27" i="9"/>
  <c r="H27" i="9"/>
  <c r="B28" i="9"/>
  <c r="H28" i="9"/>
  <c r="B29" i="9"/>
  <c r="H29" i="9"/>
  <c r="B30" i="9"/>
  <c r="H30" i="9"/>
  <c r="B31" i="9"/>
  <c r="H31" i="9"/>
  <c r="B32" i="9"/>
  <c r="H32" i="9"/>
  <c r="B33" i="9"/>
  <c r="H33" i="9"/>
  <c r="B34" i="9"/>
  <c r="H34" i="9"/>
  <c r="B35" i="9"/>
  <c r="H35" i="9"/>
  <c r="B36" i="9"/>
  <c r="H36" i="9"/>
  <c r="B37" i="9"/>
  <c r="H37" i="9"/>
</calcChain>
</file>

<file path=xl/comments1.xml><?xml version="1.0" encoding="utf-8"?>
<comments xmlns="http://schemas.openxmlformats.org/spreadsheetml/2006/main">
  <authors>
    <author>Philip Polsky</author>
  </authors>
  <commentList>
    <comment ref="C14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+ for Out of the Money
- for In the Money</t>
        </r>
      </text>
    </comment>
    <comment ref="C15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+ for In the Money
- for Out of the Money</t>
        </r>
      </text>
    </comment>
    <comment ref="X30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Rule of thumb = 2-4%</t>
        </r>
      </text>
    </comment>
    <comment ref="AE30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Rule of thumb = 2-4%</t>
        </r>
      </text>
    </comment>
    <comment ref="AR30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Reasonableness test: An ATM Option should be between 12-20% of underlying value.</t>
        </r>
      </text>
    </comment>
  </commentList>
</comments>
</file>

<file path=xl/comments2.xml><?xml version="1.0" encoding="utf-8"?>
<comments xmlns="http://schemas.openxmlformats.org/spreadsheetml/2006/main">
  <authors>
    <author>Philip Polsky</author>
  </authors>
  <commentList>
    <comment ref="B4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Enter a warning if they enter a weekend, holiday, etc.</t>
        </r>
      </text>
    </comment>
    <comment ref="C5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Don't change this cell.  It will update automatically.</t>
        </r>
      </text>
    </comment>
  </commentList>
</comments>
</file>

<file path=xl/sharedStrings.xml><?xml version="1.0" encoding="utf-8"?>
<sst xmlns="http://schemas.openxmlformats.org/spreadsheetml/2006/main" count="312" uniqueCount="176">
  <si>
    <t>Effective Date</t>
  </si>
  <si>
    <t>Prompt Month</t>
  </si>
  <si>
    <t>Curve Code</t>
  </si>
  <si>
    <t>NG</t>
  </si>
  <si>
    <t>IF-ELPO/SJ</t>
  </si>
  <si>
    <t>IF-ELPO/PERMIAN</t>
  </si>
  <si>
    <t>IF-NWPL_ROCKY_M</t>
  </si>
  <si>
    <t>CGPR-AECO/BASIS</t>
  </si>
  <si>
    <t>NGI-SOCAL</t>
  </si>
  <si>
    <t>NGI-MALIN</t>
  </si>
  <si>
    <t>NGI-PGE/CG</t>
  </si>
  <si>
    <t>IF-NTHWST/CANBR</t>
  </si>
  <si>
    <t>Curve Type</t>
  </si>
  <si>
    <t>PR</t>
  </si>
  <si>
    <t>Book Code 1</t>
  </si>
  <si>
    <t>P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</si>
  <si>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</si>
  <si>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</si>
  <si>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</si>
  <si>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</si>
  <si>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</si>
  <si>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</si>
  <si>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</si>
  <si>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</si>
  <si>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</si>
  <si>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</si>
  <si>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</si>
  <si>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Prior Day GD HH</t>
  </si>
  <si>
    <t>Holiday Schedule</t>
  </si>
  <si>
    <t>INTNS</t>
  </si>
  <si>
    <t>R</t>
  </si>
  <si>
    <t>AA</t>
  </si>
  <si>
    <t>Start Date</t>
  </si>
  <si>
    <t>End Date</t>
  </si>
  <si>
    <t>Valuation Date</t>
  </si>
  <si>
    <t>Delivery Date</t>
  </si>
  <si>
    <t>Payment Date</t>
  </si>
  <si>
    <t>Days in Delivery</t>
  </si>
  <si>
    <t>Physical or Financial</t>
  </si>
  <si>
    <t>Physical</t>
  </si>
  <si>
    <t>DO NOT TOUCH</t>
  </si>
  <si>
    <t>Financial</t>
  </si>
  <si>
    <t>Nominal Volume</t>
  </si>
  <si>
    <t>Custom</t>
  </si>
  <si>
    <t>Basis</t>
  </si>
  <si>
    <t>Index</t>
  </si>
  <si>
    <t>VO</t>
  </si>
  <si>
    <t>NGI-SOBDR-PG&amp;E</t>
  </si>
  <si>
    <t>IF-CIG/RKYMTN</t>
  </si>
  <si>
    <t>IF-KERN/RIVER</t>
  </si>
  <si>
    <t>IF-QUESTAR</t>
  </si>
  <si>
    <t>I</t>
  </si>
  <si>
    <t>Flat</t>
  </si>
  <si>
    <t>Mid</t>
  </si>
  <si>
    <t>Nymex</t>
  </si>
  <si>
    <t>Libor</t>
  </si>
  <si>
    <t>Cost of Funds Charge</t>
  </si>
  <si>
    <t>PVIF</t>
  </si>
  <si>
    <t>Compounding Periods</t>
  </si>
  <si>
    <t>Days in Year</t>
  </si>
  <si>
    <t>Total</t>
  </si>
  <si>
    <t>SWAP</t>
  </si>
  <si>
    <t>Current Curve Date</t>
  </si>
  <si>
    <t>Desired Curve Date</t>
  </si>
  <si>
    <t>PV Volume</t>
  </si>
  <si>
    <t>PVIF CALCULATIONS</t>
  </si>
  <si>
    <t>Deal Period (Months)</t>
  </si>
  <si>
    <t>Time Period Calculator</t>
  </si>
  <si>
    <t>Implied Period</t>
  </si>
  <si>
    <t>Origination Calculator</t>
  </si>
  <si>
    <t>Orig Margin ($/MMbtu)</t>
  </si>
  <si>
    <t>Total Origination</t>
  </si>
  <si>
    <t>Call</t>
  </si>
  <si>
    <t>Put</t>
  </si>
  <si>
    <t>Underlying</t>
  </si>
  <si>
    <t>Strike</t>
  </si>
  <si>
    <t>Volatility</t>
  </si>
  <si>
    <t>Total Nominal Volume</t>
  </si>
  <si>
    <t>Start</t>
  </si>
  <si>
    <t>End</t>
  </si>
  <si>
    <t>Premium</t>
  </si>
  <si>
    <t>Option Value</t>
  </si>
  <si>
    <t>Phys/Fin</t>
  </si>
  <si>
    <t>Inputs</t>
  </si>
  <si>
    <t>Origination</t>
  </si>
  <si>
    <t>Incremental Margin</t>
  </si>
  <si>
    <t>Origination Value</t>
  </si>
  <si>
    <t xml:space="preserve">Swap Volume </t>
  </si>
  <si>
    <t>Forward Price Curves ($/MMBtu)</t>
  </si>
  <si>
    <t>Present Value Calcs</t>
  </si>
  <si>
    <t>Settle Date</t>
  </si>
  <si>
    <t>Do Not Touch!  Data Validation Cells</t>
  </si>
  <si>
    <t>Use Custom Profile or Flat:</t>
  </si>
  <si>
    <t>Custom Profile (MMBtu/d)</t>
  </si>
  <si>
    <t>Modeled Volume (MMBtu/d)</t>
  </si>
  <si>
    <t>Nominal Volume (MMBtu/mo)</t>
  </si>
  <si>
    <t>PV Volume (MMBtu/mo)</t>
  </si>
  <si>
    <t>MMBtu/d</t>
  </si>
  <si>
    <t>Total NYMEX</t>
  </si>
  <si>
    <t>(Bid)/Offer Spread</t>
  </si>
  <si>
    <t>Curve Fetch</t>
  </si>
  <si>
    <t>Custom Defined</t>
  </si>
  <si>
    <t>Choose Pricing Point:</t>
  </si>
  <si>
    <t>Select Nymex Curve Source:</t>
  </si>
  <si>
    <t>Select Basis Curve Source Below:</t>
  </si>
  <si>
    <t>Select Index Curve Source Below:</t>
  </si>
  <si>
    <t>Total Basis</t>
  </si>
  <si>
    <t>Total Fixed Price</t>
  </si>
  <si>
    <t>Total Index</t>
  </si>
  <si>
    <t>FINANCIAL DEAL</t>
  </si>
  <si>
    <t>FUNCTION INACTIVE</t>
  </si>
  <si>
    <t>Desired Vol Curve</t>
  </si>
  <si>
    <t>Available Vol Curve</t>
  </si>
  <si>
    <t>Total Volatility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</si>
  <si>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</si>
  <si>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</si>
  <si>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</si>
  <si>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</si>
  <si>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</si>
  <si>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</si>
  <si>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</si>
  <si>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</si>
  <si>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</si>
  <si>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</si>
  <si>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</si>
  <si>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</si>
  <si>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</si>
  <si>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</si>
  <si>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</si>
  <si>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</si>
  <si>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</si>
  <si>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</si>
  <si>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</si>
  <si>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</si>
  <si>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</si>
  <si>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</si>
  <si>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</si>
  <si>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Basis Lookup #</t>
  </si>
  <si>
    <t>Index Lookup #</t>
  </si>
  <si>
    <t>Vol Lookup #</t>
  </si>
  <si>
    <t>Curve Lookup Table</t>
  </si>
  <si>
    <t xml:space="preserve">Underlying </t>
  </si>
  <si>
    <t>NYMEX</t>
  </si>
  <si>
    <t>Mid Curve Date</t>
  </si>
  <si>
    <t>Set X Axis Interval</t>
  </si>
  <si>
    <t>Underlying Price</t>
  </si>
  <si>
    <t>Do Not Touch</t>
  </si>
  <si>
    <t>Days to Option Expiration</t>
  </si>
  <si>
    <t>MISCELLANEOUS</t>
  </si>
  <si>
    <t>Customer</t>
  </si>
  <si>
    <t>Producer</t>
  </si>
  <si>
    <t>Consumer</t>
  </si>
  <si>
    <t>Call Option Curves</t>
  </si>
  <si>
    <t>Put Option Curves</t>
  </si>
  <si>
    <t>Call Option Value</t>
  </si>
  <si>
    <t>Put Option Value</t>
  </si>
  <si>
    <t>Put Option Premium</t>
  </si>
  <si>
    <t>Call Option Premium</t>
  </si>
  <si>
    <t>In (Out of) the Money Position</t>
  </si>
  <si>
    <t>Out of (In) the Money Position</t>
  </si>
  <si>
    <t>Call Strike</t>
  </si>
  <si>
    <t>Put Strike</t>
  </si>
  <si>
    <t>ENE</t>
  </si>
  <si>
    <t>Call Strike Skew</t>
  </si>
  <si>
    <t>Put Strike Skew</t>
  </si>
  <si>
    <t>Costless Collar Valuation Model</t>
  </si>
  <si>
    <t>Enron</t>
  </si>
  <si>
    <t>Graph Perspective Of</t>
  </si>
  <si>
    <t>Counterparty</t>
  </si>
  <si>
    <t>Call Premium</t>
  </si>
  <si>
    <t>Call Payoff</t>
  </si>
  <si>
    <t>Put Premium</t>
  </si>
  <si>
    <t>Put Payoff</t>
  </si>
  <si>
    <t>Total Payoff</t>
  </si>
  <si>
    <t>Payoff</t>
  </si>
  <si>
    <t>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</si>
</sst>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\ h:mm:ss"/>
    <numFmt numFmtId="165" formatCode="mmm\-dd\-yy"/>
    <numFmt numFmtId="166" formatCode="0.000"/>
    <numFmt numFmtId="167" formatCode="dd\-mmm\-yy"/>
    <numFmt numFmtId="169" formatCode="_(* #,##0_);_(* \(#,##0\);_(* &quot;-&quot;??_);_(@_)"/>
    <numFmt numFmtId="171" formatCode="0.0000"/>
    <numFmt numFmtId="172" formatCode="_(&quot;$&quot;* #,##0.000_);_(&quot;$&quot;* \(#,##0.000\);_(&quot;$&quot;* &quot;-&quot;??_);_(@_)"/>
    <numFmt numFmtId="174" formatCode="0.000%"/>
    <numFmt numFmtId="175" formatCode="_(* #,##0.000_);_(* \(#,##0.000\);_(* &quot;-&quot;??_);_(@_)"/>
    <numFmt numFmtId="176" formatCode="_(* #,##0.0000_);_(* \(#,##0.0000\);_(* &quot;-&quot;??_);_(@_)"/>
    <numFmt numFmtId="179" formatCode="_(* #,##0.0000000_);_(* \(#,##0.0000000\);_(* &quot;-&quot;??_);_(@_)"/>
    <numFmt numFmtId="187" formatCode="_(&quot;$&quot;* #,##0_);_(&quot;$&quot;* \(#,##0\);_(&quot;$&quot;* &quot;-&quot;??_);_(@_)"/>
    <numFmt numFmtId="189" formatCode="_(&quot;$&quot;* #,##0.0000_);_(&quot;$&quot;* \(#,##0.0000\);_(&quot;$&quot;* &quot;-&quot;??_);_(@_)"/>
    <numFmt numFmtId="191" formatCode="_(&quot;$&quot;* #,##0.000000_);_(&quot;$&quot;* \(#,##0.000000\);_(&quot;$&quot;* &quot;-&quot;??_);_(@_)"/>
    <numFmt numFmtId="193" formatCode="_(&quot;$&quot;* #,##0.0000000_);_(&quot;$&quot;* \(#,##0.0000000\);_(&quot;$&quot;* &quot;-&quot;??_);_(@_)"/>
    <numFmt numFmtId="194" formatCode="_(&quot;$&quot;* #,##0.00000000_);_(&quot;$&quot;* \(#,##0.00000000\);_(&quot;$&quot;* &quot;-&quot;??_);_(@_)"/>
    <numFmt numFmtId="199" formatCode="0.00000000"/>
    <numFmt numFmtId="206" formatCode="&quot;$&quot;#,##0.000_);\(&quot;$&quot;#,##0.000\)"/>
    <numFmt numFmtId="207" formatCode="m/d/yy"/>
    <numFmt numFmtId="208" formatCode="&quot;$&quot;#,##0.000"/>
    <numFmt numFmtId="223" formatCode="_(&quot;$&quot;* #,##0.000000000_);_(&quot;$&quot;* \(#,##0.000000000\);_(&quot;$&quot;* &quot;-&quot;??_);_(@_)"/>
  </numFmts>
  <fonts count="57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  <font>
      <u/>
      <sz val="10"/>
      <color indexed="36"/>
      <name val="Arial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17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0"/>
      <color indexed="17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sz val="12"/>
      <color indexed="9"/>
      <name val="Arial Black"/>
      <family val="2"/>
    </font>
    <font>
      <sz val="10"/>
      <name val="Arial Narrow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6"/>
      <color indexed="9"/>
      <name val="Arial Narrow"/>
      <family val="2"/>
    </font>
    <font>
      <sz val="10"/>
      <color indexed="9"/>
      <name val="Arial"/>
    </font>
    <font>
      <sz val="10"/>
      <color indexed="12"/>
      <name val="Arial Narrow"/>
      <family val="2"/>
    </font>
    <font>
      <b/>
      <sz val="16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2"/>
      <color indexed="10"/>
      <name val="Arial"/>
      <family val="2"/>
    </font>
    <font>
      <b/>
      <sz val="10"/>
      <color indexed="9"/>
      <name val="Arial Narrow"/>
      <family val="2"/>
    </font>
    <font>
      <sz val="10"/>
      <color indexed="22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4"/>
      <color indexed="8"/>
      <name val="Arial Narrow"/>
      <family val="2"/>
    </font>
    <font>
      <b/>
      <sz val="10"/>
      <color indexed="22"/>
      <name val="Arial"/>
      <family val="2"/>
    </font>
    <font>
      <b/>
      <sz val="10"/>
      <color indexed="12"/>
      <name val="Arial Narrow"/>
      <family val="2"/>
    </font>
    <font>
      <sz val="10"/>
      <color indexed="22"/>
      <name val="Arial"/>
      <family val="2"/>
    </font>
    <font>
      <b/>
      <i/>
      <sz val="10"/>
      <name val="Arial Narrow"/>
      <family val="2"/>
    </font>
    <font>
      <i/>
      <sz val="10"/>
      <color indexed="10"/>
      <name val="Arial"/>
      <family val="2"/>
    </font>
    <font>
      <sz val="10"/>
      <color indexed="81"/>
      <name val="Tahoma"/>
      <family val="2"/>
    </font>
    <font>
      <b/>
      <sz val="16"/>
      <name val="Arial Narrow"/>
      <family val="2"/>
    </font>
    <font>
      <b/>
      <i/>
      <sz val="12"/>
      <color indexed="10"/>
      <name val="Arial Narrow"/>
      <family val="2"/>
    </font>
    <font>
      <b/>
      <i/>
      <sz val="12"/>
      <color indexed="17"/>
      <name val="Times New Roman"/>
      <family val="1"/>
    </font>
    <font>
      <i/>
      <sz val="12"/>
      <color indexed="17"/>
      <name val="Arial Black"/>
      <family val="2"/>
    </font>
    <font>
      <sz val="14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1">
    <xf numFmtId="0" fontId="0" fillId="0" borderId="0"/>
    <xf numFmtId="1" fontId="17" fillId="0" borderId="0"/>
    <xf numFmtId="0" fontId="18" fillId="2" borderId="1">
      <alignment horizontal="center" vertical="center"/>
    </xf>
    <xf numFmtId="0" fontId="19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0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37" fontId="21" fillId="5" borderId="0" applyNumberFormat="0" applyBorder="0" applyAlignment="0" applyProtection="0"/>
    <xf numFmtId="37" fontId="26" fillId="0" borderId="0"/>
    <xf numFmtId="3" fontId="27" fillId="0" borderId="3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4" xfId="0" applyNumberFormat="1" applyFont="1" applyBorder="1" applyAlignment="1" applyProtection="1">
      <alignment horizontal="right"/>
    </xf>
    <xf numFmtId="164" fontId="4" fillId="4" borderId="4" xfId="0" applyNumberFormat="1" applyFont="1" applyFill="1" applyBorder="1" applyAlignment="1">
      <alignment horizontal="right"/>
    </xf>
    <xf numFmtId="14" fontId="3" fillId="0" borderId="4" xfId="0" applyNumberFormat="1" applyFont="1" applyBorder="1" applyAlignment="1">
      <alignment horizontal="right"/>
    </xf>
    <xf numFmtId="17" fontId="3" fillId="0" borderId="4" xfId="0" applyNumberFormat="1" applyFont="1" applyBorder="1" applyAlignment="1" applyProtection="1">
      <alignment horizontal="right"/>
    </xf>
    <xf numFmtId="0" fontId="3" fillId="0" borderId="0" xfId="0" applyFont="1" applyBorder="1"/>
    <xf numFmtId="0" fontId="3" fillId="0" borderId="4" xfId="0" applyFont="1" applyBorder="1" applyAlignment="1">
      <alignment horizontal="right"/>
    </xf>
    <xf numFmtId="1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" fontId="3" fillId="0" borderId="0" xfId="0" applyNumberFormat="1" applyFont="1"/>
    <xf numFmtId="0" fontId="5" fillId="3" borderId="6" xfId="0" applyFont="1" applyFill="1" applyBorder="1" applyAlignment="1">
      <alignment horizontal="center"/>
    </xf>
    <xf numFmtId="14" fontId="3" fillId="4" borderId="7" xfId="0" applyNumberFormat="1" applyFont="1" applyFill="1" applyBorder="1"/>
    <xf numFmtId="14" fontId="3" fillId="4" borderId="8" xfId="0" applyNumberFormat="1" applyFont="1" applyFill="1" applyBorder="1"/>
    <xf numFmtId="14" fontId="3" fillId="4" borderId="9" xfId="0" applyNumberFormat="1" applyFont="1" applyFill="1" applyBorder="1"/>
    <xf numFmtId="14" fontId="3" fillId="6" borderId="4" xfId="0" applyNumberFormat="1" applyFont="1" applyFill="1" applyBorder="1" applyAlignment="1">
      <alignment horizontal="right"/>
    </xf>
    <xf numFmtId="0" fontId="2" fillId="0" borderId="0" xfId="0" applyFont="1"/>
    <xf numFmtId="17" fontId="0" fillId="0" borderId="0" xfId="0" applyNumberFormat="1"/>
    <xf numFmtId="15" fontId="0" fillId="0" borderId="0" xfId="0" applyNumberFormat="1"/>
    <xf numFmtId="0" fontId="0" fillId="0" borderId="0" xfId="0" applyNumberFormat="1"/>
    <xf numFmtId="3" fontId="0" fillId="0" borderId="0" xfId="4" applyNumberFormat="1" applyFont="1" applyAlignment="1">
      <alignment horizontal="center"/>
    </xf>
    <xf numFmtId="172" fontId="0" fillId="0" borderId="0" xfId="5" applyNumberFormat="1" applyFont="1"/>
    <xf numFmtId="174" fontId="0" fillId="0" borderId="0" xfId="21" applyNumberFormat="1" applyFont="1"/>
    <xf numFmtId="176" fontId="0" fillId="0" borderId="0" xfId="4" applyNumberFormat="1" applyFont="1"/>
    <xf numFmtId="169" fontId="0" fillId="0" borderId="0" xfId="0" applyNumberFormat="1" applyAlignment="1">
      <alignment horizontal="center"/>
    </xf>
    <xf numFmtId="187" fontId="0" fillId="0" borderId="0" xfId="5" applyNumberFormat="1" applyFont="1"/>
    <xf numFmtId="189" fontId="0" fillId="0" borderId="0" xfId="5" applyNumberFormat="1" applyFont="1"/>
    <xf numFmtId="169" fontId="2" fillId="0" borderId="0" xfId="0" applyNumberFormat="1" applyFont="1"/>
    <xf numFmtId="189" fontId="2" fillId="0" borderId="0" xfId="5" applyNumberFormat="1" applyFont="1"/>
    <xf numFmtId="191" fontId="2" fillId="0" borderId="0" xfId="5" applyNumberFormat="1" applyFont="1"/>
    <xf numFmtId="0" fontId="2" fillId="0" borderId="0" xfId="0" applyFont="1" applyFill="1"/>
    <xf numFmtId="0" fontId="0" fillId="0" borderId="0" xfId="0" applyFill="1"/>
    <xf numFmtId="14" fontId="7" fillId="6" borderId="10" xfId="0" applyNumberFormat="1" applyFont="1" applyFill="1" applyBorder="1"/>
    <xf numFmtId="14" fontId="7" fillId="6" borderId="8" xfId="0" applyNumberFormat="1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167" fontId="7" fillId="0" borderId="0" xfId="0" applyNumberFormat="1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 applyProtection="1">
      <alignment horizontal="center"/>
      <protection locked="0"/>
    </xf>
    <xf numFmtId="17" fontId="2" fillId="0" borderId="0" xfId="0" applyNumberFormat="1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 applyProtection="1">
      <alignment horizontal="center"/>
    </xf>
    <xf numFmtId="9" fontId="2" fillId="0" borderId="0" xfId="0" applyNumberFormat="1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15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Fill="1" applyBorder="1"/>
    <xf numFmtId="167" fontId="2" fillId="0" borderId="0" xfId="0" applyNumberFormat="1" applyFont="1" applyBorder="1"/>
    <xf numFmtId="0" fontId="2" fillId="0" borderId="0" xfId="0" applyFont="1" applyAlignment="1">
      <alignment horizontal="center"/>
    </xf>
    <xf numFmtId="44" fontId="7" fillId="0" borderId="0" xfId="5" applyFont="1" applyBorder="1"/>
    <xf numFmtId="179" fontId="0" fillId="0" borderId="0" xfId="4" applyNumberFormat="1" applyFont="1"/>
    <xf numFmtId="172" fontId="0" fillId="0" borderId="0" xfId="0" applyNumberFormat="1"/>
    <xf numFmtId="187" fontId="2" fillId="6" borderId="0" xfId="5" applyNumberFormat="1" applyFont="1" applyFill="1" applyBorder="1" applyAlignment="1">
      <alignment horizontal="center"/>
    </xf>
    <xf numFmtId="0" fontId="7" fillId="0" borderId="0" xfId="0" applyFont="1" applyBorder="1"/>
    <xf numFmtId="169" fontId="0" fillId="0" borderId="0" xfId="4" applyNumberFormat="1" applyFont="1"/>
    <xf numFmtId="10" fontId="0" fillId="0" borderId="0" xfId="21" applyNumberFormat="1" applyFont="1"/>
    <xf numFmtId="171" fontId="0" fillId="0" borderId="0" xfId="0" applyNumberFormat="1"/>
    <xf numFmtId="0" fontId="28" fillId="0" borderId="0" xfId="0" applyFont="1" applyBorder="1" applyAlignment="1">
      <alignment horizontal="center"/>
    </xf>
    <xf numFmtId="199" fontId="28" fillId="0" borderId="0" xfId="0" applyNumberFormat="1" applyFont="1" applyBorder="1" applyAlignment="1">
      <alignment horizontal="center"/>
    </xf>
    <xf numFmtId="172" fontId="7" fillId="0" borderId="0" xfId="5" applyNumberFormat="1" applyFont="1"/>
    <xf numFmtId="0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89" fontId="2" fillId="0" borderId="0" xfId="5" applyNumberFormat="1" applyFont="1" applyFill="1" applyBorder="1"/>
    <xf numFmtId="187" fontId="2" fillId="0" borderId="0" xfId="5" applyNumberFormat="1" applyFont="1" applyFill="1" applyBorder="1" applyAlignment="1">
      <alignment horizontal="center"/>
    </xf>
    <xf numFmtId="0" fontId="29" fillId="7" borderId="15" xfId="0" applyFont="1" applyFill="1" applyBorder="1"/>
    <xf numFmtId="0" fontId="30" fillId="0" borderId="0" xfId="0" applyFont="1"/>
    <xf numFmtId="0" fontId="0" fillId="0" borderId="0" xfId="0" applyFill="1" applyBorder="1"/>
    <xf numFmtId="0" fontId="31" fillId="0" borderId="0" xfId="0" applyFont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/>
    </xf>
    <xf numFmtId="0" fontId="32" fillId="7" borderId="0" xfId="0" applyFont="1" applyFill="1"/>
    <xf numFmtId="0" fontId="33" fillId="7" borderId="0" xfId="0" applyFont="1" applyFill="1" applyBorder="1"/>
    <xf numFmtId="0" fontId="34" fillId="7" borderId="0" xfId="0" applyFont="1" applyFill="1"/>
    <xf numFmtId="0" fontId="0" fillId="0" borderId="0" xfId="0" applyFill="1" applyBorder="1" applyAlignment="1">
      <alignment horizontal="left" vertical="top" indent="5"/>
    </xf>
    <xf numFmtId="0" fontId="30" fillId="0" borderId="0" xfId="0" applyFont="1" applyFill="1" applyBorder="1" applyAlignment="1">
      <alignment vertical="top"/>
    </xf>
    <xf numFmtId="0" fontId="2" fillId="3" borderId="0" xfId="0" applyFont="1" applyFill="1"/>
    <xf numFmtId="175" fontId="36" fillId="6" borderId="0" xfId="4" applyNumberFormat="1" applyFont="1" applyFill="1" applyBorder="1"/>
    <xf numFmtId="0" fontId="0" fillId="3" borderId="0" xfId="0" applyFill="1"/>
    <xf numFmtId="175" fontId="36" fillId="6" borderId="16" xfId="4" applyNumberFormat="1" applyFont="1" applyFill="1" applyBorder="1"/>
    <xf numFmtId="172" fontId="36" fillId="6" borderId="0" xfId="5" applyNumberFormat="1" applyFont="1" applyFill="1" applyBorder="1"/>
    <xf numFmtId="0" fontId="33" fillId="7" borderId="17" xfId="0" applyFont="1" applyFill="1" applyBorder="1"/>
    <xf numFmtId="0" fontId="33" fillId="7" borderId="18" xfId="0" applyFont="1" applyFill="1" applyBorder="1"/>
    <xf numFmtId="0" fontId="34" fillId="7" borderId="19" xfId="0" applyFont="1" applyFill="1" applyBorder="1"/>
    <xf numFmtId="2" fontId="0" fillId="0" borderId="0" xfId="0" applyNumberFormat="1"/>
    <xf numFmtId="0" fontId="37" fillId="0" borderId="0" xfId="0" applyFont="1" applyFill="1" applyBorder="1"/>
    <xf numFmtId="172" fontId="23" fillId="5" borderId="0" xfId="5" applyNumberFormat="1" applyFont="1" applyFill="1" applyProtection="1">
      <protection locked="0"/>
    </xf>
    <xf numFmtId="0" fontId="0" fillId="0" borderId="0" xfId="0" applyFill="1" applyBorder="1" applyAlignment="1">
      <alignment vertical="top" wrapText="1"/>
    </xf>
    <xf numFmtId="0" fontId="38" fillId="0" borderId="0" xfId="0" applyFont="1" applyFill="1" applyBorder="1"/>
    <xf numFmtId="0" fontId="18" fillId="0" borderId="0" xfId="0" applyFont="1"/>
    <xf numFmtId="42" fontId="2" fillId="0" borderId="0" xfId="5" applyNumberFormat="1" applyFont="1"/>
    <xf numFmtId="0" fontId="39" fillId="0" borderId="0" xfId="0" applyFont="1"/>
    <xf numFmtId="0" fontId="0" fillId="0" borderId="20" xfId="0" applyBorder="1"/>
    <xf numFmtId="0" fontId="0" fillId="0" borderId="21" xfId="0" applyBorder="1"/>
    <xf numFmtId="0" fontId="30" fillId="0" borderId="0" xfId="0" applyFont="1" applyBorder="1"/>
    <xf numFmtId="0" fontId="30" fillId="0" borderId="22" xfId="0" applyFont="1" applyBorder="1"/>
    <xf numFmtId="0" fontId="30" fillId="0" borderId="15" xfId="0" applyFont="1" applyBorder="1"/>
    <xf numFmtId="0" fontId="30" fillId="0" borderId="14" xfId="0" applyFont="1" applyBorder="1"/>
    <xf numFmtId="0" fontId="30" fillId="0" borderId="21" xfId="0" applyFont="1" applyBorder="1"/>
    <xf numFmtId="0" fontId="35" fillId="0" borderId="0" xfId="0" applyFont="1" applyBorder="1" applyAlignment="1">
      <alignment vertical="center"/>
    </xf>
    <xf numFmtId="0" fontId="30" fillId="0" borderId="13" xfId="0" applyFont="1" applyBorder="1"/>
    <xf numFmtId="0" fontId="41" fillId="3" borderId="21" xfId="0" applyFont="1" applyFill="1" applyBorder="1"/>
    <xf numFmtId="0" fontId="41" fillId="3" borderId="0" xfId="0" applyFont="1" applyFill="1" applyBorder="1"/>
    <xf numFmtId="3" fontId="35" fillId="3" borderId="0" xfId="4" applyNumberFormat="1" applyFont="1" applyFill="1" applyBorder="1" applyAlignment="1" applyProtection="1">
      <alignment horizontal="center"/>
      <protection locked="0"/>
    </xf>
    <xf numFmtId="0" fontId="30" fillId="3" borderId="13" xfId="0" applyFont="1" applyFill="1" applyBorder="1"/>
    <xf numFmtId="0" fontId="42" fillId="3" borderId="20" xfId="0" applyFont="1" applyFill="1" applyBorder="1"/>
    <xf numFmtId="0" fontId="30" fillId="3" borderId="11" xfId="0" applyFont="1" applyFill="1" applyBorder="1"/>
    <xf numFmtId="0" fontId="35" fillId="3" borderId="11" xfId="0" applyFont="1" applyFill="1" applyBorder="1" applyAlignment="1">
      <alignment vertical="center"/>
    </xf>
    <xf numFmtId="0" fontId="30" fillId="3" borderId="12" xfId="0" applyFont="1" applyFill="1" applyBorder="1"/>
    <xf numFmtId="0" fontId="30" fillId="3" borderId="21" xfId="0" applyFont="1" applyFill="1" applyBorder="1"/>
    <xf numFmtId="0" fontId="30" fillId="3" borderId="0" xfId="0" applyFont="1" applyFill="1" applyBorder="1"/>
    <xf numFmtId="0" fontId="35" fillId="3" borderId="0" xfId="0" applyFont="1" applyFill="1" applyBorder="1" applyAlignment="1">
      <alignment vertical="center"/>
    </xf>
    <xf numFmtId="0" fontId="35" fillId="3" borderId="21" xfId="0" applyFont="1" applyFill="1" applyBorder="1" applyAlignment="1">
      <alignment vertical="center"/>
    </xf>
    <xf numFmtId="0" fontId="30" fillId="0" borderId="0" xfId="0" applyFont="1" applyAlignment="1">
      <alignment wrapText="1"/>
    </xf>
    <xf numFmtId="0" fontId="42" fillId="0" borderId="16" xfId="0" applyFont="1" applyBorder="1" applyAlignment="1">
      <alignment horizontal="center" wrapText="1"/>
    </xf>
    <xf numFmtId="0" fontId="42" fillId="3" borderId="23" xfId="0" applyFont="1" applyFill="1" applyBorder="1" applyAlignment="1">
      <alignment horizontal="center" wrapText="1"/>
    </xf>
    <xf numFmtId="0" fontId="42" fillId="3" borderId="16" xfId="0" applyFont="1" applyFill="1" applyBorder="1" applyAlignment="1">
      <alignment horizontal="center" wrapText="1"/>
    </xf>
    <xf numFmtId="0" fontId="42" fillId="3" borderId="24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43" fillId="3" borderId="22" xfId="0" applyFont="1" applyFill="1" applyBorder="1" applyAlignment="1">
      <alignment horizontal="center" wrapText="1"/>
    </xf>
    <xf numFmtId="0" fontId="43" fillId="3" borderId="15" xfId="0" applyFont="1" applyFill="1" applyBorder="1" applyAlignment="1">
      <alignment horizontal="center" wrapText="1"/>
    </xf>
    <xf numFmtId="0" fontId="44" fillId="3" borderId="15" xfId="0" applyFont="1" applyFill="1" applyBorder="1" applyAlignment="1">
      <alignment horizontal="center" wrapText="1"/>
    </xf>
    <xf numFmtId="0" fontId="30" fillId="0" borderId="13" xfId="0" applyFont="1" applyBorder="1" applyAlignment="1">
      <alignment wrapText="1"/>
    </xf>
    <xf numFmtId="0" fontId="42" fillId="3" borderId="25" xfId="0" applyFont="1" applyFill="1" applyBorder="1" applyAlignment="1">
      <alignment horizontal="center" wrapText="1"/>
    </xf>
    <xf numFmtId="0" fontId="42" fillId="3" borderId="26" xfId="0" applyFont="1" applyFill="1" applyBorder="1" applyAlignment="1">
      <alignment horizontal="center" wrapText="1"/>
    </xf>
    <xf numFmtId="0" fontId="42" fillId="3" borderId="27" xfId="0" applyFont="1" applyFill="1" applyBorder="1" applyAlignment="1">
      <alignment horizontal="center" wrapText="1"/>
    </xf>
    <xf numFmtId="17" fontId="30" fillId="0" borderId="0" xfId="0" applyNumberFormat="1" applyFont="1" applyAlignment="1">
      <alignment horizontal="center"/>
    </xf>
    <xf numFmtId="15" fontId="30" fillId="0" borderId="0" xfId="0" applyNumberFormat="1" applyFont="1" applyAlignment="1">
      <alignment horizontal="center"/>
    </xf>
    <xf numFmtId="172" fontId="30" fillId="0" borderId="21" xfId="5" applyNumberFormat="1" applyFont="1" applyBorder="1" applyProtection="1">
      <protection locked="0"/>
    </xf>
    <xf numFmtId="172" fontId="30" fillId="0" borderId="0" xfId="5" applyNumberFormat="1" applyFont="1" applyBorder="1"/>
    <xf numFmtId="172" fontId="35" fillId="5" borderId="0" xfId="5" applyNumberFormat="1" applyFont="1" applyFill="1" applyBorder="1" applyProtection="1">
      <protection locked="0"/>
    </xf>
    <xf numFmtId="172" fontId="30" fillId="3" borderId="0" xfId="5" applyNumberFormat="1" applyFont="1" applyFill="1" applyBorder="1"/>
    <xf numFmtId="187" fontId="30" fillId="0" borderId="21" xfId="5" applyNumberFormat="1" applyFont="1" applyBorder="1"/>
    <xf numFmtId="187" fontId="30" fillId="0" borderId="0" xfId="5" applyNumberFormat="1" applyFont="1" applyBorder="1"/>
    <xf numFmtId="187" fontId="30" fillId="0" borderId="13" xfId="5" applyNumberFormat="1" applyFont="1" applyBorder="1"/>
    <xf numFmtId="172" fontId="30" fillId="0" borderId="0" xfId="5" applyNumberFormat="1" applyFont="1" applyBorder="1" applyProtection="1">
      <protection locked="0"/>
    </xf>
    <xf numFmtId="172" fontId="30" fillId="0" borderId="15" xfId="5" applyNumberFormat="1" applyFont="1" applyBorder="1" applyProtection="1">
      <protection locked="0"/>
    </xf>
    <xf numFmtId="172" fontId="30" fillId="3" borderId="15" xfId="5" applyNumberFormat="1" applyFont="1" applyFill="1" applyBorder="1"/>
    <xf numFmtId="169" fontId="30" fillId="0" borderId="0" xfId="4" applyNumberFormat="1" applyFont="1"/>
    <xf numFmtId="0" fontId="45" fillId="3" borderId="0" xfId="0" applyFont="1" applyFill="1" applyBorder="1" applyAlignment="1">
      <alignment horizontal="right"/>
    </xf>
    <xf numFmtId="0" fontId="45" fillId="3" borderId="16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top"/>
    </xf>
    <xf numFmtId="169" fontId="2" fillId="0" borderId="0" xfId="4" applyNumberFormat="1" applyFont="1" applyFill="1" applyBorder="1" applyAlignment="1">
      <alignment vertical="top"/>
    </xf>
    <xf numFmtId="43" fontId="2" fillId="0" borderId="0" xfId="4" applyFont="1" applyFill="1" applyBorder="1" applyAlignment="1">
      <alignment vertical="top"/>
    </xf>
    <xf numFmtId="0" fontId="30" fillId="0" borderId="0" xfId="0" applyFont="1" applyFill="1"/>
    <xf numFmtId="0" fontId="30" fillId="0" borderId="0" xfId="0" applyFont="1" applyFill="1" applyBorder="1"/>
    <xf numFmtId="0" fontId="44" fillId="0" borderId="0" xfId="0" applyFont="1" applyFill="1" applyBorder="1" applyAlignment="1">
      <alignment horizontal="center" wrapText="1"/>
    </xf>
    <xf numFmtId="172" fontId="30" fillId="0" borderId="0" xfId="5" applyNumberFormat="1" applyFont="1" applyFill="1" applyBorder="1"/>
    <xf numFmtId="0" fontId="40" fillId="0" borderId="28" xfId="0" applyFont="1" applyFill="1" applyBorder="1" applyAlignment="1">
      <alignment horizontal="center"/>
    </xf>
    <xf numFmtId="187" fontId="30" fillId="0" borderId="14" xfId="5" applyNumberFormat="1" applyFont="1" applyBorder="1"/>
    <xf numFmtId="0" fontId="23" fillId="0" borderId="0" xfId="0" applyFont="1" applyAlignment="1">
      <alignment wrapText="1"/>
    </xf>
    <xf numFmtId="17" fontId="47" fillId="5" borderId="0" xfId="0" applyNumberFormat="1" applyFont="1" applyFill="1" applyBorder="1" applyAlignment="1" applyProtection="1">
      <alignment horizontal="center"/>
      <protection locked="0"/>
    </xf>
    <xf numFmtId="167" fontId="47" fillId="5" borderId="0" xfId="0" applyNumberFormat="1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>
      <alignment horizontal="center"/>
    </xf>
    <xf numFmtId="3" fontId="35" fillId="5" borderId="21" xfId="4" applyNumberFormat="1" applyFont="1" applyFill="1" applyBorder="1" applyAlignment="1" applyProtection="1">
      <alignment horizontal="center"/>
      <protection locked="0"/>
    </xf>
    <xf numFmtId="3" fontId="30" fillId="0" borderId="0" xfId="4" applyNumberFormat="1" applyFont="1" applyBorder="1" applyAlignment="1" applyProtection="1">
      <alignment horizontal="center"/>
    </xf>
    <xf numFmtId="0" fontId="42" fillId="0" borderId="0" xfId="0" applyFont="1" applyBorder="1"/>
    <xf numFmtId="0" fontId="2" fillId="0" borderId="0" xfId="0" applyFont="1" applyFill="1" applyAlignment="1" applyProtection="1">
      <alignment horizontal="center"/>
      <protection locked="0"/>
    </xf>
    <xf numFmtId="0" fontId="42" fillId="3" borderId="21" xfId="0" applyFont="1" applyFill="1" applyBorder="1"/>
    <xf numFmtId="0" fontId="47" fillId="3" borderId="0" xfId="0" applyFont="1" applyFill="1" applyBorder="1"/>
    <xf numFmtId="0" fontId="0" fillId="0" borderId="22" xfId="0" applyBorder="1"/>
    <xf numFmtId="0" fontId="2" fillId="0" borderId="12" xfId="0" applyFont="1" applyBorder="1"/>
    <xf numFmtId="0" fontId="2" fillId="6" borderId="13" xfId="0" applyFont="1" applyFill="1" applyBorder="1"/>
    <xf numFmtId="0" fontId="46" fillId="0" borderId="0" xfId="0" applyFont="1"/>
    <xf numFmtId="0" fontId="48" fillId="0" borderId="0" xfId="0" applyFont="1"/>
    <xf numFmtId="172" fontId="48" fillId="0" borderId="0" xfId="5" applyNumberFormat="1" applyFont="1"/>
    <xf numFmtId="0" fontId="49" fillId="3" borderId="11" xfId="0" applyFont="1" applyFill="1" applyBorder="1" applyAlignment="1">
      <alignment horizontal="right"/>
    </xf>
    <xf numFmtId="0" fontId="49" fillId="3" borderId="0" xfId="0" applyFont="1" applyFill="1" applyBorder="1" applyAlignment="1">
      <alignment horizontal="right"/>
    </xf>
    <xf numFmtId="0" fontId="30" fillId="3" borderId="29" xfId="0" applyFont="1" applyFill="1" applyBorder="1"/>
    <xf numFmtId="0" fontId="30" fillId="3" borderId="30" xfId="0" applyFont="1" applyFill="1" applyBorder="1"/>
    <xf numFmtId="0" fontId="44" fillId="3" borderId="31" xfId="0" applyFont="1" applyFill="1" applyBorder="1" applyAlignment="1">
      <alignment horizontal="center" wrapText="1"/>
    </xf>
    <xf numFmtId="172" fontId="30" fillId="0" borderId="30" xfId="5" applyNumberFormat="1" applyFont="1" applyBorder="1"/>
    <xf numFmtId="172" fontId="30" fillId="0" borderId="31" xfId="5" applyNumberFormat="1" applyFont="1" applyBorder="1"/>
    <xf numFmtId="3" fontId="30" fillId="0" borderId="32" xfId="4" applyNumberFormat="1" applyFont="1" applyBorder="1" applyAlignment="1" applyProtection="1">
      <alignment horizontal="center"/>
    </xf>
    <xf numFmtId="3" fontId="30" fillId="0" borderId="13" xfId="4" applyNumberFormat="1" applyFont="1" applyBorder="1" applyAlignment="1" applyProtection="1">
      <alignment horizontal="center"/>
    </xf>
    <xf numFmtId="0" fontId="46" fillId="0" borderId="0" xfId="0" applyNumberFormat="1" applyFont="1" applyBorder="1" applyAlignment="1">
      <alignment horizontal="center"/>
    </xf>
    <xf numFmtId="191" fontId="46" fillId="0" borderId="0" xfId="5" applyNumberFormat="1" applyFont="1"/>
    <xf numFmtId="169" fontId="46" fillId="0" borderId="0" xfId="0" applyNumberFormat="1" applyFont="1"/>
    <xf numFmtId="172" fontId="48" fillId="0" borderId="0" xfId="0" applyNumberFormat="1" applyFont="1"/>
    <xf numFmtId="10" fontId="48" fillId="0" borderId="0" xfId="21" applyNumberFormat="1" applyFont="1"/>
    <xf numFmtId="174" fontId="48" fillId="0" borderId="0" xfId="21" applyNumberFormat="1" applyFont="1"/>
    <xf numFmtId="169" fontId="48" fillId="0" borderId="0" xfId="4" applyNumberFormat="1" applyFont="1"/>
    <xf numFmtId="176" fontId="48" fillId="0" borderId="0" xfId="4" applyNumberFormat="1" applyFont="1"/>
    <xf numFmtId="171" fontId="48" fillId="0" borderId="0" xfId="0" applyNumberFormat="1" applyFont="1"/>
    <xf numFmtId="187" fontId="48" fillId="0" borderId="0" xfId="5" applyNumberFormat="1" applyFont="1"/>
    <xf numFmtId="0" fontId="30" fillId="3" borderId="25" xfId="0" applyFont="1" applyFill="1" applyBorder="1" applyAlignment="1">
      <alignment horizontal="center" wrapText="1"/>
    </xf>
    <xf numFmtId="0" fontId="30" fillId="3" borderId="26" xfId="0" applyFont="1" applyFill="1" applyBorder="1" applyAlignment="1">
      <alignment horizontal="center" wrapText="1"/>
    </xf>
    <xf numFmtId="10" fontId="30" fillId="0" borderId="21" xfId="21" applyNumberFormat="1" applyFont="1" applyBorder="1"/>
    <xf numFmtId="10" fontId="30" fillId="0" borderId="22" xfId="21" applyNumberFormat="1" applyFont="1" applyBorder="1"/>
    <xf numFmtId="10" fontId="30" fillId="0" borderId="0" xfId="21" applyNumberFormat="1" applyFont="1" applyBorder="1"/>
    <xf numFmtId="10" fontId="30" fillId="0" borderId="15" xfId="21" applyNumberFormat="1" applyFont="1" applyBorder="1"/>
    <xf numFmtId="10" fontId="35" fillId="5" borderId="0" xfId="21" applyNumberFormat="1" applyFont="1" applyFill="1" applyBorder="1"/>
    <xf numFmtId="172" fontId="30" fillId="0" borderId="0" xfId="5" applyNumberFormat="1" applyFont="1" applyFill="1" applyBorder="1" applyProtection="1">
      <protection locked="0"/>
    </xf>
    <xf numFmtId="0" fontId="2" fillId="6" borderId="0" xfId="0" applyFont="1" applyFill="1"/>
    <xf numFmtId="0" fontId="7" fillId="0" borderId="0" xfId="0" applyFont="1" applyAlignment="1">
      <alignment horizontal="center"/>
    </xf>
    <xf numFmtId="172" fontId="28" fillId="0" borderId="0" xfId="5" applyNumberFormat="1" applyFont="1"/>
    <xf numFmtId="172" fontId="2" fillId="0" borderId="0" xfId="5" applyNumberFormat="1" applyFont="1"/>
    <xf numFmtId="172" fontId="30" fillId="0" borderId="32" xfId="5" applyNumberFormat="1" applyFont="1" applyBorder="1"/>
    <xf numFmtId="172" fontId="30" fillId="0" borderId="13" xfId="5" applyNumberFormat="1" applyFont="1" applyBorder="1"/>
    <xf numFmtId="189" fontId="46" fillId="0" borderId="0" xfId="5" applyNumberFormat="1" applyFont="1"/>
    <xf numFmtId="187" fontId="48" fillId="0" borderId="0" xfId="0" applyNumberFormat="1" applyFont="1"/>
    <xf numFmtId="187" fontId="36" fillId="6" borderId="0" xfId="5" applyNumberFormat="1" applyFont="1" applyFill="1" applyBorder="1"/>
    <xf numFmtId="0" fontId="50" fillId="0" borderId="0" xfId="0" applyFont="1" applyFill="1" applyBorder="1"/>
    <xf numFmtId="14" fontId="0" fillId="0" borderId="0" xfId="0" applyNumberFormat="1"/>
    <xf numFmtId="187" fontId="30" fillId="0" borderId="0" xfId="5" applyNumberFormat="1" applyFont="1"/>
    <xf numFmtId="206" fontId="47" fillId="5" borderId="0" xfId="5" applyNumberFormat="1" applyFont="1" applyFill="1" applyBorder="1" applyAlignment="1" applyProtection="1">
      <alignment horizontal="center"/>
      <protection locked="0"/>
    </xf>
    <xf numFmtId="172" fontId="30" fillId="0" borderId="22" xfId="5" applyNumberFormat="1" applyFont="1" applyBorder="1" applyProtection="1">
      <protection locked="0"/>
    </xf>
    <xf numFmtId="172" fontId="30" fillId="0" borderId="15" xfId="5" applyNumberFormat="1" applyFont="1" applyBorder="1"/>
    <xf numFmtId="3" fontId="35" fillId="5" borderId="22" xfId="4" applyNumberFormat="1" applyFont="1" applyFill="1" applyBorder="1" applyAlignment="1" applyProtection="1">
      <alignment horizontal="center"/>
      <protection locked="0"/>
    </xf>
    <xf numFmtId="3" fontId="30" fillId="0" borderId="15" xfId="4" applyNumberFormat="1" applyFont="1" applyBorder="1" applyAlignment="1" applyProtection="1">
      <alignment horizontal="center"/>
    </xf>
    <xf numFmtId="3" fontId="30" fillId="0" borderId="14" xfId="4" applyNumberFormat="1" applyFont="1" applyBorder="1" applyAlignment="1" applyProtection="1">
      <alignment horizontal="center"/>
    </xf>
    <xf numFmtId="172" fontId="30" fillId="0" borderId="14" xfId="5" applyNumberFormat="1" applyFont="1" applyBorder="1"/>
    <xf numFmtId="187" fontId="30" fillId="0" borderId="22" xfId="5" applyNumberFormat="1" applyFont="1" applyBorder="1"/>
    <xf numFmtId="187" fontId="30" fillId="0" borderId="15" xfId="5" applyNumberFormat="1" applyFont="1" applyBorder="1"/>
    <xf numFmtId="207" fontId="48" fillId="0" borderId="0" xfId="5" applyNumberFormat="1" applyFont="1"/>
    <xf numFmtId="189" fontId="2" fillId="0" borderId="0" xfId="5" applyNumberFormat="1" applyFont="1" applyFill="1" applyBorder="1" applyProtection="1">
      <protection hidden="1"/>
    </xf>
    <xf numFmtId="0" fontId="2" fillId="0" borderId="0" xfId="0" applyFont="1" applyFill="1" applyBorder="1" applyAlignment="1">
      <alignment horizontal="right"/>
    </xf>
    <xf numFmtId="187" fontId="2" fillId="0" borderId="0" xfId="5" applyNumberFormat="1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9" fontId="2" fillId="0" borderId="0" xfId="4" applyNumberFormat="1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4" fillId="0" borderId="0" xfId="0" applyFont="1" applyBorder="1"/>
    <xf numFmtId="0" fontId="13" fillId="0" borderId="0" xfId="0" applyFont="1" applyBorder="1"/>
    <xf numFmtId="0" fontId="28" fillId="0" borderId="0" xfId="0" applyFont="1" applyFill="1" applyBorder="1"/>
    <xf numFmtId="10" fontId="1" fillId="0" borderId="0" xfId="21" applyNumberFormat="1"/>
    <xf numFmtId="0" fontId="42" fillId="0" borderId="13" xfId="0" applyFont="1" applyFill="1" applyBorder="1" applyAlignment="1">
      <alignment horizontal="center" wrapText="1"/>
    </xf>
    <xf numFmtId="0" fontId="2" fillId="3" borderId="0" xfId="0" applyFont="1" applyFill="1" applyAlignment="1">
      <alignment horizontal="right"/>
    </xf>
    <xf numFmtId="176" fontId="0" fillId="0" borderId="0" xfId="0" applyNumberFormat="1"/>
    <xf numFmtId="0" fontId="33" fillId="7" borderId="0" xfId="0" applyFont="1" applyFill="1" applyBorder="1" applyAlignment="1">
      <alignment horizontal="right"/>
    </xf>
    <xf numFmtId="0" fontId="30" fillId="0" borderId="0" xfId="0" applyFont="1" applyAlignment="1">
      <alignment horizontal="center"/>
    </xf>
    <xf numFmtId="3" fontId="47" fillId="0" borderId="0" xfId="4" applyNumberFormat="1" applyFont="1" applyFill="1" applyBorder="1" applyAlignment="1" applyProtection="1">
      <alignment horizontal="center"/>
      <protection locked="0"/>
    </xf>
    <xf numFmtId="0" fontId="2" fillId="0" borderId="20" xfId="0" applyFont="1" applyBorder="1"/>
    <xf numFmtId="0" fontId="52" fillId="0" borderId="0" xfId="0" applyFont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center"/>
    </xf>
    <xf numFmtId="44" fontId="47" fillId="5" borderId="0" xfId="5" applyFont="1" applyFill="1"/>
    <xf numFmtId="0" fontId="42" fillId="0" borderId="0" xfId="0" applyFont="1" applyAlignment="1">
      <alignment wrapText="1"/>
    </xf>
    <xf numFmtId="0" fontId="47" fillId="5" borderId="0" xfId="0" applyFont="1" applyFill="1"/>
    <xf numFmtId="208" fontId="30" fillId="0" borderId="0" xfId="0" applyNumberFormat="1" applyFont="1"/>
    <xf numFmtId="208" fontId="47" fillId="0" borderId="0" xfId="0" applyNumberFormat="1" applyFont="1"/>
    <xf numFmtId="0" fontId="42" fillId="0" borderId="0" xfId="0" applyFont="1" applyAlignment="1">
      <alignment horizontal="right"/>
    </xf>
    <xf numFmtId="187" fontId="0" fillId="3" borderId="0" xfId="0" applyNumberFormat="1" applyFill="1"/>
    <xf numFmtId="0" fontId="30" fillId="0" borderId="0" xfId="0" applyFont="1" applyFill="1" applyBorder="1" applyAlignment="1">
      <alignment horizontal="right"/>
    </xf>
    <xf numFmtId="15" fontId="37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/>
      <protection locked="0"/>
    </xf>
    <xf numFmtId="172" fontId="30" fillId="0" borderId="0" xfId="5" applyNumberFormat="1" applyFont="1"/>
    <xf numFmtId="208" fontId="30" fillId="6" borderId="0" xfId="0" applyNumberFormat="1" applyFont="1" applyFill="1"/>
    <xf numFmtId="172" fontId="36" fillId="3" borderId="0" xfId="5" applyNumberFormat="1" applyFont="1" applyFill="1" applyBorder="1"/>
    <xf numFmtId="0" fontId="53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193" fontId="30" fillId="0" borderId="0" xfId="0" applyNumberFormat="1" applyFont="1"/>
    <xf numFmtId="194" fontId="56" fillId="0" borderId="0" xfId="0" applyNumberFormat="1" applyFont="1"/>
    <xf numFmtId="179" fontId="30" fillId="0" borderId="0" xfId="4" applyNumberFormat="1" applyFont="1"/>
    <xf numFmtId="223" fontId="56" fillId="0" borderId="0" xfId="0" applyNumberFormat="1" applyFont="1"/>
    <xf numFmtId="0" fontId="23" fillId="0" borderId="0" xfId="0" applyFont="1" applyFill="1" applyBorder="1" applyAlignment="1">
      <alignment vertical="top" wrapText="1"/>
    </xf>
    <xf numFmtId="0" fontId="11" fillId="7" borderId="20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40" fillId="7" borderId="20" xfId="0" applyFont="1" applyFill="1" applyBorder="1" applyAlignment="1">
      <alignment horizontal="center"/>
    </xf>
    <xf numFmtId="0" fontId="40" fillId="7" borderId="11" xfId="0" applyFont="1" applyFill="1" applyBorder="1" applyAlignment="1">
      <alignment horizontal="center"/>
    </xf>
    <xf numFmtId="0" fontId="40" fillId="7" borderId="12" xfId="0" applyFont="1" applyFill="1" applyBorder="1" applyAlignment="1">
      <alignment horizontal="center"/>
    </xf>
    <xf numFmtId="0" fontId="40" fillId="7" borderId="2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2" fillId="0" borderId="0" xfId="0" applyFont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Currency" xfId="5" builtinId="4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24">
    <dxf>
      <fill>
        <patternFill>
          <bgColor indexed="40"/>
        </patternFill>
      </fill>
    </dxf>
    <dxf>
      <fill>
        <patternFill>
          <bgColor indexed="51"/>
        </patternFill>
      </fill>
    </dxf>
    <dxf>
      <font>
        <condense val="0"/>
        <extend val="0"/>
        <color indexed="22"/>
      </font>
    </dxf>
    <dxf>
      <font>
        <condense val="0"/>
        <extend val="0"/>
        <color auto="1"/>
      </font>
    </dxf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55"/>
      </font>
      <fill>
        <patternFill>
          <bgColor indexed="22"/>
        </patternFill>
      </fill>
    </dxf>
    <dxf>
      <font>
        <condense val="0"/>
        <extend val="0"/>
        <color indexed="55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ill>
        <patternFill patternType="solid">
          <bgColor indexed="43"/>
        </patternFill>
      </fill>
    </dxf>
    <dxf>
      <font>
        <condense val="0"/>
        <extend val="0"/>
        <color indexed="22"/>
      </font>
    </dxf>
    <dxf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22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Payout Diagram</a:t>
            </a:r>
          </a:p>
        </c:rich>
      </c:tx>
      <c:layout>
        <c:manualLayout>
          <c:xMode val="edge"/>
          <c:yMode val="edge"/>
          <c:x val="0.48788406821428543"/>
          <c:y val="2.9055690072639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09060740184473"/>
          <c:y val="0.10895883777239709"/>
          <c:w val="0.80129303918637607"/>
          <c:h val="0.6295399515738499"/>
        </c:manualLayout>
      </c:layout>
      <c:lineChart>
        <c:grouping val="standard"/>
        <c:varyColors val="0"/>
        <c:ser>
          <c:idx val="4"/>
          <c:order val="0"/>
          <c:tx>
            <c:strRef>
              <c:f>Payout_Diagram!$E$32</c:f>
              <c:strCache>
                <c:ptCount val="1"/>
                <c:pt idx="0">
                  <c:v>$2.71 Put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Payout_Diagram!$A$33:$A$55</c:f>
              <c:numCache>
                <c:formatCode>"$"#,##0.000</c:formatCode>
                <c:ptCount val="2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</c:numCache>
            </c:numRef>
          </c:cat>
          <c:val>
            <c:numRef>
              <c:f>Payout_Diagram!$G$33:$G$55</c:f>
              <c:numCache>
                <c:formatCode>"$"#,##0.000</c:formatCode>
                <c:ptCount val="23"/>
                <c:pt idx="0">
                  <c:v>-2.4119782762574653</c:v>
                </c:pt>
                <c:pt idx="1">
                  <c:v>-2.1119782762574655</c:v>
                </c:pt>
                <c:pt idx="2">
                  <c:v>-1.8119782762574652</c:v>
                </c:pt>
                <c:pt idx="3">
                  <c:v>-1.5119782762574654</c:v>
                </c:pt>
                <c:pt idx="4">
                  <c:v>-1.2119782762574653</c:v>
                </c:pt>
                <c:pt idx="5">
                  <c:v>-0.9119782762574653</c:v>
                </c:pt>
                <c:pt idx="6">
                  <c:v>-0.61197827625746526</c:v>
                </c:pt>
                <c:pt idx="7">
                  <c:v>-0.31197827625746527</c:v>
                </c:pt>
                <c:pt idx="8">
                  <c:v>-1.1978276257465448E-2</c:v>
                </c:pt>
                <c:pt idx="9">
                  <c:v>0.28802172374253437</c:v>
                </c:pt>
                <c:pt idx="10">
                  <c:v>0.29708353241179924</c:v>
                </c:pt>
                <c:pt idx="11">
                  <c:v>0.29708353241179924</c:v>
                </c:pt>
                <c:pt idx="12">
                  <c:v>0.29708353241179924</c:v>
                </c:pt>
                <c:pt idx="13">
                  <c:v>0.29708353241179924</c:v>
                </c:pt>
                <c:pt idx="14">
                  <c:v>0.29708353241179924</c:v>
                </c:pt>
                <c:pt idx="15">
                  <c:v>0.29708353241179924</c:v>
                </c:pt>
                <c:pt idx="16">
                  <c:v>0.29708353241179924</c:v>
                </c:pt>
                <c:pt idx="17">
                  <c:v>0.29708353241179924</c:v>
                </c:pt>
                <c:pt idx="18">
                  <c:v>0.29708353241179924</c:v>
                </c:pt>
                <c:pt idx="19">
                  <c:v>0.29708353241179924</c:v>
                </c:pt>
                <c:pt idx="20">
                  <c:v>0.29708353241179924</c:v>
                </c:pt>
                <c:pt idx="21">
                  <c:v>0.29708353241179924</c:v>
                </c:pt>
                <c:pt idx="22">
                  <c:v>0.29708353241179924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5-4461-82A5-2C17B5CF8F57}"/>
            </c:ext>
          </c:extLst>
        </c:ser>
        <c:ser>
          <c:idx val="0"/>
          <c:order val="1"/>
          <c:tx>
            <c:strRef>
              <c:f>Payout_Diagram!$B$32</c:f>
              <c:strCache>
                <c:ptCount val="1"/>
                <c:pt idx="0">
                  <c:v>$3.20 Call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lgDashDot"/>
            </a:ln>
          </c:spPr>
          <c:marker>
            <c:symbol val="none"/>
          </c:marker>
          <c:val>
            <c:numRef>
              <c:f>Payout_Diagram!$D$33:$D$55</c:f>
              <c:numCache>
                <c:formatCode>"$"#,##0.000</c:formatCode>
                <c:ptCount val="23"/>
                <c:pt idx="0">
                  <c:v>-0.29708345101805717</c:v>
                </c:pt>
                <c:pt idx="1">
                  <c:v>-0.29708345101805717</c:v>
                </c:pt>
                <c:pt idx="2">
                  <c:v>-0.29708345101805717</c:v>
                </c:pt>
                <c:pt idx="3">
                  <c:v>-0.29708345101805717</c:v>
                </c:pt>
                <c:pt idx="4">
                  <c:v>-0.29708345101805717</c:v>
                </c:pt>
                <c:pt idx="5">
                  <c:v>-0.29708345101805717</c:v>
                </c:pt>
                <c:pt idx="6">
                  <c:v>-0.29708345101805717</c:v>
                </c:pt>
                <c:pt idx="7">
                  <c:v>-0.29708345101805717</c:v>
                </c:pt>
                <c:pt idx="8">
                  <c:v>-0.29708345101805717</c:v>
                </c:pt>
                <c:pt idx="9">
                  <c:v>-0.29708345101805717</c:v>
                </c:pt>
                <c:pt idx="10">
                  <c:v>-0.29708345101805717</c:v>
                </c:pt>
                <c:pt idx="11">
                  <c:v>-0.19708345101805752</c:v>
                </c:pt>
                <c:pt idx="12">
                  <c:v>0.1029165489819423</c:v>
                </c:pt>
                <c:pt idx="13">
                  <c:v>0.40291654898194212</c:v>
                </c:pt>
                <c:pt idx="14">
                  <c:v>0.70291654898194245</c:v>
                </c:pt>
                <c:pt idx="15">
                  <c:v>1.0029165489819423</c:v>
                </c:pt>
                <c:pt idx="16">
                  <c:v>1.3029165489819421</c:v>
                </c:pt>
                <c:pt idx="17">
                  <c:v>1.6029165489819419</c:v>
                </c:pt>
                <c:pt idx="18">
                  <c:v>1.9029165489819417</c:v>
                </c:pt>
                <c:pt idx="19">
                  <c:v>2.2029165489819413</c:v>
                </c:pt>
                <c:pt idx="20">
                  <c:v>2.5029165489819412</c:v>
                </c:pt>
                <c:pt idx="21">
                  <c:v>2.802916548981941</c:v>
                </c:pt>
                <c:pt idx="22">
                  <c:v>3.1029165489819408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5-4461-82A5-2C17B5CF8F57}"/>
            </c:ext>
          </c:extLst>
        </c:ser>
        <c:ser>
          <c:idx val="1"/>
          <c:order val="2"/>
          <c:tx>
            <c:strRef>
              <c:f>Payout_Diagram!$H$32</c:f>
              <c:strCache>
                <c:ptCount val="1"/>
                <c:pt idx="0">
                  <c:v>Total Payoff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Payout_Diagram!$H$33:$H$55</c:f>
              <c:numCache>
                <c:formatCode>"$"#,##0.000</c:formatCode>
                <c:ptCount val="23"/>
                <c:pt idx="0">
                  <c:v>-2.7090617272755226</c:v>
                </c:pt>
                <c:pt idx="1">
                  <c:v>-2.4090617272755228</c:v>
                </c:pt>
                <c:pt idx="2">
                  <c:v>-2.1090617272755225</c:v>
                </c:pt>
                <c:pt idx="3">
                  <c:v>-1.8090617272755225</c:v>
                </c:pt>
                <c:pt idx="4">
                  <c:v>-1.5090617272755225</c:v>
                </c:pt>
                <c:pt idx="5">
                  <c:v>-1.2090617272755224</c:v>
                </c:pt>
                <c:pt idx="6">
                  <c:v>-0.90906172727552237</c:v>
                </c:pt>
                <c:pt idx="7">
                  <c:v>-0.60906172727552244</c:v>
                </c:pt>
                <c:pt idx="8">
                  <c:v>-0.30906172727552261</c:v>
                </c:pt>
                <c:pt idx="9">
                  <c:v>-9.0617272755227907E-3</c:v>
                </c:pt>
                <c:pt idx="10">
                  <c:v>8.1393742079605147E-8</c:v>
                </c:pt>
                <c:pt idx="11">
                  <c:v>0.10000008139374172</c:v>
                </c:pt>
                <c:pt idx="12">
                  <c:v>0.40000008139374155</c:v>
                </c:pt>
                <c:pt idx="13">
                  <c:v>0.70000008139374137</c:v>
                </c:pt>
                <c:pt idx="14">
                  <c:v>1.0000000813937417</c:v>
                </c:pt>
                <c:pt idx="15">
                  <c:v>1.3000000813937416</c:v>
                </c:pt>
                <c:pt idx="16">
                  <c:v>1.6000000813937414</c:v>
                </c:pt>
                <c:pt idx="17">
                  <c:v>1.9000000813937412</c:v>
                </c:pt>
                <c:pt idx="18">
                  <c:v>2.2000000813937408</c:v>
                </c:pt>
                <c:pt idx="19">
                  <c:v>2.5000000813937406</c:v>
                </c:pt>
                <c:pt idx="20">
                  <c:v>2.8000000813937405</c:v>
                </c:pt>
                <c:pt idx="21">
                  <c:v>3.1000000813937403</c:v>
                </c:pt>
                <c:pt idx="22">
                  <c:v>3.4000000813937401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5-4461-82A5-2C17B5CF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190543"/>
        <c:axId val="1"/>
      </c:lineChart>
      <c:catAx>
        <c:axId val="154519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604243396168373"/>
              <c:y val="0.893462469733656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Payout</a:t>
                </a:r>
              </a:p>
            </c:rich>
          </c:tx>
          <c:layout>
            <c:manualLayout>
              <c:xMode val="edge"/>
              <c:yMode val="edge"/>
              <c:x val="2.5848162554399229E-2"/>
              <c:y val="0.363196125907990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5190543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 Analysis</a:t>
            </a:r>
          </a:p>
        </c:rich>
      </c:tx>
      <c:layout>
        <c:manualLayout>
          <c:xMode val="edge"/>
          <c:yMode val="edge"/>
          <c:x val="0.43391745751489735"/>
          <c:y val="4.8388859299980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20907582887777E-2"/>
          <c:y val="0.18817889727770007"/>
          <c:w val="0.8709454344385037"/>
          <c:h val="0.51077129261090015"/>
        </c:manualLayout>
      </c:layout>
      <c:lineChart>
        <c:grouping val="standard"/>
        <c:varyColors val="0"/>
        <c:ser>
          <c:idx val="0"/>
          <c:order val="0"/>
          <c:tx>
            <c:strRef>
              <c:f>Control!#REF!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[0]!Chart_Date</c:f>
              <c:numCache>
                <c:formatCode>mmm\-yy</c:formatCode>
                <c:ptCount val="1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</c:numCache>
            </c:numRef>
          </c:cat>
          <c:val>
            <c:numRef>
              <c:f>[0]!Chart_Rec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47B3-8C22-E23B59804F93}"/>
            </c:ext>
          </c:extLst>
        </c:ser>
        <c:ser>
          <c:idx val="1"/>
          <c:order val="1"/>
          <c:tx>
            <c:strRef>
              <c:f>Control!#REF!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[0]!Chart_Date</c:f>
              <c:numCache>
                <c:formatCode>mmm\-yy</c:formatCode>
                <c:ptCount val="1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</c:numCache>
            </c:numRef>
          </c:cat>
          <c:val>
            <c:numRef>
              <c:f>[0]!Chart_Del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47B3-8C22-E23B5980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188687"/>
        <c:axId val="1"/>
      </c:lineChart>
      <c:dateAx>
        <c:axId val="15451886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18868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659122461039009"/>
          <c:y val="0.79572790848856023"/>
          <c:w val="0.23173369594881615"/>
          <c:h val="0.118283878288840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2" dropStyle="combo" dx="22" fmlaLink="Control!$F$25" fmlaRange="Control!$F$26:$F$37" sel="2" val="0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2" dropStyle="combo" dx="22" fmlaLink="Control!$C$25" fmlaRange="Control!$C$26:$C$27" sel="1" val="0"/>
</file>

<file path=xl/ctrlProps/ctrlProp3.xml><?xml version="1.0" encoding="utf-8"?>
<formControlPr xmlns="http://schemas.microsoft.com/office/spreadsheetml/2009/9/main" objectType="Drop" dropLines="2" dropStyle="combo" dx="22" fmlaLink="Control!$C$30" fmlaRange="Control!$C$31:$C$32" sel="1" val="0"/>
</file>

<file path=xl/ctrlProps/ctrlProp4.xml><?xml version="1.0" encoding="utf-8"?>
<formControlPr xmlns="http://schemas.microsoft.com/office/spreadsheetml/2009/9/main" objectType="Drop" dropLines="2" dropStyle="combo" dx="22" fmlaLink="Control!$C$35" fmlaRange="Control!$C$36:$C$37" sel="1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38100</xdr:rowOff>
        </xdr:from>
        <xdr:to>
          <xdr:col>13</xdr:col>
          <xdr:colOff>400050</xdr:colOff>
          <xdr:row>26</xdr:row>
          <xdr:rowOff>9525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F480B35F-3F45-B9C4-317E-BF04708BE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28</xdr:row>
          <xdr:rowOff>28575</xdr:rowOff>
        </xdr:from>
        <xdr:to>
          <xdr:col>9</xdr:col>
          <xdr:colOff>304800</xdr:colOff>
          <xdr:row>29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3A90728-D938-15F7-9269-FBFDA76DE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28</xdr:row>
          <xdr:rowOff>28575</xdr:rowOff>
        </xdr:from>
        <xdr:to>
          <xdr:col>13</xdr:col>
          <xdr:colOff>123825</xdr:colOff>
          <xdr:row>28</xdr:row>
          <xdr:rowOff>228600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F86F61FC-7128-D9D2-8339-62DC0F1CF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28</xdr:row>
          <xdr:rowOff>28575</xdr:rowOff>
        </xdr:from>
        <xdr:to>
          <xdr:col>17</xdr:col>
          <xdr:colOff>314325</xdr:colOff>
          <xdr:row>28</xdr:row>
          <xdr:rowOff>228600</xdr:rowOff>
        </xdr:to>
        <xdr:sp macro="" textlink="">
          <xdr:nvSpPr>
            <xdr:cNvPr id="11268" name="Drop Dow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ECEB0E6F-D4A1-C3E6-974F-DE6AFA9F9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16</xdr:row>
          <xdr:rowOff>66675</xdr:rowOff>
        </xdr:from>
        <xdr:to>
          <xdr:col>3</xdr:col>
          <xdr:colOff>476250</xdr:colOff>
          <xdr:row>19</xdr:row>
          <xdr:rowOff>76200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71AC0912-A84E-A545-BAFB-72119DA78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Press to Update Curves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0</xdr:colOff>
      <xdr:row>16</xdr:row>
      <xdr:rowOff>0</xdr:rowOff>
    </xdr:from>
    <xdr:to>
      <xdr:col>7</xdr:col>
      <xdr:colOff>0</xdr:colOff>
      <xdr:row>19</xdr:row>
      <xdr:rowOff>28575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81231945-0549-F95C-53E5-4ADD30712229}"/>
            </a:ext>
          </a:extLst>
        </xdr:cNvPr>
        <xdr:cNvSpPr>
          <a:spLocks noChangeArrowheads="1"/>
        </xdr:cNvSpPr>
      </xdr:nvSpPr>
      <xdr:spPr bwMode="auto">
        <a:xfrm>
          <a:off x="3343275" y="3076575"/>
          <a:ext cx="2800350" cy="60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7</xdr:col>
      <xdr:colOff>0</xdr:colOff>
      <xdr:row>15</xdr:row>
      <xdr:rowOff>9525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39C69FBC-BFE9-0335-A8A2-3466D3B2CA22}"/>
            </a:ext>
          </a:extLst>
        </xdr:cNvPr>
        <xdr:cNvSpPr>
          <a:spLocks noChangeArrowheads="1"/>
        </xdr:cNvSpPr>
      </xdr:nvSpPr>
      <xdr:spPr bwMode="auto">
        <a:xfrm>
          <a:off x="161925" y="952500"/>
          <a:ext cx="5981700" cy="1971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16</xdr:row>
      <xdr:rowOff>0</xdr:rowOff>
    </xdr:from>
    <xdr:to>
      <xdr:col>12</xdr:col>
      <xdr:colOff>466725</xdr:colOff>
      <xdr:row>20</xdr:row>
      <xdr:rowOff>76200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303992F5-025E-93CF-66D0-70B083148047}"/>
            </a:ext>
          </a:extLst>
        </xdr:cNvPr>
        <xdr:cNvSpPr>
          <a:spLocks noChangeArrowheads="1"/>
        </xdr:cNvSpPr>
      </xdr:nvSpPr>
      <xdr:spPr bwMode="auto">
        <a:xfrm>
          <a:off x="6334125" y="3076575"/>
          <a:ext cx="446722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20</xdr:row>
          <xdr:rowOff>28575</xdr:rowOff>
        </xdr:from>
        <xdr:to>
          <xdr:col>2</xdr:col>
          <xdr:colOff>733425</xdr:colOff>
          <xdr:row>22</xdr:row>
          <xdr:rowOff>152400</xdr:rowOff>
        </xdr:to>
        <xdr:sp macro="" textlink="">
          <xdr:nvSpPr>
            <xdr:cNvPr id="11501" name="Button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B57CB06C-0177-7991-FB07-489D659DC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Set Call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24</xdr:row>
          <xdr:rowOff>28575</xdr:rowOff>
        </xdr:from>
        <xdr:to>
          <xdr:col>2</xdr:col>
          <xdr:colOff>733425</xdr:colOff>
          <xdr:row>26</xdr:row>
          <xdr:rowOff>114300</xdr:rowOff>
        </xdr:to>
        <xdr:sp macro="" textlink="">
          <xdr:nvSpPr>
            <xdr:cNvPr id="11503" name="Button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A9AB55A1-4030-DB02-44D7-16F2804EE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Set Put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28575</xdr:rowOff>
    </xdr:from>
    <xdr:to>
      <xdr:col>7</xdr:col>
      <xdr:colOff>685800</xdr:colOff>
      <xdr:row>30</xdr:row>
      <xdr:rowOff>76200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12022DFC-F5F7-5B7E-057B-13C3A7F3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9525</xdr:rowOff>
    </xdr:from>
    <xdr:to>
      <xdr:col>11</xdr:col>
      <xdr:colOff>0</xdr:colOff>
      <xdr:row>12</xdr:row>
      <xdr:rowOff>9525</xdr:rowOff>
    </xdr:to>
    <xdr:sp macro="" textlink="">
      <xdr:nvSpPr>
        <xdr:cNvPr id="8214" name="Rectangle 22">
          <a:extLst>
            <a:ext uri="{FF2B5EF4-FFF2-40B4-BE49-F238E27FC236}">
              <a16:creationId xmlns:a16="http://schemas.microsoft.com/office/drawing/2014/main" id="{89577A2A-8D2E-5B36-A8DE-2398D019EC15}"/>
            </a:ext>
          </a:extLst>
        </xdr:cNvPr>
        <xdr:cNvSpPr>
          <a:spLocks noChangeArrowheads="1"/>
        </xdr:cNvSpPr>
      </xdr:nvSpPr>
      <xdr:spPr bwMode="auto">
        <a:xfrm>
          <a:off x="6572250" y="1609725"/>
          <a:ext cx="1428750" cy="485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11</xdr:row>
          <xdr:rowOff>95250</xdr:rowOff>
        </xdr:from>
        <xdr:to>
          <xdr:col>5</xdr:col>
          <xdr:colOff>1095375</xdr:colOff>
          <xdr:row>13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FE88E4E-73AA-AF43-3939-23EE0822D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Press to Update Curves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8</xdr:row>
      <xdr:rowOff>9525</xdr:rowOff>
    </xdr:from>
    <xdr:to>
      <xdr:col>3</xdr:col>
      <xdr:colOff>0</xdr:colOff>
      <xdr:row>13</xdr:row>
      <xdr:rowOff>19050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1E3FA26D-BD99-928F-5165-9D7DD5DA0780}"/>
            </a:ext>
          </a:extLst>
        </xdr:cNvPr>
        <xdr:cNvSpPr>
          <a:spLocks noChangeArrowheads="1"/>
        </xdr:cNvSpPr>
      </xdr:nvSpPr>
      <xdr:spPr bwMode="auto">
        <a:xfrm>
          <a:off x="266700" y="1314450"/>
          <a:ext cx="2752725" cy="819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600075</xdr:colOff>
      <xdr:row>1</xdr:row>
      <xdr:rowOff>0</xdr:rowOff>
    </xdr:from>
    <xdr:to>
      <xdr:col>6</xdr:col>
      <xdr:colOff>0</xdr:colOff>
      <xdr:row>5</xdr:row>
      <xdr:rowOff>47625</xdr:rowOff>
    </xdr:to>
    <xdr:sp macro="" textlink="">
      <xdr:nvSpPr>
        <xdr:cNvPr id="2114" name="Rectangle 66">
          <a:extLst>
            <a:ext uri="{FF2B5EF4-FFF2-40B4-BE49-F238E27FC236}">
              <a16:creationId xmlns:a16="http://schemas.microsoft.com/office/drawing/2014/main" id="{A757F2D3-529C-47BB-7D4C-35AEAF80FF1C}"/>
            </a:ext>
          </a:extLst>
        </xdr:cNvPr>
        <xdr:cNvSpPr>
          <a:spLocks noChangeArrowheads="1"/>
        </xdr:cNvSpPr>
      </xdr:nvSpPr>
      <xdr:spPr bwMode="auto">
        <a:xfrm>
          <a:off x="3619500" y="161925"/>
          <a:ext cx="2762250" cy="69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43</xdr:row>
      <xdr:rowOff>0</xdr:rowOff>
    </xdr:from>
    <xdr:to>
      <xdr:col>6</xdr:col>
      <xdr:colOff>9525</xdr:colOff>
      <xdr:row>53</xdr:row>
      <xdr:rowOff>152400</xdr:rowOff>
    </xdr:to>
    <xdr:graphicFrame macro="">
      <xdr:nvGraphicFramePr>
        <xdr:cNvPr id="2127" name="Chart 79">
          <a:extLst>
            <a:ext uri="{FF2B5EF4-FFF2-40B4-BE49-F238E27FC236}">
              <a16:creationId xmlns:a16="http://schemas.microsoft.com/office/drawing/2014/main" id="{6ECA5C1D-98EB-C79F-29BD-C6DCEB03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1</xdr:row>
          <xdr:rowOff>76200</xdr:rowOff>
        </xdr:from>
        <xdr:to>
          <xdr:col>10</xdr:col>
          <xdr:colOff>66675</xdr:colOff>
          <xdr:row>3</xdr:row>
          <xdr:rowOff>57150</xdr:rowOff>
        </xdr:to>
        <xdr:sp macro="" textlink="">
          <xdr:nvSpPr>
            <xdr:cNvPr id="2128" name="Button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ADC2F7F1-0D04-25B8-571A-99A0BD612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Press to Print Full Page Chart Only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2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2220" name="Rectangle 172">
          <a:extLst>
            <a:ext uri="{FF2B5EF4-FFF2-40B4-BE49-F238E27FC236}">
              <a16:creationId xmlns:a16="http://schemas.microsoft.com/office/drawing/2014/main" id="{ED14BEAB-57CC-E8CA-24BF-E64CC37E3548}"/>
            </a:ext>
          </a:extLst>
        </xdr:cNvPr>
        <xdr:cNvSpPr>
          <a:spLocks noChangeArrowheads="1"/>
        </xdr:cNvSpPr>
      </xdr:nvSpPr>
      <xdr:spPr bwMode="auto">
        <a:xfrm>
          <a:off x="266700" y="323850"/>
          <a:ext cx="275272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221" name="Rectangle 173">
          <a:extLst>
            <a:ext uri="{FF2B5EF4-FFF2-40B4-BE49-F238E27FC236}">
              <a16:creationId xmlns:a16="http://schemas.microsoft.com/office/drawing/2014/main" id="{137B3156-A98B-1766-30F7-0983FC916821}"/>
            </a:ext>
          </a:extLst>
        </xdr:cNvPr>
        <xdr:cNvSpPr>
          <a:spLocks noChangeArrowheads="1"/>
        </xdr:cNvSpPr>
      </xdr:nvSpPr>
      <xdr:spPr bwMode="auto">
        <a:xfrm>
          <a:off x="3629025" y="1133475"/>
          <a:ext cx="2752725" cy="495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222" name="Rectangle 174">
          <a:extLst>
            <a:ext uri="{FF2B5EF4-FFF2-40B4-BE49-F238E27FC236}">
              <a16:creationId xmlns:a16="http://schemas.microsoft.com/office/drawing/2014/main" id="{3FC8C09F-A01E-4254-1FA6-E7F2653F9A3F}"/>
            </a:ext>
          </a:extLst>
        </xdr:cNvPr>
        <xdr:cNvSpPr>
          <a:spLocks noChangeArrowheads="1"/>
        </xdr:cNvSpPr>
      </xdr:nvSpPr>
      <xdr:spPr bwMode="auto">
        <a:xfrm>
          <a:off x="266700" y="2457450"/>
          <a:ext cx="6115050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1304925</xdr:colOff>
      <xdr:row>23</xdr:row>
      <xdr:rowOff>0</xdr:rowOff>
    </xdr:from>
    <xdr:to>
      <xdr:col>8</xdr:col>
      <xdr:colOff>1038225</xdr:colOff>
      <xdr:row>37</xdr:row>
      <xdr:rowOff>0</xdr:rowOff>
    </xdr:to>
    <xdr:sp macro="" textlink="">
      <xdr:nvSpPr>
        <xdr:cNvPr id="2228" name="Rectangle 180">
          <a:extLst>
            <a:ext uri="{FF2B5EF4-FFF2-40B4-BE49-F238E27FC236}">
              <a16:creationId xmlns:a16="http://schemas.microsoft.com/office/drawing/2014/main" id="{E5750227-6F0A-E5C5-23B6-2D96DC6A65EA}"/>
            </a:ext>
          </a:extLst>
        </xdr:cNvPr>
        <xdr:cNvSpPr>
          <a:spLocks noChangeArrowheads="1"/>
        </xdr:cNvSpPr>
      </xdr:nvSpPr>
      <xdr:spPr bwMode="auto">
        <a:xfrm>
          <a:off x="4933950" y="3771900"/>
          <a:ext cx="2952750" cy="2266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2C6CBA-106B-D062-90C4-F06F3E135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date"/>
      <definedName name="eomonth"/>
      <definedName name="WORKDAY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BK189"/>
  <sheetViews>
    <sheetView showGridLines="0" tabSelected="1" zoomScale="75" workbookViewId="0">
      <selection activeCell="C11" sqref="C11"/>
    </sheetView>
  </sheetViews>
  <sheetFormatPr defaultRowHeight="12.75"/>
  <cols>
    <col min="1" max="1" width="2.42578125" style="71" customWidth="1"/>
    <col min="2" max="2" width="19" style="71" bestFit="1" customWidth="1"/>
    <col min="3" max="3" width="13.28515625" style="71" customWidth="1"/>
    <col min="4" max="4" width="15.42578125" style="71" bestFit="1" customWidth="1"/>
    <col min="5" max="5" width="13" style="71" customWidth="1"/>
    <col min="6" max="6" width="14.140625" style="71" customWidth="1"/>
    <col min="7" max="7" width="14.85546875" style="71" customWidth="1"/>
    <col min="8" max="8" width="2.85546875" style="71" customWidth="1"/>
    <col min="9" max="9" width="15.5703125" style="71" customWidth="1"/>
    <col min="10" max="10" width="13.140625" style="71" customWidth="1"/>
    <col min="11" max="11" width="12.85546875" style="71" customWidth="1"/>
    <col min="12" max="12" width="18.42578125" style="71" bestFit="1" customWidth="1"/>
    <col min="13" max="13" width="17.5703125" style="71" customWidth="1"/>
    <col min="14" max="14" width="14.85546875" style="71" customWidth="1"/>
    <col min="15" max="16" width="11.85546875" style="71" customWidth="1"/>
    <col min="17" max="17" width="14.7109375" style="71" customWidth="1"/>
    <col min="18" max="18" width="14.85546875" style="71" customWidth="1"/>
    <col min="19" max="20" width="11.85546875" style="71" customWidth="1"/>
    <col min="21" max="21" width="13.7109375" style="71" customWidth="1"/>
    <col min="22" max="22" width="4.5703125" style="149" customWidth="1"/>
    <col min="23" max="23" width="14.5703125" style="71" customWidth="1"/>
    <col min="24" max="24" width="12.28515625" style="71" customWidth="1"/>
    <col min="25" max="28" width="14.85546875" style="71" customWidth="1"/>
    <col min="29" max="29" width="5.7109375" style="71" customWidth="1"/>
    <col min="30" max="35" width="14.85546875" style="71" customWidth="1"/>
    <col min="36" max="36" width="4.42578125" style="71" customWidth="1"/>
    <col min="37" max="37" width="14.5703125" style="71" customWidth="1"/>
    <col min="38" max="43" width="12.28515625" style="71" customWidth="1"/>
    <col min="44" max="44" width="14.85546875" style="71" customWidth="1"/>
    <col min="45" max="45" width="11.28515625" style="71" customWidth="1"/>
    <col min="46" max="46" width="10.28515625" style="71" customWidth="1"/>
    <col min="47" max="47" width="9.140625" style="71"/>
    <col min="48" max="48" width="11.85546875" style="71" customWidth="1"/>
    <col min="49" max="49" width="15.5703125" style="71" bestFit="1" customWidth="1"/>
    <col min="50" max="50" width="10.28515625" style="71" customWidth="1"/>
    <col min="51" max="52" width="9.140625" style="71"/>
    <col min="53" max="53" width="11.5703125" style="71" customWidth="1"/>
    <col min="54" max="62" width="9.140625" style="71"/>
    <col min="63" max="63" width="38.85546875" style="71" bestFit="1" customWidth="1"/>
    <col min="64" max="16384" width="9.140625" style="71"/>
  </cols>
  <sheetData>
    <row r="1" spans="1:63" s="70" customFormat="1" ht="19.5">
      <c r="A1" s="70" t="s">
        <v>165</v>
      </c>
    </row>
    <row r="2" spans="1:63" customFormat="1" ht="3.75" customHeight="1">
      <c r="V2" s="33"/>
    </row>
    <row r="3" spans="1:63" customFormat="1" hidden="1">
      <c r="B3" s="71"/>
      <c r="C3" s="155"/>
      <c r="D3" s="74"/>
      <c r="E3" s="74"/>
      <c r="F3" s="74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149"/>
      <c r="W3" s="71"/>
      <c r="AJ3" s="71"/>
      <c r="AK3" s="71"/>
    </row>
    <row r="4" spans="1:63" customFormat="1">
      <c r="C4" s="74"/>
      <c r="D4" s="74"/>
      <c r="E4" s="74"/>
      <c r="F4" s="74"/>
      <c r="J4" s="5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AJ4" s="72"/>
      <c r="AK4" s="72"/>
    </row>
    <row r="5" spans="1:63" customFormat="1" ht="19.5">
      <c r="B5" s="256" t="str">
        <f ca="1">CONCATENATE("Enron Goes ",Payout_Diagram!$L$4," ",Payout_Diagram!$E$32,"s"," and Goes ",Payout_Diagram!$L$6," ",Payout_Diagram!$B$32,"s")</f>
        <v>Enron Goes Long $2.71 Puts and Goes Short $3.20 Calls</v>
      </c>
      <c r="C5" s="73"/>
      <c r="D5" s="74"/>
      <c r="E5" s="74"/>
      <c r="F5" s="74"/>
      <c r="I5" s="233">
        <f ca="1">E8-G8</f>
        <v>-8.1393742079605147E-8</v>
      </c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AJ5" s="75"/>
      <c r="AK5" s="75"/>
    </row>
    <row r="6" spans="1:63" customFormat="1" ht="19.5">
      <c r="B6" s="256" t="str">
        <f ca="1">CONCATENATE(Collar!C11," Goes ",Payout_Diagram!$K$4," ",Payout_Diagram!$E$32,"s"," and Goes ",Payout_Diagram!$K$6," ",Payout_Diagram!$B$32,"s")</f>
        <v>Consumer Goes Short $2.71 Puts and Goes Long $3.20 Calls</v>
      </c>
      <c r="C6" s="255"/>
      <c r="D6" s="255"/>
      <c r="E6" s="255"/>
      <c r="F6" s="255"/>
      <c r="G6" s="255"/>
      <c r="H6" s="255"/>
      <c r="I6" s="25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</row>
    <row r="7" spans="1:63" customFormat="1" ht="17.25" customHeight="1">
      <c r="B7" s="76"/>
      <c r="C7" s="77" t="s">
        <v>83</v>
      </c>
      <c r="D7" s="77"/>
      <c r="E7" s="77" t="str">
        <f>IF($C$11="Producer","ENE Buys Call","ENE Sell Call")</f>
        <v>ENE Sell Call</v>
      </c>
      <c r="F7" s="78"/>
      <c r="G7" s="234" t="str">
        <f>IF($C$11="Producer","ENE Sells Put","ENE Buys Put")</f>
        <v>ENE Buys Put</v>
      </c>
      <c r="I7" s="78"/>
      <c r="J7" s="234" t="s">
        <v>74</v>
      </c>
      <c r="K7" s="71"/>
      <c r="L7" s="71"/>
      <c r="M7" s="71"/>
      <c r="N7" s="71"/>
      <c r="O7" s="71"/>
      <c r="P7" s="71"/>
      <c r="Q7" s="71"/>
      <c r="R7" s="71"/>
      <c r="S7" s="75"/>
      <c r="T7" s="75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</row>
    <row r="8" spans="1:63" customFormat="1" ht="16.5" customHeight="1">
      <c r="B8" s="81" t="s">
        <v>78</v>
      </c>
      <c r="C8" s="157">
        <v>37226</v>
      </c>
      <c r="D8" s="144" t="s">
        <v>80</v>
      </c>
      <c r="E8" s="82">
        <f ca="1">SUM($AR$31:$AR$184)/SUM($F$31:$F$184)</f>
        <v>0.29708345101805717</v>
      </c>
      <c r="F8" s="144"/>
      <c r="G8" s="82">
        <f>SUM($AQ$31:$AQ$184)/SUM($F$31:$F$184)</f>
        <v>0.29708353241179924</v>
      </c>
      <c r="I8" s="144" t="s">
        <v>54</v>
      </c>
      <c r="J8" s="82">
        <f ca="1">SUM($AK$31:$AK$184)/SUM($G$31:$G$184)</f>
        <v>3.076945950081416</v>
      </c>
      <c r="K8" s="71"/>
      <c r="L8" s="71"/>
      <c r="M8" s="71"/>
      <c r="N8" s="71"/>
      <c r="O8" s="71"/>
      <c r="P8" s="71"/>
      <c r="Q8" s="71"/>
      <c r="R8" s="71"/>
      <c r="S8" s="75"/>
      <c r="T8" s="75"/>
      <c r="U8" s="75"/>
      <c r="V8" s="75"/>
      <c r="W8" s="75"/>
      <c r="AJ8" s="75"/>
      <c r="AK8" s="75"/>
    </row>
    <row r="9" spans="1:63" customFormat="1" ht="17.25" customHeight="1">
      <c r="B9" s="81" t="s">
        <v>79</v>
      </c>
      <c r="C9" s="157">
        <v>37560</v>
      </c>
      <c r="D9" s="144"/>
      <c r="E9" s="144"/>
      <c r="F9" s="144"/>
      <c r="G9" s="82"/>
      <c r="I9" s="144" t="s">
        <v>44</v>
      </c>
      <c r="J9" s="82">
        <f ca="1">SUM($AL$31:$AL$184)/SUM($G$31:$G$184)</f>
        <v>-0.1635253290678452</v>
      </c>
      <c r="K9" s="71"/>
      <c r="L9" s="71"/>
      <c r="M9" s="71"/>
      <c r="N9" s="71"/>
      <c r="O9" s="71"/>
      <c r="P9" s="71"/>
      <c r="Q9" s="71"/>
      <c r="R9" s="71"/>
      <c r="S9" s="75"/>
      <c r="T9" s="75"/>
      <c r="U9" s="75"/>
      <c r="V9" s="75"/>
      <c r="W9" s="75"/>
      <c r="AJ9" s="75"/>
      <c r="AK9" s="75"/>
      <c r="BK9" s="71"/>
    </row>
    <row r="10" spans="1:63" customFormat="1" ht="17.25" customHeight="1" thickBot="1">
      <c r="B10" s="81" t="s">
        <v>97</v>
      </c>
      <c r="C10" s="236">
        <v>1000</v>
      </c>
      <c r="D10" s="144"/>
      <c r="E10" s="145"/>
      <c r="F10" s="144"/>
      <c r="G10" s="84"/>
      <c r="I10" s="144" t="s">
        <v>45</v>
      </c>
      <c r="J10" s="84">
        <f ca="1">SUM($AM$31:$AM$184)/SUM($G$31:$G$184)</f>
        <v>0</v>
      </c>
      <c r="K10" s="71"/>
      <c r="L10" s="71"/>
      <c r="M10" s="71"/>
      <c r="N10" s="71"/>
      <c r="O10" s="71"/>
      <c r="P10" s="71"/>
      <c r="Q10" s="71"/>
      <c r="R10" s="71"/>
      <c r="S10" s="75"/>
      <c r="T10" s="75"/>
      <c r="U10" s="75"/>
      <c r="V10" s="75"/>
      <c r="W10" s="75"/>
      <c r="AJ10" s="75"/>
      <c r="AK10" s="75"/>
      <c r="BK10" s="71"/>
    </row>
    <row r="11" spans="1:63" customFormat="1" ht="17.25" customHeight="1">
      <c r="B11" s="81" t="s">
        <v>149</v>
      </c>
      <c r="C11" s="157" t="s">
        <v>151</v>
      </c>
      <c r="D11" s="144" t="s">
        <v>81</v>
      </c>
      <c r="E11" s="206">
        <f ca="1">SUM($AR$31:$AR$184)</f>
        <v>99522.956091049142</v>
      </c>
      <c r="F11" s="144"/>
      <c r="G11" s="206">
        <f>SUM($AQ$31:$AQ$184)</f>
        <v>99522.983357952748</v>
      </c>
      <c r="I11" s="144" t="s">
        <v>74</v>
      </c>
      <c r="J11" s="85">
        <f ca="1">SUM(J8:J10)</f>
        <v>2.9134206210135707</v>
      </c>
      <c r="K11" s="71"/>
      <c r="L11" s="260"/>
      <c r="M11" s="258"/>
      <c r="N11" s="71"/>
      <c r="O11" s="71"/>
      <c r="P11" s="71"/>
      <c r="Q11" s="71"/>
      <c r="R11" s="71"/>
      <c r="S11" s="75"/>
      <c r="T11" s="75"/>
      <c r="U11" s="75"/>
      <c r="V11" s="75"/>
      <c r="W11" s="75"/>
      <c r="AJ11" s="75"/>
      <c r="AK11" s="75"/>
      <c r="BK11" s="71"/>
    </row>
    <row r="12" spans="1:63" customFormat="1" ht="17.25" customHeight="1">
      <c r="B12" s="81" t="s">
        <v>82</v>
      </c>
      <c r="C12" s="156" t="s">
        <v>41</v>
      </c>
      <c r="D12" s="144" t="s">
        <v>75</v>
      </c>
      <c r="E12" s="85">
        <f ca="1">SUM($AO$31:$AO$184)/SUM($G$31:$G$184)</f>
        <v>3.1999999999999997</v>
      </c>
      <c r="F12" s="144"/>
      <c r="G12" s="85">
        <f ca="1">SUM($AP$31:$AP$184)/SUM($G$31:$G$184)</f>
        <v>2.7090618086692646</v>
      </c>
      <c r="I12" s="144"/>
      <c r="J12" s="253"/>
      <c r="K12" s="71"/>
      <c r="L12" s="71"/>
      <c r="M12" s="71"/>
      <c r="N12" s="75"/>
      <c r="O12" s="75"/>
      <c r="P12" s="75"/>
      <c r="Q12" s="75"/>
      <c r="R12" s="75"/>
      <c r="S12" s="75"/>
      <c r="T12" s="75"/>
      <c r="U12" s="75"/>
      <c r="V12" s="75"/>
      <c r="W12" s="75"/>
      <c r="AJ12" s="75"/>
      <c r="AK12" s="75"/>
      <c r="BK12" s="71"/>
    </row>
    <row r="13" spans="1:63" customFormat="1" ht="17.25" customHeight="1">
      <c r="B13" s="81" t="s">
        <v>143</v>
      </c>
      <c r="C13" s="157">
        <v>37200</v>
      </c>
      <c r="D13" s="232"/>
      <c r="E13" s="83"/>
      <c r="F13" s="83"/>
      <c r="G13" s="83"/>
      <c r="I13" s="144"/>
      <c r="J13" s="253"/>
      <c r="K13" s="71"/>
      <c r="L13" s="259"/>
      <c r="M13" s="71"/>
      <c r="N13" s="75"/>
      <c r="O13" s="75"/>
      <c r="P13" s="75"/>
      <c r="Q13" s="75"/>
      <c r="R13" s="75"/>
      <c r="S13" s="75"/>
      <c r="T13" s="75"/>
      <c r="U13" s="75"/>
      <c r="V13" s="75"/>
      <c r="W13" s="75"/>
      <c r="AJ13" s="75"/>
      <c r="AK13" s="75"/>
      <c r="BK13" s="71"/>
    </row>
    <row r="14" spans="1:63" customFormat="1" ht="17.25" customHeight="1">
      <c r="B14" s="81" t="s">
        <v>163</v>
      </c>
      <c r="C14" s="210">
        <f ca="1">3.2-J11</f>
        <v>0.28657937898642949</v>
      </c>
      <c r="D14" s="247"/>
      <c r="E14" s="83"/>
      <c r="F14" s="83"/>
      <c r="G14" s="83"/>
      <c r="I14" s="144"/>
      <c r="J14" s="253"/>
      <c r="K14" s="71"/>
      <c r="L14" s="257"/>
      <c r="M14" s="71"/>
      <c r="N14" s="75"/>
      <c r="O14" s="75"/>
      <c r="P14" s="75"/>
      <c r="Q14" s="75"/>
      <c r="R14" s="75"/>
      <c r="S14" s="75"/>
      <c r="T14" s="75"/>
      <c r="U14" s="75"/>
      <c r="V14" s="75"/>
      <c r="W14" s="75"/>
      <c r="AJ14" s="75"/>
      <c r="AK14" s="75"/>
      <c r="BK14" s="71"/>
    </row>
    <row r="15" spans="1:63" customFormat="1" ht="17.25" customHeight="1">
      <c r="B15" s="81" t="s">
        <v>164</v>
      </c>
      <c r="C15" s="210">
        <v>-0.20435881234430545</v>
      </c>
      <c r="D15" s="247"/>
      <c r="E15" s="83"/>
      <c r="F15" s="144"/>
      <c r="G15" s="144"/>
      <c r="I15" s="144"/>
      <c r="J15" s="144"/>
      <c r="K15" s="71"/>
      <c r="L15" s="71"/>
      <c r="M15" s="71"/>
      <c r="N15" s="75"/>
      <c r="O15" s="75"/>
      <c r="P15" s="75"/>
      <c r="Q15" s="75"/>
      <c r="R15" s="75"/>
      <c r="S15" s="75"/>
      <c r="T15" s="75"/>
      <c r="U15" s="75"/>
      <c r="V15" s="75"/>
      <c r="W15" s="75"/>
      <c r="AJ15" s="75"/>
      <c r="AK15" s="75"/>
      <c r="BK15" s="71"/>
    </row>
    <row r="16" spans="1:63" customFormat="1">
      <c r="I16" s="71"/>
      <c r="J16" s="71"/>
      <c r="K16" s="71"/>
      <c r="L16" s="71"/>
      <c r="M16" s="71"/>
      <c r="N16" s="75"/>
      <c r="O16" s="75"/>
      <c r="P16" s="75"/>
      <c r="Q16" s="75"/>
      <c r="R16" s="75"/>
      <c r="S16" s="75"/>
      <c r="T16" s="75"/>
      <c r="U16" s="75"/>
      <c r="V16" s="75"/>
      <c r="W16" s="75"/>
      <c r="AJ16" s="75"/>
      <c r="AK16" s="75"/>
      <c r="BK16" s="71"/>
    </row>
    <row r="17" spans="2:63" customFormat="1" ht="20.25">
      <c r="D17" s="71"/>
      <c r="E17" s="86" t="s">
        <v>84</v>
      </c>
      <c r="F17" s="87"/>
      <c r="G17" s="88"/>
      <c r="I17" s="52" t="str">
        <f ca="1">Control!B16</f>
        <v>WARNING FLAGS:</v>
      </c>
      <c r="J17" s="79"/>
      <c r="K17" s="80"/>
      <c r="L17" s="80"/>
      <c r="M17" s="80"/>
      <c r="N17" s="75"/>
      <c r="O17" s="75"/>
      <c r="P17" s="75"/>
      <c r="Q17" s="75"/>
      <c r="R17" s="75"/>
      <c r="S17" s="75"/>
      <c r="T17" s="75"/>
      <c r="U17" s="75"/>
      <c r="V17" s="75"/>
      <c r="W17" s="75"/>
      <c r="AJ17" s="75"/>
      <c r="AK17" s="75"/>
      <c r="BK17" s="71"/>
    </row>
    <row r="18" spans="2:63" customFormat="1">
      <c r="B18" s="89"/>
      <c r="D18" s="71"/>
      <c r="E18" s="90" t="s">
        <v>85</v>
      </c>
      <c r="G18" s="91">
        <v>0</v>
      </c>
      <c r="I18" s="207" t="str">
        <f>Control!B17</f>
        <v/>
      </c>
      <c r="J18" s="146"/>
      <c r="K18" s="148"/>
      <c r="L18" s="75"/>
      <c r="M18" s="75"/>
      <c r="N18" s="92"/>
      <c r="O18" s="92"/>
      <c r="P18" s="92"/>
      <c r="Q18" s="92"/>
      <c r="R18" s="92"/>
      <c r="S18" s="92"/>
      <c r="T18" s="92"/>
      <c r="U18" s="92"/>
      <c r="V18" s="92"/>
      <c r="W18" s="92"/>
      <c r="AJ18" s="92"/>
      <c r="AK18" s="92"/>
      <c r="BK18" s="71"/>
    </row>
    <row r="19" spans="2:63" customFormat="1">
      <c r="D19" s="71"/>
      <c r="E19" s="93" t="s">
        <v>86</v>
      </c>
      <c r="F19" s="94"/>
      <c r="G19" s="95">
        <f ca="1">SUM($G$31:$G$184)*G18</f>
        <v>0</v>
      </c>
      <c r="I19" s="207" t="str">
        <f>Control!B18</f>
        <v/>
      </c>
      <c r="J19" s="146"/>
      <c r="K19" s="147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AJ19" s="75"/>
      <c r="AK19" s="75"/>
      <c r="BK19" s="71"/>
    </row>
    <row r="20" spans="2:63" customFormat="1" ht="13.5" customHeight="1">
      <c r="I20" s="207" t="str">
        <f ca="1">Control!B21</f>
        <v>Current curve date may not correspond to latest available curves.</v>
      </c>
      <c r="J20" s="146"/>
      <c r="K20" s="147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AJ20" s="75"/>
      <c r="AK20" s="75"/>
      <c r="BK20" s="71"/>
    </row>
    <row r="21" spans="2:63" customFormat="1" ht="15.75">
      <c r="C21" s="96"/>
      <c r="I21" s="207"/>
      <c r="J21" s="146"/>
      <c r="K21" s="147"/>
      <c r="L21" s="75"/>
      <c r="M21" s="75"/>
      <c r="V21" s="33"/>
      <c r="BK21" s="71"/>
    </row>
    <row r="22" spans="2:63" customFormat="1">
      <c r="V22" s="33"/>
    </row>
    <row r="23" spans="2:63" customFormat="1">
      <c r="D23" s="248"/>
      <c r="E23" s="249"/>
      <c r="F23" s="72"/>
      <c r="G23" s="72"/>
      <c r="H23" s="248"/>
      <c r="I23" s="250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149"/>
      <c r="AJ23" s="71"/>
    </row>
    <row r="24" spans="2:63" customFormat="1" ht="16.5" customHeight="1">
      <c r="D24" s="71"/>
      <c r="E24" s="71"/>
      <c r="V24" s="33"/>
      <c r="BK24" s="71"/>
    </row>
    <row r="25" spans="2:63" customFormat="1" ht="13.5" customHeight="1">
      <c r="D25" s="262" t="s">
        <v>87</v>
      </c>
      <c r="E25" s="263"/>
      <c r="F25" s="263"/>
      <c r="G25" s="264"/>
      <c r="I25" s="265" t="s">
        <v>88</v>
      </c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7"/>
      <c r="V25" s="153"/>
      <c r="W25" s="268" t="s">
        <v>152</v>
      </c>
      <c r="X25" s="269"/>
      <c r="Y25" s="269"/>
      <c r="Z25" s="269"/>
      <c r="AA25" s="269"/>
      <c r="AB25" s="270"/>
      <c r="AC25" s="224"/>
      <c r="AD25" s="268" t="s">
        <v>153</v>
      </c>
      <c r="AE25" s="269"/>
      <c r="AF25" s="269"/>
      <c r="AG25" s="269"/>
      <c r="AH25" s="269"/>
      <c r="AI25" s="270"/>
      <c r="AK25" s="265" t="s">
        <v>89</v>
      </c>
      <c r="AL25" s="266"/>
      <c r="AM25" s="266"/>
      <c r="AN25" s="266"/>
      <c r="AO25" s="266"/>
      <c r="AP25" s="266"/>
      <c r="AQ25" s="266"/>
      <c r="AR25" s="267"/>
      <c r="BK25" s="71"/>
    </row>
    <row r="26" spans="2:63" customFormat="1" ht="18" customHeight="1">
      <c r="D26" s="237" t="s">
        <v>92</v>
      </c>
      <c r="E26" s="38"/>
      <c r="F26" s="158" t="s">
        <v>52</v>
      </c>
      <c r="G26" s="39"/>
      <c r="I26" s="98"/>
      <c r="J26" s="161" t="s">
        <v>102</v>
      </c>
      <c r="K26" s="40"/>
      <c r="L26" s="59"/>
      <c r="M26" s="71"/>
      <c r="N26" s="40"/>
      <c r="O26" s="40"/>
      <c r="P26" s="40"/>
      <c r="Q26" s="40"/>
      <c r="R26" s="40"/>
      <c r="S26" s="40"/>
      <c r="T26" s="40"/>
      <c r="U26" s="41"/>
      <c r="V26" s="72"/>
      <c r="W26" s="98"/>
      <c r="X26" s="40"/>
      <c r="Y26" s="40"/>
      <c r="Z26" s="40"/>
      <c r="AA26" s="40"/>
      <c r="AB26" s="41"/>
      <c r="AC26" s="40"/>
      <c r="AD26" s="98"/>
      <c r="AE26" s="40"/>
      <c r="AF26" s="40"/>
      <c r="AG26" s="40"/>
      <c r="AH26" s="40"/>
      <c r="AI26" s="41"/>
      <c r="AK26" s="98"/>
      <c r="AL26" s="40"/>
      <c r="AM26" s="40"/>
      <c r="AN26" s="40"/>
      <c r="AO26" s="40"/>
      <c r="AP26" s="40"/>
      <c r="AQ26" s="40"/>
      <c r="AR26" s="41"/>
      <c r="AW26" s="18" t="s">
        <v>91</v>
      </c>
    </row>
    <row r="27" spans="2:63" ht="18.75" customHeight="1">
      <c r="D27" s="100"/>
      <c r="E27" s="101"/>
      <c r="F27" s="101"/>
      <c r="G27" s="102"/>
      <c r="I27" s="103"/>
      <c r="J27" s="99"/>
      <c r="K27" s="99"/>
      <c r="L27" s="104"/>
      <c r="M27" s="104"/>
      <c r="N27" s="99"/>
      <c r="O27" s="99"/>
      <c r="P27" s="99"/>
      <c r="Q27" s="104"/>
      <c r="R27" s="99"/>
      <c r="S27" s="99"/>
      <c r="T27" s="99"/>
      <c r="U27" s="105"/>
      <c r="V27" s="150"/>
      <c r="W27" s="103"/>
      <c r="X27" s="99"/>
      <c r="Y27" s="99"/>
      <c r="Z27" s="99"/>
      <c r="AA27" s="99"/>
      <c r="AB27" s="105"/>
      <c r="AC27" s="99"/>
      <c r="AD27" s="103"/>
      <c r="AE27" s="99"/>
      <c r="AF27" s="99"/>
      <c r="AG27" s="99"/>
      <c r="AH27" s="99"/>
      <c r="AI27" s="105"/>
      <c r="AK27" s="103"/>
      <c r="AL27" s="99"/>
      <c r="AM27" s="99"/>
      <c r="AN27" s="99"/>
      <c r="AO27" s="99"/>
      <c r="AP27" s="99"/>
      <c r="AQ27" s="99"/>
      <c r="AR27" s="105"/>
      <c r="AT27"/>
      <c r="AU27"/>
      <c r="AV27"/>
      <c r="AW27"/>
      <c r="AX27"/>
      <c r="AY27"/>
      <c r="AZ27"/>
      <c r="BA27"/>
      <c r="BK27"/>
    </row>
    <row r="28" spans="2:63" ht="18" customHeight="1">
      <c r="D28" s="106"/>
      <c r="E28" s="107"/>
      <c r="F28" s="108"/>
      <c r="G28" s="109"/>
      <c r="I28" s="110" t="s">
        <v>103</v>
      </c>
      <c r="J28" s="111"/>
      <c r="K28" s="111"/>
      <c r="L28" s="112"/>
      <c r="M28" s="110" t="s">
        <v>104</v>
      </c>
      <c r="N28" s="111"/>
      <c r="O28" s="111"/>
      <c r="P28" s="113"/>
      <c r="Q28" s="110" t="s">
        <v>105</v>
      </c>
      <c r="R28" s="111"/>
      <c r="S28" s="111"/>
      <c r="T28" s="171" t="s">
        <v>109</v>
      </c>
      <c r="U28" s="173"/>
      <c r="V28" s="150"/>
      <c r="W28" s="103"/>
      <c r="X28" s="99"/>
      <c r="Y28" s="99"/>
      <c r="Z28" s="99"/>
      <c r="AA28" s="99"/>
      <c r="AB28" s="105" t="s">
        <v>72</v>
      </c>
      <c r="AC28" s="99"/>
      <c r="AD28" s="103"/>
      <c r="AE28" s="99"/>
      <c r="AF28" s="99"/>
      <c r="AG28" s="99"/>
      <c r="AH28" s="99"/>
      <c r="AI28" s="105" t="s">
        <v>73</v>
      </c>
      <c r="AK28" s="103"/>
      <c r="AL28" s="99"/>
      <c r="AM28" s="99"/>
      <c r="AN28" s="99"/>
      <c r="AO28" s="99"/>
      <c r="AP28" s="99"/>
      <c r="AQ28" s="99"/>
      <c r="AR28" s="105"/>
      <c r="AT28"/>
      <c r="AU28"/>
      <c r="AV28"/>
      <c r="AW28" t="s">
        <v>39</v>
      </c>
      <c r="AX28"/>
      <c r="AY28"/>
      <c r="AZ28"/>
      <c r="BA28"/>
      <c r="BK28"/>
    </row>
    <row r="29" spans="2:63" ht="18.75" customHeight="1">
      <c r="D29" s="114"/>
      <c r="E29" s="115"/>
      <c r="F29" s="108"/>
      <c r="G29" s="109"/>
      <c r="I29" s="163">
        <f>Control!C25</f>
        <v>1</v>
      </c>
      <c r="J29" s="115"/>
      <c r="K29" s="164"/>
      <c r="L29" s="116"/>
      <c r="M29" s="117">
        <f>Control!C30</f>
        <v>1</v>
      </c>
      <c r="N29" s="115"/>
      <c r="O29" s="115"/>
      <c r="P29" s="109"/>
      <c r="Q29" s="117">
        <f>Control!C35</f>
        <v>1</v>
      </c>
      <c r="R29" s="115"/>
      <c r="S29" s="115"/>
      <c r="T29" s="172" t="s">
        <v>110</v>
      </c>
      <c r="U29" s="174"/>
      <c r="V29" s="150"/>
      <c r="W29" s="100"/>
      <c r="X29" s="101"/>
      <c r="Y29" s="101"/>
      <c r="Z29" s="101"/>
      <c r="AA29" s="101"/>
      <c r="AB29" s="102">
        <v>1</v>
      </c>
      <c r="AC29" s="99"/>
      <c r="AD29" s="100"/>
      <c r="AE29" s="101"/>
      <c r="AF29" s="101"/>
      <c r="AG29" s="101"/>
      <c r="AH29" s="101"/>
      <c r="AI29" s="102">
        <v>0</v>
      </c>
      <c r="AK29" s="103"/>
      <c r="AL29" s="99"/>
      <c r="AM29" s="99"/>
      <c r="AN29" s="99"/>
      <c r="AO29" s="99"/>
      <c r="AP29" s="99"/>
      <c r="AQ29" s="99"/>
      <c r="AR29" s="105"/>
      <c r="AT29"/>
      <c r="AU29"/>
      <c r="AV29"/>
      <c r="AW29" t="s">
        <v>41</v>
      </c>
      <c r="AX29"/>
      <c r="AY29"/>
      <c r="AZ29"/>
      <c r="BA29"/>
      <c r="BK29"/>
    </row>
    <row r="30" spans="2:63" s="118" customFormat="1" ht="41.25" customHeight="1" thickBot="1">
      <c r="B30" s="119" t="s">
        <v>35</v>
      </c>
      <c r="C30" s="119" t="s">
        <v>90</v>
      </c>
      <c r="D30" s="120" t="s">
        <v>93</v>
      </c>
      <c r="E30" s="121" t="s">
        <v>94</v>
      </c>
      <c r="F30" s="121" t="s">
        <v>95</v>
      </c>
      <c r="G30" s="122" t="s">
        <v>96</v>
      </c>
      <c r="H30" s="123"/>
      <c r="I30" s="124" t="s">
        <v>101</v>
      </c>
      <c r="J30" s="125" t="s">
        <v>100</v>
      </c>
      <c r="K30" s="125" t="s">
        <v>99</v>
      </c>
      <c r="L30" s="126" t="s">
        <v>98</v>
      </c>
      <c r="M30" s="124" t="s">
        <v>101</v>
      </c>
      <c r="N30" s="125" t="s">
        <v>100</v>
      </c>
      <c r="O30" s="125" t="s">
        <v>99</v>
      </c>
      <c r="P30" s="126" t="s">
        <v>106</v>
      </c>
      <c r="Q30" s="124" t="s">
        <v>101</v>
      </c>
      <c r="R30" s="125" t="s">
        <v>100</v>
      </c>
      <c r="S30" s="125" t="s">
        <v>99</v>
      </c>
      <c r="T30" s="126" t="s">
        <v>108</v>
      </c>
      <c r="U30" s="175" t="s">
        <v>107</v>
      </c>
      <c r="V30" s="151"/>
      <c r="W30" s="190" t="s">
        <v>76</v>
      </c>
      <c r="X30" s="191" t="s">
        <v>99</v>
      </c>
      <c r="Y30" s="191" t="s">
        <v>113</v>
      </c>
      <c r="Z30" s="191" t="s">
        <v>159</v>
      </c>
      <c r="AA30" s="191" t="s">
        <v>75</v>
      </c>
      <c r="AB30" s="130" t="s">
        <v>157</v>
      </c>
      <c r="AC30" s="231"/>
      <c r="AD30" s="190" t="s">
        <v>76</v>
      </c>
      <c r="AE30" s="191" t="s">
        <v>99</v>
      </c>
      <c r="AF30" s="191" t="s">
        <v>113</v>
      </c>
      <c r="AG30" s="191" t="s">
        <v>158</v>
      </c>
      <c r="AH30" s="191" t="s">
        <v>75</v>
      </c>
      <c r="AI30" s="130" t="s">
        <v>156</v>
      </c>
      <c r="AJ30" s="127"/>
      <c r="AK30" s="128" t="s">
        <v>142</v>
      </c>
      <c r="AL30" s="129" t="s">
        <v>44</v>
      </c>
      <c r="AM30" s="129" t="s">
        <v>45</v>
      </c>
      <c r="AN30" s="129" t="s">
        <v>141</v>
      </c>
      <c r="AO30" s="129" t="s">
        <v>160</v>
      </c>
      <c r="AP30" s="129" t="s">
        <v>161</v>
      </c>
      <c r="AQ30" s="129" t="s">
        <v>155</v>
      </c>
      <c r="AR30" s="130" t="s">
        <v>154</v>
      </c>
      <c r="AT30"/>
      <c r="AU30"/>
      <c r="AV30"/>
      <c r="AW30"/>
      <c r="AX30"/>
      <c r="AY30"/>
      <c r="AZ30"/>
      <c r="BA30"/>
      <c r="BK30"/>
    </row>
    <row r="31" spans="2:63">
      <c r="B31" s="131">
        <f>$C$8</f>
        <v>37226</v>
      </c>
      <c r="C31" s="132">
        <f t="shared" ref="C31:C62" si="0">IF($C$12="Physical",B32+24,B32)</f>
        <v>37257</v>
      </c>
      <c r="D31" s="159">
        <v>0</v>
      </c>
      <c r="E31" s="160">
        <f>VLOOKUP($B31,Model!$A$8:$E$289,5)</f>
        <v>1000</v>
      </c>
      <c r="F31" s="160">
        <f>VLOOKUP($B31,Model!$A$8:$F$289,6)</f>
        <v>31000</v>
      </c>
      <c r="G31" s="178">
        <f ca="1">VLOOKUP($B31,Model!$A$8:$G$289,7)</f>
        <v>30908.507894306746</v>
      </c>
      <c r="I31" s="133">
        <v>0</v>
      </c>
      <c r="J31" s="134">
        <f t="shared" ref="J31:J62" si="1">VLOOKUP($B31,Curve_Fetch,3)</f>
        <v>2.9220000000000002</v>
      </c>
      <c r="K31" s="135">
        <v>0</v>
      </c>
      <c r="L31" s="136">
        <f>IF(Control!$C$25=Control!$B$26,J31,I31)+K31</f>
        <v>2.9220000000000002</v>
      </c>
      <c r="M31" s="133">
        <v>0</v>
      </c>
      <c r="N31" s="134">
        <f>VLOOKUP($B31,Curve_Fetch,VLOOKUP(Control!$F$25,Control!$E$26:$G$37,3))</f>
        <v>-0.24</v>
      </c>
      <c r="O31" s="135">
        <v>0</v>
      </c>
      <c r="P31" s="136">
        <f>IF(Control!$C$30=Control!$B$31,N31,M31)+O31</f>
        <v>-0.24</v>
      </c>
      <c r="Q31" s="133">
        <v>0</v>
      </c>
      <c r="R31" s="134">
        <f>VLOOKUP($B31,Curve_Fetch,(VLOOKUP(Control!$F$25,Control!$E$26:$H$37,4)))</f>
        <v>-2.75E-2</v>
      </c>
      <c r="S31" s="135">
        <v>0</v>
      </c>
      <c r="T31" s="136">
        <f>IF($C$12="Physical",IF(Control!$C$35=Control!$B$36,R31,Q31)+S31,0)</f>
        <v>0</v>
      </c>
      <c r="U31" s="176">
        <f t="shared" ref="U31:U62" si="2">IF($C$12="Financial",L31+P31,L31+P31+T31)</f>
        <v>2.6820000000000004</v>
      </c>
      <c r="V31" s="152"/>
      <c r="W31" s="192">
        <f>VLOOKUP($B31,Curve_Fetch,VLOOKUP(Control!$F$25,Control!$E$26:$I$37,5))</f>
        <v>0.83499999999999996</v>
      </c>
      <c r="X31" s="196">
        <v>0</v>
      </c>
      <c r="Y31" s="194">
        <f t="shared" ref="Y31:Y62" si="3">W31+X31</f>
        <v>0.83499999999999996</v>
      </c>
      <c r="Z31" s="197">
        <f ca="1">$C$14</f>
        <v>0.28657937898642949</v>
      </c>
      <c r="AA31" s="197">
        <f ca="1">$U31+$Z31</f>
        <v>2.9685793789864299</v>
      </c>
      <c r="AB31" s="202">
        <f ca="1">_xll.EURO($U31,AA31,VLOOKUP($B31,Curve_Fetch,2),VLOOKUP($B31,Curve_Fetch,2),Y31,VLOOKUP($B31,Model!$A$8:$H$288,8),1,0)</f>
        <v>0.12818288893400964</v>
      </c>
      <c r="AC31" s="134"/>
      <c r="AD31" s="192">
        <f>VLOOKUP($B31,Curve_Fetch,VLOOKUP(Control!$F$25,Control!$E$26:$I$37,5))</f>
        <v>0.83499999999999996</v>
      </c>
      <c r="AE31" s="196">
        <v>0</v>
      </c>
      <c r="AF31" s="194">
        <f t="shared" ref="AF31:AF94" si="4">AD31+AE31</f>
        <v>0.83499999999999996</v>
      </c>
      <c r="AG31" s="197">
        <f t="shared" ref="AG31:AG62" si="5">$C$15</f>
        <v>-0.20435881234430545</v>
      </c>
      <c r="AH31" s="197">
        <f>$U31+$AG31</f>
        <v>2.4776411876556947</v>
      </c>
      <c r="AI31" s="202">
        <f>_xll.EURO($U31,AH31,VLOOKUP($B31,Curve_Fetch,2),VLOOKUP($B31,Curve_Fetch,2),AF31,VLOOKUP($B31,Model!$A$8:$H$288,8),0,0)</f>
        <v>0.13653278219399079</v>
      </c>
      <c r="AK31" s="137">
        <f t="shared" ref="AK31:AK62" ca="1" si="6">$G31*L31</f>
        <v>90314.66006716431</v>
      </c>
      <c r="AL31" s="138">
        <f t="shared" ref="AL31:AL62" ca="1" si="7">$G31*P31</f>
        <v>-7418.0418946336185</v>
      </c>
      <c r="AM31" s="138">
        <f t="shared" ref="AM31:AM62" ca="1" si="8">$G31*T31</f>
        <v>0</v>
      </c>
      <c r="AN31" s="138">
        <f t="shared" ref="AN31:AN62" ca="1" si="9">$G31*U31</f>
        <v>82896.618172530711</v>
      </c>
      <c r="AO31" s="138">
        <f t="shared" ref="AO31:AO62" ca="1" si="10">$G31*AA31</f>
        <v>91754.359170278287</v>
      </c>
      <c r="AP31" s="138">
        <f t="shared" ref="AP31:AP62" ca="1" si="11">$G31*AH31</f>
        <v>76580.192207915577</v>
      </c>
      <c r="AQ31" s="138">
        <f>$F31*AI31</f>
        <v>4232.5162480137142</v>
      </c>
      <c r="AR31" s="139">
        <f ca="1">$F31*AB31</f>
        <v>3973.669556954299</v>
      </c>
      <c r="AS31" s="209"/>
      <c r="AT31" s="230"/>
      <c r="AU31"/>
      <c r="AV31"/>
      <c r="AW31"/>
      <c r="AX31"/>
      <c r="AY31"/>
      <c r="AZ31"/>
      <c r="BA31"/>
      <c r="BK31"/>
    </row>
    <row r="32" spans="2:63">
      <c r="B32" s="131">
        <f>[1]!_xludf.edate(B31,1)</f>
        <v>37257</v>
      </c>
      <c r="C32" s="132">
        <f t="shared" si="0"/>
        <v>37288</v>
      </c>
      <c r="D32" s="159">
        <v>0</v>
      </c>
      <c r="E32" s="160">
        <f>VLOOKUP($B32,Model!$A$8:$E$289,5)</f>
        <v>1000</v>
      </c>
      <c r="F32" s="160">
        <f>VLOOKUP($B32,Model!$A$8:$F$289,6)</f>
        <v>31000</v>
      </c>
      <c r="G32" s="179">
        <f ca="1">VLOOKUP($B32,Model!$A$8:$G$289,7)</f>
        <v>30852.402097626764</v>
      </c>
      <c r="I32" s="133">
        <v>0</v>
      </c>
      <c r="J32" s="134">
        <f t="shared" si="1"/>
        <v>3.0920000000000001</v>
      </c>
      <c r="K32" s="140">
        <f t="shared" ref="K32:K63" si="12">K31</f>
        <v>0</v>
      </c>
      <c r="L32" s="136">
        <f>IF(Control!$C$25=Control!$B$26,J32,I32)+K32</f>
        <v>3.0920000000000001</v>
      </c>
      <c r="M32" s="133">
        <v>0</v>
      </c>
      <c r="N32" s="134">
        <f>VLOOKUP($B32,Curve_Fetch,VLOOKUP(Control!$F$25,Control!$E$26:$G$37,3))</f>
        <v>-0.21</v>
      </c>
      <c r="O32" s="140">
        <f t="shared" ref="O32:O63" si="13">O31</f>
        <v>0</v>
      </c>
      <c r="P32" s="136">
        <f>IF(Control!$C$30=Control!$B$31,N32,M32)+O32</f>
        <v>-0.21</v>
      </c>
      <c r="Q32" s="133">
        <v>0</v>
      </c>
      <c r="R32" s="134">
        <f>VLOOKUP($B32,Curve_Fetch,(VLOOKUP(Control!$F$25,Control!$E$26:$H$37,4)))</f>
        <v>-2.75E-2</v>
      </c>
      <c r="S32" s="140">
        <f t="shared" ref="S32:S63" si="14">S31</f>
        <v>0</v>
      </c>
      <c r="T32" s="136">
        <f>IF($C$12="Physical",IF(Control!$C$35=Control!$B$36,R32,Q32)+S32,0)</f>
        <v>0</v>
      </c>
      <c r="U32" s="176">
        <f t="shared" si="2"/>
        <v>2.8820000000000001</v>
      </c>
      <c r="V32" s="152"/>
      <c r="W32" s="192">
        <f>VLOOKUP($B32,Curve_Fetch,VLOOKUP(Control!$F$25,Control!$E$26:$I$37,5))</f>
        <v>0.80300000000000005</v>
      </c>
      <c r="X32" s="194">
        <f t="shared" ref="X32:X63" si="15">X31</f>
        <v>0</v>
      </c>
      <c r="Y32" s="194">
        <f t="shared" si="3"/>
        <v>0.80300000000000005</v>
      </c>
      <c r="Z32" s="140">
        <f t="shared" ref="Z32:Z63" ca="1" si="16">Z31</f>
        <v>0.28657937898642949</v>
      </c>
      <c r="AA32" s="140">
        <f t="shared" ref="AA32:AA95" ca="1" si="17">$U32+$Z32</f>
        <v>3.1685793789864296</v>
      </c>
      <c r="AB32" s="203">
        <f ca="1">_xll.EURO($U32,AA32,VLOOKUP($B32,Curve_Fetch,2),VLOOKUP($B32,Curve_Fetch,2),Y32,VLOOKUP($B32,Model!$A$8:$H$288,8),1,0)</f>
        <v>0.25065678404218805</v>
      </c>
      <c r="AC32" s="134"/>
      <c r="AD32" s="192">
        <f>VLOOKUP($B32,Curve_Fetch,VLOOKUP(Control!$F$25,Control!$E$26:$I$37,5))</f>
        <v>0.80300000000000005</v>
      </c>
      <c r="AE32" s="194">
        <f t="shared" ref="AE32:AE95" si="18">AE31</f>
        <v>0</v>
      </c>
      <c r="AF32" s="194">
        <f t="shared" si="4"/>
        <v>0.80300000000000005</v>
      </c>
      <c r="AG32" s="140">
        <f t="shared" si="5"/>
        <v>-0.20435881234430545</v>
      </c>
      <c r="AH32" s="140">
        <f t="shared" ref="AH32:AH95" si="19">$U32+$AG32</f>
        <v>2.6776411876556945</v>
      </c>
      <c r="AI32" s="203">
        <f>_xll.EURO($U32,AH32,VLOOKUP($B32,Curve_Fetch,2),VLOOKUP($B32,Curve_Fetch,2),AF32,VLOOKUP($B32,Model!$A$8:$H$288,8),0,0)</f>
        <v>0.25357415734419486</v>
      </c>
      <c r="AK32" s="137">
        <f t="shared" ca="1" si="6"/>
        <v>95395.627285861963</v>
      </c>
      <c r="AL32" s="138">
        <f t="shared" ca="1" si="7"/>
        <v>-6479.0044405016206</v>
      </c>
      <c r="AM32" s="138">
        <f t="shared" ca="1" si="8"/>
        <v>0</v>
      </c>
      <c r="AN32" s="138">
        <f t="shared" ca="1" si="9"/>
        <v>88916.62284536034</v>
      </c>
      <c r="AO32" s="138">
        <f t="shared" ca="1" si="10"/>
        <v>97758.285078737827</v>
      </c>
      <c r="AP32" s="138">
        <f t="shared" ca="1" si="11"/>
        <v>82611.662594720372</v>
      </c>
      <c r="AQ32" s="138">
        <f t="shared" ref="AQ32:AQ95" si="20">$F32*AI32</f>
        <v>7860.7988776700404</v>
      </c>
      <c r="AR32" s="139">
        <f t="shared" ref="AR32:AR62" ca="1" si="21">$F32*AB32</f>
        <v>7770.3603053078295</v>
      </c>
      <c r="AS32" s="209"/>
      <c r="AT32" s="230"/>
      <c r="AU32"/>
      <c r="AV32"/>
      <c r="AW32" t="s">
        <v>73</v>
      </c>
      <c r="AX32"/>
      <c r="AY32"/>
      <c r="AZ32"/>
      <c r="BA32"/>
      <c r="BK32"/>
    </row>
    <row r="33" spans="2:63">
      <c r="B33" s="131">
        <f>[1]!_xludf.edate(B32,1)</f>
        <v>37288</v>
      </c>
      <c r="C33" s="132">
        <f t="shared" si="0"/>
        <v>37316</v>
      </c>
      <c r="D33" s="159">
        <v>0</v>
      </c>
      <c r="E33" s="160">
        <f>VLOOKUP($B33,Model!$A$8:$E$289,5)</f>
        <v>1000</v>
      </c>
      <c r="F33" s="160">
        <f>VLOOKUP($B33,Model!$A$8:$F$289,6)</f>
        <v>28000</v>
      </c>
      <c r="G33" s="179">
        <f ca="1">VLOOKUP($B33,Model!$A$8:$G$289,7)</f>
        <v>27822.626556246225</v>
      </c>
      <c r="I33" s="133">
        <v>0</v>
      </c>
      <c r="J33" s="134">
        <f t="shared" si="1"/>
        <v>3.11</v>
      </c>
      <c r="K33" s="140">
        <f t="shared" si="12"/>
        <v>0</v>
      </c>
      <c r="L33" s="136">
        <f>IF(Control!$C$25=Control!$B$26,J33,I33)+K33</f>
        <v>3.11</v>
      </c>
      <c r="M33" s="133">
        <v>0</v>
      </c>
      <c r="N33" s="134">
        <f>VLOOKUP($B33,Curve_Fetch,VLOOKUP(Control!$F$25,Control!$E$26:$G$37,3))</f>
        <v>-0.19500000000000001</v>
      </c>
      <c r="O33" s="140">
        <f t="shared" si="13"/>
        <v>0</v>
      </c>
      <c r="P33" s="136">
        <f>IF(Control!$C$30=Control!$B$31,N33,M33)+O33</f>
        <v>-0.19500000000000001</v>
      </c>
      <c r="Q33" s="133">
        <v>0</v>
      </c>
      <c r="R33" s="134">
        <f>VLOOKUP($B33,Curve_Fetch,(VLOOKUP(Control!$F$25,Control!$E$26:$H$37,4)))</f>
        <v>-2.75E-2</v>
      </c>
      <c r="S33" s="140">
        <f t="shared" si="14"/>
        <v>0</v>
      </c>
      <c r="T33" s="136">
        <f>IF($C$12="Physical",IF(Control!$C$35=Control!$B$36,R33,Q33)+S33,0)</f>
        <v>0</v>
      </c>
      <c r="U33" s="176">
        <f t="shared" si="2"/>
        <v>2.915</v>
      </c>
      <c r="V33" s="152"/>
      <c r="W33" s="192">
        <f>VLOOKUP($B33,Curve_Fetch,VLOOKUP(Control!$F$25,Control!$E$26:$I$37,5))</f>
        <v>0.73799999999999999</v>
      </c>
      <c r="X33" s="194">
        <f t="shared" si="15"/>
        <v>0</v>
      </c>
      <c r="Y33" s="194">
        <f t="shared" si="3"/>
        <v>0.73799999999999999</v>
      </c>
      <c r="Z33" s="140">
        <f t="shared" ca="1" si="16"/>
        <v>0.28657937898642949</v>
      </c>
      <c r="AA33" s="140">
        <f t="shared" ca="1" si="17"/>
        <v>3.2015793789864295</v>
      </c>
      <c r="AB33" s="203">
        <f ca="1">_xll.EURO($U33,AA33,VLOOKUP($B33,Curve_Fetch,2),VLOOKUP($B33,Curve_Fetch,2),Y33,VLOOKUP($B33,Model!$A$8:$H$288,8),1,0)</f>
        <v>0.30672957903203457</v>
      </c>
      <c r="AC33" s="134"/>
      <c r="AD33" s="192">
        <f>VLOOKUP($B33,Curve_Fetch,VLOOKUP(Control!$F$25,Control!$E$26:$I$37,5))</f>
        <v>0.73799999999999999</v>
      </c>
      <c r="AE33" s="194">
        <f t="shared" si="18"/>
        <v>0</v>
      </c>
      <c r="AF33" s="194">
        <f t="shared" si="4"/>
        <v>0.73799999999999999</v>
      </c>
      <c r="AG33" s="140">
        <f t="shared" si="5"/>
        <v>-0.20435881234430545</v>
      </c>
      <c r="AH33" s="140">
        <f t="shared" si="19"/>
        <v>2.7106411876556944</v>
      </c>
      <c r="AI33" s="203">
        <f>_xll.EURO($U33,AH33,VLOOKUP($B33,Curve_Fetch,2),VLOOKUP($B33,Curve_Fetch,2),AF33,VLOOKUP($B33,Model!$A$8:$H$288,8),0,0)</f>
        <v>0.30626709014249553</v>
      </c>
      <c r="AK33" s="137">
        <f t="shared" ca="1" si="6"/>
        <v>86528.368589925754</v>
      </c>
      <c r="AL33" s="138">
        <f t="shared" ca="1" si="7"/>
        <v>-5425.4121784680137</v>
      </c>
      <c r="AM33" s="138">
        <f t="shared" ca="1" si="8"/>
        <v>0</v>
      </c>
      <c r="AN33" s="138">
        <f t="shared" ca="1" si="9"/>
        <v>81102.956411457752</v>
      </c>
      <c r="AO33" s="138">
        <f t="shared" ca="1" si="10"/>
        <v>89076.347451718131</v>
      </c>
      <c r="AP33" s="138">
        <f t="shared" ca="1" si="11"/>
        <v>75417.157492124126</v>
      </c>
      <c r="AQ33" s="138">
        <f t="shared" si="20"/>
        <v>8575.4785239898756</v>
      </c>
      <c r="AR33" s="139">
        <f t="shared" ca="1" si="21"/>
        <v>8588.428212896968</v>
      </c>
      <c r="AS33" s="209"/>
      <c r="AT33" s="230"/>
      <c r="AU33"/>
      <c r="AV33"/>
      <c r="AW33" t="s">
        <v>72</v>
      </c>
      <c r="AX33"/>
      <c r="AY33"/>
      <c r="AZ33"/>
      <c r="BA33"/>
      <c r="BK33"/>
    </row>
    <row r="34" spans="2:63">
      <c r="B34" s="131">
        <f>[1]!_xludf.edate(B33,1)</f>
        <v>37316</v>
      </c>
      <c r="C34" s="132">
        <f t="shared" si="0"/>
        <v>37347</v>
      </c>
      <c r="D34" s="159">
        <v>0</v>
      </c>
      <c r="E34" s="160">
        <f>VLOOKUP($B34,Model!$A$8:$E$289,5)</f>
        <v>1000</v>
      </c>
      <c r="F34" s="160">
        <f>VLOOKUP($B34,Model!$A$8:$F$289,6)</f>
        <v>31000</v>
      </c>
      <c r="G34" s="179">
        <f ca="1">VLOOKUP($B34,Model!$A$8:$G$289,7)</f>
        <v>30750.241013300441</v>
      </c>
      <c r="I34" s="133">
        <v>0</v>
      </c>
      <c r="J34" s="134">
        <f t="shared" si="1"/>
        <v>3.0649999999999999</v>
      </c>
      <c r="K34" s="140">
        <f t="shared" si="12"/>
        <v>0</v>
      </c>
      <c r="L34" s="136">
        <f>IF(Control!$C$25=Control!$B$26,J34,I34)+K34</f>
        <v>3.0649999999999999</v>
      </c>
      <c r="M34" s="133">
        <v>0</v>
      </c>
      <c r="N34" s="134">
        <f>VLOOKUP($B34,Curve_Fetch,VLOOKUP(Control!$F$25,Control!$E$26:$G$37,3))</f>
        <v>-0.19</v>
      </c>
      <c r="O34" s="140">
        <f t="shared" si="13"/>
        <v>0</v>
      </c>
      <c r="P34" s="136">
        <f>IF(Control!$C$30=Control!$B$31,N34,M34)+O34</f>
        <v>-0.19</v>
      </c>
      <c r="Q34" s="133">
        <v>0</v>
      </c>
      <c r="R34" s="134">
        <f>VLOOKUP($B34,Curve_Fetch,(VLOOKUP(Control!$F$25,Control!$E$26:$H$37,4)))</f>
        <v>-2.75E-2</v>
      </c>
      <c r="S34" s="140">
        <f t="shared" si="14"/>
        <v>0</v>
      </c>
      <c r="T34" s="136">
        <f>IF($C$12="Physical",IF(Control!$C$35=Control!$B$36,R34,Q34)+S34,0)</f>
        <v>0</v>
      </c>
      <c r="U34" s="176">
        <f t="shared" si="2"/>
        <v>2.875</v>
      </c>
      <c r="V34" s="152"/>
      <c r="W34" s="192">
        <f>VLOOKUP($B34,Curve_Fetch,VLOOKUP(Control!$F$25,Control!$E$26:$I$37,5))</f>
        <v>0.65</v>
      </c>
      <c r="X34" s="194">
        <f t="shared" si="15"/>
        <v>0</v>
      </c>
      <c r="Y34" s="194">
        <f t="shared" si="3"/>
        <v>0.65</v>
      </c>
      <c r="Z34" s="140">
        <f t="shared" ca="1" si="16"/>
        <v>0.28657937898642949</v>
      </c>
      <c r="AA34" s="140">
        <f t="shared" ca="1" si="17"/>
        <v>3.1615793789864295</v>
      </c>
      <c r="AB34" s="203">
        <f ca="1">_xll.EURO($U34,AA34,VLOOKUP($B34,Curve_Fetch,2),VLOOKUP($B34,Curve_Fetch,2),Y34,VLOOKUP($B34,Model!$A$8:$H$288,8),1,0)</f>
        <v>0.30591734421368977</v>
      </c>
      <c r="AC34" s="134"/>
      <c r="AD34" s="192">
        <f>VLOOKUP($B34,Curve_Fetch,VLOOKUP(Control!$F$25,Control!$E$26:$I$37,5))</f>
        <v>0.65</v>
      </c>
      <c r="AE34" s="194">
        <f t="shared" si="18"/>
        <v>0</v>
      </c>
      <c r="AF34" s="194">
        <f t="shared" si="4"/>
        <v>0.65</v>
      </c>
      <c r="AG34" s="140">
        <f t="shared" si="5"/>
        <v>-0.20435881234430545</v>
      </c>
      <c r="AH34" s="140">
        <f t="shared" si="19"/>
        <v>2.6706411876556944</v>
      </c>
      <c r="AI34" s="203">
        <f>_xll.EURO($U34,AH34,VLOOKUP($B34,Curve_Fetch,2),VLOOKUP($B34,Curve_Fetch,2),AF34,VLOOKUP($B34,Model!$A$8:$H$288,8),0,0)</f>
        <v>0.30502850266636727</v>
      </c>
      <c r="AK34" s="137">
        <f t="shared" ca="1" si="6"/>
        <v>94249.488705765849</v>
      </c>
      <c r="AL34" s="138">
        <f t="shared" ca="1" si="7"/>
        <v>-5842.5457925270839</v>
      </c>
      <c r="AM34" s="138">
        <f t="shared" ca="1" si="8"/>
        <v>0</v>
      </c>
      <c r="AN34" s="138">
        <f t="shared" ca="1" si="9"/>
        <v>88406.942913238774</v>
      </c>
      <c r="AO34" s="138">
        <f t="shared" ca="1" si="10"/>
        <v>97219.327886513449</v>
      </c>
      <c r="AP34" s="138">
        <f t="shared" ca="1" si="11"/>
        <v>82122.860180459538</v>
      </c>
      <c r="AQ34" s="138">
        <f t="shared" si="20"/>
        <v>9455.883582657385</v>
      </c>
      <c r="AR34" s="139">
        <f t="shared" ca="1" si="21"/>
        <v>9483.437670624382</v>
      </c>
      <c r="AS34" s="209"/>
      <c r="AT34" s="230"/>
      <c r="AU34"/>
      <c r="AV34"/>
      <c r="AW34"/>
      <c r="AX34"/>
      <c r="AY34"/>
      <c r="AZ34"/>
      <c r="BA34"/>
      <c r="BK34"/>
    </row>
    <row r="35" spans="2:63">
      <c r="B35" s="131">
        <f>[1]!_xludf.edate(B34,1)</f>
        <v>37347</v>
      </c>
      <c r="C35" s="132">
        <f t="shared" si="0"/>
        <v>37377</v>
      </c>
      <c r="D35" s="159">
        <v>0</v>
      </c>
      <c r="E35" s="160">
        <f>VLOOKUP($B35,Model!$A$8:$E$289,5)</f>
        <v>1000</v>
      </c>
      <c r="F35" s="160">
        <f>VLOOKUP($B35,Model!$A$8:$F$289,6)</f>
        <v>30000</v>
      </c>
      <c r="G35" s="179">
        <f ca="1">VLOOKUP($B35,Model!$A$8:$G$289,7)</f>
        <v>29707.254143434071</v>
      </c>
      <c r="I35" s="133">
        <v>0</v>
      </c>
      <c r="J35" s="134">
        <f t="shared" si="1"/>
        <v>2.9849999999999999</v>
      </c>
      <c r="K35" s="140">
        <f t="shared" si="12"/>
        <v>0</v>
      </c>
      <c r="L35" s="136">
        <f>IF(Control!$C$25=Control!$B$26,J35,I35)+K35</f>
        <v>2.9849999999999999</v>
      </c>
      <c r="M35" s="133">
        <v>0</v>
      </c>
      <c r="N35" s="134">
        <f>VLOOKUP($B35,Curve_Fetch,VLOOKUP(Control!$F$25,Control!$E$26:$G$37,3))</f>
        <v>-0.1575</v>
      </c>
      <c r="O35" s="140">
        <f t="shared" si="13"/>
        <v>0</v>
      </c>
      <c r="P35" s="136">
        <f>IF(Control!$C$30=Control!$B$31,N35,M35)+O35</f>
        <v>-0.1575</v>
      </c>
      <c r="Q35" s="133">
        <v>0</v>
      </c>
      <c r="R35" s="134">
        <f>VLOOKUP($B35,Curve_Fetch,(VLOOKUP(Control!$F$25,Control!$E$26:$H$37,4)))</f>
        <v>-0.01</v>
      </c>
      <c r="S35" s="140">
        <f t="shared" si="14"/>
        <v>0</v>
      </c>
      <c r="T35" s="136">
        <f>IF($C$12="Physical",IF(Control!$C$35=Control!$B$36,R35,Q35)+S35,0)</f>
        <v>0</v>
      </c>
      <c r="U35" s="176">
        <f t="shared" si="2"/>
        <v>2.8274999999999997</v>
      </c>
      <c r="V35" s="152"/>
      <c r="W35" s="192">
        <f>VLOOKUP($B35,Curve_Fetch,VLOOKUP(Control!$F$25,Control!$E$26:$I$37,5))</f>
        <v>0.52</v>
      </c>
      <c r="X35" s="194">
        <f t="shared" si="15"/>
        <v>0</v>
      </c>
      <c r="Y35" s="194">
        <f t="shared" si="3"/>
        <v>0.52</v>
      </c>
      <c r="Z35" s="140">
        <f t="shared" ca="1" si="16"/>
        <v>0.28657937898642949</v>
      </c>
      <c r="AA35" s="140">
        <f t="shared" ca="1" si="17"/>
        <v>3.1140793789864292</v>
      </c>
      <c r="AB35" s="203">
        <f ca="1">_xll.EURO($U35,AA35,VLOOKUP($B35,Curve_Fetch,2),VLOOKUP($B35,Curve_Fetch,2),Y35,VLOOKUP($B35,Model!$A$8:$H$288,8),1,0)</f>
        <v>0.25880846045501849</v>
      </c>
      <c r="AC35" s="134"/>
      <c r="AD35" s="192">
        <f>VLOOKUP($B35,Curve_Fetch,VLOOKUP(Control!$F$25,Control!$E$26:$I$37,5))</f>
        <v>0.52</v>
      </c>
      <c r="AE35" s="194">
        <f t="shared" si="18"/>
        <v>0</v>
      </c>
      <c r="AF35" s="194">
        <f t="shared" si="4"/>
        <v>0.52</v>
      </c>
      <c r="AG35" s="140">
        <f t="shared" si="5"/>
        <v>-0.20435881234430545</v>
      </c>
      <c r="AH35" s="140">
        <f t="shared" si="19"/>
        <v>2.623141187655694</v>
      </c>
      <c r="AI35" s="203">
        <f>_xll.EURO($U35,AH35,VLOOKUP($B35,Curve_Fetch,2),VLOOKUP($B35,Curve_Fetch,2),AF35,VLOOKUP($B35,Model!$A$8:$H$288,8),0,0)</f>
        <v>0.26054932877032055</v>
      </c>
      <c r="AK35" s="137">
        <f t="shared" ca="1" si="6"/>
        <v>88676.153618150696</v>
      </c>
      <c r="AL35" s="138">
        <f t="shared" ca="1" si="7"/>
        <v>-4678.8925275908659</v>
      </c>
      <c r="AM35" s="138">
        <f t="shared" ca="1" si="8"/>
        <v>0</v>
      </c>
      <c r="AN35" s="138">
        <f t="shared" ca="1" si="9"/>
        <v>83997.261090559827</v>
      </c>
      <c r="AO35" s="138">
        <f t="shared" ca="1" si="10"/>
        <v>92510.747534377195</v>
      </c>
      <c r="AP35" s="138">
        <f t="shared" ca="1" si="11"/>
        <v>77926.321915797191</v>
      </c>
      <c r="AQ35" s="138">
        <f t="shared" si="20"/>
        <v>7816.4798631096164</v>
      </c>
      <c r="AR35" s="139">
        <f t="shared" ca="1" si="21"/>
        <v>7764.2538136505545</v>
      </c>
      <c r="AT35" s="230"/>
      <c r="AU35"/>
      <c r="AV35"/>
      <c r="AW35" t="s">
        <v>43</v>
      </c>
      <c r="AX35"/>
      <c r="AY35"/>
      <c r="AZ35"/>
      <c r="BA35"/>
      <c r="BK35"/>
    </row>
    <row r="36" spans="2:63">
      <c r="B36" s="131">
        <f>[1]!_xludf.edate(B35,1)</f>
        <v>37377</v>
      </c>
      <c r="C36" s="132">
        <f t="shared" si="0"/>
        <v>37408</v>
      </c>
      <c r="D36" s="159">
        <v>0</v>
      </c>
      <c r="E36" s="160">
        <f>VLOOKUP($B36,Model!$A$8:$E$289,5)</f>
        <v>1000</v>
      </c>
      <c r="F36" s="160">
        <f>VLOOKUP($B36,Model!$A$8:$F$289,6)</f>
        <v>31000</v>
      </c>
      <c r="G36" s="179">
        <f ca="1">VLOOKUP($B36,Model!$A$8:$G$289,7)</f>
        <v>30643.568571442982</v>
      </c>
      <c r="I36" s="133">
        <v>0</v>
      </c>
      <c r="J36" s="134">
        <f t="shared" si="1"/>
        <v>3.02</v>
      </c>
      <c r="K36" s="140">
        <f t="shared" si="12"/>
        <v>0</v>
      </c>
      <c r="L36" s="136">
        <f>IF(Control!$C$25=Control!$B$26,J36,I36)+K36</f>
        <v>3.02</v>
      </c>
      <c r="M36" s="133">
        <v>0</v>
      </c>
      <c r="N36" s="134">
        <f>VLOOKUP($B36,Curve_Fetch,VLOOKUP(Control!$F$25,Control!$E$26:$G$37,3))</f>
        <v>-0.1525</v>
      </c>
      <c r="O36" s="140">
        <f t="shared" si="13"/>
        <v>0</v>
      </c>
      <c r="P36" s="136">
        <f>IF(Control!$C$30=Control!$B$31,N36,M36)+O36</f>
        <v>-0.1525</v>
      </c>
      <c r="Q36" s="133">
        <v>0</v>
      </c>
      <c r="R36" s="134">
        <f>VLOOKUP($B36,Curve_Fetch,(VLOOKUP(Control!$F$25,Control!$E$26:$H$37,4)))</f>
        <v>-0.01</v>
      </c>
      <c r="S36" s="140">
        <f t="shared" si="14"/>
        <v>0</v>
      </c>
      <c r="T36" s="136">
        <f>IF($C$12="Physical",IF(Control!$C$35=Control!$B$36,R36,Q36)+S36,0)</f>
        <v>0</v>
      </c>
      <c r="U36" s="176">
        <f t="shared" si="2"/>
        <v>2.8675000000000002</v>
      </c>
      <c r="V36" s="152"/>
      <c r="W36" s="192">
        <f>VLOOKUP($B36,Curve_Fetch,VLOOKUP(Control!$F$25,Control!$E$26:$I$37,5))</f>
        <v>0.47</v>
      </c>
      <c r="X36" s="194">
        <f t="shared" si="15"/>
        <v>0</v>
      </c>
      <c r="Y36" s="194">
        <f t="shared" si="3"/>
        <v>0.47</v>
      </c>
      <c r="Z36" s="140">
        <f t="shared" ca="1" si="16"/>
        <v>0.28657937898642949</v>
      </c>
      <c r="AA36" s="140">
        <f t="shared" ca="1" si="17"/>
        <v>3.1540793789864296</v>
      </c>
      <c r="AB36" s="203">
        <f ca="1">_xll.EURO($U36,AA36,VLOOKUP($B36,Curve_Fetch,2),VLOOKUP($B36,Curve_Fetch,2),Y36,VLOOKUP($B36,Model!$A$8:$H$288,8),1,0)</f>
        <v>0.26050184363433626</v>
      </c>
      <c r="AC36" s="134"/>
      <c r="AD36" s="192">
        <f>VLOOKUP($B36,Curve_Fetch,VLOOKUP(Control!$F$25,Control!$E$26:$I$37,5))</f>
        <v>0.47</v>
      </c>
      <c r="AE36" s="194">
        <f t="shared" si="18"/>
        <v>0</v>
      </c>
      <c r="AF36" s="194">
        <f t="shared" si="4"/>
        <v>0.47</v>
      </c>
      <c r="AG36" s="140">
        <f t="shared" si="5"/>
        <v>-0.20435881234430545</v>
      </c>
      <c r="AH36" s="140">
        <f t="shared" si="19"/>
        <v>2.6631411876556945</v>
      </c>
      <c r="AI36" s="203">
        <f>_xll.EURO($U36,AH36,VLOOKUP($B36,Curve_Fetch,2),VLOOKUP($B36,Curve_Fetch,2),AF36,VLOOKUP($B36,Model!$A$8:$H$288,8),0,0)</f>
        <v>0.262507906093284</v>
      </c>
      <c r="AK36" s="137">
        <f t="shared" ca="1" si="6"/>
        <v>92543.577085757803</v>
      </c>
      <c r="AL36" s="138">
        <f t="shared" ca="1" si="7"/>
        <v>-4673.1442071450547</v>
      </c>
      <c r="AM36" s="138">
        <f t="shared" ca="1" si="8"/>
        <v>0</v>
      </c>
      <c r="AN36" s="138">
        <f t="shared" ca="1" si="9"/>
        <v>87870.432878612759</v>
      </c>
      <c r="AO36" s="138">
        <f t="shared" ca="1" si="10"/>
        <v>96652.247729744951</v>
      </c>
      <c r="AP36" s="138">
        <f t="shared" ca="1" si="11"/>
        <v>81608.149599361379</v>
      </c>
      <c r="AQ36" s="138">
        <f t="shared" si="20"/>
        <v>8137.7450888918038</v>
      </c>
      <c r="AR36" s="139">
        <f t="shared" ca="1" si="21"/>
        <v>8075.5571526644244</v>
      </c>
      <c r="AT36" s="230"/>
      <c r="AU36"/>
      <c r="AV36"/>
      <c r="AW36" t="s">
        <v>52</v>
      </c>
      <c r="AX36"/>
      <c r="AY36"/>
      <c r="AZ36"/>
      <c r="BA36"/>
      <c r="BK36"/>
    </row>
    <row r="37" spans="2:63">
      <c r="B37" s="131">
        <f>[1]!_xludf.edate(B36,1)</f>
        <v>37408</v>
      </c>
      <c r="C37" s="132">
        <f t="shared" si="0"/>
        <v>37438</v>
      </c>
      <c r="D37" s="159">
        <v>0</v>
      </c>
      <c r="E37" s="160">
        <f>VLOOKUP($B37,Model!$A$8:$E$289,5)</f>
        <v>1000</v>
      </c>
      <c r="F37" s="160">
        <f>VLOOKUP($B37,Model!$A$8:$F$289,6)</f>
        <v>30000</v>
      </c>
      <c r="G37" s="179">
        <f ca="1">VLOOKUP($B37,Model!$A$8:$G$289,7)</f>
        <v>29603.100838008162</v>
      </c>
      <c r="I37" s="133">
        <v>0</v>
      </c>
      <c r="J37" s="134">
        <f t="shared" si="1"/>
        <v>3.0649999999999999</v>
      </c>
      <c r="K37" s="140">
        <f t="shared" si="12"/>
        <v>0</v>
      </c>
      <c r="L37" s="136">
        <f>IF(Control!$C$25=Control!$B$26,J37,I37)+K37</f>
        <v>3.0649999999999999</v>
      </c>
      <c r="M37" s="133">
        <v>0</v>
      </c>
      <c r="N37" s="134">
        <f>VLOOKUP($B37,Curve_Fetch,VLOOKUP(Control!$F$25,Control!$E$26:$G$37,3))</f>
        <v>-0.14249999999999999</v>
      </c>
      <c r="O37" s="140">
        <f t="shared" si="13"/>
        <v>0</v>
      </c>
      <c r="P37" s="136">
        <f>IF(Control!$C$30=Control!$B$31,N37,M37)+O37</f>
        <v>-0.14249999999999999</v>
      </c>
      <c r="Q37" s="133">
        <v>0</v>
      </c>
      <c r="R37" s="134">
        <f>VLOOKUP($B37,Curve_Fetch,(VLOOKUP(Control!$F$25,Control!$E$26:$H$37,4)))</f>
        <v>-0.01</v>
      </c>
      <c r="S37" s="140">
        <f t="shared" si="14"/>
        <v>0</v>
      </c>
      <c r="T37" s="136">
        <f>IF($C$12="Physical",IF(Control!$C$35=Control!$B$36,R37,Q37)+S37,0)</f>
        <v>0</v>
      </c>
      <c r="U37" s="176">
        <f t="shared" si="2"/>
        <v>2.9224999999999999</v>
      </c>
      <c r="V37" s="152"/>
      <c r="W37" s="192">
        <f>VLOOKUP($B37,Curve_Fetch,VLOOKUP(Control!$F$25,Control!$E$26:$I$37,5))</f>
        <v>0.45800000000000002</v>
      </c>
      <c r="X37" s="194">
        <f t="shared" si="15"/>
        <v>0</v>
      </c>
      <c r="Y37" s="194">
        <f t="shared" si="3"/>
        <v>0.45800000000000002</v>
      </c>
      <c r="Z37" s="140">
        <f t="shared" ca="1" si="16"/>
        <v>0.28657937898642949</v>
      </c>
      <c r="AA37" s="140">
        <f t="shared" ca="1" si="17"/>
        <v>3.2090793789864294</v>
      </c>
      <c r="AB37" s="203">
        <f ca="1">_xll.EURO($U37,AA37,VLOOKUP($B37,Curve_Fetch,2),VLOOKUP($B37,Curve_Fetch,2),Y37,VLOOKUP($B37,Model!$A$8:$H$288,8),1,0)</f>
        <v>0.28801511110836397</v>
      </c>
      <c r="AC37" s="134"/>
      <c r="AD37" s="192">
        <f>VLOOKUP($B37,Curve_Fetch,VLOOKUP(Control!$F$25,Control!$E$26:$I$37,5))</f>
        <v>0.45800000000000002</v>
      </c>
      <c r="AE37" s="194">
        <f t="shared" si="18"/>
        <v>0</v>
      </c>
      <c r="AF37" s="194">
        <f t="shared" si="4"/>
        <v>0.45800000000000002</v>
      </c>
      <c r="AG37" s="140">
        <f t="shared" si="5"/>
        <v>-0.20435881234430545</v>
      </c>
      <c r="AH37" s="140">
        <f t="shared" si="19"/>
        <v>2.7181411876556942</v>
      </c>
      <c r="AI37" s="203">
        <f>_xll.EURO($U37,AH37,VLOOKUP($B37,Curve_Fetch,2),VLOOKUP($B37,Curve_Fetch,2),AF37,VLOOKUP($B37,Model!$A$8:$H$288,8),0,0)</f>
        <v>0.28874580973681407</v>
      </c>
      <c r="AK37" s="137">
        <f t="shared" ca="1" si="6"/>
        <v>90733.504068495022</v>
      </c>
      <c r="AL37" s="138">
        <f t="shared" ca="1" si="7"/>
        <v>-4218.4418694161632</v>
      </c>
      <c r="AM37" s="138">
        <f t="shared" ca="1" si="8"/>
        <v>0</v>
      </c>
      <c r="AN37" s="138">
        <f t="shared" ca="1" si="9"/>
        <v>86515.06219907885</v>
      </c>
      <c r="AO37" s="138">
        <f t="shared" ca="1" si="10"/>
        <v>94998.700453307873</v>
      </c>
      <c r="AP37" s="138">
        <f t="shared" ca="1" si="11"/>
        <v>80465.407670114786</v>
      </c>
      <c r="AQ37" s="138">
        <f t="shared" si="20"/>
        <v>8662.3742921044213</v>
      </c>
      <c r="AR37" s="139">
        <f t="shared" ca="1" si="21"/>
        <v>8640.45333325092</v>
      </c>
      <c r="AT37" s="230"/>
      <c r="AU37"/>
      <c r="AV37"/>
      <c r="AW37"/>
      <c r="AX37"/>
      <c r="AY37"/>
      <c r="AZ37"/>
      <c r="BA37"/>
      <c r="BK37"/>
    </row>
    <row r="38" spans="2:63">
      <c r="B38" s="131">
        <f>[1]!_xludf.edate(B37,1)</f>
        <v>37438</v>
      </c>
      <c r="C38" s="132">
        <f t="shared" si="0"/>
        <v>37469</v>
      </c>
      <c r="D38" s="159">
        <v>0</v>
      </c>
      <c r="E38" s="160">
        <f>VLOOKUP($B38,Model!$A$8:$E$289,5)</f>
        <v>1000</v>
      </c>
      <c r="F38" s="160">
        <f>VLOOKUP($B38,Model!$A$8:$F$289,6)</f>
        <v>31000</v>
      </c>
      <c r="G38" s="179">
        <f ca="1">VLOOKUP($B38,Model!$A$8:$G$289,7)</f>
        <v>30530.615469445456</v>
      </c>
      <c r="I38" s="133">
        <v>0</v>
      </c>
      <c r="J38" s="134">
        <f t="shared" si="1"/>
        <v>3.1080000000000001</v>
      </c>
      <c r="K38" s="140">
        <f t="shared" si="12"/>
        <v>0</v>
      </c>
      <c r="L38" s="136">
        <f>IF(Control!$C$25=Control!$B$26,J38,I38)+K38</f>
        <v>3.1080000000000001</v>
      </c>
      <c r="M38" s="133">
        <v>0</v>
      </c>
      <c r="N38" s="134">
        <f>VLOOKUP($B38,Curve_Fetch,VLOOKUP(Control!$F$25,Control!$E$26:$G$37,3))</f>
        <v>-0.11749999999999999</v>
      </c>
      <c r="O38" s="140">
        <f t="shared" si="13"/>
        <v>0</v>
      </c>
      <c r="P38" s="136">
        <f>IF(Control!$C$30=Control!$B$31,N38,M38)+O38</f>
        <v>-0.11749999999999999</v>
      </c>
      <c r="Q38" s="133">
        <v>0</v>
      </c>
      <c r="R38" s="134">
        <f>VLOOKUP($B38,Curve_Fetch,(VLOOKUP(Control!$F$25,Control!$E$26:$H$37,4)))</f>
        <v>-0.01</v>
      </c>
      <c r="S38" s="140">
        <f t="shared" si="14"/>
        <v>0</v>
      </c>
      <c r="T38" s="136">
        <f>IF($C$12="Physical",IF(Control!$C$35=Control!$B$36,R38,Q38)+S38,0)</f>
        <v>0</v>
      </c>
      <c r="U38" s="176">
        <f t="shared" si="2"/>
        <v>2.9904999999999999</v>
      </c>
      <c r="V38" s="152"/>
      <c r="W38" s="192">
        <f>VLOOKUP($B38,Curve_Fetch,VLOOKUP(Control!$F$25,Control!$E$26:$I$37,5))</f>
        <v>0.45800000000000002</v>
      </c>
      <c r="X38" s="194">
        <f t="shared" si="15"/>
        <v>0</v>
      </c>
      <c r="Y38" s="194">
        <f t="shared" si="3"/>
        <v>0.45800000000000002</v>
      </c>
      <c r="Z38" s="140">
        <f t="shared" ca="1" si="16"/>
        <v>0.28657937898642949</v>
      </c>
      <c r="AA38" s="140">
        <f t="shared" ca="1" si="17"/>
        <v>3.2770793789864294</v>
      </c>
      <c r="AB38" s="203">
        <f ca="1">_xll.EURO($U38,AA38,VLOOKUP($B38,Curve_Fetch,2),VLOOKUP($B38,Curve_Fetch,2),Y38,VLOOKUP($B38,Model!$A$8:$H$288,8),1,0)</f>
        <v>0.32468119097712567</v>
      </c>
      <c r="AC38" s="134"/>
      <c r="AD38" s="192">
        <f>VLOOKUP($B38,Curve_Fetch,VLOOKUP(Control!$F$25,Control!$E$26:$I$37,5))</f>
        <v>0.45800000000000002</v>
      </c>
      <c r="AE38" s="194">
        <f t="shared" si="18"/>
        <v>0</v>
      </c>
      <c r="AF38" s="194">
        <f t="shared" si="4"/>
        <v>0.45800000000000002</v>
      </c>
      <c r="AG38" s="140">
        <f t="shared" si="5"/>
        <v>-0.20435881234430545</v>
      </c>
      <c r="AH38" s="140">
        <f t="shared" si="19"/>
        <v>2.7861411876556943</v>
      </c>
      <c r="AI38" s="203">
        <f>_xll.EURO($U38,AH38,VLOOKUP($B38,Curve_Fetch,2),VLOOKUP($B38,Curve_Fetch,2),AF38,VLOOKUP($B38,Model!$A$8:$H$288,8),0,0)</f>
        <v>0.32367871167880602</v>
      </c>
      <c r="AK38" s="137">
        <f t="shared" ca="1" si="6"/>
        <v>94889.152879036483</v>
      </c>
      <c r="AL38" s="138">
        <f t="shared" ca="1" si="7"/>
        <v>-3587.3473176598409</v>
      </c>
      <c r="AM38" s="138">
        <f t="shared" ca="1" si="8"/>
        <v>0</v>
      </c>
      <c r="AN38" s="138">
        <f t="shared" ca="1" si="9"/>
        <v>91301.805561376634</v>
      </c>
      <c r="AO38" s="138">
        <f t="shared" ca="1" si="10"/>
        <v>100051.25038268379</v>
      </c>
      <c r="AP38" s="138">
        <f t="shared" ca="1" si="11"/>
        <v>85062.605243900078</v>
      </c>
      <c r="AQ38" s="138">
        <f t="shared" si="20"/>
        <v>10034.040062042986</v>
      </c>
      <c r="AR38" s="139">
        <f t="shared" ca="1" si="21"/>
        <v>10065.116920290895</v>
      </c>
      <c r="AT38" s="230"/>
      <c r="AU38"/>
      <c r="AV38"/>
      <c r="AW38"/>
      <c r="AX38"/>
      <c r="AY38"/>
      <c r="AZ38"/>
      <c r="BA38"/>
    </row>
    <row r="39" spans="2:63">
      <c r="B39" s="131">
        <f>[1]!_xludf.edate(B38,1)</f>
        <v>37469</v>
      </c>
      <c r="C39" s="132">
        <f t="shared" si="0"/>
        <v>37500</v>
      </c>
      <c r="D39" s="159">
        <v>0</v>
      </c>
      <c r="E39" s="160">
        <f>VLOOKUP($B39,Model!$A$8:$E$289,5)</f>
        <v>1000</v>
      </c>
      <c r="F39" s="160">
        <f>VLOOKUP($B39,Model!$A$8:$F$289,6)</f>
        <v>31000</v>
      </c>
      <c r="G39" s="179">
        <f ca="1">VLOOKUP($B39,Model!$A$8:$G$289,7)</f>
        <v>30470.486658251655</v>
      </c>
      <c r="I39" s="133">
        <v>0</v>
      </c>
      <c r="J39" s="134">
        <f t="shared" si="1"/>
        <v>3.15</v>
      </c>
      <c r="K39" s="140">
        <f t="shared" si="12"/>
        <v>0</v>
      </c>
      <c r="L39" s="136">
        <f>IF(Control!$C$25=Control!$B$26,J39,I39)+K39</f>
        <v>3.15</v>
      </c>
      <c r="M39" s="133">
        <v>0</v>
      </c>
      <c r="N39" s="134">
        <f>VLOOKUP($B39,Curve_Fetch,VLOOKUP(Control!$F$25,Control!$E$26:$G$37,3))</f>
        <v>-0.11</v>
      </c>
      <c r="O39" s="140">
        <f t="shared" si="13"/>
        <v>0</v>
      </c>
      <c r="P39" s="136">
        <f>IF(Control!$C$30=Control!$B$31,N39,M39)+O39</f>
        <v>-0.11</v>
      </c>
      <c r="Q39" s="133">
        <v>0</v>
      </c>
      <c r="R39" s="134">
        <f>VLOOKUP($B39,Curve_Fetch,(VLOOKUP(Control!$F$25,Control!$E$26:$H$37,4)))</f>
        <v>-0.01</v>
      </c>
      <c r="S39" s="140">
        <f t="shared" si="14"/>
        <v>0</v>
      </c>
      <c r="T39" s="136">
        <f>IF($C$12="Physical",IF(Control!$C$35=Control!$B$36,R39,Q39)+S39,0)</f>
        <v>0</v>
      </c>
      <c r="U39" s="176">
        <f t="shared" si="2"/>
        <v>3.04</v>
      </c>
      <c r="V39" s="152"/>
      <c r="W39" s="192">
        <f>VLOOKUP($B39,Curve_Fetch,VLOOKUP(Control!$F$25,Control!$E$26:$I$37,5))</f>
        <v>0.45800000000000002</v>
      </c>
      <c r="X39" s="194">
        <f t="shared" si="15"/>
        <v>0</v>
      </c>
      <c r="Y39" s="194">
        <f t="shared" si="3"/>
        <v>0.45800000000000002</v>
      </c>
      <c r="Z39" s="140">
        <f t="shared" ca="1" si="16"/>
        <v>0.28657937898642949</v>
      </c>
      <c r="AA39" s="140">
        <f t="shared" ca="1" si="17"/>
        <v>3.3265793789864295</v>
      </c>
      <c r="AB39" s="203">
        <f ca="1">_xll.EURO($U39,AA39,VLOOKUP($B39,Curve_Fetch,2),VLOOKUP($B39,Curve_Fetch,2),Y39,VLOOKUP($B39,Model!$A$8:$H$288,8),1,0)</f>
        <v>0.35885540261283011</v>
      </c>
      <c r="AC39" s="134"/>
      <c r="AD39" s="192">
        <f>VLOOKUP($B39,Curve_Fetch,VLOOKUP(Control!$F$25,Control!$E$26:$I$37,5))</f>
        <v>0.45800000000000002</v>
      </c>
      <c r="AE39" s="194">
        <f t="shared" si="18"/>
        <v>0</v>
      </c>
      <c r="AF39" s="194">
        <f t="shared" si="4"/>
        <v>0.45800000000000002</v>
      </c>
      <c r="AG39" s="140">
        <f t="shared" si="5"/>
        <v>-0.20435881234430545</v>
      </c>
      <c r="AH39" s="140">
        <f t="shared" si="19"/>
        <v>2.8356411876556944</v>
      </c>
      <c r="AI39" s="203">
        <f>_xll.EURO($U39,AH39,VLOOKUP($B39,Curve_Fetch,2),VLOOKUP($B39,Curve_Fetch,2),AF39,VLOOKUP($B39,Model!$A$8:$H$288,8),0,0)</f>
        <v>0.35609174700183832</v>
      </c>
      <c r="AK39" s="137">
        <f t="shared" ca="1" si="6"/>
        <v>95982.032973492707</v>
      </c>
      <c r="AL39" s="138">
        <f t="shared" ca="1" si="7"/>
        <v>-3351.7535324076821</v>
      </c>
      <c r="AM39" s="138">
        <f t="shared" ca="1" si="8"/>
        <v>0</v>
      </c>
      <c r="AN39" s="138">
        <f t="shared" ca="1" si="9"/>
        <v>92630.279441085033</v>
      </c>
      <c r="AO39" s="138">
        <f t="shared" ca="1" si="10"/>
        <v>101362.49258502107</v>
      </c>
      <c r="AP39" s="138">
        <f t="shared" ca="1" si="11"/>
        <v>86403.366976051708</v>
      </c>
      <c r="AQ39" s="138">
        <f t="shared" si="20"/>
        <v>11038.844157056988</v>
      </c>
      <c r="AR39" s="139">
        <f t="shared" ca="1" si="21"/>
        <v>11124.517480997734</v>
      </c>
      <c r="AT39" s="230"/>
      <c r="AU39"/>
      <c r="AV39"/>
      <c r="AW39" t="s">
        <v>150</v>
      </c>
      <c r="AX39"/>
      <c r="AY39"/>
      <c r="AZ39"/>
      <c r="BA39"/>
    </row>
    <row r="40" spans="2:63">
      <c r="B40" s="131">
        <f>[1]!_xludf.edate(B39,1)</f>
        <v>37500</v>
      </c>
      <c r="C40" s="132">
        <f t="shared" si="0"/>
        <v>37530</v>
      </c>
      <c r="D40" s="159">
        <v>0</v>
      </c>
      <c r="E40" s="160">
        <f>VLOOKUP($B40,Model!$A$8:$E$289,5)</f>
        <v>1000</v>
      </c>
      <c r="F40" s="160">
        <f>VLOOKUP($B40,Model!$A$8:$F$289,6)</f>
        <v>30000</v>
      </c>
      <c r="G40" s="179">
        <f ca="1">VLOOKUP($B40,Model!$A$8:$G$289,7)</f>
        <v>29428.442139516184</v>
      </c>
      <c r="I40" s="133">
        <v>0</v>
      </c>
      <c r="J40" s="134">
        <f t="shared" si="1"/>
        <v>3.15</v>
      </c>
      <c r="K40" s="140">
        <f t="shared" si="12"/>
        <v>0</v>
      </c>
      <c r="L40" s="136">
        <f>IF(Control!$C$25=Control!$B$26,J40,I40)+K40</f>
        <v>3.15</v>
      </c>
      <c r="M40" s="133">
        <v>0</v>
      </c>
      <c r="N40" s="134">
        <f>VLOOKUP($B40,Curve_Fetch,VLOOKUP(Control!$F$25,Control!$E$26:$G$37,3))</f>
        <v>-0.12</v>
      </c>
      <c r="O40" s="140">
        <f t="shared" si="13"/>
        <v>0</v>
      </c>
      <c r="P40" s="136">
        <f>IF(Control!$C$30=Control!$B$31,N40,M40)+O40</f>
        <v>-0.12</v>
      </c>
      <c r="Q40" s="133">
        <v>0</v>
      </c>
      <c r="R40" s="134">
        <f>VLOOKUP($B40,Curve_Fetch,(VLOOKUP(Control!$F$25,Control!$E$26:$H$37,4)))</f>
        <v>-0.01</v>
      </c>
      <c r="S40" s="140">
        <f t="shared" si="14"/>
        <v>0</v>
      </c>
      <c r="T40" s="136">
        <f>IF($C$12="Physical",IF(Control!$C$35=Control!$B$36,R40,Q40)+S40,0)</f>
        <v>0</v>
      </c>
      <c r="U40" s="176">
        <f t="shared" si="2"/>
        <v>3.03</v>
      </c>
      <c r="V40" s="152"/>
      <c r="W40" s="192">
        <f>VLOOKUP($B40,Curve_Fetch,VLOOKUP(Control!$F$25,Control!$E$26:$I$37,5))</f>
        <v>0.45800000000000002</v>
      </c>
      <c r="X40" s="194">
        <f t="shared" si="15"/>
        <v>0</v>
      </c>
      <c r="Y40" s="194">
        <f t="shared" si="3"/>
        <v>0.45800000000000002</v>
      </c>
      <c r="Z40" s="140">
        <f t="shared" ca="1" si="16"/>
        <v>0.28657937898642949</v>
      </c>
      <c r="AA40" s="140">
        <f t="shared" ca="1" si="17"/>
        <v>3.3165793789864293</v>
      </c>
      <c r="AB40" s="203">
        <f ca="1">_xll.EURO($U40,AA40,VLOOKUP($B40,Curve_Fetch,2),VLOOKUP($B40,Curve_Fetch,2),Y40,VLOOKUP($B40,Model!$A$8:$H$288,8),1,0)</f>
        <v>0.38285423702289201</v>
      </c>
      <c r="AC40" s="134"/>
      <c r="AD40" s="192">
        <f>VLOOKUP($B40,Curve_Fetch,VLOOKUP(Control!$F$25,Control!$E$26:$I$37,5))</f>
        <v>0.45800000000000002</v>
      </c>
      <c r="AE40" s="194">
        <f t="shared" si="18"/>
        <v>0</v>
      </c>
      <c r="AF40" s="194">
        <f t="shared" si="4"/>
        <v>0.45800000000000002</v>
      </c>
      <c r="AG40" s="140">
        <f t="shared" si="5"/>
        <v>-0.20435881234430545</v>
      </c>
      <c r="AH40" s="140">
        <f t="shared" si="19"/>
        <v>2.8256411876556942</v>
      </c>
      <c r="AI40" s="203">
        <f>_xll.EURO($U40,AH40,VLOOKUP($B40,Curve_Fetch,2),VLOOKUP($B40,Curve_Fetch,2),AF40,VLOOKUP($B40,Model!$A$8:$H$288,8),0,0)</f>
        <v>0.37830960091375943</v>
      </c>
      <c r="AK40" s="137">
        <f t="shared" ca="1" si="6"/>
        <v>92699.592739475978</v>
      </c>
      <c r="AL40" s="138">
        <f t="shared" ca="1" si="7"/>
        <v>-3531.413056741942</v>
      </c>
      <c r="AM40" s="138">
        <f t="shared" ca="1" si="8"/>
        <v>0</v>
      </c>
      <c r="AN40" s="138">
        <f t="shared" ca="1" si="9"/>
        <v>89168.179682734029</v>
      </c>
      <c r="AO40" s="138">
        <f t="shared" ca="1" si="10"/>
        <v>97601.76435561465</v>
      </c>
      <c r="AP40" s="138">
        <f t="shared" ca="1" si="11"/>
        <v>83154.218197959388</v>
      </c>
      <c r="AQ40" s="138">
        <f t="shared" si="20"/>
        <v>11349.288027412782</v>
      </c>
      <c r="AR40" s="139">
        <f t="shared" ca="1" si="21"/>
        <v>11485.627110686761</v>
      </c>
      <c r="AT40" s="230"/>
      <c r="AU40"/>
      <c r="AV40"/>
      <c r="AW40" t="s">
        <v>151</v>
      </c>
      <c r="AX40"/>
      <c r="AY40"/>
      <c r="AZ40"/>
      <c r="BA40"/>
    </row>
    <row r="41" spans="2:63">
      <c r="B41" s="131">
        <f>[1]!_xludf.edate(B40,1)</f>
        <v>37530</v>
      </c>
      <c r="C41" s="132">
        <f t="shared" si="0"/>
        <v>37561</v>
      </c>
      <c r="D41" s="159">
        <v>0</v>
      </c>
      <c r="E41" s="160">
        <f>VLOOKUP($B41,Model!$A$8:$E$289,5)</f>
        <v>1000</v>
      </c>
      <c r="F41" s="160">
        <f>VLOOKUP($B41,Model!$A$8:$F$289,6)</f>
        <v>31000</v>
      </c>
      <c r="G41" s="179">
        <f ca="1">VLOOKUP($B41,Model!$A$8:$G$289,7)</f>
        <v>30341.780672095116</v>
      </c>
      <c r="I41" s="133">
        <v>0</v>
      </c>
      <c r="J41" s="134">
        <f t="shared" si="1"/>
        <v>3.1850000000000001</v>
      </c>
      <c r="K41" s="140">
        <f t="shared" si="12"/>
        <v>0</v>
      </c>
      <c r="L41" s="136">
        <f>IF(Control!$C$25=Control!$B$26,J41,I41)+K41</f>
        <v>3.1850000000000001</v>
      </c>
      <c r="M41" s="133">
        <v>0</v>
      </c>
      <c r="N41" s="134">
        <f>VLOOKUP($B41,Curve_Fetch,VLOOKUP(Control!$F$25,Control!$E$26:$G$37,3))</f>
        <v>-0.16250000000000001</v>
      </c>
      <c r="O41" s="140">
        <f t="shared" si="13"/>
        <v>0</v>
      </c>
      <c r="P41" s="136">
        <f>IF(Control!$C$30=Control!$B$31,N41,M41)+O41</f>
        <v>-0.16250000000000001</v>
      </c>
      <c r="Q41" s="133">
        <v>0</v>
      </c>
      <c r="R41" s="134">
        <f>VLOOKUP($B41,Curve_Fetch,(VLOOKUP(Control!$F$25,Control!$E$26:$H$37,4)))</f>
        <v>-0.01</v>
      </c>
      <c r="S41" s="140">
        <f t="shared" si="14"/>
        <v>0</v>
      </c>
      <c r="T41" s="136">
        <f>IF($C$12="Physical",IF(Control!$C$35=Control!$B$36,R41,Q41)+S41,0)</f>
        <v>0</v>
      </c>
      <c r="U41" s="176">
        <f t="shared" si="2"/>
        <v>3.0225</v>
      </c>
      <c r="V41" s="152"/>
      <c r="W41" s="192">
        <f>VLOOKUP($B41,Curve_Fetch,VLOOKUP(Control!$F$25,Control!$E$26:$I$37,5))</f>
        <v>0.45800000000000002</v>
      </c>
      <c r="X41" s="194">
        <f t="shared" si="15"/>
        <v>0</v>
      </c>
      <c r="Y41" s="194">
        <f t="shared" si="3"/>
        <v>0.45800000000000002</v>
      </c>
      <c r="Z41" s="140">
        <f t="shared" ca="1" si="16"/>
        <v>0.28657937898642949</v>
      </c>
      <c r="AA41" s="140">
        <f t="shared" ca="1" si="17"/>
        <v>3.3090793789864295</v>
      </c>
      <c r="AB41" s="203">
        <f ca="1">_xll.EURO($U41,AA41,VLOOKUP($B41,Curve_Fetch,2),VLOOKUP($B41,Curve_Fetch,2),Y41,VLOOKUP($B41,Model!$A$8:$H$288,8),1,0)</f>
        <v>0.40488821076530224</v>
      </c>
      <c r="AC41" s="134"/>
      <c r="AD41" s="192">
        <f>VLOOKUP($B41,Curve_Fetch,VLOOKUP(Control!$F$25,Control!$E$26:$I$37,5))</f>
        <v>0.45800000000000002</v>
      </c>
      <c r="AE41" s="194">
        <f t="shared" si="18"/>
        <v>0</v>
      </c>
      <c r="AF41" s="194">
        <f t="shared" si="4"/>
        <v>0.45800000000000002</v>
      </c>
      <c r="AG41" s="140">
        <f t="shared" si="5"/>
        <v>-0.20435881234430545</v>
      </c>
      <c r="AH41" s="140">
        <f t="shared" si="19"/>
        <v>2.8181411876556943</v>
      </c>
      <c r="AI41" s="203">
        <f>_xll.EURO($U41,AH41,VLOOKUP($B41,Curve_Fetch,2),VLOOKUP($B41,Curve_Fetch,2),AF41,VLOOKUP($B41,Model!$A$8:$H$288,8),0,0)</f>
        <v>0.39869466564526235</v>
      </c>
      <c r="AK41" s="137">
        <f t="shared" ca="1" si="6"/>
        <v>96638.571440622938</v>
      </c>
      <c r="AL41" s="138">
        <f t="shared" ca="1" si="7"/>
        <v>-4930.5393592154569</v>
      </c>
      <c r="AM41" s="138">
        <f t="shared" ca="1" si="8"/>
        <v>0</v>
      </c>
      <c r="AN41" s="138">
        <f t="shared" ca="1" si="9"/>
        <v>91708.03208140748</v>
      </c>
      <c r="AO41" s="138">
        <f t="shared" ca="1" si="10"/>
        <v>100403.36074375895</v>
      </c>
      <c r="AP41" s="138">
        <f t="shared" ca="1" si="11"/>
        <v>85507.42181884672</v>
      </c>
      <c r="AQ41" s="138">
        <f t="shared" si="20"/>
        <v>12359.534635003132</v>
      </c>
      <c r="AR41" s="139">
        <f t="shared" ca="1" si="21"/>
        <v>12551.534533724369</v>
      </c>
      <c r="AT41" s="230"/>
      <c r="AU41"/>
      <c r="AV41"/>
      <c r="AW41"/>
      <c r="AX41"/>
      <c r="AY41"/>
      <c r="AZ41"/>
      <c r="BA41"/>
    </row>
    <row r="42" spans="2:63">
      <c r="B42" s="131">
        <f>[1]!_xludf.edate(B41,1)</f>
        <v>37561</v>
      </c>
      <c r="C42" s="132">
        <f t="shared" si="0"/>
        <v>37591</v>
      </c>
      <c r="D42" s="159">
        <v>0</v>
      </c>
      <c r="E42" s="160">
        <f>VLOOKUP($B42,Model!$A$8:$E$289,5)</f>
        <v>0</v>
      </c>
      <c r="F42" s="160">
        <f>VLOOKUP($B42,Model!$A$8:$F$289,6)</f>
        <v>0</v>
      </c>
      <c r="G42" s="179">
        <f ca="1">VLOOKUP($B42,Model!$A$8:$G$289,7)</f>
        <v>0</v>
      </c>
      <c r="I42" s="133">
        <v>0</v>
      </c>
      <c r="J42" s="134">
        <f t="shared" si="1"/>
        <v>3.3650000000000002</v>
      </c>
      <c r="K42" s="140">
        <f t="shared" si="12"/>
        <v>0</v>
      </c>
      <c r="L42" s="136">
        <f>IF(Control!$C$25=Control!$B$26,J42,I42)+K42</f>
        <v>3.3650000000000002</v>
      </c>
      <c r="M42" s="133">
        <v>0</v>
      </c>
      <c r="N42" s="134">
        <f>VLOOKUP($B42,Curve_Fetch,VLOOKUP(Control!$F$25,Control!$E$26:$G$37,3))</f>
        <v>-0.14000000000000001</v>
      </c>
      <c r="O42" s="140">
        <f t="shared" si="13"/>
        <v>0</v>
      </c>
      <c r="P42" s="136">
        <f>IF(Control!$C$30=Control!$B$31,N42,M42)+O42</f>
        <v>-0.14000000000000001</v>
      </c>
      <c r="Q42" s="133">
        <v>0</v>
      </c>
      <c r="R42" s="134">
        <f>VLOOKUP($B42,Curve_Fetch,(VLOOKUP(Control!$F$25,Control!$E$26:$H$37,4)))</f>
        <v>0</v>
      </c>
      <c r="S42" s="140">
        <f t="shared" si="14"/>
        <v>0</v>
      </c>
      <c r="T42" s="136">
        <f>IF($C$12="Physical",IF(Control!$C$35=Control!$B$36,R42,Q42)+S42,0)</f>
        <v>0</v>
      </c>
      <c r="U42" s="176">
        <f t="shared" si="2"/>
        <v>3.2250000000000001</v>
      </c>
      <c r="V42" s="152"/>
      <c r="W42" s="192">
        <f>VLOOKUP($B42,Curve_Fetch,VLOOKUP(Control!$F$25,Control!$E$26:$I$37,5))</f>
        <v>0.45800000000000002</v>
      </c>
      <c r="X42" s="194">
        <f t="shared" si="15"/>
        <v>0</v>
      </c>
      <c r="Y42" s="194">
        <f t="shared" si="3"/>
        <v>0.45800000000000002</v>
      </c>
      <c r="Z42" s="140">
        <f t="shared" ca="1" si="16"/>
        <v>0.28657937898642949</v>
      </c>
      <c r="AA42" s="140">
        <f t="shared" ca="1" si="17"/>
        <v>3.5115793789864296</v>
      </c>
      <c r="AB42" s="203">
        <f ca="1">_xll.EURO($U42,AA42,VLOOKUP($B42,Curve_Fetch,2),VLOOKUP($B42,Curve_Fetch,2),Y42,VLOOKUP($B42,Model!$A$8:$H$288,8),1,0)</f>
        <v>0.46256207228494706</v>
      </c>
      <c r="AC42" s="134"/>
      <c r="AD42" s="192">
        <f>VLOOKUP($B42,Curve_Fetch,VLOOKUP(Control!$F$25,Control!$E$26:$I$37,5))</f>
        <v>0.45800000000000002</v>
      </c>
      <c r="AE42" s="194">
        <f t="shared" si="18"/>
        <v>0</v>
      </c>
      <c r="AF42" s="194">
        <f t="shared" si="4"/>
        <v>0.45800000000000002</v>
      </c>
      <c r="AG42" s="140">
        <f t="shared" si="5"/>
        <v>-0.20435881234430545</v>
      </c>
      <c r="AH42" s="140">
        <f t="shared" si="19"/>
        <v>3.0206411876556944</v>
      </c>
      <c r="AI42" s="203">
        <f>_xll.EURO($U42,AH42,VLOOKUP($B42,Curve_Fetch,2),VLOOKUP($B42,Curve_Fetch,2),AF42,VLOOKUP($B42,Model!$A$8:$H$288,8),0,0)</f>
        <v>0.45500492824154426</v>
      </c>
      <c r="AK42" s="137">
        <f t="shared" ca="1" si="6"/>
        <v>0</v>
      </c>
      <c r="AL42" s="138">
        <f t="shared" ca="1" si="7"/>
        <v>0</v>
      </c>
      <c r="AM42" s="138">
        <f t="shared" ca="1" si="8"/>
        <v>0</v>
      </c>
      <c r="AN42" s="138">
        <f t="shared" ca="1" si="9"/>
        <v>0</v>
      </c>
      <c r="AO42" s="138">
        <f t="shared" ca="1" si="10"/>
        <v>0</v>
      </c>
      <c r="AP42" s="138">
        <f t="shared" ca="1" si="11"/>
        <v>0</v>
      </c>
      <c r="AQ42" s="138">
        <f t="shared" si="20"/>
        <v>0</v>
      </c>
      <c r="AR42" s="139">
        <f t="shared" ca="1" si="21"/>
        <v>0</v>
      </c>
      <c r="AT42"/>
      <c r="AU42"/>
      <c r="AV42"/>
      <c r="AW42"/>
      <c r="AX42"/>
      <c r="AY42"/>
      <c r="AZ42"/>
      <c r="BA42"/>
    </row>
    <row r="43" spans="2:63">
      <c r="B43" s="131">
        <f>[1]!_xludf.edate(B42,1)</f>
        <v>37591</v>
      </c>
      <c r="C43" s="132">
        <f t="shared" si="0"/>
        <v>37622</v>
      </c>
      <c r="D43" s="159">
        <v>0</v>
      </c>
      <c r="E43" s="160">
        <f>VLOOKUP($B43,Model!$A$8:$E$289,5)</f>
        <v>0</v>
      </c>
      <c r="F43" s="160">
        <f>VLOOKUP($B43,Model!$A$8:$F$289,6)</f>
        <v>0</v>
      </c>
      <c r="G43" s="179">
        <f ca="1">VLOOKUP($B43,Model!$A$8:$G$289,7)</f>
        <v>0</v>
      </c>
      <c r="I43" s="133">
        <v>0</v>
      </c>
      <c r="J43" s="134">
        <f t="shared" si="1"/>
        <v>3.56</v>
      </c>
      <c r="K43" s="140">
        <f t="shared" si="12"/>
        <v>0</v>
      </c>
      <c r="L43" s="136">
        <f>IF(Control!$C$25=Control!$B$26,J43,I43)+K43</f>
        <v>3.56</v>
      </c>
      <c r="M43" s="133">
        <v>0</v>
      </c>
      <c r="N43" s="134">
        <f>VLOOKUP($B43,Curve_Fetch,VLOOKUP(Control!$F$25,Control!$E$26:$G$37,3))</f>
        <v>-0.14000000000000001</v>
      </c>
      <c r="O43" s="140">
        <f t="shared" si="13"/>
        <v>0</v>
      </c>
      <c r="P43" s="136">
        <f>IF(Control!$C$30=Control!$B$31,N43,M43)+O43</f>
        <v>-0.14000000000000001</v>
      </c>
      <c r="Q43" s="133">
        <v>0</v>
      </c>
      <c r="R43" s="134">
        <f>VLOOKUP($B43,Curve_Fetch,(VLOOKUP(Control!$F$25,Control!$E$26:$H$37,4)))</f>
        <v>0</v>
      </c>
      <c r="S43" s="140">
        <f t="shared" si="14"/>
        <v>0</v>
      </c>
      <c r="T43" s="136">
        <f>IF($C$12="Physical",IF(Control!$C$35=Control!$B$36,R43,Q43)+S43,0)</f>
        <v>0</v>
      </c>
      <c r="U43" s="176">
        <f t="shared" si="2"/>
        <v>3.42</v>
      </c>
      <c r="V43" s="152"/>
      <c r="W43" s="192">
        <f>VLOOKUP($B43,Curve_Fetch,VLOOKUP(Control!$F$25,Control!$E$26:$I$37,5))</f>
        <v>0.45500000000000002</v>
      </c>
      <c r="X43" s="194">
        <f t="shared" si="15"/>
        <v>0</v>
      </c>
      <c r="Y43" s="194">
        <f t="shared" si="3"/>
        <v>0.45500000000000002</v>
      </c>
      <c r="Z43" s="140">
        <f t="shared" ca="1" si="16"/>
        <v>0.28657937898642949</v>
      </c>
      <c r="AA43" s="140">
        <f t="shared" ca="1" si="17"/>
        <v>3.7065793789864294</v>
      </c>
      <c r="AB43" s="203">
        <f ca="1">_xll.EURO($U43,AA43,VLOOKUP($B43,Curve_Fetch,2),VLOOKUP($B43,Curve_Fetch,2),Y43,VLOOKUP($B43,Model!$A$8:$H$288,8),1,0)</f>
        <v>0.51576467341721477</v>
      </c>
      <c r="AC43" s="134"/>
      <c r="AD43" s="192">
        <f>VLOOKUP($B43,Curve_Fetch,VLOOKUP(Control!$F$25,Control!$E$26:$I$37,5))</f>
        <v>0.45500000000000002</v>
      </c>
      <c r="AE43" s="194">
        <f t="shared" si="18"/>
        <v>0</v>
      </c>
      <c r="AF43" s="194">
        <f t="shared" si="4"/>
        <v>0.45500000000000002</v>
      </c>
      <c r="AG43" s="140">
        <f t="shared" si="5"/>
        <v>-0.20435881234430545</v>
      </c>
      <c r="AH43" s="140">
        <f t="shared" si="19"/>
        <v>3.2156411876556943</v>
      </c>
      <c r="AI43" s="203">
        <f>_xll.EURO($U43,AH43,VLOOKUP($B43,Curve_Fetch,2),VLOOKUP($B43,Curve_Fetch,2),AF43,VLOOKUP($B43,Model!$A$8:$H$288,8),0,0)</f>
        <v>0.50716094013607438</v>
      </c>
      <c r="AK43" s="137">
        <f t="shared" ca="1" si="6"/>
        <v>0</v>
      </c>
      <c r="AL43" s="138">
        <f t="shared" ca="1" si="7"/>
        <v>0</v>
      </c>
      <c r="AM43" s="138">
        <f t="shared" ca="1" si="8"/>
        <v>0</v>
      </c>
      <c r="AN43" s="138">
        <f t="shared" ca="1" si="9"/>
        <v>0</v>
      </c>
      <c r="AO43" s="138">
        <f t="shared" ca="1" si="10"/>
        <v>0</v>
      </c>
      <c r="AP43" s="138">
        <f t="shared" ca="1" si="11"/>
        <v>0</v>
      </c>
      <c r="AQ43" s="138">
        <f t="shared" si="20"/>
        <v>0</v>
      </c>
      <c r="AR43" s="139">
        <f t="shared" ca="1" si="21"/>
        <v>0</v>
      </c>
      <c r="AT43"/>
      <c r="AU43"/>
      <c r="AV43"/>
      <c r="AW43"/>
      <c r="AX43"/>
      <c r="AY43"/>
      <c r="AZ43"/>
      <c r="BA43"/>
    </row>
    <row r="44" spans="2:63">
      <c r="B44" s="131">
        <f>[1]!_xludf.edate(B43,1)</f>
        <v>37622</v>
      </c>
      <c r="C44" s="132">
        <f t="shared" si="0"/>
        <v>37653</v>
      </c>
      <c r="D44" s="159">
        <v>0</v>
      </c>
      <c r="E44" s="160">
        <f>VLOOKUP($B44,Model!$A$8:$E$289,5)</f>
        <v>0</v>
      </c>
      <c r="F44" s="160">
        <f>VLOOKUP($B44,Model!$A$8:$F$289,6)</f>
        <v>0</v>
      </c>
      <c r="G44" s="179">
        <f ca="1">VLOOKUP($B44,Model!$A$8:$G$289,7)</f>
        <v>0</v>
      </c>
      <c r="I44" s="133">
        <v>0</v>
      </c>
      <c r="J44" s="134">
        <f t="shared" si="1"/>
        <v>3.6749999999999998</v>
      </c>
      <c r="K44" s="140">
        <f t="shared" si="12"/>
        <v>0</v>
      </c>
      <c r="L44" s="136">
        <f>IF(Control!$C$25=Control!$B$26,J44,I44)+K44</f>
        <v>3.6749999999999998</v>
      </c>
      <c r="M44" s="133">
        <v>0</v>
      </c>
      <c r="N44" s="134">
        <f>VLOOKUP($B44,Curve_Fetch,VLOOKUP(Control!$F$25,Control!$E$26:$G$37,3))</f>
        <v>-0.13750000000000001</v>
      </c>
      <c r="O44" s="140">
        <f t="shared" si="13"/>
        <v>0</v>
      </c>
      <c r="P44" s="136">
        <f>IF(Control!$C$30=Control!$B$31,N44,M44)+O44</f>
        <v>-0.13750000000000001</v>
      </c>
      <c r="Q44" s="133">
        <v>0</v>
      </c>
      <c r="R44" s="134">
        <f>VLOOKUP($B44,Curve_Fetch,(VLOOKUP(Control!$F$25,Control!$E$26:$H$37,4)))</f>
        <v>0</v>
      </c>
      <c r="S44" s="140">
        <f t="shared" si="14"/>
        <v>0</v>
      </c>
      <c r="T44" s="136">
        <f>IF($C$12="Physical",IF(Control!$C$35=Control!$B$36,R44,Q44)+S44,0)</f>
        <v>0</v>
      </c>
      <c r="U44" s="176">
        <f t="shared" si="2"/>
        <v>3.5374999999999996</v>
      </c>
      <c r="V44" s="152"/>
      <c r="W44" s="192">
        <f>VLOOKUP($B44,Curve_Fetch,VLOOKUP(Control!$F$25,Control!$E$26:$I$37,5))</f>
        <v>0.45500000000000002</v>
      </c>
      <c r="X44" s="194">
        <f t="shared" si="15"/>
        <v>0</v>
      </c>
      <c r="Y44" s="194">
        <f t="shared" si="3"/>
        <v>0.45500000000000002</v>
      </c>
      <c r="Z44" s="140">
        <f t="shared" ca="1" si="16"/>
        <v>0.28657937898642949</v>
      </c>
      <c r="AA44" s="140">
        <f t="shared" ca="1" si="17"/>
        <v>3.8240793789864291</v>
      </c>
      <c r="AB44" s="203">
        <f ca="1">_xll.EURO($U44,AA44,VLOOKUP($B44,Curve_Fetch,2),VLOOKUP($B44,Curve_Fetch,2),Y44,VLOOKUP($B44,Model!$A$8:$H$288,8),1,0)</f>
        <v>0.56057271544716158</v>
      </c>
      <c r="AC44" s="134"/>
      <c r="AD44" s="192">
        <f>VLOOKUP($B44,Curve_Fetch,VLOOKUP(Control!$F$25,Control!$E$26:$I$37,5))</f>
        <v>0.45500000000000002</v>
      </c>
      <c r="AE44" s="194">
        <f t="shared" si="18"/>
        <v>0</v>
      </c>
      <c r="AF44" s="194">
        <f t="shared" si="4"/>
        <v>0.45500000000000002</v>
      </c>
      <c r="AG44" s="140">
        <f t="shared" si="5"/>
        <v>-0.20435881234430545</v>
      </c>
      <c r="AH44" s="140">
        <f t="shared" si="19"/>
        <v>3.333141187655694</v>
      </c>
      <c r="AI44" s="203">
        <f>_xll.EURO($U44,AH44,VLOOKUP($B44,Curve_Fetch,2),VLOOKUP($B44,Curve_Fetch,2),AF44,VLOOKUP($B44,Model!$A$8:$H$288,8),0,0)</f>
        <v>0.55057386517334894</v>
      </c>
      <c r="AK44" s="137">
        <f t="shared" ca="1" si="6"/>
        <v>0</v>
      </c>
      <c r="AL44" s="138">
        <f t="shared" ca="1" si="7"/>
        <v>0</v>
      </c>
      <c r="AM44" s="138">
        <f t="shared" ca="1" si="8"/>
        <v>0</v>
      </c>
      <c r="AN44" s="138">
        <f t="shared" ca="1" si="9"/>
        <v>0</v>
      </c>
      <c r="AO44" s="138">
        <f t="shared" ca="1" si="10"/>
        <v>0</v>
      </c>
      <c r="AP44" s="138">
        <f t="shared" ca="1" si="11"/>
        <v>0</v>
      </c>
      <c r="AQ44" s="138">
        <f t="shared" si="20"/>
        <v>0</v>
      </c>
      <c r="AR44" s="139">
        <f t="shared" ca="1" si="21"/>
        <v>0</v>
      </c>
      <c r="AT44"/>
      <c r="AU44"/>
      <c r="AV44"/>
      <c r="AW44"/>
      <c r="AX44"/>
      <c r="AY44"/>
      <c r="AZ44"/>
      <c r="BA44"/>
    </row>
    <row r="45" spans="2:63">
      <c r="B45" s="131">
        <f>[1]!_xludf.edate(B44,1)</f>
        <v>37653</v>
      </c>
      <c r="C45" s="132">
        <f t="shared" si="0"/>
        <v>37681</v>
      </c>
      <c r="D45" s="159">
        <v>0</v>
      </c>
      <c r="E45" s="160">
        <f>VLOOKUP($B45,Model!$A$8:$E$289,5)</f>
        <v>0</v>
      </c>
      <c r="F45" s="160">
        <f>VLOOKUP($B45,Model!$A$8:$F$289,6)</f>
        <v>0</v>
      </c>
      <c r="G45" s="179">
        <f ca="1">VLOOKUP($B45,Model!$A$8:$G$289,7)</f>
        <v>0</v>
      </c>
      <c r="I45" s="133">
        <v>0</v>
      </c>
      <c r="J45" s="134">
        <f t="shared" si="1"/>
        <v>3.6</v>
      </c>
      <c r="K45" s="140">
        <f t="shared" si="12"/>
        <v>0</v>
      </c>
      <c r="L45" s="136">
        <f>IF(Control!$C$25=Control!$B$26,J45,I45)+K45</f>
        <v>3.6</v>
      </c>
      <c r="M45" s="133">
        <v>0</v>
      </c>
      <c r="N45" s="134">
        <f>VLOOKUP($B45,Curve_Fetch,VLOOKUP(Control!$F$25,Control!$E$26:$G$37,3))</f>
        <v>-0.13750000000000001</v>
      </c>
      <c r="O45" s="140">
        <f t="shared" si="13"/>
        <v>0</v>
      </c>
      <c r="P45" s="136">
        <f>IF(Control!$C$30=Control!$B$31,N45,M45)+O45</f>
        <v>-0.13750000000000001</v>
      </c>
      <c r="Q45" s="133">
        <v>0</v>
      </c>
      <c r="R45" s="134">
        <f>VLOOKUP($B45,Curve_Fetch,(VLOOKUP(Control!$F$25,Control!$E$26:$H$37,4)))</f>
        <v>0</v>
      </c>
      <c r="S45" s="140">
        <f t="shared" si="14"/>
        <v>0</v>
      </c>
      <c r="T45" s="136">
        <f>IF($C$12="Physical",IF(Control!$C$35=Control!$B$36,R45,Q45)+S45,0)</f>
        <v>0</v>
      </c>
      <c r="U45" s="176">
        <f t="shared" si="2"/>
        <v>3.4624999999999999</v>
      </c>
      <c r="V45" s="152"/>
      <c r="W45" s="192">
        <f>VLOOKUP($B45,Curve_Fetch,VLOOKUP(Control!$F$25,Control!$E$26:$I$37,5))</f>
        <v>0.44800000000000001</v>
      </c>
      <c r="X45" s="194">
        <f t="shared" si="15"/>
        <v>0</v>
      </c>
      <c r="Y45" s="194">
        <f t="shared" si="3"/>
        <v>0.44800000000000001</v>
      </c>
      <c r="Z45" s="140">
        <f t="shared" ca="1" si="16"/>
        <v>0.28657937898642949</v>
      </c>
      <c r="AA45" s="140">
        <f t="shared" ca="1" si="17"/>
        <v>3.7490793789864294</v>
      </c>
      <c r="AB45" s="203">
        <f ca="1">_xll.EURO($U45,AA45,VLOOKUP($B45,Curve_Fetch,2),VLOOKUP($B45,Curve_Fetch,2),Y45,VLOOKUP($B45,Model!$A$8:$H$288,8),1,0)</f>
        <v>0.55841814165796166</v>
      </c>
      <c r="AC45" s="134"/>
      <c r="AD45" s="192">
        <f>VLOOKUP($B45,Curve_Fetch,VLOOKUP(Control!$F$25,Control!$E$26:$I$37,5))</f>
        <v>0.44800000000000001</v>
      </c>
      <c r="AE45" s="194">
        <f t="shared" si="18"/>
        <v>0</v>
      </c>
      <c r="AF45" s="194">
        <f t="shared" si="4"/>
        <v>0.44800000000000001</v>
      </c>
      <c r="AG45" s="140">
        <f t="shared" si="5"/>
        <v>-0.20435881234430545</v>
      </c>
      <c r="AH45" s="140">
        <f t="shared" si="19"/>
        <v>3.2581411876556943</v>
      </c>
      <c r="AI45" s="203">
        <f>_xll.EURO($U45,AH45,VLOOKUP($B45,Curve_Fetch,2),VLOOKUP($B45,Curve_Fetch,2),AF45,VLOOKUP($B45,Model!$A$8:$H$288,8),0,0)</f>
        <v>0.54754393709241223</v>
      </c>
      <c r="AK45" s="137">
        <f t="shared" ca="1" si="6"/>
        <v>0</v>
      </c>
      <c r="AL45" s="138">
        <f t="shared" ca="1" si="7"/>
        <v>0</v>
      </c>
      <c r="AM45" s="138">
        <f t="shared" ca="1" si="8"/>
        <v>0</v>
      </c>
      <c r="AN45" s="138">
        <f t="shared" ca="1" si="9"/>
        <v>0</v>
      </c>
      <c r="AO45" s="138">
        <f t="shared" ca="1" si="10"/>
        <v>0</v>
      </c>
      <c r="AP45" s="138">
        <f t="shared" ca="1" si="11"/>
        <v>0</v>
      </c>
      <c r="AQ45" s="138">
        <f t="shared" si="20"/>
        <v>0</v>
      </c>
      <c r="AR45" s="139">
        <f t="shared" ca="1" si="21"/>
        <v>0</v>
      </c>
      <c r="AT45"/>
      <c r="AU45"/>
      <c r="AV45"/>
      <c r="AW45"/>
      <c r="AX45"/>
      <c r="AY45"/>
      <c r="AZ45"/>
      <c r="BA45"/>
    </row>
    <row r="46" spans="2:63">
      <c r="B46" s="131">
        <f>[1]!_xludf.edate(B45,1)</f>
        <v>37681</v>
      </c>
      <c r="C46" s="132">
        <f t="shared" si="0"/>
        <v>37712</v>
      </c>
      <c r="D46" s="159">
        <v>0</v>
      </c>
      <c r="E46" s="160">
        <f>VLOOKUP($B46,Model!$A$8:$E$289,5)</f>
        <v>0</v>
      </c>
      <c r="F46" s="160">
        <f>VLOOKUP($B46,Model!$A$8:$F$289,6)</f>
        <v>0</v>
      </c>
      <c r="G46" s="179">
        <f ca="1">VLOOKUP($B46,Model!$A$8:$G$289,7)</f>
        <v>0</v>
      </c>
      <c r="I46" s="133">
        <v>0</v>
      </c>
      <c r="J46" s="134">
        <f t="shared" si="1"/>
        <v>3.51</v>
      </c>
      <c r="K46" s="140">
        <f t="shared" si="12"/>
        <v>0</v>
      </c>
      <c r="L46" s="136">
        <f>IF(Control!$C$25=Control!$B$26,J46,I46)+K46</f>
        <v>3.51</v>
      </c>
      <c r="M46" s="133">
        <v>0</v>
      </c>
      <c r="N46" s="134">
        <f>VLOOKUP($B46,Curve_Fetch,VLOOKUP(Control!$F$25,Control!$E$26:$G$37,3))</f>
        <v>-0.13750000000000001</v>
      </c>
      <c r="O46" s="140">
        <f t="shared" si="13"/>
        <v>0</v>
      </c>
      <c r="P46" s="136">
        <f>IF(Control!$C$30=Control!$B$31,N46,M46)+O46</f>
        <v>-0.13750000000000001</v>
      </c>
      <c r="Q46" s="133">
        <v>0</v>
      </c>
      <c r="R46" s="134">
        <f>VLOOKUP($B46,Curve_Fetch,(VLOOKUP(Control!$F$25,Control!$E$26:$H$37,4)))</f>
        <v>0</v>
      </c>
      <c r="S46" s="140">
        <f t="shared" si="14"/>
        <v>0</v>
      </c>
      <c r="T46" s="136">
        <f>IF($C$12="Physical",IF(Control!$C$35=Control!$B$36,R46,Q46)+S46,0)</f>
        <v>0</v>
      </c>
      <c r="U46" s="176">
        <f t="shared" si="2"/>
        <v>3.3724999999999996</v>
      </c>
      <c r="V46" s="152"/>
      <c r="W46" s="192">
        <f>VLOOKUP($B46,Curve_Fetch,VLOOKUP(Control!$F$25,Control!$E$26:$I$37,5))</f>
        <v>0.42499999999999999</v>
      </c>
      <c r="X46" s="194">
        <f t="shared" si="15"/>
        <v>0</v>
      </c>
      <c r="Y46" s="194">
        <f t="shared" si="3"/>
        <v>0.42499999999999999</v>
      </c>
      <c r="Z46" s="140">
        <f t="shared" ca="1" si="16"/>
        <v>0.28657937898642949</v>
      </c>
      <c r="AA46" s="140">
        <f t="shared" ca="1" si="17"/>
        <v>3.6590793789864291</v>
      </c>
      <c r="AB46" s="203">
        <f ca="1">_xll.EURO($U46,AA46,VLOOKUP($B46,Curve_Fetch,2),VLOOKUP($B46,Curve_Fetch,2),Y46,VLOOKUP($B46,Model!$A$8:$H$288,8),1,0)</f>
        <v>0.52560516886839337</v>
      </c>
      <c r="AC46" s="134"/>
      <c r="AD46" s="192">
        <f>VLOOKUP($B46,Curve_Fetch,VLOOKUP(Control!$F$25,Control!$E$26:$I$37,5))</f>
        <v>0.42499999999999999</v>
      </c>
      <c r="AE46" s="194">
        <f t="shared" si="18"/>
        <v>0</v>
      </c>
      <c r="AF46" s="194">
        <f t="shared" si="4"/>
        <v>0.42499999999999999</v>
      </c>
      <c r="AG46" s="140">
        <f t="shared" si="5"/>
        <v>-0.20435881234430545</v>
      </c>
      <c r="AH46" s="140">
        <f t="shared" si="19"/>
        <v>3.168141187655694</v>
      </c>
      <c r="AI46" s="203">
        <f>_xll.EURO($U46,AH46,VLOOKUP($B46,Curve_Fetch,2),VLOOKUP($B46,Curve_Fetch,2),AF46,VLOOKUP($B46,Model!$A$8:$H$288,8),0,0)</f>
        <v>0.51559920675327553</v>
      </c>
      <c r="AK46" s="137">
        <f t="shared" ca="1" si="6"/>
        <v>0</v>
      </c>
      <c r="AL46" s="138">
        <f t="shared" ca="1" si="7"/>
        <v>0</v>
      </c>
      <c r="AM46" s="138">
        <f t="shared" ca="1" si="8"/>
        <v>0</v>
      </c>
      <c r="AN46" s="138">
        <f t="shared" ca="1" si="9"/>
        <v>0</v>
      </c>
      <c r="AO46" s="138">
        <f t="shared" ca="1" si="10"/>
        <v>0</v>
      </c>
      <c r="AP46" s="138">
        <f t="shared" ca="1" si="11"/>
        <v>0</v>
      </c>
      <c r="AQ46" s="138">
        <f t="shared" si="20"/>
        <v>0</v>
      </c>
      <c r="AR46" s="139">
        <f t="shared" ca="1" si="21"/>
        <v>0</v>
      </c>
      <c r="AT46"/>
      <c r="AU46"/>
      <c r="AV46"/>
      <c r="AW46"/>
      <c r="AX46"/>
      <c r="AY46"/>
      <c r="AZ46"/>
      <c r="BA46"/>
    </row>
    <row r="47" spans="2:63">
      <c r="B47" s="131">
        <f>[1]!_xludf.edate(B46,1)</f>
        <v>37712</v>
      </c>
      <c r="C47" s="132">
        <f t="shared" si="0"/>
        <v>37742</v>
      </c>
      <c r="D47" s="159">
        <v>0</v>
      </c>
      <c r="E47" s="160">
        <f>VLOOKUP($B47,Model!$A$8:$E$289,5)</f>
        <v>0</v>
      </c>
      <c r="F47" s="160">
        <f>VLOOKUP($B47,Model!$A$8:$F$289,6)</f>
        <v>0</v>
      </c>
      <c r="G47" s="179">
        <f ca="1">VLOOKUP($B47,Model!$A$8:$G$289,7)</f>
        <v>0</v>
      </c>
      <c r="I47" s="133">
        <v>0</v>
      </c>
      <c r="J47" s="134">
        <f t="shared" si="1"/>
        <v>3.4049999999999998</v>
      </c>
      <c r="K47" s="140">
        <f t="shared" si="12"/>
        <v>0</v>
      </c>
      <c r="L47" s="136">
        <f>IF(Control!$C$25=Control!$B$26,J47,I47)+K47</f>
        <v>3.4049999999999998</v>
      </c>
      <c r="M47" s="133">
        <v>0</v>
      </c>
      <c r="N47" s="134">
        <f>VLOOKUP($B47,Curve_Fetch,VLOOKUP(Control!$F$25,Control!$E$26:$G$37,3))</f>
        <v>-0.105</v>
      </c>
      <c r="O47" s="140">
        <f t="shared" si="13"/>
        <v>0</v>
      </c>
      <c r="P47" s="136">
        <f>IF(Control!$C$30=Control!$B$31,N47,M47)+O47</f>
        <v>-0.105</v>
      </c>
      <c r="Q47" s="133">
        <v>0</v>
      </c>
      <c r="R47" s="134">
        <f>VLOOKUP($B47,Curve_Fetch,(VLOOKUP(Control!$F$25,Control!$E$26:$H$37,4)))</f>
        <v>5.0000000000000001E-3</v>
      </c>
      <c r="S47" s="140">
        <f t="shared" si="14"/>
        <v>0</v>
      </c>
      <c r="T47" s="136">
        <f>IF($C$12="Physical",IF(Control!$C$35=Control!$B$36,R47,Q47)+S47,0)</f>
        <v>0</v>
      </c>
      <c r="U47" s="176">
        <f t="shared" si="2"/>
        <v>3.3</v>
      </c>
      <c r="V47" s="152"/>
      <c r="W47" s="192">
        <f>VLOOKUP($B47,Curve_Fetch,VLOOKUP(Control!$F$25,Control!$E$26:$I$37,5))</f>
        <v>0.38</v>
      </c>
      <c r="X47" s="194">
        <f t="shared" si="15"/>
        <v>0</v>
      </c>
      <c r="Y47" s="194">
        <f t="shared" si="3"/>
        <v>0.38</v>
      </c>
      <c r="Z47" s="140">
        <f t="shared" ca="1" si="16"/>
        <v>0.28657937898642949</v>
      </c>
      <c r="AA47" s="140">
        <f t="shared" ca="1" si="17"/>
        <v>3.5865793789864293</v>
      </c>
      <c r="AB47" s="203">
        <f ca="1">_xll.EURO($U47,AA47,VLOOKUP($B47,Curve_Fetch,2),VLOOKUP($B47,Curve_Fetch,2),Y47,VLOOKUP($B47,Model!$A$8:$H$288,8),1,0)</f>
        <v>0.46291061010990231</v>
      </c>
      <c r="AC47" s="134"/>
      <c r="AD47" s="192">
        <f>VLOOKUP($B47,Curve_Fetch,VLOOKUP(Control!$F$25,Control!$E$26:$I$37,5))</f>
        <v>0.38</v>
      </c>
      <c r="AE47" s="194">
        <f t="shared" si="18"/>
        <v>0</v>
      </c>
      <c r="AF47" s="194">
        <f t="shared" si="4"/>
        <v>0.38</v>
      </c>
      <c r="AG47" s="140">
        <f t="shared" si="5"/>
        <v>-0.20435881234430545</v>
      </c>
      <c r="AH47" s="140">
        <f t="shared" si="19"/>
        <v>3.0956411876556942</v>
      </c>
      <c r="AI47" s="203">
        <f>_xll.EURO($U47,AH47,VLOOKUP($B47,Curve_Fetch,2),VLOOKUP($B47,Curve_Fetch,2),AF47,VLOOKUP($B47,Model!$A$8:$H$288,8),0,0)</f>
        <v>0.45596548111346502</v>
      </c>
      <c r="AK47" s="137">
        <f t="shared" ca="1" si="6"/>
        <v>0</v>
      </c>
      <c r="AL47" s="138">
        <f t="shared" ca="1" si="7"/>
        <v>0</v>
      </c>
      <c r="AM47" s="138">
        <f t="shared" ca="1" si="8"/>
        <v>0</v>
      </c>
      <c r="AN47" s="138">
        <f t="shared" ca="1" si="9"/>
        <v>0</v>
      </c>
      <c r="AO47" s="138">
        <f t="shared" ca="1" si="10"/>
        <v>0</v>
      </c>
      <c r="AP47" s="138">
        <f t="shared" ca="1" si="11"/>
        <v>0</v>
      </c>
      <c r="AQ47" s="138">
        <f t="shared" si="20"/>
        <v>0</v>
      </c>
      <c r="AR47" s="139">
        <f t="shared" ca="1" si="21"/>
        <v>0</v>
      </c>
      <c r="AT47"/>
      <c r="AU47"/>
      <c r="AV47"/>
      <c r="AW47"/>
      <c r="AX47"/>
      <c r="AY47"/>
      <c r="AZ47"/>
      <c r="BA47"/>
    </row>
    <row r="48" spans="2:63">
      <c r="B48" s="131">
        <f>[1]!_xludf.edate(B47,1)</f>
        <v>37742</v>
      </c>
      <c r="C48" s="132">
        <f t="shared" si="0"/>
        <v>37773</v>
      </c>
      <c r="D48" s="159">
        <v>0</v>
      </c>
      <c r="E48" s="160">
        <f>VLOOKUP($B48,Model!$A$8:$E$289,5)</f>
        <v>0</v>
      </c>
      <c r="F48" s="160">
        <f>VLOOKUP($B48,Model!$A$8:$F$289,6)</f>
        <v>0</v>
      </c>
      <c r="G48" s="179">
        <f ca="1">VLOOKUP($B48,Model!$A$8:$G$289,7)</f>
        <v>0</v>
      </c>
      <c r="I48" s="133">
        <v>0</v>
      </c>
      <c r="J48" s="134">
        <f t="shared" si="1"/>
        <v>3.41</v>
      </c>
      <c r="K48" s="140">
        <f t="shared" si="12"/>
        <v>0</v>
      </c>
      <c r="L48" s="136">
        <f>IF(Control!$C$25=Control!$B$26,J48,I48)+K48</f>
        <v>3.41</v>
      </c>
      <c r="M48" s="133">
        <v>0</v>
      </c>
      <c r="N48" s="134">
        <f>VLOOKUP($B48,Curve_Fetch,VLOOKUP(Control!$F$25,Control!$E$26:$G$37,3))</f>
        <v>-0.105</v>
      </c>
      <c r="O48" s="140">
        <f t="shared" si="13"/>
        <v>0</v>
      </c>
      <c r="P48" s="136">
        <f>IF(Control!$C$30=Control!$B$31,N48,M48)+O48</f>
        <v>-0.105</v>
      </c>
      <c r="Q48" s="133">
        <v>0</v>
      </c>
      <c r="R48" s="134">
        <f>VLOOKUP($B48,Curve_Fetch,(VLOOKUP(Control!$F$25,Control!$E$26:$H$37,4)))</f>
        <v>5.0000000000000001E-3</v>
      </c>
      <c r="S48" s="140">
        <f t="shared" si="14"/>
        <v>0</v>
      </c>
      <c r="T48" s="136">
        <f>IF($C$12="Physical",IF(Control!$C$35=Control!$B$36,R48,Q48)+S48,0)</f>
        <v>0</v>
      </c>
      <c r="U48" s="176">
        <f t="shared" si="2"/>
        <v>3.3050000000000002</v>
      </c>
      <c r="V48" s="152"/>
      <c r="W48" s="192">
        <f>VLOOKUP($B48,Curve_Fetch,VLOOKUP(Control!$F$25,Control!$E$26:$I$37,5))</f>
        <v>0.36299999999999999</v>
      </c>
      <c r="X48" s="194">
        <f t="shared" si="15"/>
        <v>0</v>
      </c>
      <c r="Y48" s="194">
        <f t="shared" si="3"/>
        <v>0.36299999999999999</v>
      </c>
      <c r="Z48" s="140">
        <f t="shared" ca="1" si="16"/>
        <v>0.28657937898642949</v>
      </c>
      <c r="AA48" s="140">
        <f t="shared" ca="1" si="17"/>
        <v>3.5915793789864296</v>
      </c>
      <c r="AB48" s="203">
        <f ca="1">_xll.EURO($U48,AA48,VLOOKUP($B48,Curve_Fetch,2),VLOOKUP($B48,Curve_Fetch,2),Y48,VLOOKUP($B48,Model!$A$8:$H$288,8),1,0)</f>
        <v>0.45267679676431016</v>
      </c>
      <c r="AC48" s="134"/>
      <c r="AD48" s="192">
        <f>VLOOKUP($B48,Curve_Fetch,VLOOKUP(Control!$F$25,Control!$E$26:$I$37,5))</f>
        <v>0.36299999999999999</v>
      </c>
      <c r="AE48" s="194">
        <f t="shared" si="18"/>
        <v>0</v>
      </c>
      <c r="AF48" s="194">
        <f t="shared" si="4"/>
        <v>0.36299999999999999</v>
      </c>
      <c r="AG48" s="140">
        <f t="shared" si="5"/>
        <v>-0.20435881234430545</v>
      </c>
      <c r="AH48" s="140">
        <f t="shared" si="19"/>
        <v>3.1006411876556945</v>
      </c>
      <c r="AI48" s="203">
        <f>_xll.EURO($U48,AH48,VLOOKUP($B48,Curve_Fetch,2),VLOOKUP($B48,Curve_Fetch,2),AF48,VLOOKUP($B48,Model!$A$8:$H$288,8),0,0)</f>
        <v>0.44638329525361797</v>
      </c>
      <c r="AK48" s="137">
        <f t="shared" ca="1" si="6"/>
        <v>0</v>
      </c>
      <c r="AL48" s="138">
        <f t="shared" ca="1" si="7"/>
        <v>0</v>
      </c>
      <c r="AM48" s="138">
        <f t="shared" ca="1" si="8"/>
        <v>0</v>
      </c>
      <c r="AN48" s="138">
        <f t="shared" ca="1" si="9"/>
        <v>0</v>
      </c>
      <c r="AO48" s="138">
        <f t="shared" ca="1" si="10"/>
        <v>0</v>
      </c>
      <c r="AP48" s="138">
        <f t="shared" ca="1" si="11"/>
        <v>0</v>
      </c>
      <c r="AQ48" s="138">
        <f t="shared" si="20"/>
        <v>0</v>
      </c>
      <c r="AR48" s="139">
        <f t="shared" ca="1" si="21"/>
        <v>0</v>
      </c>
      <c r="AT48"/>
      <c r="AU48"/>
      <c r="AV48"/>
      <c r="AW48"/>
      <c r="AX48"/>
      <c r="AY48"/>
      <c r="AZ48"/>
      <c r="BA48"/>
    </row>
    <row r="49" spans="2:53">
      <c r="B49" s="131">
        <f>[1]!_xludf.edate(B48,1)</f>
        <v>37773</v>
      </c>
      <c r="C49" s="132">
        <f t="shared" si="0"/>
        <v>37803</v>
      </c>
      <c r="D49" s="159">
        <v>0</v>
      </c>
      <c r="E49" s="160">
        <f>VLOOKUP($B49,Model!$A$8:$E$289,5)</f>
        <v>0</v>
      </c>
      <c r="F49" s="160">
        <f>VLOOKUP($B49,Model!$A$8:$F$289,6)</f>
        <v>0</v>
      </c>
      <c r="G49" s="179">
        <f ca="1">VLOOKUP($B49,Model!$A$8:$G$289,7)</f>
        <v>0</v>
      </c>
      <c r="I49" s="133">
        <v>0</v>
      </c>
      <c r="J49" s="134">
        <f t="shared" si="1"/>
        <v>3.4350000000000001</v>
      </c>
      <c r="K49" s="140">
        <f t="shared" si="12"/>
        <v>0</v>
      </c>
      <c r="L49" s="136">
        <f>IF(Control!$C$25=Control!$B$26,J49,I49)+K49</f>
        <v>3.4350000000000001</v>
      </c>
      <c r="M49" s="133">
        <v>0</v>
      </c>
      <c r="N49" s="134">
        <f>VLOOKUP($B49,Curve_Fetch,VLOOKUP(Control!$F$25,Control!$E$26:$G$37,3))</f>
        <v>-0.105</v>
      </c>
      <c r="O49" s="140">
        <f t="shared" si="13"/>
        <v>0</v>
      </c>
      <c r="P49" s="136">
        <f>IF(Control!$C$30=Control!$B$31,N49,M49)+O49</f>
        <v>-0.105</v>
      </c>
      <c r="Q49" s="133">
        <v>0</v>
      </c>
      <c r="R49" s="134">
        <f>VLOOKUP($B49,Curve_Fetch,(VLOOKUP(Control!$F$25,Control!$E$26:$H$37,4)))</f>
        <v>5.0000000000000001E-3</v>
      </c>
      <c r="S49" s="140">
        <f t="shared" si="14"/>
        <v>0</v>
      </c>
      <c r="T49" s="136">
        <f>IF($C$12="Physical",IF(Control!$C$35=Control!$B$36,R49,Q49)+S49,0)</f>
        <v>0</v>
      </c>
      <c r="U49" s="176">
        <f t="shared" si="2"/>
        <v>3.33</v>
      </c>
      <c r="V49" s="152"/>
      <c r="W49" s="192">
        <f>VLOOKUP($B49,Curve_Fetch,VLOOKUP(Control!$F$25,Control!$E$26:$I$37,5))</f>
        <v>0.35799999999999998</v>
      </c>
      <c r="X49" s="194">
        <f t="shared" si="15"/>
        <v>0</v>
      </c>
      <c r="Y49" s="194">
        <f t="shared" si="3"/>
        <v>0.35799999999999998</v>
      </c>
      <c r="Z49" s="140">
        <f t="shared" ca="1" si="16"/>
        <v>0.28657937898642949</v>
      </c>
      <c r="AA49" s="140">
        <f t="shared" ca="1" si="17"/>
        <v>3.6165793789864296</v>
      </c>
      <c r="AB49" s="203">
        <f ca="1">_xll.EURO($U49,AA49,VLOOKUP($B49,Curve_Fetch,2),VLOOKUP($B49,Curve_Fetch,2),Y49,VLOOKUP($B49,Model!$A$8:$H$288,8),1,0)</f>
        <v>0.46335299098716698</v>
      </c>
      <c r="AC49" s="134"/>
      <c r="AD49" s="192">
        <f>VLOOKUP($B49,Curve_Fetch,VLOOKUP(Control!$F$25,Control!$E$26:$I$37,5))</f>
        <v>0.35799999999999998</v>
      </c>
      <c r="AE49" s="194">
        <f t="shared" si="18"/>
        <v>0</v>
      </c>
      <c r="AF49" s="194">
        <f t="shared" si="4"/>
        <v>0.35799999999999998</v>
      </c>
      <c r="AG49" s="140">
        <f t="shared" si="5"/>
        <v>-0.20435881234430545</v>
      </c>
      <c r="AH49" s="140">
        <f t="shared" si="19"/>
        <v>3.1256411876556944</v>
      </c>
      <c r="AI49" s="203">
        <f>_xll.EURO($U49,AH49,VLOOKUP($B49,Curve_Fetch,2),VLOOKUP($B49,Curve_Fetch,2),AF49,VLOOKUP($B49,Model!$A$8:$H$288,8),0,0)</f>
        <v>0.45660245385446041</v>
      </c>
      <c r="AK49" s="137">
        <f t="shared" ca="1" si="6"/>
        <v>0</v>
      </c>
      <c r="AL49" s="138">
        <f t="shared" ca="1" si="7"/>
        <v>0</v>
      </c>
      <c r="AM49" s="138">
        <f t="shared" ca="1" si="8"/>
        <v>0</v>
      </c>
      <c r="AN49" s="138">
        <f t="shared" ca="1" si="9"/>
        <v>0</v>
      </c>
      <c r="AO49" s="138">
        <f t="shared" ca="1" si="10"/>
        <v>0</v>
      </c>
      <c r="AP49" s="138">
        <f t="shared" ca="1" si="11"/>
        <v>0</v>
      </c>
      <c r="AQ49" s="138">
        <f t="shared" si="20"/>
        <v>0</v>
      </c>
      <c r="AR49" s="139">
        <f t="shared" ca="1" si="21"/>
        <v>0</v>
      </c>
      <c r="AT49"/>
      <c r="AU49"/>
      <c r="AV49"/>
      <c r="AW49"/>
      <c r="AX49"/>
      <c r="AY49"/>
      <c r="AZ49"/>
      <c r="BA49"/>
    </row>
    <row r="50" spans="2:53">
      <c r="B50" s="131">
        <f>[1]!_xludf.edate(B49,1)</f>
        <v>37803</v>
      </c>
      <c r="C50" s="132">
        <f t="shared" si="0"/>
        <v>37834</v>
      </c>
      <c r="D50" s="159">
        <v>0</v>
      </c>
      <c r="E50" s="160">
        <f>VLOOKUP($B50,Model!$A$8:$E$289,5)</f>
        <v>0</v>
      </c>
      <c r="F50" s="160">
        <f>VLOOKUP($B50,Model!$A$8:$F$289,6)</f>
        <v>0</v>
      </c>
      <c r="G50" s="179">
        <f ca="1">VLOOKUP($B50,Model!$A$8:$G$289,7)</f>
        <v>0</v>
      </c>
      <c r="I50" s="133">
        <v>0</v>
      </c>
      <c r="J50" s="134">
        <f t="shared" si="1"/>
        <v>3.47</v>
      </c>
      <c r="K50" s="140">
        <f t="shared" si="12"/>
        <v>0</v>
      </c>
      <c r="L50" s="136">
        <f>IF(Control!$C$25=Control!$B$26,J50,I50)+K50</f>
        <v>3.47</v>
      </c>
      <c r="M50" s="133">
        <v>0</v>
      </c>
      <c r="N50" s="134">
        <f>VLOOKUP($B50,Curve_Fetch,VLOOKUP(Control!$F$25,Control!$E$26:$G$37,3))</f>
        <v>-0.105</v>
      </c>
      <c r="O50" s="140">
        <f t="shared" si="13"/>
        <v>0</v>
      </c>
      <c r="P50" s="136">
        <f>IF(Control!$C$30=Control!$B$31,N50,M50)+O50</f>
        <v>-0.105</v>
      </c>
      <c r="Q50" s="133">
        <v>0</v>
      </c>
      <c r="R50" s="134">
        <f>VLOOKUP($B50,Curve_Fetch,(VLOOKUP(Control!$F$25,Control!$E$26:$H$37,4)))</f>
        <v>5.0000000000000001E-3</v>
      </c>
      <c r="S50" s="140">
        <f t="shared" si="14"/>
        <v>0</v>
      </c>
      <c r="T50" s="136">
        <f>IF($C$12="Physical",IF(Control!$C$35=Control!$B$36,R50,Q50)+S50,0)</f>
        <v>0</v>
      </c>
      <c r="U50" s="176">
        <f t="shared" si="2"/>
        <v>3.3650000000000002</v>
      </c>
      <c r="V50" s="152"/>
      <c r="W50" s="192">
        <f>VLOOKUP($B50,Curve_Fetch,VLOOKUP(Control!$F$25,Control!$E$26:$I$37,5))</f>
        <v>0.35799999999999998</v>
      </c>
      <c r="X50" s="194">
        <f t="shared" si="15"/>
        <v>0</v>
      </c>
      <c r="Y50" s="194">
        <f t="shared" si="3"/>
        <v>0.35799999999999998</v>
      </c>
      <c r="Z50" s="140">
        <f t="shared" ca="1" si="16"/>
        <v>0.28657937898642949</v>
      </c>
      <c r="AA50" s="140">
        <f t="shared" ca="1" si="17"/>
        <v>3.6515793789864297</v>
      </c>
      <c r="AB50" s="203">
        <f ca="1">_xll.EURO($U50,AA50,VLOOKUP($B50,Curve_Fetch,2),VLOOKUP($B50,Curve_Fetch,2),Y50,VLOOKUP($B50,Model!$A$8:$H$288,8),1,0)</f>
        <v>0.48266154913153247</v>
      </c>
      <c r="AC50" s="134"/>
      <c r="AD50" s="192">
        <f>VLOOKUP($B50,Curve_Fetch,VLOOKUP(Control!$F$25,Control!$E$26:$I$37,5))</f>
        <v>0.35799999999999998</v>
      </c>
      <c r="AE50" s="194">
        <f t="shared" si="18"/>
        <v>0</v>
      </c>
      <c r="AF50" s="194">
        <f t="shared" si="4"/>
        <v>0.35799999999999998</v>
      </c>
      <c r="AG50" s="140">
        <f t="shared" si="5"/>
        <v>-0.20435881234430545</v>
      </c>
      <c r="AH50" s="140">
        <f t="shared" si="19"/>
        <v>3.1606411876556946</v>
      </c>
      <c r="AI50" s="203">
        <f>_xll.EURO($U50,AH50,VLOOKUP($B50,Curve_Fetch,2),VLOOKUP($B50,Curve_Fetch,2),AF50,VLOOKUP($B50,Model!$A$8:$H$288,8),0,0)</f>
        <v>0.47502763867019238</v>
      </c>
      <c r="AK50" s="137">
        <f t="shared" ca="1" si="6"/>
        <v>0</v>
      </c>
      <c r="AL50" s="138">
        <f t="shared" ca="1" si="7"/>
        <v>0</v>
      </c>
      <c r="AM50" s="138">
        <f t="shared" ca="1" si="8"/>
        <v>0</v>
      </c>
      <c r="AN50" s="138">
        <f t="shared" ca="1" si="9"/>
        <v>0</v>
      </c>
      <c r="AO50" s="138">
        <f t="shared" ca="1" si="10"/>
        <v>0</v>
      </c>
      <c r="AP50" s="138">
        <f t="shared" ca="1" si="11"/>
        <v>0</v>
      </c>
      <c r="AQ50" s="138">
        <f t="shared" si="20"/>
        <v>0</v>
      </c>
      <c r="AR50" s="139">
        <f t="shared" ca="1" si="21"/>
        <v>0</v>
      </c>
      <c r="AT50"/>
      <c r="AU50"/>
      <c r="AV50"/>
      <c r="AW50"/>
      <c r="AX50"/>
      <c r="AY50"/>
      <c r="AZ50"/>
      <c r="BA50"/>
    </row>
    <row r="51" spans="2:53">
      <c r="B51" s="131">
        <f>[1]!_xludf.edate(B50,1)</f>
        <v>37834</v>
      </c>
      <c r="C51" s="132">
        <f t="shared" si="0"/>
        <v>37865</v>
      </c>
      <c r="D51" s="159">
        <v>0</v>
      </c>
      <c r="E51" s="160">
        <f>VLOOKUP($B51,Model!$A$8:$E$289,5)</f>
        <v>0</v>
      </c>
      <c r="F51" s="160">
        <f>VLOOKUP($B51,Model!$A$8:$F$289,6)</f>
        <v>0</v>
      </c>
      <c r="G51" s="179">
        <f ca="1">VLOOKUP($B51,Model!$A$8:$G$289,7)</f>
        <v>0</v>
      </c>
      <c r="I51" s="133">
        <v>0</v>
      </c>
      <c r="J51" s="134">
        <f t="shared" si="1"/>
        <v>3.5049999999999999</v>
      </c>
      <c r="K51" s="140">
        <f t="shared" si="12"/>
        <v>0</v>
      </c>
      <c r="L51" s="136">
        <f>IF(Control!$C$25=Control!$B$26,J51,I51)+K51</f>
        <v>3.5049999999999999</v>
      </c>
      <c r="M51" s="133">
        <v>0</v>
      </c>
      <c r="N51" s="134">
        <f>VLOOKUP($B51,Curve_Fetch,VLOOKUP(Control!$F$25,Control!$E$26:$G$37,3))</f>
        <v>-0.105</v>
      </c>
      <c r="O51" s="140">
        <f t="shared" si="13"/>
        <v>0</v>
      </c>
      <c r="P51" s="136">
        <f>IF(Control!$C$30=Control!$B$31,N51,M51)+O51</f>
        <v>-0.105</v>
      </c>
      <c r="Q51" s="133">
        <v>0</v>
      </c>
      <c r="R51" s="134">
        <f>VLOOKUP($B51,Curve_Fetch,(VLOOKUP(Control!$F$25,Control!$E$26:$H$37,4)))</f>
        <v>5.0000000000000001E-3</v>
      </c>
      <c r="S51" s="140">
        <f t="shared" si="14"/>
        <v>0</v>
      </c>
      <c r="T51" s="136">
        <f>IF($C$12="Physical",IF(Control!$C$35=Control!$B$36,R51,Q51)+S51,0)</f>
        <v>0</v>
      </c>
      <c r="U51" s="176">
        <f t="shared" si="2"/>
        <v>3.4</v>
      </c>
      <c r="V51" s="152"/>
      <c r="W51" s="192">
        <f>VLOOKUP($B51,Curve_Fetch,VLOOKUP(Control!$F$25,Control!$E$26:$I$37,5))</f>
        <v>0.35799999999999998</v>
      </c>
      <c r="X51" s="194">
        <f t="shared" si="15"/>
        <v>0</v>
      </c>
      <c r="Y51" s="194">
        <f t="shared" si="3"/>
        <v>0.35799999999999998</v>
      </c>
      <c r="Z51" s="140">
        <f t="shared" ca="1" si="16"/>
        <v>0.28657937898642949</v>
      </c>
      <c r="AA51" s="140">
        <f t="shared" ca="1" si="17"/>
        <v>3.6865793789864294</v>
      </c>
      <c r="AB51" s="203">
        <f ca="1">_xll.EURO($U51,AA51,VLOOKUP($B51,Curve_Fetch,2),VLOOKUP($B51,Curve_Fetch,2),Y51,VLOOKUP($B51,Model!$A$8:$H$288,8),1,0)</f>
        <v>0.50214591306079437</v>
      </c>
      <c r="AC51" s="134"/>
      <c r="AD51" s="192">
        <f>VLOOKUP($B51,Curve_Fetch,VLOOKUP(Control!$F$25,Control!$E$26:$I$37,5))</f>
        <v>0.35799999999999998</v>
      </c>
      <c r="AE51" s="194">
        <f t="shared" si="18"/>
        <v>0</v>
      </c>
      <c r="AF51" s="194">
        <f t="shared" si="4"/>
        <v>0.35799999999999998</v>
      </c>
      <c r="AG51" s="140">
        <f t="shared" si="5"/>
        <v>-0.20435881234430545</v>
      </c>
      <c r="AH51" s="140">
        <f t="shared" si="19"/>
        <v>3.1956411876556943</v>
      </c>
      <c r="AI51" s="203">
        <f>_xll.EURO($U51,AH51,VLOOKUP($B51,Curve_Fetch,2),VLOOKUP($B51,Curve_Fetch,2),AF51,VLOOKUP($B51,Model!$A$8:$H$288,8),0,0)</f>
        <v>0.49362220274471102</v>
      </c>
      <c r="AK51" s="137">
        <f t="shared" ca="1" si="6"/>
        <v>0</v>
      </c>
      <c r="AL51" s="138">
        <f t="shared" ca="1" si="7"/>
        <v>0</v>
      </c>
      <c r="AM51" s="138">
        <f t="shared" ca="1" si="8"/>
        <v>0</v>
      </c>
      <c r="AN51" s="138">
        <f t="shared" ca="1" si="9"/>
        <v>0</v>
      </c>
      <c r="AO51" s="138">
        <f t="shared" ca="1" si="10"/>
        <v>0</v>
      </c>
      <c r="AP51" s="138">
        <f t="shared" ca="1" si="11"/>
        <v>0</v>
      </c>
      <c r="AQ51" s="138">
        <f t="shared" si="20"/>
        <v>0</v>
      </c>
      <c r="AR51" s="139">
        <f t="shared" ca="1" si="21"/>
        <v>0</v>
      </c>
      <c r="AT51"/>
      <c r="AU51"/>
      <c r="AV51"/>
      <c r="AW51"/>
      <c r="AX51"/>
      <c r="AY51"/>
      <c r="AZ51"/>
      <c r="BA51"/>
    </row>
    <row r="52" spans="2:53">
      <c r="B52" s="131">
        <f>[1]!_xludf.edate(B51,1)</f>
        <v>37865</v>
      </c>
      <c r="C52" s="132">
        <f t="shared" si="0"/>
        <v>37895</v>
      </c>
      <c r="D52" s="159">
        <v>0</v>
      </c>
      <c r="E52" s="160">
        <f>VLOOKUP($B52,Model!$A$8:$E$289,5)</f>
        <v>0</v>
      </c>
      <c r="F52" s="160">
        <f>VLOOKUP($B52,Model!$A$8:$F$289,6)</f>
        <v>0</v>
      </c>
      <c r="G52" s="179">
        <f ca="1">VLOOKUP($B52,Model!$A$8:$G$289,7)</f>
        <v>0</v>
      </c>
      <c r="I52" s="133">
        <v>0</v>
      </c>
      <c r="J52" s="134">
        <f t="shared" si="1"/>
        <v>3.5169999999999999</v>
      </c>
      <c r="K52" s="140">
        <f t="shared" si="12"/>
        <v>0</v>
      </c>
      <c r="L52" s="136">
        <f>IF(Control!$C$25=Control!$B$26,J52,I52)+K52</f>
        <v>3.5169999999999999</v>
      </c>
      <c r="M52" s="133">
        <v>0</v>
      </c>
      <c r="N52" s="134">
        <f>VLOOKUP($B52,Curve_Fetch,VLOOKUP(Control!$F$25,Control!$E$26:$G$37,3))</f>
        <v>-0.105</v>
      </c>
      <c r="O52" s="140">
        <f t="shared" si="13"/>
        <v>0</v>
      </c>
      <c r="P52" s="136">
        <f>IF(Control!$C$30=Control!$B$31,N52,M52)+O52</f>
        <v>-0.105</v>
      </c>
      <c r="Q52" s="133">
        <v>0</v>
      </c>
      <c r="R52" s="134">
        <f>VLOOKUP($B52,Curve_Fetch,(VLOOKUP(Control!$F$25,Control!$E$26:$H$37,4)))</f>
        <v>5.0000000000000001E-3</v>
      </c>
      <c r="S52" s="140">
        <f t="shared" si="14"/>
        <v>0</v>
      </c>
      <c r="T52" s="136">
        <f>IF($C$12="Physical",IF(Control!$C$35=Control!$B$36,R52,Q52)+S52,0)</f>
        <v>0</v>
      </c>
      <c r="U52" s="176">
        <f t="shared" si="2"/>
        <v>3.4119999999999999</v>
      </c>
      <c r="V52" s="152"/>
      <c r="W52" s="192">
        <f>VLOOKUP($B52,Curve_Fetch,VLOOKUP(Control!$F$25,Control!$E$26:$I$37,5))</f>
        <v>0.35799999999999998</v>
      </c>
      <c r="X52" s="194">
        <f t="shared" si="15"/>
        <v>0</v>
      </c>
      <c r="Y52" s="194">
        <f t="shared" si="3"/>
        <v>0.35799999999999998</v>
      </c>
      <c r="Z52" s="140">
        <f t="shared" ca="1" si="16"/>
        <v>0.28657937898642949</v>
      </c>
      <c r="AA52" s="140">
        <f t="shared" ca="1" si="17"/>
        <v>3.6985793789864294</v>
      </c>
      <c r="AB52" s="203">
        <f ca="1">_xll.EURO($U52,AA52,VLOOKUP($B52,Curve_Fetch,2),VLOOKUP($B52,Curve_Fetch,2),Y52,VLOOKUP($B52,Model!$A$8:$H$288,8),1,0)</f>
        <v>0.51726013433139073</v>
      </c>
      <c r="AC52" s="134"/>
      <c r="AD52" s="192">
        <f>VLOOKUP($B52,Curve_Fetch,VLOOKUP(Control!$F$25,Control!$E$26:$I$37,5))</f>
        <v>0.35799999999999998</v>
      </c>
      <c r="AE52" s="194">
        <f t="shared" si="18"/>
        <v>0</v>
      </c>
      <c r="AF52" s="194">
        <f t="shared" si="4"/>
        <v>0.35799999999999998</v>
      </c>
      <c r="AG52" s="140">
        <f t="shared" si="5"/>
        <v>-0.20435881234430545</v>
      </c>
      <c r="AH52" s="140">
        <f t="shared" si="19"/>
        <v>3.2076411876556943</v>
      </c>
      <c r="AI52" s="203">
        <f>_xll.EURO($U52,AH52,VLOOKUP($B52,Curve_Fetch,2),VLOOKUP($B52,Curve_Fetch,2),AF52,VLOOKUP($B52,Model!$A$8:$H$288,8),0,0)</f>
        <v>0.50784728076793728</v>
      </c>
      <c r="AK52" s="137">
        <f t="shared" ca="1" si="6"/>
        <v>0</v>
      </c>
      <c r="AL52" s="138">
        <f t="shared" ca="1" si="7"/>
        <v>0</v>
      </c>
      <c r="AM52" s="138">
        <f t="shared" ca="1" si="8"/>
        <v>0</v>
      </c>
      <c r="AN52" s="138">
        <f t="shared" ca="1" si="9"/>
        <v>0</v>
      </c>
      <c r="AO52" s="138">
        <f t="shared" ca="1" si="10"/>
        <v>0</v>
      </c>
      <c r="AP52" s="138">
        <f t="shared" ca="1" si="11"/>
        <v>0</v>
      </c>
      <c r="AQ52" s="138">
        <f t="shared" si="20"/>
        <v>0</v>
      </c>
      <c r="AR52" s="139">
        <f t="shared" ca="1" si="21"/>
        <v>0</v>
      </c>
      <c r="AT52"/>
      <c r="AU52"/>
      <c r="AV52"/>
      <c r="AW52"/>
      <c r="AX52"/>
      <c r="AY52"/>
      <c r="AZ52"/>
      <c r="BA52"/>
    </row>
    <row r="53" spans="2:53">
      <c r="B53" s="131">
        <f>[1]!_xludf.edate(B52,1)</f>
        <v>37895</v>
      </c>
      <c r="C53" s="132">
        <f t="shared" si="0"/>
        <v>37926</v>
      </c>
      <c r="D53" s="159">
        <v>0</v>
      </c>
      <c r="E53" s="160">
        <f>VLOOKUP($B53,Model!$A$8:$E$289,5)</f>
        <v>0</v>
      </c>
      <c r="F53" s="160">
        <f>VLOOKUP($B53,Model!$A$8:$F$289,6)</f>
        <v>0</v>
      </c>
      <c r="G53" s="179">
        <f ca="1">VLOOKUP($B53,Model!$A$8:$G$289,7)</f>
        <v>0</v>
      </c>
      <c r="I53" s="133">
        <v>0</v>
      </c>
      <c r="J53" s="134">
        <f t="shared" si="1"/>
        <v>3.55</v>
      </c>
      <c r="K53" s="140">
        <f t="shared" si="12"/>
        <v>0</v>
      </c>
      <c r="L53" s="136">
        <f>IF(Control!$C$25=Control!$B$26,J53,I53)+K53</f>
        <v>3.55</v>
      </c>
      <c r="M53" s="133">
        <v>0</v>
      </c>
      <c r="N53" s="134">
        <f>VLOOKUP($B53,Curve_Fetch,VLOOKUP(Control!$F$25,Control!$E$26:$G$37,3))</f>
        <v>-0.105</v>
      </c>
      <c r="O53" s="140">
        <f t="shared" si="13"/>
        <v>0</v>
      </c>
      <c r="P53" s="136">
        <f>IF(Control!$C$30=Control!$B$31,N53,M53)+O53</f>
        <v>-0.105</v>
      </c>
      <c r="Q53" s="133">
        <v>0</v>
      </c>
      <c r="R53" s="134">
        <f>VLOOKUP($B53,Curve_Fetch,(VLOOKUP(Control!$F$25,Control!$E$26:$H$37,4)))</f>
        <v>5.0000000000000001E-3</v>
      </c>
      <c r="S53" s="140">
        <f t="shared" si="14"/>
        <v>0</v>
      </c>
      <c r="T53" s="136">
        <f>IF($C$12="Physical",IF(Control!$C$35=Control!$B$36,R53,Q53)+S53,0)</f>
        <v>0</v>
      </c>
      <c r="U53" s="176">
        <f t="shared" si="2"/>
        <v>3.4449999999999998</v>
      </c>
      <c r="V53" s="152"/>
      <c r="W53" s="192">
        <f>VLOOKUP($B53,Curve_Fetch,VLOOKUP(Control!$F$25,Control!$E$26:$I$37,5))</f>
        <v>0.35799999999999998</v>
      </c>
      <c r="X53" s="194">
        <f t="shared" si="15"/>
        <v>0</v>
      </c>
      <c r="Y53" s="194">
        <f t="shared" si="3"/>
        <v>0.35799999999999998</v>
      </c>
      <c r="Z53" s="140">
        <f t="shared" ca="1" si="16"/>
        <v>0.28657937898642949</v>
      </c>
      <c r="AA53" s="140">
        <f t="shared" ca="1" si="17"/>
        <v>3.7315793789864293</v>
      </c>
      <c r="AB53" s="203">
        <f ca="1">_xll.EURO($U53,AA53,VLOOKUP($B53,Curve_Fetch,2),VLOOKUP($B53,Curve_Fetch,2),Y53,VLOOKUP($B53,Model!$A$8:$H$288,8),1,0)</f>
        <v>0.53539741022413834</v>
      </c>
      <c r="AC53" s="134"/>
      <c r="AD53" s="192">
        <f>VLOOKUP($B53,Curve_Fetch,VLOOKUP(Control!$F$25,Control!$E$26:$I$37,5))</f>
        <v>0.35799999999999998</v>
      </c>
      <c r="AE53" s="194">
        <f t="shared" si="18"/>
        <v>0</v>
      </c>
      <c r="AF53" s="194">
        <f t="shared" si="4"/>
        <v>0.35799999999999998</v>
      </c>
      <c r="AG53" s="140">
        <f t="shared" si="5"/>
        <v>-0.20435881234430545</v>
      </c>
      <c r="AH53" s="140">
        <f t="shared" si="19"/>
        <v>3.2406411876556942</v>
      </c>
      <c r="AI53" s="203">
        <f>_xll.EURO($U53,AH53,VLOOKUP($B53,Curve_Fetch,2),VLOOKUP($B53,Curve_Fetch,2),AF53,VLOOKUP($B53,Model!$A$8:$H$288,8),0,0)</f>
        <v>0.52516873172518297</v>
      </c>
      <c r="AK53" s="137">
        <f t="shared" ca="1" si="6"/>
        <v>0</v>
      </c>
      <c r="AL53" s="138">
        <f t="shared" ca="1" si="7"/>
        <v>0</v>
      </c>
      <c r="AM53" s="138">
        <f t="shared" ca="1" si="8"/>
        <v>0</v>
      </c>
      <c r="AN53" s="138">
        <f t="shared" ca="1" si="9"/>
        <v>0</v>
      </c>
      <c r="AO53" s="138">
        <f t="shared" ca="1" si="10"/>
        <v>0</v>
      </c>
      <c r="AP53" s="138">
        <f t="shared" ca="1" si="11"/>
        <v>0</v>
      </c>
      <c r="AQ53" s="138">
        <f t="shared" si="20"/>
        <v>0</v>
      </c>
      <c r="AR53" s="139">
        <f t="shared" ca="1" si="21"/>
        <v>0</v>
      </c>
      <c r="AT53"/>
      <c r="AU53"/>
      <c r="AV53"/>
      <c r="AW53"/>
      <c r="AX53"/>
      <c r="AY53"/>
      <c r="AZ53"/>
      <c r="BA53"/>
    </row>
    <row r="54" spans="2:53">
      <c r="B54" s="131">
        <f>[1]!_xludf.edate(B53,1)</f>
        <v>37926</v>
      </c>
      <c r="C54" s="132">
        <f t="shared" si="0"/>
        <v>37956</v>
      </c>
      <c r="D54" s="159">
        <v>0</v>
      </c>
      <c r="E54" s="160">
        <f>VLOOKUP($B54,Model!$A$8:$E$289,5)</f>
        <v>0</v>
      </c>
      <c r="F54" s="160">
        <f>VLOOKUP($B54,Model!$A$8:$F$289,6)</f>
        <v>0</v>
      </c>
      <c r="G54" s="179">
        <f ca="1">VLOOKUP($B54,Model!$A$8:$G$289,7)</f>
        <v>0</v>
      </c>
      <c r="I54" s="133">
        <v>0</v>
      </c>
      <c r="J54" s="134">
        <f t="shared" si="1"/>
        <v>3.722</v>
      </c>
      <c r="K54" s="140">
        <f t="shared" si="12"/>
        <v>0</v>
      </c>
      <c r="L54" s="136">
        <f>IF(Control!$C$25=Control!$B$26,J54,I54)+K54</f>
        <v>3.722</v>
      </c>
      <c r="M54" s="133">
        <v>0</v>
      </c>
      <c r="N54" s="134">
        <f>VLOOKUP($B54,Curve_Fetch,VLOOKUP(Control!$F$25,Control!$E$26:$G$37,3))</f>
        <v>-0.105</v>
      </c>
      <c r="O54" s="140">
        <f t="shared" si="13"/>
        <v>0</v>
      </c>
      <c r="P54" s="136">
        <f>IF(Control!$C$30=Control!$B$31,N54,M54)+O54</f>
        <v>-0.105</v>
      </c>
      <c r="Q54" s="133">
        <v>0</v>
      </c>
      <c r="R54" s="134">
        <f>VLOOKUP($B54,Curve_Fetch,(VLOOKUP(Control!$F$25,Control!$E$26:$H$37,4)))</f>
        <v>5.0000000000000001E-3</v>
      </c>
      <c r="S54" s="140">
        <f t="shared" si="14"/>
        <v>0</v>
      </c>
      <c r="T54" s="136">
        <f>IF($C$12="Physical",IF(Control!$C$35=Control!$B$36,R54,Q54)+S54,0)</f>
        <v>0</v>
      </c>
      <c r="U54" s="176">
        <f t="shared" si="2"/>
        <v>3.617</v>
      </c>
      <c r="V54" s="152"/>
      <c r="W54" s="192">
        <f>VLOOKUP($B54,Curve_Fetch,VLOOKUP(Control!$F$25,Control!$E$26:$I$37,5))</f>
        <v>0.35799999999999998</v>
      </c>
      <c r="X54" s="194">
        <f t="shared" si="15"/>
        <v>0</v>
      </c>
      <c r="Y54" s="194">
        <f t="shared" si="3"/>
        <v>0.35799999999999998</v>
      </c>
      <c r="Z54" s="140">
        <f t="shared" ca="1" si="16"/>
        <v>0.28657937898642949</v>
      </c>
      <c r="AA54" s="140">
        <f t="shared" ca="1" si="17"/>
        <v>3.9035793789864295</v>
      </c>
      <c r="AB54" s="203">
        <f ca="1">_xll.EURO($U54,AA54,VLOOKUP($B54,Curve_Fetch,2),VLOOKUP($B54,Curve_Fetch,2),Y54,VLOOKUP($B54,Model!$A$8:$H$288,8),1,0)</f>
        <v>0.57952998700817671</v>
      </c>
      <c r="AC54" s="134"/>
      <c r="AD54" s="192">
        <f>VLOOKUP($B54,Curve_Fetch,VLOOKUP(Control!$F$25,Control!$E$26:$I$37,5))</f>
        <v>0.35799999999999998</v>
      </c>
      <c r="AE54" s="194">
        <f t="shared" si="18"/>
        <v>0</v>
      </c>
      <c r="AF54" s="194">
        <f t="shared" si="4"/>
        <v>0.35799999999999998</v>
      </c>
      <c r="AG54" s="140">
        <f t="shared" si="5"/>
        <v>-0.20435881234430545</v>
      </c>
      <c r="AH54" s="140">
        <f t="shared" si="19"/>
        <v>3.4126411876556944</v>
      </c>
      <c r="AI54" s="203">
        <f>_xll.EURO($U54,AH54,VLOOKUP($B54,Curve_Fetch,2),VLOOKUP($B54,Curve_Fetch,2),AF54,VLOOKUP($B54,Model!$A$8:$H$288,8),0,0)</f>
        <v>0.56860469608130715</v>
      </c>
      <c r="AK54" s="137">
        <f t="shared" ca="1" si="6"/>
        <v>0</v>
      </c>
      <c r="AL54" s="138">
        <f t="shared" ca="1" si="7"/>
        <v>0</v>
      </c>
      <c r="AM54" s="138">
        <f t="shared" ca="1" si="8"/>
        <v>0</v>
      </c>
      <c r="AN54" s="138">
        <f t="shared" ca="1" si="9"/>
        <v>0</v>
      </c>
      <c r="AO54" s="138">
        <f t="shared" ca="1" si="10"/>
        <v>0</v>
      </c>
      <c r="AP54" s="138">
        <f t="shared" ca="1" si="11"/>
        <v>0</v>
      </c>
      <c r="AQ54" s="138">
        <f t="shared" si="20"/>
        <v>0</v>
      </c>
      <c r="AR54" s="139">
        <f t="shared" ca="1" si="21"/>
        <v>0</v>
      </c>
      <c r="AT54"/>
      <c r="AU54"/>
      <c r="AV54"/>
      <c r="AW54"/>
      <c r="AX54"/>
      <c r="AY54"/>
      <c r="AZ54"/>
      <c r="BA54"/>
    </row>
    <row r="55" spans="2:53">
      <c r="B55" s="131">
        <f>[1]!_xludf.edate(B54,1)</f>
        <v>37956</v>
      </c>
      <c r="C55" s="132">
        <f t="shared" si="0"/>
        <v>37987</v>
      </c>
      <c r="D55" s="159">
        <v>0</v>
      </c>
      <c r="E55" s="160">
        <f>VLOOKUP($B55,Model!$A$8:$E$289,5)</f>
        <v>0</v>
      </c>
      <c r="F55" s="160">
        <f>VLOOKUP($B55,Model!$A$8:$F$289,6)</f>
        <v>0</v>
      </c>
      <c r="G55" s="179">
        <f ca="1">VLOOKUP($B55,Model!$A$8:$G$289,7)</f>
        <v>0</v>
      </c>
      <c r="I55" s="133">
        <v>0</v>
      </c>
      <c r="J55" s="134">
        <f t="shared" si="1"/>
        <v>3.8740000000000001</v>
      </c>
      <c r="K55" s="140">
        <f t="shared" si="12"/>
        <v>0</v>
      </c>
      <c r="L55" s="136">
        <f>IF(Control!$C$25=Control!$B$26,J55,I55)+K55</f>
        <v>3.8740000000000001</v>
      </c>
      <c r="M55" s="133">
        <v>0</v>
      </c>
      <c r="N55" s="134">
        <f>VLOOKUP($B55,Curve_Fetch,VLOOKUP(Control!$F$25,Control!$E$26:$G$37,3))</f>
        <v>-0.105</v>
      </c>
      <c r="O55" s="140">
        <f t="shared" si="13"/>
        <v>0</v>
      </c>
      <c r="P55" s="136">
        <f>IF(Control!$C$30=Control!$B$31,N55,M55)+O55</f>
        <v>-0.105</v>
      </c>
      <c r="Q55" s="133">
        <v>0</v>
      </c>
      <c r="R55" s="134">
        <f>VLOOKUP($B55,Curve_Fetch,(VLOOKUP(Control!$F$25,Control!$E$26:$H$37,4)))</f>
        <v>5.0000000000000001E-3</v>
      </c>
      <c r="S55" s="140">
        <f t="shared" si="14"/>
        <v>0</v>
      </c>
      <c r="T55" s="136">
        <f>IF($C$12="Physical",IF(Control!$C$35=Control!$B$36,R55,Q55)+S55,0)</f>
        <v>0</v>
      </c>
      <c r="U55" s="176">
        <f t="shared" si="2"/>
        <v>3.7690000000000001</v>
      </c>
      <c r="V55" s="152"/>
      <c r="W55" s="192">
        <f>VLOOKUP($B55,Curve_Fetch,VLOOKUP(Control!$F$25,Control!$E$26:$I$37,5))</f>
        <v>0.35799999999999998</v>
      </c>
      <c r="X55" s="194">
        <f t="shared" si="15"/>
        <v>0</v>
      </c>
      <c r="Y55" s="194">
        <f t="shared" si="3"/>
        <v>0.35799999999999998</v>
      </c>
      <c r="Z55" s="140">
        <f t="shared" ca="1" si="16"/>
        <v>0.28657937898642949</v>
      </c>
      <c r="AA55" s="140">
        <f t="shared" ca="1" si="17"/>
        <v>4.0555793789864296</v>
      </c>
      <c r="AB55" s="203">
        <f ca="1">_xll.EURO($U55,AA55,VLOOKUP($B55,Curve_Fetch,2),VLOOKUP($B55,Curve_Fetch,2),Y55,VLOOKUP($B55,Model!$A$8:$H$288,8),1,0)</f>
        <v>0.62015988421727086</v>
      </c>
      <c r="AC55" s="134"/>
      <c r="AD55" s="192">
        <f>VLOOKUP($B55,Curve_Fetch,VLOOKUP(Control!$F$25,Control!$E$26:$I$37,5))</f>
        <v>0.35799999999999998</v>
      </c>
      <c r="AE55" s="194">
        <f t="shared" si="18"/>
        <v>0</v>
      </c>
      <c r="AF55" s="194">
        <f t="shared" si="4"/>
        <v>0.35799999999999998</v>
      </c>
      <c r="AG55" s="140">
        <f t="shared" si="5"/>
        <v>-0.20435881234430545</v>
      </c>
      <c r="AH55" s="140">
        <f t="shared" si="19"/>
        <v>3.5646411876556945</v>
      </c>
      <c r="AI55" s="203">
        <f>_xll.EURO($U55,AH55,VLOOKUP($B55,Curve_Fetch,2),VLOOKUP($B55,Curve_Fetch,2),AF55,VLOOKUP($B55,Model!$A$8:$H$288,8),0,0)</f>
        <v>0.60855298547999803</v>
      </c>
      <c r="AK55" s="137">
        <f t="shared" ca="1" si="6"/>
        <v>0</v>
      </c>
      <c r="AL55" s="138">
        <f t="shared" ca="1" si="7"/>
        <v>0</v>
      </c>
      <c r="AM55" s="138">
        <f t="shared" ca="1" si="8"/>
        <v>0</v>
      </c>
      <c r="AN55" s="138">
        <f t="shared" ca="1" si="9"/>
        <v>0</v>
      </c>
      <c r="AO55" s="138">
        <f t="shared" ca="1" si="10"/>
        <v>0</v>
      </c>
      <c r="AP55" s="138">
        <f t="shared" ca="1" si="11"/>
        <v>0</v>
      </c>
      <c r="AQ55" s="138">
        <f t="shared" si="20"/>
        <v>0</v>
      </c>
      <c r="AR55" s="139">
        <f t="shared" ca="1" si="21"/>
        <v>0</v>
      </c>
      <c r="AT55"/>
      <c r="AU55"/>
      <c r="AV55"/>
      <c r="AW55"/>
      <c r="AX55"/>
      <c r="AY55"/>
      <c r="AZ55"/>
      <c r="BA55"/>
    </row>
    <row r="56" spans="2:53">
      <c r="B56" s="131">
        <f>[1]!_xludf.edate(B55,1)</f>
        <v>37987</v>
      </c>
      <c r="C56" s="132">
        <f t="shared" si="0"/>
        <v>38018</v>
      </c>
      <c r="D56" s="159">
        <v>0</v>
      </c>
      <c r="E56" s="160">
        <f>VLOOKUP($B56,Model!$A$8:$E$289,5)</f>
        <v>0</v>
      </c>
      <c r="F56" s="160">
        <f>VLOOKUP($B56,Model!$A$8:$F$289,6)</f>
        <v>0</v>
      </c>
      <c r="G56" s="179">
        <f ca="1">VLOOKUP($B56,Model!$A$8:$G$289,7)</f>
        <v>0</v>
      </c>
      <c r="I56" s="133">
        <v>0</v>
      </c>
      <c r="J56" s="134">
        <f t="shared" si="1"/>
        <v>3.9289999999999998</v>
      </c>
      <c r="K56" s="140">
        <f t="shared" si="12"/>
        <v>0</v>
      </c>
      <c r="L56" s="136">
        <f>IF(Control!$C$25=Control!$B$26,J56,I56)+K56</f>
        <v>3.9289999999999998</v>
      </c>
      <c r="M56" s="133">
        <v>0</v>
      </c>
      <c r="N56" s="134">
        <f>VLOOKUP($B56,Curve_Fetch,VLOOKUP(Control!$F$25,Control!$E$26:$G$37,3))</f>
        <v>-9.5000000000000001E-2</v>
      </c>
      <c r="O56" s="140">
        <f t="shared" si="13"/>
        <v>0</v>
      </c>
      <c r="P56" s="136">
        <f>IF(Control!$C$30=Control!$B$31,N56,M56)+O56</f>
        <v>-9.5000000000000001E-2</v>
      </c>
      <c r="Q56" s="133">
        <v>0</v>
      </c>
      <c r="R56" s="134">
        <f>VLOOKUP($B56,Curve_Fetch,(VLOOKUP(Control!$F$25,Control!$E$26:$H$37,4)))</f>
        <v>5.0000000000000001E-3</v>
      </c>
      <c r="S56" s="140">
        <f t="shared" si="14"/>
        <v>0</v>
      </c>
      <c r="T56" s="136">
        <f>IF($C$12="Physical",IF(Control!$C$35=Control!$B$36,R56,Q56)+S56,0)</f>
        <v>0</v>
      </c>
      <c r="U56" s="176">
        <f t="shared" si="2"/>
        <v>3.8339999999999996</v>
      </c>
      <c r="V56" s="152"/>
      <c r="W56" s="192">
        <f>VLOOKUP($B56,Curve_Fetch,VLOOKUP(Control!$F$25,Control!$E$26:$I$37,5))</f>
        <v>0.35299999999999998</v>
      </c>
      <c r="X56" s="194">
        <f t="shared" si="15"/>
        <v>0</v>
      </c>
      <c r="Y56" s="194">
        <f t="shared" si="3"/>
        <v>0.35299999999999998</v>
      </c>
      <c r="Z56" s="140">
        <f t="shared" ca="1" si="16"/>
        <v>0.28657937898642949</v>
      </c>
      <c r="AA56" s="140">
        <f t="shared" ca="1" si="17"/>
        <v>4.1205793789864291</v>
      </c>
      <c r="AB56" s="203">
        <f ca="1">_xll.EURO($U56,AA56,VLOOKUP($B56,Curve_Fetch,2),VLOOKUP($B56,Curve_Fetch,2),Y56,VLOOKUP($B56,Model!$A$8:$H$288,8),1,0)</f>
        <v>0.63451937215002241</v>
      </c>
      <c r="AC56" s="134"/>
      <c r="AD56" s="192">
        <f>VLOOKUP($B56,Curve_Fetch,VLOOKUP(Control!$F$25,Control!$E$26:$I$37,5))</f>
        <v>0.35299999999999998</v>
      </c>
      <c r="AE56" s="194">
        <f t="shared" si="18"/>
        <v>0</v>
      </c>
      <c r="AF56" s="194">
        <f t="shared" si="4"/>
        <v>0.35299999999999998</v>
      </c>
      <c r="AG56" s="140">
        <f t="shared" si="5"/>
        <v>-0.20435881234430545</v>
      </c>
      <c r="AH56" s="140">
        <f t="shared" si="19"/>
        <v>3.629641187655694</v>
      </c>
      <c r="AI56" s="203">
        <f>_xll.EURO($U56,AH56,VLOOKUP($B56,Curve_Fetch,2),VLOOKUP($B56,Curve_Fetch,2),AF56,VLOOKUP($B56,Model!$A$8:$H$288,8),0,0)</f>
        <v>0.62275061633520701</v>
      </c>
      <c r="AK56" s="137">
        <f t="shared" ca="1" si="6"/>
        <v>0</v>
      </c>
      <c r="AL56" s="138">
        <f t="shared" ca="1" si="7"/>
        <v>0</v>
      </c>
      <c r="AM56" s="138">
        <f t="shared" ca="1" si="8"/>
        <v>0</v>
      </c>
      <c r="AN56" s="138">
        <f t="shared" ca="1" si="9"/>
        <v>0</v>
      </c>
      <c r="AO56" s="138">
        <f t="shared" ca="1" si="10"/>
        <v>0</v>
      </c>
      <c r="AP56" s="138">
        <f t="shared" ca="1" si="11"/>
        <v>0</v>
      </c>
      <c r="AQ56" s="138">
        <f t="shared" si="20"/>
        <v>0</v>
      </c>
      <c r="AR56" s="139">
        <f t="shared" ca="1" si="21"/>
        <v>0</v>
      </c>
      <c r="AT56"/>
      <c r="AU56"/>
      <c r="AV56"/>
      <c r="AW56"/>
      <c r="AX56"/>
      <c r="AY56"/>
      <c r="AZ56"/>
      <c r="BA56"/>
    </row>
    <row r="57" spans="2:53">
      <c r="B57" s="131">
        <f>[1]!_xludf.edate(B56,1)</f>
        <v>38018</v>
      </c>
      <c r="C57" s="132">
        <f t="shared" si="0"/>
        <v>38047</v>
      </c>
      <c r="D57" s="159">
        <v>0</v>
      </c>
      <c r="E57" s="160">
        <f>VLOOKUP($B57,Model!$A$8:$E$289,5)</f>
        <v>0</v>
      </c>
      <c r="F57" s="160">
        <f>VLOOKUP($B57,Model!$A$8:$F$289,6)</f>
        <v>0</v>
      </c>
      <c r="G57" s="179">
        <f ca="1">VLOOKUP($B57,Model!$A$8:$G$289,7)</f>
        <v>0</v>
      </c>
      <c r="I57" s="133">
        <v>0</v>
      </c>
      <c r="J57" s="134">
        <f t="shared" si="1"/>
        <v>3.8410000000000002</v>
      </c>
      <c r="K57" s="140">
        <f t="shared" si="12"/>
        <v>0</v>
      </c>
      <c r="L57" s="136">
        <f>IF(Control!$C$25=Control!$B$26,J57,I57)+K57</f>
        <v>3.8410000000000002</v>
      </c>
      <c r="M57" s="133">
        <v>0</v>
      </c>
      <c r="N57" s="134">
        <f>VLOOKUP($B57,Curve_Fetch,VLOOKUP(Control!$F$25,Control!$E$26:$G$37,3))</f>
        <v>-9.5000000000000001E-2</v>
      </c>
      <c r="O57" s="140">
        <f t="shared" si="13"/>
        <v>0</v>
      </c>
      <c r="P57" s="136">
        <f>IF(Control!$C$30=Control!$B$31,N57,M57)+O57</f>
        <v>-9.5000000000000001E-2</v>
      </c>
      <c r="Q57" s="133">
        <v>0</v>
      </c>
      <c r="R57" s="134">
        <f>VLOOKUP($B57,Curve_Fetch,(VLOOKUP(Control!$F$25,Control!$E$26:$H$37,4)))</f>
        <v>5.0000000000000001E-3</v>
      </c>
      <c r="S57" s="140">
        <f t="shared" si="14"/>
        <v>0</v>
      </c>
      <c r="T57" s="136">
        <f>IF($C$12="Physical",IF(Control!$C$35=Control!$B$36,R57,Q57)+S57,0)</f>
        <v>0</v>
      </c>
      <c r="U57" s="176">
        <f t="shared" si="2"/>
        <v>3.746</v>
      </c>
      <c r="V57" s="152"/>
      <c r="W57" s="192">
        <f>VLOOKUP($B57,Curve_Fetch,VLOOKUP(Control!$F$25,Control!$E$26:$I$37,5))</f>
        <v>0.34799999999999998</v>
      </c>
      <c r="X57" s="194">
        <f t="shared" si="15"/>
        <v>0</v>
      </c>
      <c r="Y57" s="194">
        <f t="shared" si="3"/>
        <v>0.34799999999999998</v>
      </c>
      <c r="Z57" s="140">
        <f t="shared" ca="1" si="16"/>
        <v>0.28657937898642949</v>
      </c>
      <c r="AA57" s="140">
        <f t="shared" ca="1" si="17"/>
        <v>4.0325793789864299</v>
      </c>
      <c r="AB57" s="203">
        <f ca="1">_xll.EURO($U57,AA57,VLOOKUP($B57,Curve_Fetch,2),VLOOKUP($B57,Curve_Fetch,2),Y57,VLOOKUP($B57,Model!$A$8:$H$288,8),1,0)</f>
        <v>0.61908351831690167</v>
      </c>
      <c r="AC57" s="134"/>
      <c r="AD57" s="192">
        <f>VLOOKUP($B57,Curve_Fetch,VLOOKUP(Control!$F$25,Control!$E$26:$I$37,5))</f>
        <v>0.34799999999999998</v>
      </c>
      <c r="AE57" s="194">
        <f t="shared" si="18"/>
        <v>0</v>
      </c>
      <c r="AF57" s="194">
        <f t="shared" si="4"/>
        <v>0.34799999999999998</v>
      </c>
      <c r="AG57" s="140">
        <f t="shared" si="5"/>
        <v>-0.20435881234430545</v>
      </c>
      <c r="AH57" s="140">
        <f t="shared" si="19"/>
        <v>3.5416411876556944</v>
      </c>
      <c r="AI57" s="203">
        <f>_xll.EURO($U57,AH57,VLOOKUP($B57,Curve_Fetch,2),VLOOKUP($B57,Curve_Fetch,2),AF57,VLOOKUP($B57,Model!$A$8:$H$288,8),0,0)</f>
        <v>0.60707745214764786</v>
      </c>
      <c r="AK57" s="137">
        <f t="shared" ca="1" si="6"/>
        <v>0</v>
      </c>
      <c r="AL57" s="138">
        <f t="shared" ca="1" si="7"/>
        <v>0</v>
      </c>
      <c r="AM57" s="138">
        <f t="shared" ca="1" si="8"/>
        <v>0</v>
      </c>
      <c r="AN57" s="138">
        <f t="shared" ca="1" si="9"/>
        <v>0</v>
      </c>
      <c r="AO57" s="138">
        <f t="shared" ca="1" si="10"/>
        <v>0</v>
      </c>
      <c r="AP57" s="138">
        <f t="shared" ca="1" si="11"/>
        <v>0</v>
      </c>
      <c r="AQ57" s="138">
        <f t="shared" si="20"/>
        <v>0</v>
      </c>
      <c r="AR57" s="139">
        <f t="shared" ca="1" si="21"/>
        <v>0</v>
      </c>
      <c r="AT57"/>
      <c r="AU57"/>
      <c r="AV57"/>
      <c r="AW57"/>
      <c r="AX57"/>
      <c r="AY57"/>
      <c r="AZ57"/>
      <c r="BA57"/>
    </row>
    <row r="58" spans="2:53">
      <c r="B58" s="131">
        <f>[1]!_xludf.edate(B57,1)</f>
        <v>38047</v>
      </c>
      <c r="C58" s="132">
        <f t="shared" si="0"/>
        <v>38078</v>
      </c>
      <c r="D58" s="159">
        <v>0</v>
      </c>
      <c r="E58" s="160">
        <f>VLOOKUP($B58,Model!$A$8:$E$289,5)</f>
        <v>0</v>
      </c>
      <c r="F58" s="160">
        <f>VLOOKUP($B58,Model!$A$8:$F$289,6)</f>
        <v>0</v>
      </c>
      <c r="G58" s="179">
        <f ca="1">VLOOKUP($B58,Model!$A$8:$G$289,7)</f>
        <v>0</v>
      </c>
      <c r="I58" s="133">
        <v>0</v>
      </c>
      <c r="J58" s="134">
        <f t="shared" si="1"/>
        <v>3.702</v>
      </c>
      <c r="K58" s="140">
        <f t="shared" si="12"/>
        <v>0</v>
      </c>
      <c r="L58" s="136">
        <f>IF(Control!$C$25=Control!$B$26,J58,I58)+K58</f>
        <v>3.702</v>
      </c>
      <c r="M58" s="133">
        <v>0</v>
      </c>
      <c r="N58" s="134">
        <f>VLOOKUP($B58,Curve_Fetch,VLOOKUP(Control!$F$25,Control!$E$26:$G$37,3))</f>
        <v>-9.5000000000000001E-2</v>
      </c>
      <c r="O58" s="140">
        <f t="shared" si="13"/>
        <v>0</v>
      </c>
      <c r="P58" s="136">
        <f>IF(Control!$C$30=Control!$B$31,N58,M58)+O58</f>
        <v>-9.5000000000000001E-2</v>
      </c>
      <c r="Q58" s="133">
        <v>0</v>
      </c>
      <c r="R58" s="134">
        <f>VLOOKUP($B58,Curve_Fetch,(VLOOKUP(Control!$F$25,Control!$E$26:$H$37,4)))</f>
        <v>5.0000000000000001E-3</v>
      </c>
      <c r="S58" s="140">
        <f t="shared" si="14"/>
        <v>0</v>
      </c>
      <c r="T58" s="136">
        <f>IF($C$12="Physical",IF(Control!$C$35=Control!$B$36,R58,Q58)+S58,0)</f>
        <v>0</v>
      </c>
      <c r="U58" s="176">
        <f t="shared" si="2"/>
        <v>3.6069999999999998</v>
      </c>
      <c r="V58" s="152"/>
      <c r="W58" s="192">
        <f>VLOOKUP($B58,Curve_Fetch,VLOOKUP(Control!$F$25,Control!$E$26:$I$37,5))</f>
        <v>0.33500000000000002</v>
      </c>
      <c r="X58" s="194">
        <f t="shared" si="15"/>
        <v>0</v>
      </c>
      <c r="Y58" s="194">
        <f t="shared" si="3"/>
        <v>0.33500000000000002</v>
      </c>
      <c r="Z58" s="140">
        <f t="shared" ca="1" si="16"/>
        <v>0.28657937898642949</v>
      </c>
      <c r="AA58" s="140">
        <f t="shared" ca="1" si="17"/>
        <v>3.8935793789864293</v>
      </c>
      <c r="AB58" s="203">
        <f ca="1">_xll.EURO($U58,AA58,VLOOKUP($B58,Curve_Fetch,2),VLOOKUP($B58,Curve_Fetch,2),Y58,VLOOKUP($B58,Model!$A$8:$H$288,8),1,0)</f>
        <v>0.57635848415532687</v>
      </c>
      <c r="AC58" s="134"/>
      <c r="AD58" s="192">
        <f>VLOOKUP($B58,Curve_Fetch,VLOOKUP(Control!$F$25,Control!$E$26:$I$37,5))</f>
        <v>0.33500000000000002</v>
      </c>
      <c r="AE58" s="194">
        <f t="shared" si="18"/>
        <v>0</v>
      </c>
      <c r="AF58" s="194">
        <f t="shared" si="4"/>
        <v>0.33500000000000002</v>
      </c>
      <c r="AG58" s="140">
        <f t="shared" si="5"/>
        <v>-0.20435881234430545</v>
      </c>
      <c r="AH58" s="140">
        <f t="shared" si="19"/>
        <v>3.4026411876556941</v>
      </c>
      <c r="AI58" s="203">
        <f>_xll.EURO($U58,AH58,VLOOKUP($B58,Curve_Fetch,2),VLOOKUP($B58,Curve_Fetch,2),AF58,VLOOKUP($B58,Model!$A$8:$H$288,8),0,0)</f>
        <v>0.56514536995397435</v>
      </c>
      <c r="AK58" s="137">
        <f t="shared" ca="1" si="6"/>
        <v>0</v>
      </c>
      <c r="AL58" s="138">
        <f t="shared" ca="1" si="7"/>
        <v>0</v>
      </c>
      <c r="AM58" s="138">
        <f t="shared" ca="1" si="8"/>
        <v>0</v>
      </c>
      <c r="AN58" s="138">
        <f t="shared" ca="1" si="9"/>
        <v>0</v>
      </c>
      <c r="AO58" s="138">
        <f t="shared" ca="1" si="10"/>
        <v>0</v>
      </c>
      <c r="AP58" s="138">
        <f t="shared" ca="1" si="11"/>
        <v>0</v>
      </c>
      <c r="AQ58" s="138">
        <f t="shared" si="20"/>
        <v>0</v>
      </c>
      <c r="AR58" s="139">
        <f t="shared" ca="1" si="21"/>
        <v>0</v>
      </c>
      <c r="AT58"/>
      <c r="AU58"/>
      <c r="AV58"/>
      <c r="AW58"/>
      <c r="AX58"/>
      <c r="AY58"/>
      <c r="AZ58"/>
      <c r="BA58"/>
    </row>
    <row r="59" spans="2:53">
      <c r="B59" s="131">
        <f>[1]!_xludf.edate(B58,1)</f>
        <v>38078</v>
      </c>
      <c r="C59" s="132">
        <f t="shared" si="0"/>
        <v>38108</v>
      </c>
      <c r="D59" s="159">
        <v>0</v>
      </c>
      <c r="E59" s="160">
        <f>VLOOKUP($B59,Model!$A$8:$E$289,5)</f>
        <v>0</v>
      </c>
      <c r="F59" s="160">
        <f>VLOOKUP($B59,Model!$A$8:$F$289,6)</f>
        <v>0</v>
      </c>
      <c r="G59" s="179">
        <f ca="1">VLOOKUP($B59,Model!$A$8:$G$289,7)</f>
        <v>0</v>
      </c>
      <c r="I59" s="133">
        <v>0</v>
      </c>
      <c r="J59" s="134">
        <f t="shared" si="1"/>
        <v>3.548</v>
      </c>
      <c r="K59" s="140">
        <f t="shared" si="12"/>
        <v>0</v>
      </c>
      <c r="L59" s="136">
        <f>IF(Control!$C$25=Control!$B$26,J59,I59)+K59</f>
        <v>3.548</v>
      </c>
      <c r="M59" s="133">
        <v>0</v>
      </c>
      <c r="N59" s="134">
        <f>VLOOKUP($B59,Curve_Fetch,VLOOKUP(Control!$F$25,Control!$E$26:$G$37,3))</f>
        <v>-9.5000000000000001E-2</v>
      </c>
      <c r="O59" s="140">
        <f t="shared" si="13"/>
        <v>0</v>
      </c>
      <c r="P59" s="136">
        <f>IF(Control!$C$30=Control!$B$31,N59,M59)+O59</f>
        <v>-9.5000000000000001E-2</v>
      </c>
      <c r="Q59" s="133">
        <v>0</v>
      </c>
      <c r="R59" s="134">
        <f>VLOOKUP($B59,Curve_Fetch,(VLOOKUP(Control!$F$25,Control!$E$26:$H$37,4)))</f>
        <v>5.0000000000000001E-3</v>
      </c>
      <c r="S59" s="140">
        <f t="shared" si="14"/>
        <v>0</v>
      </c>
      <c r="T59" s="136">
        <f>IF($C$12="Physical",IF(Control!$C$35=Control!$B$36,R59,Q59)+S59,0)</f>
        <v>0</v>
      </c>
      <c r="U59" s="176">
        <f t="shared" si="2"/>
        <v>3.4529999999999998</v>
      </c>
      <c r="V59" s="152"/>
      <c r="W59" s="192">
        <f>VLOOKUP($B59,Curve_Fetch,VLOOKUP(Control!$F$25,Control!$E$26:$I$37,5))</f>
        <v>0.308</v>
      </c>
      <c r="X59" s="194">
        <f t="shared" si="15"/>
        <v>0</v>
      </c>
      <c r="Y59" s="194">
        <f t="shared" si="3"/>
        <v>0.308</v>
      </c>
      <c r="Z59" s="140">
        <f t="shared" ca="1" si="16"/>
        <v>0.28657937898642949</v>
      </c>
      <c r="AA59" s="140">
        <f t="shared" ca="1" si="17"/>
        <v>3.7395793789864293</v>
      </c>
      <c r="AB59" s="203">
        <f ca="1">_xll.EURO($U59,AA59,VLOOKUP($B59,Curve_Fetch,2),VLOOKUP($B59,Curve_Fetch,2),Y59,VLOOKUP($B59,Model!$A$8:$H$288,8),1,0)</f>
        <v>0.50423884939996255</v>
      </c>
      <c r="AC59" s="134"/>
      <c r="AD59" s="192">
        <f>VLOOKUP($B59,Curve_Fetch,VLOOKUP(Control!$F$25,Control!$E$26:$I$37,5))</f>
        <v>0.308</v>
      </c>
      <c r="AE59" s="194">
        <f t="shared" si="18"/>
        <v>0</v>
      </c>
      <c r="AF59" s="194">
        <f t="shared" si="4"/>
        <v>0.308</v>
      </c>
      <c r="AG59" s="140">
        <f t="shared" si="5"/>
        <v>-0.20435881234430545</v>
      </c>
      <c r="AH59" s="140">
        <f t="shared" si="19"/>
        <v>3.2486411876556942</v>
      </c>
      <c r="AI59" s="203">
        <f>_xll.EURO($U59,AH59,VLOOKUP($B59,Curve_Fetch,2),VLOOKUP($B59,Curve_Fetch,2),AF59,VLOOKUP($B59,Model!$A$8:$H$288,8),0,0)</f>
        <v>0.49554027590978422</v>
      </c>
      <c r="AK59" s="137">
        <f t="shared" ca="1" si="6"/>
        <v>0</v>
      </c>
      <c r="AL59" s="138">
        <f t="shared" ca="1" si="7"/>
        <v>0</v>
      </c>
      <c r="AM59" s="138">
        <f t="shared" ca="1" si="8"/>
        <v>0</v>
      </c>
      <c r="AN59" s="138">
        <f t="shared" ca="1" si="9"/>
        <v>0</v>
      </c>
      <c r="AO59" s="138">
        <f t="shared" ca="1" si="10"/>
        <v>0</v>
      </c>
      <c r="AP59" s="138">
        <f t="shared" ca="1" si="11"/>
        <v>0</v>
      </c>
      <c r="AQ59" s="138">
        <f t="shared" si="20"/>
        <v>0</v>
      </c>
      <c r="AR59" s="139">
        <f t="shared" ca="1" si="21"/>
        <v>0</v>
      </c>
      <c r="AT59"/>
      <c r="AU59"/>
      <c r="AV59"/>
      <c r="AW59"/>
      <c r="AX59"/>
      <c r="AY59"/>
      <c r="AZ59"/>
      <c r="BA59"/>
    </row>
    <row r="60" spans="2:53">
      <c r="B60" s="131">
        <f>[1]!_xludf.edate(B59,1)</f>
        <v>38108</v>
      </c>
      <c r="C60" s="132">
        <f t="shared" si="0"/>
        <v>38139</v>
      </c>
      <c r="D60" s="159">
        <v>0</v>
      </c>
      <c r="E60" s="160">
        <f>VLOOKUP($B60,Model!$A$8:$E$289,5)</f>
        <v>0</v>
      </c>
      <c r="F60" s="160">
        <f>VLOOKUP($B60,Model!$A$8:$F$289,6)</f>
        <v>0</v>
      </c>
      <c r="G60" s="179">
        <f ca="1">VLOOKUP($B60,Model!$A$8:$G$289,7)</f>
        <v>0</v>
      </c>
      <c r="I60" s="133">
        <v>0</v>
      </c>
      <c r="J60" s="134">
        <f t="shared" si="1"/>
        <v>3.552</v>
      </c>
      <c r="K60" s="140">
        <f t="shared" si="12"/>
        <v>0</v>
      </c>
      <c r="L60" s="136">
        <f>IF(Control!$C$25=Control!$B$26,J60,I60)+K60</f>
        <v>3.552</v>
      </c>
      <c r="M60" s="133">
        <v>0</v>
      </c>
      <c r="N60" s="134">
        <f>VLOOKUP($B60,Curve_Fetch,VLOOKUP(Control!$F$25,Control!$E$26:$G$37,3))</f>
        <v>-9.5000000000000001E-2</v>
      </c>
      <c r="O60" s="140">
        <f t="shared" si="13"/>
        <v>0</v>
      </c>
      <c r="P60" s="136">
        <f>IF(Control!$C$30=Control!$B$31,N60,M60)+O60</f>
        <v>-9.5000000000000001E-2</v>
      </c>
      <c r="Q60" s="133">
        <v>0</v>
      </c>
      <c r="R60" s="134">
        <f>VLOOKUP($B60,Curve_Fetch,(VLOOKUP(Control!$F$25,Control!$E$26:$H$37,4)))</f>
        <v>5.0000000000000001E-3</v>
      </c>
      <c r="S60" s="140">
        <f t="shared" si="14"/>
        <v>0</v>
      </c>
      <c r="T60" s="136">
        <f>IF($C$12="Physical",IF(Control!$C$35=Control!$B$36,R60,Q60)+S60,0)</f>
        <v>0</v>
      </c>
      <c r="U60" s="176">
        <f t="shared" si="2"/>
        <v>3.4569999999999999</v>
      </c>
      <c r="V60" s="152"/>
      <c r="W60" s="192">
        <f>VLOOKUP($B60,Curve_Fetch,VLOOKUP(Control!$F$25,Control!$E$26:$I$37,5))</f>
        <v>0.30299999999999999</v>
      </c>
      <c r="X60" s="194">
        <f t="shared" si="15"/>
        <v>0</v>
      </c>
      <c r="Y60" s="194">
        <f t="shared" si="3"/>
        <v>0.30299999999999999</v>
      </c>
      <c r="Z60" s="140">
        <f t="shared" ca="1" si="16"/>
        <v>0.28657937898642949</v>
      </c>
      <c r="AA60" s="140">
        <f t="shared" ca="1" si="17"/>
        <v>3.7435793789864293</v>
      </c>
      <c r="AB60" s="203">
        <f ca="1">_xll.EURO($U60,AA60,VLOOKUP($B60,Curve_Fetch,2),VLOOKUP($B60,Curve_Fetch,2),Y60,VLOOKUP($B60,Model!$A$8:$H$288,8),1,0)</f>
        <v>0.50323633189081618</v>
      </c>
      <c r="AC60" s="134"/>
      <c r="AD60" s="192">
        <f>VLOOKUP($B60,Curve_Fetch,VLOOKUP(Control!$F$25,Control!$E$26:$I$37,5))</f>
        <v>0.30299999999999999</v>
      </c>
      <c r="AE60" s="194">
        <f t="shared" si="18"/>
        <v>0</v>
      </c>
      <c r="AF60" s="194">
        <f t="shared" si="4"/>
        <v>0.30299999999999999</v>
      </c>
      <c r="AG60" s="140">
        <f t="shared" si="5"/>
        <v>-0.20435881234430545</v>
      </c>
      <c r="AH60" s="140">
        <f t="shared" si="19"/>
        <v>3.2526411876556942</v>
      </c>
      <c r="AI60" s="203">
        <f>_xll.EURO($U60,AH60,VLOOKUP($B60,Curve_Fetch,2),VLOOKUP($B60,Curve_Fetch,2),AF60,VLOOKUP($B60,Model!$A$8:$H$288,8),0,0)</f>
        <v>0.49455844983209696</v>
      </c>
      <c r="AK60" s="137">
        <f t="shared" ca="1" si="6"/>
        <v>0</v>
      </c>
      <c r="AL60" s="138">
        <f t="shared" ca="1" si="7"/>
        <v>0</v>
      </c>
      <c r="AM60" s="138">
        <f t="shared" ca="1" si="8"/>
        <v>0</v>
      </c>
      <c r="AN60" s="138">
        <f t="shared" ca="1" si="9"/>
        <v>0</v>
      </c>
      <c r="AO60" s="138">
        <f t="shared" ca="1" si="10"/>
        <v>0</v>
      </c>
      <c r="AP60" s="138">
        <f t="shared" ca="1" si="11"/>
        <v>0</v>
      </c>
      <c r="AQ60" s="138">
        <f t="shared" si="20"/>
        <v>0</v>
      </c>
      <c r="AR60" s="139">
        <f t="shared" ca="1" si="21"/>
        <v>0</v>
      </c>
      <c r="AT60"/>
      <c r="AU60"/>
      <c r="AV60"/>
      <c r="AW60"/>
      <c r="AX60"/>
      <c r="AY60"/>
      <c r="AZ60"/>
      <c r="BA60"/>
    </row>
    <row r="61" spans="2:53">
      <c r="B61" s="131">
        <f>[1]!_xludf.edate(B60,1)</f>
        <v>38139</v>
      </c>
      <c r="C61" s="132">
        <f t="shared" si="0"/>
        <v>38169</v>
      </c>
      <c r="D61" s="159">
        <v>0</v>
      </c>
      <c r="E61" s="160">
        <f>VLOOKUP($B61,Model!$A$8:$E$289,5)</f>
        <v>0</v>
      </c>
      <c r="F61" s="160">
        <f>VLOOKUP($B61,Model!$A$8:$F$289,6)</f>
        <v>0</v>
      </c>
      <c r="G61" s="179">
        <f ca="1">VLOOKUP($B61,Model!$A$8:$G$289,7)</f>
        <v>0</v>
      </c>
      <c r="I61" s="133">
        <v>0</v>
      </c>
      <c r="J61" s="134">
        <f t="shared" si="1"/>
        <v>3.5920000000000001</v>
      </c>
      <c r="K61" s="140">
        <f t="shared" si="12"/>
        <v>0</v>
      </c>
      <c r="L61" s="136">
        <f>IF(Control!$C$25=Control!$B$26,J61,I61)+K61</f>
        <v>3.5920000000000001</v>
      </c>
      <c r="M61" s="133">
        <v>0</v>
      </c>
      <c r="N61" s="134">
        <f>VLOOKUP($B61,Curve_Fetch,VLOOKUP(Control!$F$25,Control!$E$26:$G$37,3))</f>
        <v>-9.5000000000000001E-2</v>
      </c>
      <c r="O61" s="140">
        <f t="shared" si="13"/>
        <v>0</v>
      </c>
      <c r="P61" s="136">
        <f>IF(Control!$C$30=Control!$B$31,N61,M61)+O61</f>
        <v>-9.5000000000000001E-2</v>
      </c>
      <c r="Q61" s="133">
        <v>0</v>
      </c>
      <c r="R61" s="134">
        <f>VLOOKUP($B61,Curve_Fetch,(VLOOKUP(Control!$F$25,Control!$E$26:$H$37,4)))</f>
        <v>5.0000000000000001E-3</v>
      </c>
      <c r="S61" s="140">
        <f t="shared" si="14"/>
        <v>0</v>
      </c>
      <c r="T61" s="136">
        <f>IF($C$12="Physical",IF(Control!$C$35=Control!$B$36,R61,Q61)+S61,0)</f>
        <v>0</v>
      </c>
      <c r="U61" s="176">
        <f t="shared" si="2"/>
        <v>3.4969999999999999</v>
      </c>
      <c r="V61" s="152"/>
      <c r="W61" s="192">
        <f>VLOOKUP($B61,Curve_Fetch,VLOOKUP(Control!$F$25,Control!$E$26:$I$37,5))</f>
        <v>0.30299999999999999</v>
      </c>
      <c r="X61" s="194">
        <f t="shared" si="15"/>
        <v>0</v>
      </c>
      <c r="Y61" s="194">
        <f t="shared" si="3"/>
        <v>0.30299999999999999</v>
      </c>
      <c r="Z61" s="140">
        <f t="shared" ca="1" si="16"/>
        <v>0.28657937898642949</v>
      </c>
      <c r="AA61" s="140">
        <f t="shared" ca="1" si="17"/>
        <v>3.7835793789864294</v>
      </c>
      <c r="AB61" s="203">
        <f ca="1">_xll.EURO($U61,AA61,VLOOKUP($B61,Curve_Fetch,2),VLOOKUP($B61,Curve_Fetch,2),Y61,VLOOKUP($B61,Model!$A$8:$H$288,8),1,0)</f>
        <v>0.51835523370263137</v>
      </c>
      <c r="AC61" s="134"/>
      <c r="AD61" s="192">
        <f>VLOOKUP($B61,Curve_Fetch,VLOOKUP(Control!$F$25,Control!$E$26:$I$37,5))</f>
        <v>0.30299999999999999</v>
      </c>
      <c r="AE61" s="194">
        <f t="shared" si="18"/>
        <v>0</v>
      </c>
      <c r="AF61" s="194">
        <f t="shared" si="4"/>
        <v>0.30299999999999999</v>
      </c>
      <c r="AG61" s="140">
        <f t="shared" si="5"/>
        <v>-0.20435881234430545</v>
      </c>
      <c r="AH61" s="140">
        <f t="shared" si="19"/>
        <v>3.2926411876556942</v>
      </c>
      <c r="AI61" s="203">
        <f>_xll.EURO($U61,AH61,VLOOKUP($B61,Curve_Fetch,2),VLOOKUP($B61,Curve_Fetch,2),AF61,VLOOKUP($B61,Model!$A$8:$H$288,8),0,0)</f>
        <v>0.5091108860218494</v>
      </c>
      <c r="AK61" s="137">
        <f t="shared" ca="1" si="6"/>
        <v>0</v>
      </c>
      <c r="AL61" s="138">
        <f t="shared" ca="1" si="7"/>
        <v>0</v>
      </c>
      <c r="AM61" s="138">
        <f t="shared" ca="1" si="8"/>
        <v>0</v>
      </c>
      <c r="AN61" s="138">
        <f t="shared" ca="1" si="9"/>
        <v>0</v>
      </c>
      <c r="AO61" s="138">
        <f t="shared" ca="1" si="10"/>
        <v>0</v>
      </c>
      <c r="AP61" s="138">
        <f t="shared" ca="1" si="11"/>
        <v>0</v>
      </c>
      <c r="AQ61" s="138">
        <f t="shared" si="20"/>
        <v>0</v>
      </c>
      <c r="AR61" s="139">
        <f t="shared" ca="1" si="21"/>
        <v>0</v>
      </c>
      <c r="AT61"/>
      <c r="AU61"/>
      <c r="AV61"/>
      <c r="AW61"/>
      <c r="AX61"/>
      <c r="AY61"/>
      <c r="AZ61"/>
      <c r="BA61"/>
    </row>
    <row r="62" spans="2:53">
      <c r="B62" s="131">
        <f>[1]!_xludf.edate(B61,1)</f>
        <v>38169</v>
      </c>
      <c r="C62" s="132">
        <f t="shared" si="0"/>
        <v>38200</v>
      </c>
      <c r="D62" s="159">
        <v>0</v>
      </c>
      <c r="E62" s="160">
        <f>VLOOKUP($B62,Model!$A$8:$E$289,5)</f>
        <v>0</v>
      </c>
      <c r="F62" s="160">
        <f>VLOOKUP($B62,Model!$A$8:$F$289,6)</f>
        <v>0</v>
      </c>
      <c r="G62" s="179">
        <f ca="1">VLOOKUP($B62,Model!$A$8:$G$289,7)</f>
        <v>0</v>
      </c>
      <c r="I62" s="133">
        <v>0</v>
      </c>
      <c r="J62" s="134">
        <f t="shared" si="1"/>
        <v>3.637</v>
      </c>
      <c r="K62" s="140">
        <f t="shared" si="12"/>
        <v>0</v>
      </c>
      <c r="L62" s="136">
        <f>IF(Control!$C$25=Control!$B$26,J62,I62)+K62</f>
        <v>3.637</v>
      </c>
      <c r="M62" s="133">
        <v>0</v>
      </c>
      <c r="N62" s="134">
        <f>VLOOKUP($B62,Curve_Fetch,VLOOKUP(Control!$F$25,Control!$E$26:$G$37,3))</f>
        <v>-9.5000000000000001E-2</v>
      </c>
      <c r="O62" s="140">
        <f t="shared" si="13"/>
        <v>0</v>
      </c>
      <c r="P62" s="136">
        <f>IF(Control!$C$30=Control!$B$31,N62,M62)+O62</f>
        <v>-9.5000000000000001E-2</v>
      </c>
      <c r="Q62" s="133">
        <v>0</v>
      </c>
      <c r="R62" s="134">
        <f>VLOOKUP($B62,Curve_Fetch,(VLOOKUP(Control!$F$25,Control!$E$26:$H$37,4)))</f>
        <v>5.0000000000000001E-3</v>
      </c>
      <c r="S62" s="140">
        <f t="shared" si="14"/>
        <v>0</v>
      </c>
      <c r="T62" s="136">
        <f>IF($C$12="Physical",IF(Control!$C$35=Control!$B$36,R62,Q62)+S62,0)</f>
        <v>0</v>
      </c>
      <c r="U62" s="176">
        <f t="shared" si="2"/>
        <v>3.5419999999999998</v>
      </c>
      <c r="V62" s="152"/>
      <c r="W62" s="192">
        <f>VLOOKUP($B62,Curve_Fetch,VLOOKUP(Control!$F$25,Control!$E$26:$I$37,5))</f>
        <v>0.30299999999999999</v>
      </c>
      <c r="X62" s="194">
        <f t="shared" si="15"/>
        <v>0</v>
      </c>
      <c r="Y62" s="194">
        <f t="shared" si="3"/>
        <v>0.30299999999999999</v>
      </c>
      <c r="Z62" s="140">
        <f t="shared" ca="1" si="16"/>
        <v>0.28657937898642949</v>
      </c>
      <c r="AA62" s="140">
        <f t="shared" ca="1" si="17"/>
        <v>3.8285793789864293</v>
      </c>
      <c r="AB62" s="203">
        <f ca="1">_xll.EURO($U62,AA62,VLOOKUP($B62,Curve_Fetch,2),VLOOKUP($B62,Curve_Fetch,2),Y62,VLOOKUP($B62,Model!$A$8:$H$288,8),1,0)</f>
        <v>0.53400053814455073</v>
      </c>
      <c r="AC62" s="134"/>
      <c r="AD62" s="192">
        <f>VLOOKUP($B62,Curve_Fetch,VLOOKUP(Control!$F$25,Control!$E$26:$I$37,5))</f>
        <v>0.30299999999999999</v>
      </c>
      <c r="AE62" s="194">
        <f t="shared" si="18"/>
        <v>0</v>
      </c>
      <c r="AF62" s="194">
        <f t="shared" si="4"/>
        <v>0.30299999999999999</v>
      </c>
      <c r="AG62" s="140">
        <f t="shared" si="5"/>
        <v>-0.20435881234430545</v>
      </c>
      <c r="AH62" s="140">
        <f t="shared" si="19"/>
        <v>3.3376411876556942</v>
      </c>
      <c r="AI62" s="203">
        <f>_xll.EURO($U62,AH62,VLOOKUP($B62,Curve_Fetch,2),VLOOKUP($B62,Curve_Fetch,2),AF62,VLOOKUP($B62,Model!$A$8:$H$288,8),0,0)</f>
        <v>0.52422538247581851</v>
      </c>
      <c r="AK62" s="137">
        <f t="shared" ca="1" si="6"/>
        <v>0</v>
      </c>
      <c r="AL62" s="138">
        <f t="shared" ca="1" si="7"/>
        <v>0</v>
      </c>
      <c r="AM62" s="138">
        <f t="shared" ca="1" si="8"/>
        <v>0</v>
      </c>
      <c r="AN62" s="138">
        <f t="shared" ca="1" si="9"/>
        <v>0</v>
      </c>
      <c r="AO62" s="138">
        <f t="shared" ca="1" si="10"/>
        <v>0</v>
      </c>
      <c r="AP62" s="138">
        <f t="shared" ca="1" si="11"/>
        <v>0</v>
      </c>
      <c r="AQ62" s="138">
        <f t="shared" si="20"/>
        <v>0</v>
      </c>
      <c r="AR62" s="139">
        <f t="shared" ca="1" si="21"/>
        <v>0</v>
      </c>
      <c r="AT62"/>
      <c r="AU62"/>
      <c r="AV62"/>
      <c r="AW62"/>
      <c r="AX62"/>
      <c r="AY62"/>
      <c r="AZ62"/>
      <c r="BA62"/>
    </row>
    <row r="63" spans="2:53">
      <c r="B63" s="131">
        <f>[1]!_xludf.edate(B62,1)</f>
        <v>38200</v>
      </c>
      <c r="C63" s="132">
        <f t="shared" ref="C63:C94" si="22">IF($C$12="Physical",B64+24,B64)</f>
        <v>38231</v>
      </c>
      <c r="D63" s="159">
        <v>0</v>
      </c>
      <c r="E63" s="160">
        <f>VLOOKUP($B63,Model!$A$8:$E$289,5)</f>
        <v>0</v>
      </c>
      <c r="F63" s="160">
        <f>VLOOKUP($B63,Model!$A$8:$F$289,6)</f>
        <v>0</v>
      </c>
      <c r="G63" s="179">
        <f ca="1">VLOOKUP($B63,Model!$A$8:$G$289,7)</f>
        <v>0</v>
      </c>
      <c r="I63" s="133">
        <v>0</v>
      </c>
      <c r="J63" s="134">
        <f t="shared" ref="J63:J94" si="23">VLOOKUP($B63,Curve_Fetch,3)</f>
        <v>3.6760000000000002</v>
      </c>
      <c r="K63" s="140">
        <f t="shared" si="12"/>
        <v>0</v>
      </c>
      <c r="L63" s="136">
        <f>IF(Control!$C$25=Control!$B$26,J63,I63)+K63</f>
        <v>3.6760000000000002</v>
      </c>
      <c r="M63" s="133">
        <v>0</v>
      </c>
      <c r="N63" s="134">
        <f>VLOOKUP($B63,Curve_Fetch,VLOOKUP(Control!$F$25,Control!$E$26:$G$37,3))</f>
        <v>-9.5000000000000001E-2</v>
      </c>
      <c r="O63" s="140">
        <f t="shared" si="13"/>
        <v>0</v>
      </c>
      <c r="P63" s="136">
        <f>IF(Control!$C$30=Control!$B$31,N63,M63)+O63</f>
        <v>-9.5000000000000001E-2</v>
      </c>
      <c r="Q63" s="133">
        <v>0</v>
      </c>
      <c r="R63" s="134">
        <f>VLOOKUP($B63,Curve_Fetch,(VLOOKUP(Control!$F$25,Control!$E$26:$H$37,4)))</f>
        <v>5.0000000000000001E-3</v>
      </c>
      <c r="S63" s="140">
        <f t="shared" si="14"/>
        <v>0</v>
      </c>
      <c r="T63" s="136">
        <f>IF($C$12="Physical",IF(Control!$C$35=Control!$B$36,R63,Q63)+S63,0)</f>
        <v>0</v>
      </c>
      <c r="U63" s="176">
        <f t="shared" ref="U63:U94" si="24">IF($C$12="Financial",L63+P63,L63+P63+T63)</f>
        <v>3.581</v>
      </c>
      <c r="V63" s="152"/>
      <c r="W63" s="192">
        <f>VLOOKUP($B63,Curve_Fetch,VLOOKUP(Control!$F$25,Control!$E$26:$I$37,5))</f>
        <v>0.30299999999999999</v>
      </c>
      <c r="X63" s="194">
        <f t="shared" si="15"/>
        <v>0</v>
      </c>
      <c r="Y63" s="194">
        <f t="shared" ref="Y63:Y94" si="25">W63+X63</f>
        <v>0.30299999999999999</v>
      </c>
      <c r="Z63" s="140">
        <f t="shared" ca="1" si="16"/>
        <v>0.28657937898642949</v>
      </c>
      <c r="AA63" s="140">
        <f t="shared" ca="1" si="17"/>
        <v>3.8675793789864295</v>
      </c>
      <c r="AB63" s="203">
        <f ca="1">_xll.EURO($U63,AA63,VLOOKUP($B63,Curve_Fetch,2),VLOOKUP($B63,Curve_Fetch,2),Y63,VLOOKUP($B63,Model!$A$8:$H$288,8),1,0)</f>
        <v>0.548763897012573</v>
      </c>
      <c r="AC63" s="134"/>
      <c r="AD63" s="192">
        <f>VLOOKUP($B63,Curve_Fetch,VLOOKUP(Control!$F$25,Control!$E$26:$I$37,5))</f>
        <v>0.30299999999999999</v>
      </c>
      <c r="AE63" s="194">
        <f t="shared" si="18"/>
        <v>0</v>
      </c>
      <c r="AF63" s="194">
        <f t="shared" si="4"/>
        <v>0.30299999999999999</v>
      </c>
      <c r="AG63" s="140">
        <f t="shared" ref="AG63:AG94" si="26">$C$15</f>
        <v>-0.20435881234430545</v>
      </c>
      <c r="AH63" s="140">
        <f t="shared" si="19"/>
        <v>3.3766411876556943</v>
      </c>
      <c r="AI63" s="203">
        <f>_xll.EURO($U63,AH63,VLOOKUP($B63,Curve_Fetch,2),VLOOKUP($B63,Curve_Fetch,2),AF63,VLOOKUP($B63,Model!$A$8:$H$288,8),0,0)</f>
        <v>0.53844514865637416</v>
      </c>
      <c r="AK63" s="137">
        <f t="shared" ref="AK63:AK94" ca="1" si="27">$G63*L63</f>
        <v>0</v>
      </c>
      <c r="AL63" s="138">
        <f t="shared" ref="AL63:AL94" ca="1" si="28">$G63*P63</f>
        <v>0</v>
      </c>
      <c r="AM63" s="138">
        <f t="shared" ref="AM63:AM94" ca="1" si="29">$G63*T63</f>
        <v>0</v>
      </c>
      <c r="AN63" s="138">
        <f t="shared" ref="AN63:AN94" ca="1" si="30">$G63*U63</f>
        <v>0</v>
      </c>
      <c r="AO63" s="138">
        <f t="shared" ref="AO63:AO94" ca="1" si="31">$G63*AA63</f>
        <v>0</v>
      </c>
      <c r="AP63" s="138">
        <f t="shared" ref="AP63:AP94" ca="1" si="32">$G63*AH63</f>
        <v>0</v>
      </c>
      <c r="AQ63" s="138">
        <f t="shared" si="20"/>
        <v>0</v>
      </c>
      <c r="AR63" s="139">
        <f t="shared" ref="AR63:AR94" ca="1" si="33">$F63*AB63</f>
        <v>0</v>
      </c>
      <c r="AT63"/>
      <c r="AU63"/>
      <c r="AV63"/>
      <c r="AW63"/>
      <c r="AX63"/>
      <c r="AY63"/>
      <c r="AZ63"/>
      <c r="BA63"/>
    </row>
    <row r="64" spans="2:53">
      <c r="B64" s="131">
        <f>[1]!_xludf.edate(B63,1)</f>
        <v>38231</v>
      </c>
      <c r="C64" s="132">
        <f t="shared" si="22"/>
        <v>38261</v>
      </c>
      <c r="D64" s="159">
        <v>0</v>
      </c>
      <c r="E64" s="160">
        <f>VLOOKUP($B64,Model!$A$8:$E$289,5)</f>
        <v>0</v>
      </c>
      <c r="F64" s="160">
        <f>VLOOKUP($B64,Model!$A$8:$F$289,6)</f>
        <v>0</v>
      </c>
      <c r="G64" s="179">
        <f ca="1">VLOOKUP($B64,Model!$A$8:$G$289,7)</f>
        <v>0</v>
      </c>
      <c r="I64" s="133">
        <v>0</v>
      </c>
      <c r="J64" s="134">
        <f t="shared" si="23"/>
        <v>3.67</v>
      </c>
      <c r="K64" s="140">
        <f t="shared" ref="K64:K95" si="34">K63</f>
        <v>0</v>
      </c>
      <c r="L64" s="136">
        <f>IF(Control!$C$25=Control!$B$26,J64,I64)+K64</f>
        <v>3.67</v>
      </c>
      <c r="M64" s="133">
        <v>0</v>
      </c>
      <c r="N64" s="134">
        <f>VLOOKUP($B64,Curve_Fetch,VLOOKUP(Control!$F$25,Control!$E$26:$G$37,3))</f>
        <v>-9.5000000000000001E-2</v>
      </c>
      <c r="O64" s="140">
        <f t="shared" ref="O64:O95" si="35">O63</f>
        <v>0</v>
      </c>
      <c r="P64" s="136">
        <f>IF(Control!$C$30=Control!$B$31,N64,M64)+O64</f>
        <v>-9.5000000000000001E-2</v>
      </c>
      <c r="Q64" s="133">
        <v>0</v>
      </c>
      <c r="R64" s="134">
        <f>VLOOKUP($B64,Curve_Fetch,(VLOOKUP(Control!$F$25,Control!$E$26:$H$37,4)))</f>
        <v>5.0000000000000001E-3</v>
      </c>
      <c r="S64" s="140">
        <f t="shared" ref="S64:S95" si="36">S63</f>
        <v>0</v>
      </c>
      <c r="T64" s="136">
        <f>IF($C$12="Physical",IF(Control!$C$35=Control!$B$36,R64,Q64)+S64,0)</f>
        <v>0</v>
      </c>
      <c r="U64" s="176">
        <f t="shared" si="24"/>
        <v>3.5749999999999997</v>
      </c>
      <c r="V64" s="152"/>
      <c r="W64" s="192">
        <f>VLOOKUP($B64,Curve_Fetch,VLOOKUP(Control!$F$25,Control!$E$26:$I$37,5))</f>
        <v>0.30299999999999999</v>
      </c>
      <c r="X64" s="194">
        <f t="shared" ref="X64:X95" si="37">X63</f>
        <v>0</v>
      </c>
      <c r="Y64" s="194">
        <f t="shared" si="25"/>
        <v>0.30299999999999999</v>
      </c>
      <c r="Z64" s="140">
        <f t="shared" ref="Z64:Z95" ca="1" si="38">Z63</f>
        <v>0.28657937898642949</v>
      </c>
      <c r="AA64" s="140">
        <f t="shared" ca="1" si="17"/>
        <v>3.8615793789864292</v>
      </c>
      <c r="AB64" s="203">
        <f ca="1">_xll.EURO($U64,AA64,VLOOKUP($B64,Curve_Fetch,2),VLOOKUP($B64,Curve_Fetch,2),Y64,VLOOKUP($B64,Model!$A$8:$H$288,8),1,0)</f>
        <v>0.55528971891794066</v>
      </c>
      <c r="AC64" s="134"/>
      <c r="AD64" s="192">
        <f>VLOOKUP($B64,Curve_Fetch,VLOOKUP(Control!$F$25,Control!$E$26:$I$37,5))</f>
        <v>0.30299999999999999</v>
      </c>
      <c r="AE64" s="194">
        <f t="shared" si="18"/>
        <v>0</v>
      </c>
      <c r="AF64" s="194">
        <f t="shared" si="4"/>
        <v>0.30299999999999999</v>
      </c>
      <c r="AG64" s="140">
        <f t="shared" si="26"/>
        <v>-0.20435881234430545</v>
      </c>
      <c r="AH64" s="140">
        <f t="shared" si="19"/>
        <v>3.3706411876556941</v>
      </c>
      <c r="AI64" s="203">
        <f>_xll.EURO($U64,AH64,VLOOKUP($B64,Curve_Fetch,2),VLOOKUP($B64,Curve_Fetch,2),AF64,VLOOKUP($B64,Model!$A$8:$H$288,8),0,0)</f>
        <v>0.54440203485849792</v>
      </c>
      <c r="AK64" s="137">
        <f t="shared" ca="1" si="27"/>
        <v>0</v>
      </c>
      <c r="AL64" s="138">
        <f t="shared" ca="1" si="28"/>
        <v>0</v>
      </c>
      <c r="AM64" s="138">
        <f t="shared" ca="1" si="29"/>
        <v>0</v>
      </c>
      <c r="AN64" s="138">
        <f t="shared" ca="1" si="30"/>
        <v>0</v>
      </c>
      <c r="AO64" s="138">
        <f t="shared" ca="1" si="31"/>
        <v>0</v>
      </c>
      <c r="AP64" s="138">
        <f t="shared" ca="1" si="32"/>
        <v>0</v>
      </c>
      <c r="AQ64" s="138">
        <f t="shared" si="20"/>
        <v>0</v>
      </c>
      <c r="AR64" s="139">
        <f t="shared" ca="1" si="33"/>
        <v>0</v>
      </c>
      <c r="AT64"/>
      <c r="AU64"/>
      <c r="AV64"/>
      <c r="AW64"/>
      <c r="AX64"/>
      <c r="AY64"/>
      <c r="AZ64"/>
      <c r="BA64"/>
    </row>
    <row r="65" spans="2:53">
      <c r="B65" s="131">
        <f>[1]!_xludf.edate(B64,1)</f>
        <v>38261</v>
      </c>
      <c r="C65" s="132">
        <f t="shared" si="22"/>
        <v>38292</v>
      </c>
      <c r="D65" s="159">
        <v>0</v>
      </c>
      <c r="E65" s="160">
        <f>VLOOKUP($B65,Model!$A$8:$E$289,5)</f>
        <v>0</v>
      </c>
      <c r="F65" s="160">
        <f>VLOOKUP($B65,Model!$A$8:$F$289,6)</f>
        <v>0</v>
      </c>
      <c r="G65" s="179">
        <f ca="1">VLOOKUP($B65,Model!$A$8:$G$289,7)</f>
        <v>0</v>
      </c>
      <c r="I65" s="133">
        <v>0</v>
      </c>
      <c r="J65" s="134">
        <f t="shared" si="23"/>
        <v>3.68</v>
      </c>
      <c r="K65" s="140">
        <f t="shared" si="34"/>
        <v>0</v>
      </c>
      <c r="L65" s="136">
        <f>IF(Control!$C$25=Control!$B$26,J65,I65)+K65</f>
        <v>3.68</v>
      </c>
      <c r="M65" s="133">
        <v>0</v>
      </c>
      <c r="N65" s="134">
        <f>VLOOKUP($B65,Curve_Fetch,VLOOKUP(Control!$F$25,Control!$E$26:$G$37,3))</f>
        <v>-9.5000000000000001E-2</v>
      </c>
      <c r="O65" s="140">
        <f t="shared" si="35"/>
        <v>0</v>
      </c>
      <c r="P65" s="136">
        <f>IF(Control!$C$30=Control!$B$31,N65,M65)+O65</f>
        <v>-9.5000000000000001E-2</v>
      </c>
      <c r="Q65" s="133">
        <v>0</v>
      </c>
      <c r="R65" s="134">
        <f>VLOOKUP($B65,Curve_Fetch,(VLOOKUP(Control!$F$25,Control!$E$26:$H$37,4)))</f>
        <v>5.0000000000000001E-3</v>
      </c>
      <c r="S65" s="140">
        <f t="shared" si="36"/>
        <v>0</v>
      </c>
      <c r="T65" s="136">
        <f>IF($C$12="Physical",IF(Control!$C$35=Control!$B$36,R65,Q65)+S65,0)</f>
        <v>0</v>
      </c>
      <c r="U65" s="176">
        <f t="shared" si="24"/>
        <v>3.585</v>
      </c>
      <c r="V65" s="152"/>
      <c r="W65" s="192">
        <f>VLOOKUP($B65,Curve_Fetch,VLOOKUP(Control!$F$25,Control!$E$26:$I$37,5))</f>
        <v>0.30299999999999999</v>
      </c>
      <c r="X65" s="194">
        <f t="shared" si="37"/>
        <v>0</v>
      </c>
      <c r="Y65" s="194">
        <f t="shared" si="25"/>
        <v>0.30299999999999999</v>
      </c>
      <c r="Z65" s="140">
        <f t="shared" ca="1" si="38"/>
        <v>0.28657937898642949</v>
      </c>
      <c r="AA65" s="140">
        <f t="shared" ca="1" si="17"/>
        <v>3.8715793789864295</v>
      </c>
      <c r="AB65" s="203">
        <f ca="1">_xll.EURO($U65,AA65,VLOOKUP($B65,Curve_Fetch,2),VLOOKUP($B65,Curve_Fetch,2),Y65,VLOOKUP($B65,Model!$A$8:$H$288,8),1,0)</f>
        <v>0.5642256708470037</v>
      </c>
      <c r="AC65" s="134"/>
      <c r="AD65" s="192">
        <f>VLOOKUP($B65,Curve_Fetch,VLOOKUP(Control!$F$25,Control!$E$26:$I$37,5))</f>
        <v>0.30299999999999999</v>
      </c>
      <c r="AE65" s="194">
        <f t="shared" si="18"/>
        <v>0</v>
      </c>
      <c r="AF65" s="194">
        <f t="shared" si="4"/>
        <v>0.30299999999999999</v>
      </c>
      <c r="AG65" s="140">
        <f t="shared" si="26"/>
        <v>-0.20435881234430545</v>
      </c>
      <c r="AH65" s="140">
        <f t="shared" si="19"/>
        <v>3.3806411876556943</v>
      </c>
      <c r="AI65" s="203">
        <f>_xll.EURO($U65,AH65,VLOOKUP($B65,Curve_Fetch,2),VLOOKUP($B65,Curve_Fetch,2),AF65,VLOOKUP($B65,Model!$A$8:$H$288,8),0,0)</f>
        <v>0.55281354455759324</v>
      </c>
      <c r="AK65" s="137">
        <f t="shared" ca="1" si="27"/>
        <v>0</v>
      </c>
      <c r="AL65" s="138">
        <f t="shared" ca="1" si="28"/>
        <v>0</v>
      </c>
      <c r="AM65" s="138">
        <f t="shared" ca="1" si="29"/>
        <v>0</v>
      </c>
      <c r="AN65" s="138">
        <f t="shared" ca="1" si="30"/>
        <v>0</v>
      </c>
      <c r="AO65" s="138">
        <f t="shared" ca="1" si="31"/>
        <v>0</v>
      </c>
      <c r="AP65" s="138">
        <f t="shared" ca="1" si="32"/>
        <v>0</v>
      </c>
      <c r="AQ65" s="138">
        <f t="shared" si="20"/>
        <v>0</v>
      </c>
      <c r="AR65" s="139">
        <f t="shared" ca="1" si="33"/>
        <v>0</v>
      </c>
      <c r="AT65"/>
      <c r="AU65"/>
      <c r="AV65"/>
      <c r="AW65"/>
      <c r="AX65"/>
      <c r="AY65"/>
      <c r="AZ65"/>
      <c r="BA65"/>
    </row>
    <row r="66" spans="2:53">
      <c r="B66" s="131">
        <f>[1]!_xludf.edate(B65,1)</f>
        <v>38292</v>
      </c>
      <c r="C66" s="132">
        <f t="shared" si="22"/>
        <v>38322</v>
      </c>
      <c r="D66" s="159">
        <v>0</v>
      </c>
      <c r="E66" s="160">
        <f>VLOOKUP($B66,Model!$A$8:$E$289,5)</f>
        <v>0</v>
      </c>
      <c r="F66" s="160">
        <f>VLOOKUP($B66,Model!$A$8:$F$289,6)</f>
        <v>0</v>
      </c>
      <c r="G66" s="179">
        <f ca="1">VLOOKUP($B66,Model!$A$8:$G$289,7)</f>
        <v>0</v>
      </c>
      <c r="I66" s="133">
        <v>0</v>
      </c>
      <c r="J66" s="134">
        <f t="shared" si="23"/>
        <v>3.84</v>
      </c>
      <c r="K66" s="140">
        <f t="shared" si="34"/>
        <v>0</v>
      </c>
      <c r="L66" s="136">
        <f>IF(Control!$C$25=Control!$B$26,J66,I66)+K66</f>
        <v>3.84</v>
      </c>
      <c r="M66" s="133">
        <v>0</v>
      </c>
      <c r="N66" s="134">
        <f>VLOOKUP($B66,Curve_Fetch,VLOOKUP(Control!$F$25,Control!$E$26:$G$37,3))</f>
        <v>-9.5000000000000001E-2</v>
      </c>
      <c r="O66" s="140">
        <f t="shared" si="35"/>
        <v>0</v>
      </c>
      <c r="P66" s="136">
        <f>IF(Control!$C$30=Control!$B$31,N66,M66)+O66</f>
        <v>-9.5000000000000001E-2</v>
      </c>
      <c r="Q66" s="133">
        <v>0</v>
      </c>
      <c r="R66" s="134">
        <f>VLOOKUP($B66,Curve_Fetch,(VLOOKUP(Control!$F$25,Control!$E$26:$H$37,4)))</f>
        <v>5.0000000000000001E-3</v>
      </c>
      <c r="S66" s="140">
        <f t="shared" si="36"/>
        <v>0</v>
      </c>
      <c r="T66" s="136">
        <f>IF($C$12="Physical",IF(Control!$C$35=Control!$B$36,R66,Q66)+S66,0)</f>
        <v>0</v>
      </c>
      <c r="U66" s="176">
        <f t="shared" si="24"/>
        <v>3.7449999999999997</v>
      </c>
      <c r="V66" s="152"/>
      <c r="W66" s="192">
        <f>VLOOKUP($B66,Curve_Fetch,VLOOKUP(Control!$F$25,Control!$E$26:$I$37,5))</f>
        <v>0.3</v>
      </c>
      <c r="X66" s="194">
        <f t="shared" si="37"/>
        <v>0</v>
      </c>
      <c r="Y66" s="194">
        <f t="shared" si="25"/>
        <v>0.3</v>
      </c>
      <c r="Z66" s="140">
        <f t="shared" ca="1" si="38"/>
        <v>0.28657937898642949</v>
      </c>
      <c r="AA66" s="140">
        <f t="shared" ca="1" si="17"/>
        <v>4.0315793789864287</v>
      </c>
      <c r="AB66" s="203">
        <f ca="1">_xll.EURO($U66,AA66,VLOOKUP($B66,Curve_Fetch,2),VLOOKUP($B66,Curve_Fetch,2),Y66,VLOOKUP($B66,Model!$A$8:$H$288,8),1,0)</f>
        <v>0.59388180674906632</v>
      </c>
      <c r="AC66" s="134"/>
      <c r="AD66" s="192">
        <f>VLOOKUP($B66,Curve_Fetch,VLOOKUP(Control!$F$25,Control!$E$26:$I$37,5))</f>
        <v>0.3</v>
      </c>
      <c r="AE66" s="194">
        <f t="shared" si="18"/>
        <v>0</v>
      </c>
      <c r="AF66" s="194">
        <f t="shared" si="4"/>
        <v>0.3</v>
      </c>
      <c r="AG66" s="140">
        <f t="shared" si="26"/>
        <v>-0.20435881234430545</v>
      </c>
      <c r="AH66" s="140">
        <f t="shared" si="19"/>
        <v>3.540641187655694</v>
      </c>
      <c r="AI66" s="203">
        <f>_xll.EURO($U66,AH66,VLOOKUP($B66,Curve_Fetch,2),VLOOKUP($B66,Curve_Fetch,2),AF66,VLOOKUP($B66,Model!$A$8:$H$288,8),0,0)</f>
        <v>0.58246465832334993</v>
      </c>
      <c r="AK66" s="137">
        <f t="shared" ca="1" si="27"/>
        <v>0</v>
      </c>
      <c r="AL66" s="138">
        <f t="shared" ca="1" si="28"/>
        <v>0</v>
      </c>
      <c r="AM66" s="138">
        <f t="shared" ca="1" si="29"/>
        <v>0</v>
      </c>
      <c r="AN66" s="138">
        <f t="shared" ca="1" si="30"/>
        <v>0</v>
      </c>
      <c r="AO66" s="138">
        <f t="shared" ca="1" si="31"/>
        <v>0</v>
      </c>
      <c r="AP66" s="138">
        <f t="shared" ca="1" si="32"/>
        <v>0</v>
      </c>
      <c r="AQ66" s="138">
        <f t="shared" si="20"/>
        <v>0</v>
      </c>
      <c r="AR66" s="139">
        <f t="shared" ca="1" si="33"/>
        <v>0</v>
      </c>
      <c r="AT66"/>
      <c r="AU66"/>
      <c r="AV66"/>
      <c r="AW66"/>
      <c r="AX66"/>
      <c r="AY66"/>
      <c r="AZ66"/>
      <c r="BA66"/>
    </row>
    <row r="67" spans="2:53">
      <c r="B67" s="131">
        <f>[1]!_xludf.edate(B66,1)</f>
        <v>38322</v>
      </c>
      <c r="C67" s="132">
        <f t="shared" si="22"/>
        <v>38353</v>
      </c>
      <c r="D67" s="159">
        <v>0</v>
      </c>
      <c r="E67" s="160">
        <f>VLOOKUP($B67,Model!$A$8:$E$289,5)</f>
        <v>0</v>
      </c>
      <c r="F67" s="160">
        <f>VLOOKUP($B67,Model!$A$8:$F$289,6)</f>
        <v>0</v>
      </c>
      <c r="G67" s="179">
        <f ca="1">VLOOKUP($B67,Model!$A$8:$G$289,7)</f>
        <v>0</v>
      </c>
      <c r="I67" s="133">
        <v>0</v>
      </c>
      <c r="J67" s="134">
        <f t="shared" si="23"/>
        <v>3.9940000000000002</v>
      </c>
      <c r="K67" s="140">
        <f t="shared" si="34"/>
        <v>0</v>
      </c>
      <c r="L67" s="136">
        <f>IF(Control!$C$25=Control!$B$26,J67,I67)+K67</f>
        <v>3.9940000000000002</v>
      </c>
      <c r="M67" s="133">
        <v>0</v>
      </c>
      <c r="N67" s="134">
        <f>VLOOKUP($B67,Curve_Fetch,VLOOKUP(Control!$F$25,Control!$E$26:$G$37,3))</f>
        <v>-9.5000000000000001E-2</v>
      </c>
      <c r="O67" s="140">
        <f t="shared" si="35"/>
        <v>0</v>
      </c>
      <c r="P67" s="136">
        <f>IF(Control!$C$30=Control!$B$31,N67,M67)+O67</f>
        <v>-9.5000000000000001E-2</v>
      </c>
      <c r="Q67" s="133">
        <v>0</v>
      </c>
      <c r="R67" s="134">
        <f>VLOOKUP($B67,Curve_Fetch,(VLOOKUP(Control!$F$25,Control!$E$26:$H$37,4)))</f>
        <v>5.0000000000000001E-3</v>
      </c>
      <c r="S67" s="140">
        <f t="shared" si="36"/>
        <v>0</v>
      </c>
      <c r="T67" s="136">
        <f>IF($C$12="Physical",IF(Control!$C$35=Control!$B$36,R67,Q67)+S67,0)</f>
        <v>0</v>
      </c>
      <c r="U67" s="176">
        <f t="shared" si="24"/>
        <v>3.899</v>
      </c>
      <c r="V67" s="152"/>
      <c r="W67" s="192">
        <f>VLOOKUP($B67,Curve_Fetch,VLOOKUP(Control!$F$25,Control!$E$26:$I$37,5))</f>
        <v>0.29799999999999999</v>
      </c>
      <c r="X67" s="194">
        <f t="shared" si="37"/>
        <v>0</v>
      </c>
      <c r="Y67" s="194">
        <f t="shared" si="25"/>
        <v>0.29799999999999999</v>
      </c>
      <c r="Z67" s="140">
        <f t="shared" ca="1" si="38"/>
        <v>0.28657937898642949</v>
      </c>
      <c r="AA67" s="140">
        <f t="shared" ca="1" si="17"/>
        <v>4.1855793789864295</v>
      </c>
      <c r="AB67" s="203">
        <f ca="1">_xll.EURO($U67,AA67,VLOOKUP($B67,Curve_Fetch,2),VLOOKUP($B67,Curve_Fetch,2),Y67,VLOOKUP($B67,Model!$A$8:$H$288,8),1,0)</f>
        <v>0.62425040990091296</v>
      </c>
      <c r="AC67" s="134"/>
      <c r="AD67" s="192">
        <f>VLOOKUP($B67,Curve_Fetch,VLOOKUP(Control!$F$25,Control!$E$26:$I$37,5))</f>
        <v>0.29799999999999999</v>
      </c>
      <c r="AE67" s="194">
        <f t="shared" si="18"/>
        <v>0</v>
      </c>
      <c r="AF67" s="194">
        <f t="shared" si="4"/>
        <v>0.29799999999999999</v>
      </c>
      <c r="AG67" s="140">
        <f t="shared" si="26"/>
        <v>-0.20435881234430545</v>
      </c>
      <c r="AH67" s="140">
        <f t="shared" si="19"/>
        <v>3.6946411876556944</v>
      </c>
      <c r="AI67" s="203">
        <f>_xll.EURO($U67,AH67,VLOOKUP($B67,Curve_Fetch,2),VLOOKUP($B67,Curve_Fetch,2),AF67,VLOOKUP($B67,Model!$A$8:$H$288,8),0,0)</f>
        <v>0.61271378371398622</v>
      </c>
      <c r="AK67" s="137">
        <f t="shared" ca="1" si="27"/>
        <v>0</v>
      </c>
      <c r="AL67" s="138">
        <f t="shared" ca="1" si="28"/>
        <v>0</v>
      </c>
      <c r="AM67" s="138">
        <f t="shared" ca="1" si="29"/>
        <v>0</v>
      </c>
      <c r="AN67" s="138">
        <f t="shared" ca="1" si="30"/>
        <v>0</v>
      </c>
      <c r="AO67" s="138">
        <f t="shared" ca="1" si="31"/>
        <v>0</v>
      </c>
      <c r="AP67" s="138">
        <f t="shared" ca="1" si="32"/>
        <v>0</v>
      </c>
      <c r="AQ67" s="138">
        <f t="shared" si="20"/>
        <v>0</v>
      </c>
      <c r="AR67" s="139">
        <f t="shared" ca="1" si="33"/>
        <v>0</v>
      </c>
      <c r="AT67"/>
      <c r="AU67"/>
      <c r="AV67"/>
      <c r="AW67"/>
      <c r="AX67"/>
      <c r="AY67"/>
      <c r="AZ67"/>
      <c r="BA67"/>
    </row>
    <row r="68" spans="2:53">
      <c r="B68" s="131">
        <f>[1]!_xludf.edate(B67,1)</f>
        <v>38353</v>
      </c>
      <c r="C68" s="132">
        <f t="shared" si="22"/>
        <v>38384</v>
      </c>
      <c r="D68" s="159">
        <v>0</v>
      </c>
      <c r="E68" s="160">
        <f>VLOOKUP($B68,Model!$A$8:$E$289,5)</f>
        <v>0</v>
      </c>
      <c r="F68" s="160">
        <f>VLOOKUP($B68,Model!$A$8:$F$289,6)</f>
        <v>0</v>
      </c>
      <c r="G68" s="179">
        <f ca="1">VLOOKUP($B68,Model!$A$8:$G$289,7)</f>
        <v>0</v>
      </c>
      <c r="I68" s="133">
        <v>0</v>
      </c>
      <c r="J68" s="134">
        <f t="shared" si="23"/>
        <v>4.0289999999999999</v>
      </c>
      <c r="K68" s="140">
        <f t="shared" si="34"/>
        <v>0</v>
      </c>
      <c r="L68" s="136">
        <f>IF(Control!$C$25=Control!$B$26,J68,I68)+K68</f>
        <v>4.0289999999999999</v>
      </c>
      <c r="M68" s="133">
        <v>0</v>
      </c>
      <c r="N68" s="134">
        <f>VLOOKUP($B68,Curve_Fetch,VLOOKUP(Control!$F$25,Control!$E$26:$G$37,3))</f>
        <v>-8.5000000000000006E-2</v>
      </c>
      <c r="O68" s="140">
        <f t="shared" si="35"/>
        <v>0</v>
      </c>
      <c r="P68" s="136">
        <f>IF(Control!$C$30=Control!$B$31,N68,M68)+O68</f>
        <v>-8.5000000000000006E-2</v>
      </c>
      <c r="Q68" s="133">
        <v>0</v>
      </c>
      <c r="R68" s="134">
        <f>VLOOKUP($B68,Curve_Fetch,(VLOOKUP(Control!$F$25,Control!$E$26:$H$37,4)))</f>
        <v>5.0000000000000001E-3</v>
      </c>
      <c r="S68" s="140">
        <f t="shared" si="36"/>
        <v>0</v>
      </c>
      <c r="T68" s="136">
        <f>IF($C$12="Physical",IF(Control!$C$35=Control!$B$36,R68,Q68)+S68,0)</f>
        <v>0</v>
      </c>
      <c r="U68" s="176">
        <f t="shared" si="24"/>
        <v>3.944</v>
      </c>
      <c r="V68" s="152"/>
      <c r="W68" s="192">
        <f>VLOOKUP($B68,Curve_Fetch,VLOOKUP(Control!$F$25,Control!$E$26:$I$37,5))</f>
        <v>0.29799999999999999</v>
      </c>
      <c r="X68" s="194">
        <f t="shared" si="37"/>
        <v>0</v>
      </c>
      <c r="Y68" s="194">
        <f t="shared" si="25"/>
        <v>0.29799999999999999</v>
      </c>
      <c r="Z68" s="140">
        <f t="shared" ca="1" si="38"/>
        <v>0.28657937898642949</v>
      </c>
      <c r="AA68" s="140">
        <f t="shared" ca="1" si="17"/>
        <v>4.2305793789864294</v>
      </c>
      <c r="AB68" s="203">
        <f ca="1">_xll.EURO($U68,AA68,VLOOKUP($B68,Curve_Fetch,2),VLOOKUP($B68,Curve_Fetch,2),Y68,VLOOKUP($B68,Model!$A$8:$H$288,8),1,0)</f>
        <v>0.63963893207024158</v>
      </c>
      <c r="AC68" s="134"/>
      <c r="AD68" s="192">
        <f>VLOOKUP($B68,Curve_Fetch,VLOOKUP(Control!$F$25,Control!$E$26:$I$37,5))</f>
        <v>0.29799999999999999</v>
      </c>
      <c r="AE68" s="194">
        <f t="shared" si="18"/>
        <v>0</v>
      </c>
      <c r="AF68" s="194">
        <f t="shared" si="4"/>
        <v>0.29799999999999999</v>
      </c>
      <c r="AG68" s="140">
        <f t="shared" si="26"/>
        <v>-0.20435881234430545</v>
      </c>
      <c r="AH68" s="140">
        <f t="shared" si="19"/>
        <v>3.7396411876556943</v>
      </c>
      <c r="AI68" s="203">
        <f>_xll.EURO($U68,AH68,VLOOKUP($B68,Curve_Fetch,2),VLOOKUP($B68,Curve_Fetch,2),AF68,VLOOKUP($B68,Model!$A$8:$H$288,8),0,0)</f>
        <v>0.62762349907279269</v>
      </c>
      <c r="AK68" s="137">
        <f t="shared" ca="1" si="27"/>
        <v>0</v>
      </c>
      <c r="AL68" s="138">
        <f t="shared" ca="1" si="28"/>
        <v>0</v>
      </c>
      <c r="AM68" s="138">
        <f t="shared" ca="1" si="29"/>
        <v>0</v>
      </c>
      <c r="AN68" s="138">
        <f t="shared" ca="1" si="30"/>
        <v>0</v>
      </c>
      <c r="AO68" s="138">
        <f t="shared" ca="1" si="31"/>
        <v>0</v>
      </c>
      <c r="AP68" s="138">
        <f t="shared" ca="1" si="32"/>
        <v>0</v>
      </c>
      <c r="AQ68" s="138">
        <f t="shared" si="20"/>
        <v>0</v>
      </c>
      <c r="AR68" s="139">
        <f t="shared" ca="1" si="33"/>
        <v>0</v>
      </c>
      <c r="AT68"/>
      <c r="AU68"/>
      <c r="AV68"/>
      <c r="AW68"/>
      <c r="AX68"/>
      <c r="AY68"/>
      <c r="AZ68"/>
      <c r="BA68"/>
    </row>
    <row r="69" spans="2:53">
      <c r="B69" s="131">
        <f>[1]!_xludf.edate(B68,1)</f>
        <v>38384</v>
      </c>
      <c r="C69" s="132">
        <f t="shared" si="22"/>
        <v>38412</v>
      </c>
      <c r="D69" s="159">
        <v>0</v>
      </c>
      <c r="E69" s="160">
        <f>VLOOKUP($B69,Model!$A$8:$E$289,5)</f>
        <v>0</v>
      </c>
      <c r="F69" s="160">
        <f>VLOOKUP($B69,Model!$A$8:$F$289,6)</f>
        <v>0</v>
      </c>
      <c r="G69" s="179">
        <f ca="1">VLOOKUP($B69,Model!$A$8:$G$289,7)</f>
        <v>0</v>
      </c>
      <c r="I69" s="133">
        <v>0</v>
      </c>
      <c r="J69" s="134">
        <f t="shared" si="23"/>
        <v>3.9409999999999998</v>
      </c>
      <c r="K69" s="140">
        <f t="shared" si="34"/>
        <v>0</v>
      </c>
      <c r="L69" s="136">
        <f>IF(Control!$C$25=Control!$B$26,J69,I69)+K69</f>
        <v>3.9409999999999998</v>
      </c>
      <c r="M69" s="133">
        <v>0</v>
      </c>
      <c r="N69" s="134">
        <f>VLOOKUP($B69,Curve_Fetch,VLOOKUP(Control!$F$25,Control!$E$26:$G$37,3))</f>
        <v>-8.5000000000000006E-2</v>
      </c>
      <c r="O69" s="140">
        <f t="shared" si="35"/>
        <v>0</v>
      </c>
      <c r="P69" s="136">
        <f>IF(Control!$C$30=Control!$B$31,N69,M69)+O69</f>
        <v>-8.5000000000000006E-2</v>
      </c>
      <c r="Q69" s="133">
        <v>0</v>
      </c>
      <c r="R69" s="134">
        <f>VLOOKUP($B69,Curve_Fetch,(VLOOKUP(Control!$F$25,Control!$E$26:$H$37,4)))</f>
        <v>5.0000000000000001E-3</v>
      </c>
      <c r="S69" s="140">
        <f t="shared" si="36"/>
        <v>0</v>
      </c>
      <c r="T69" s="136">
        <f>IF($C$12="Physical",IF(Control!$C$35=Control!$B$36,R69,Q69)+S69,0)</f>
        <v>0</v>
      </c>
      <c r="U69" s="176">
        <f t="shared" si="24"/>
        <v>3.8559999999999999</v>
      </c>
      <c r="V69" s="152"/>
      <c r="W69" s="192">
        <f>VLOOKUP($B69,Curve_Fetch,VLOOKUP(Control!$F$25,Control!$E$26:$I$37,5))</f>
        <v>0.29499999999999998</v>
      </c>
      <c r="X69" s="194">
        <f t="shared" si="37"/>
        <v>0</v>
      </c>
      <c r="Y69" s="194">
        <f t="shared" si="25"/>
        <v>0.29499999999999998</v>
      </c>
      <c r="Z69" s="140">
        <f t="shared" ca="1" si="38"/>
        <v>0.28657937898642949</v>
      </c>
      <c r="AA69" s="140">
        <f t="shared" ca="1" si="17"/>
        <v>4.1425793789864294</v>
      </c>
      <c r="AB69" s="203">
        <f ca="1">_xll.EURO($U69,AA69,VLOOKUP($B69,Curve_Fetch,2),VLOOKUP($B69,Curve_Fetch,2),Y69,VLOOKUP($B69,Model!$A$8:$H$288,8),1,0)</f>
        <v>0.6228567847791846</v>
      </c>
      <c r="AC69" s="134"/>
      <c r="AD69" s="192">
        <f>VLOOKUP($B69,Curve_Fetch,VLOOKUP(Control!$F$25,Control!$E$26:$I$37,5))</f>
        <v>0.29499999999999998</v>
      </c>
      <c r="AE69" s="194">
        <f t="shared" si="18"/>
        <v>0</v>
      </c>
      <c r="AF69" s="194">
        <f t="shared" si="4"/>
        <v>0.29499999999999998</v>
      </c>
      <c r="AG69" s="140">
        <f t="shared" si="26"/>
        <v>-0.20435881234430545</v>
      </c>
      <c r="AH69" s="140">
        <f t="shared" si="19"/>
        <v>3.6516411876556942</v>
      </c>
      <c r="AI69" s="203">
        <f>_xll.EURO($U69,AH69,VLOOKUP($B69,Curve_Fetch,2),VLOOKUP($B69,Curve_Fetch,2),AF69,VLOOKUP($B69,Model!$A$8:$H$288,8),0,0)</f>
        <v>0.61070492465368975</v>
      </c>
      <c r="AK69" s="137">
        <f t="shared" ca="1" si="27"/>
        <v>0</v>
      </c>
      <c r="AL69" s="138">
        <f t="shared" ca="1" si="28"/>
        <v>0</v>
      </c>
      <c r="AM69" s="138">
        <f t="shared" ca="1" si="29"/>
        <v>0</v>
      </c>
      <c r="AN69" s="138">
        <f t="shared" ca="1" si="30"/>
        <v>0</v>
      </c>
      <c r="AO69" s="138">
        <f t="shared" ca="1" si="31"/>
        <v>0</v>
      </c>
      <c r="AP69" s="138">
        <f t="shared" ca="1" si="32"/>
        <v>0</v>
      </c>
      <c r="AQ69" s="138">
        <f t="shared" si="20"/>
        <v>0</v>
      </c>
      <c r="AR69" s="139">
        <f t="shared" ca="1" si="33"/>
        <v>0</v>
      </c>
      <c r="AT69"/>
      <c r="AU69"/>
      <c r="AV69"/>
      <c r="AW69"/>
      <c r="AX69"/>
      <c r="AY69"/>
      <c r="AZ69"/>
      <c r="BA69"/>
    </row>
    <row r="70" spans="2:53">
      <c r="B70" s="131">
        <f>[1]!_xludf.edate(B69,1)</f>
        <v>38412</v>
      </c>
      <c r="C70" s="132">
        <f t="shared" si="22"/>
        <v>38443</v>
      </c>
      <c r="D70" s="159">
        <v>0</v>
      </c>
      <c r="E70" s="160">
        <f>VLOOKUP($B70,Model!$A$8:$E$289,5)</f>
        <v>0</v>
      </c>
      <c r="F70" s="160">
        <f>VLOOKUP($B70,Model!$A$8:$F$289,6)</f>
        <v>0</v>
      </c>
      <c r="G70" s="179">
        <f ca="1">VLOOKUP($B70,Model!$A$8:$G$289,7)</f>
        <v>0</v>
      </c>
      <c r="I70" s="133">
        <v>0</v>
      </c>
      <c r="J70" s="134">
        <f t="shared" si="23"/>
        <v>3.802</v>
      </c>
      <c r="K70" s="140">
        <f t="shared" si="34"/>
        <v>0</v>
      </c>
      <c r="L70" s="136">
        <f>IF(Control!$C$25=Control!$B$26,J70,I70)+K70</f>
        <v>3.802</v>
      </c>
      <c r="M70" s="133">
        <v>0</v>
      </c>
      <c r="N70" s="134">
        <f>VLOOKUP($B70,Curve_Fetch,VLOOKUP(Control!$F$25,Control!$E$26:$G$37,3))</f>
        <v>-8.5000000000000006E-2</v>
      </c>
      <c r="O70" s="140">
        <f t="shared" si="35"/>
        <v>0</v>
      </c>
      <c r="P70" s="136">
        <f>IF(Control!$C$30=Control!$B$31,N70,M70)+O70</f>
        <v>-8.5000000000000006E-2</v>
      </c>
      <c r="Q70" s="133">
        <v>0</v>
      </c>
      <c r="R70" s="134">
        <f>VLOOKUP($B70,Curve_Fetch,(VLOOKUP(Control!$F$25,Control!$E$26:$H$37,4)))</f>
        <v>5.0000000000000001E-3</v>
      </c>
      <c r="S70" s="140">
        <f t="shared" si="36"/>
        <v>0</v>
      </c>
      <c r="T70" s="136">
        <f>IF($C$12="Physical",IF(Control!$C$35=Control!$B$36,R70,Q70)+S70,0)</f>
        <v>0</v>
      </c>
      <c r="U70" s="176">
        <f t="shared" si="24"/>
        <v>3.7170000000000001</v>
      </c>
      <c r="V70" s="152"/>
      <c r="W70" s="192">
        <f>VLOOKUP($B70,Curve_Fetch,VLOOKUP(Control!$F$25,Control!$E$26:$I$37,5))</f>
        <v>0.28299999999999997</v>
      </c>
      <c r="X70" s="194">
        <f t="shared" si="37"/>
        <v>0</v>
      </c>
      <c r="Y70" s="194">
        <f t="shared" si="25"/>
        <v>0.28299999999999997</v>
      </c>
      <c r="Z70" s="140">
        <f t="shared" ca="1" si="38"/>
        <v>0.28657937898642949</v>
      </c>
      <c r="AA70" s="140">
        <f t="shared" ca="1" si="17"/>
        <v>4.00357937898643</v>
      </c>
      <c r="AB70" s="203">
        <f ca="1">_xll.EURO($U70,AA70,VLOOKUP($B70,Curve_Fetch,2),VLOOKUP($B70,Curve_Fetch,2),Y70,VLOOKUP($B70,Model!$A$8:$H$288,8),1,0)</f>
        <v>0.57446388066872323</v>
      </c>
      <c r="AC70" s="134"/>
      <c r="AD70" s="192">
        <f>VLOOKUP($B70,Curve_Fetch,VLOOKUP(Control!$F$25,Control!$E$26:$I$37,5))</f>
        <v>0.28299999999999997</v>
      </c>
      <c r="AE70" s="194">
        <f t="shared" si="18"/>
        <v>0</v>
      </c>
      <c r="AF70" s="194">
        <f t="shared" si="4"/>
        <v>0.28299999999999997</v>
      </c>
      <c r="AG70" s="140">
        <f t="shared" si="26"/>
        <v>-0.20435881234430545</v>
      </c>
      <c r="AH70" s="140">
        <f t="shared" si="19"/>
        <v>3.5126411876556944</v>
      </c>
      <c r="AI70" s="203">
        <f>_xll.EURO($U70,AH70,VLOOKUP($B70,Curve_Fetch,2),VLOOKUP($B70,Curve_Fetch,2),AF70,VLOOKUP($B70,Model!$A$8:$H$288,8),0,0)</f>
        <v>0.56346857173476717</v>
      </c>
      <c r="AK70" s="137">
        <f t="shared" ca="1" si="27"/>
        <v>0</v>
      </c>
      <c r="AL70" s="138">
        <f t="shared" ca="1" si="28"/>
        <v>0</v>
      </c>
      <c r="AM70" s="138">
        <f t="shared" ca="1" si="29"/>
        <v>0</v>
      </c>
      <c r="AN70" s="138">
        <f t="shared" ca="1" si="30"/>
        <v>0</v>
      </c>
      <c r="AO70" s="138">
        <f t="shared" ca="1" si="31"/>
        <v>0</v>
      </c>
      <c r="AP70" s="138">
        <f t="shared" ca="1" si="32"/>
        <v>0</v>
      </c>
      <c r="AQ70" s="138">
        <f t="shared" si="20"/>
        <v>0</v>
      </c>
      <c r="AR70" s="139">
        <f t="shared" ca="1" si="33"/>
        <v>0</v>
      </c>
      <c r="AT70"/>
      <c r="AU70"/>
      <c r="AV70"/>
      <c r="AW70"/>
      <c r="AX70"/>
      <c r="AY70"/>
      <c r="AZ70"/>
      <c r="BA70"/>
    </row>
    <row r="71" spans="2:53">
      <c r="B71" s="131">
        <f>[1]!_xludf.edate(B70,1)</f>
        <v>38443</v>
      </c>
      <c r="C71" s="132">
        <f t="shared" si="22"/>
        <v>38473</v>
      </c>
      <c r="D71" s="159">
        <v>0</v>
      </c>
      <c r="E71" s="160">
        <f>VLOOKUP($B71,Model!$A$8:$E$289,5)</f>
        <v>0</v>
      </c>
      <c r="F71" s="160">
        <f>VLOOKUP($B71,Model!$A$8:$F$289,6)</f>
        <v>0</v>
      </c>
      <c r="G71" s="179">
        <f ca="1">VLOOKUP($B71,Model!$A$8:$G$289,7)</f>
        <v>0</v>
      </c>
      <c r="I71" s="133">
        <v>0</v>
      </c>
      <c r="J71" s="134">
        <f t="shared" si="23"/>
        <v>3.6480000000000001</v>
      </c>
      <c r="K71" s="140">
        <f t="shared" si="34"/>
        <v>0</v>
      </c>
      <c r="L71" s="136">
        <f>IF(Control!$C$25=Control!$B$26,J71,I71)+K71</f>
        <v>3.6480000000000001</v>
      </c>
      <c r="M71" s="133">
        <v>0</v>
      </c>
      <c r="N71" s="134">
        <f>VLOOKUP($B71,Curve_Fetch,VLOOKUP(Control!$F$25,Control!$E$26:$G$37,3))</f>
        <v>-8.5000000000000006E-2</v>
      </c>
      <c r="O71" s="140">
        <f t="shared" si="35"/>
        <v>0</v>
      </c>
      <c r="P71" s="136">
        <f>IF(Control!$C$30=Control!$B$31,N71,M71)+O71</f>
        <v>-8.5000000000000006E-2</v>
      </c>
      <c r="Q71" s="133">
        <v>0</v>
      </c>
      <c r="R71" s="134">
        <f>VLOOKUP($B71,Curve_Fetch,(VLOOKUP(Control!$F$25,Control!$E$26:$H$37,4)))</f>
        <v>5.0000000000000001E-3</v>
      </c>
      <c r="S71" s="140">
        <f t="shared" si="36"/>
        <v>0</v>
      </c>
      <c r="T71" s="136">
        <f>IF($C$12="Physical",IF(Control!$C$35=Control!$B$36,R71,Q71)+S71,0)</f>
        <v>0</v>
      </c>
      <c r="U71" s="176">
        <f t="shared" si="24"/>
        <v>3.5630000000000002</v>
      </c>
      <c r="V71" s="152"/>
      <c r="W71" s="192">
        <f>VLOOKUP($B71,Curve_Fetch,VLOOKUP(Control!$F$25,Control!$E$26:$I$37,5))</f>
        <v>0.27300000000000002</v>
      </c>
      <c r="X71" s="194">
        <f t="shared" si="37"/>
        <v>0</v>
      </c>
      <c r="Y71" s="194">
        <f t="shared" si="25"/>
        <v>0.27300000000000002</v>
      </c>
      <c r="Z71" s="140">
        <f t="shared" ca="1" si="38"/>
        <v>0.28657937898642949</v>
      </c>
      <c r="AA71" s="140">
        <f t="shared" ca="1" si="17"/>
        <v>3.8495793789864297</v>
      </c>
      <c r="AB71" s="203">
        <f ca="1">_xll.EURO($U71,AA71,VLOOKUP($B71,Curve_Fetch,2),VLOOKUP($B71,Curve_Fetch,2),Y71,VLOOKUP($B71,Model!$A$8:$H$288,8),1,0)</f>
        <v>0.5297772371890872</v>
      </c>
      <c r="AC71" s="134"/>
      <c r="AD71" s="192">
        <f>VLOOKUP($B71,Curve_Fetch,VLOOKUP(Control!$F$25,Control!$E$26:$I$37,5))</f>
        <v>0.27300000000000002</v>
      </c>
      <c r="AE71" s="194">
        <f t="shared" si="18"/>
        <v>0</v>
      </c>
      <c r="AF71" s="194">
        <f t="shared" si="4"/>
        <v>0.27300000000000002</v>
      </c>
      <c r="AG71" s="140">
        <f t="shared" si="26"/>
        <v>-0.20435881234430545</v>
      </c>
      <c r="AH71" s="140">
        <f t="shared" si="19"/>
        <v>3.3586411876556945</v>
      </c>
      <c r="AI71" s="203">
        <f>_xll.EURO($U71,AH71,VLOOKUP($B71,Curve_Fetch,2),VLOOKUP($B71,Curve_Fetch,2),AF71,VLOOKUP($B71,Model!$A$8:$H$288,8),0,0)</f>
        <v>0.5196198567149215</v>
      </c>
      <c r="AK71" s="137">
        <f t="shared" ca="1" si="27"/>
        <v>0</v>
      </c>
      <c r="AL71" s="138">
        <f t="shared" ca="1" si="28"/>
        <v>0</v>
      </c>
      <c r="AM71" s="138">
        <f t="shared" ca="1" si="29"/>
        <v>0</v>
      </c>
      <c r="AN71" s="138">
        <f t="shared" ca="1" si="30"/>
        <v>0</v>
      </c>
      <c r="AO71" s="138">
        <f t="shared" ca="1" si="31"/>
        <v>0</v>
      </c>
      <c r="AP71" s="138">
        <f t="shared" ca="1" si="32"/>
        <v>0</v>
      </c>
      <c r="AQ71" s="138">
        <f t="shared" si="20"/>
        <v>0</v>
      </c>
      <c r="AR71" s="139">
        <f t="shared" ca="1" si="33"/>
        <v>0</v>
      </c>
      <c r="AT71"/>
      <c r="AU71"/>
      <c r="AV71"/>
      <c r="AW71"/>
      <c r="AX71"/>
      <c r="AY71"/>
      <c r="AZ71"/>
      <c r="BA71"/>
    </row>
    <row r="72" spans="2:53">
      <c r="B72" s="131">
        <f>[1]!_xludf.edate(B71,1)</f>
        <v>38473</v>
      </c>
      <c r="C72" s="132">
        <f t="shared" si="22"/>
        <v>38504</v>
      </c>
      <c r="D72" s="159">
        <v>0</v>
      </c>
      <c r="E72" s="160">
        <f>VLOOKUP($B72,Model!$A$8:$E$289,5)</f>
        <v>0</v>
      </c>
      <c r="F72" s="160">
        <f>VLOOKUP($B72,Model!$A$8:$F$289,6)</f>
        <v>0</v>
      </c>
      <c r="G72" s="179">
        <f ca="1">VLOOKUP($B72,Model!$A$8:$G$289,7)</f>
        <v>0</v>
      </c>
      <c r="I72" s="133">
        <v>0</v>
      </c>
      <c r="J72" s="134">
        <f t="shared" si="23"/>
        <v>3.6520000000000001</v>
      </c>
      <c r="K72" s="140">
        <f t="shared" si="34"/>
        <v>0</v>
      </c>
      <c r="L72" s="136">
        <f>IF(Control!$C$25=Control!$B$26,J72,I72)+K72</f>
        <v>3.6520000000000001</v>
      </c>
      <c r="M72" s="133">
        <v>0</v>
      </c>
      <c r="N72" s="134">
        <f>VLOOKUP($B72,Curve_Fetch,VLOOKUP(Control!$F$25,Control!$E$26:$G$37,3))</f>
        <v>-8.5000000000000006E-2</v>
      </c>
      <c r="O72" s="140">
        <f t="shared" si="35"/>
        <v>0</v>
      </c>
      <c r="P72" s="136">
        <f>IF(Control!$C$30=Control!$B$31,N72,M72)+O72</f>
        <v>-8.5000000000000006E-2</v>
      </c>
      <c r="Q72" s="133">
        <v>0</v>
      </c>
      <c r="R72" s="134">
        <f>VLOOKUP($B72,Curve_Fetch,(VLOOKUP(Control!$F$25,Control!$E$26:$H$37,4)))</f>
        <v>5.0000000000000001E-3</v>
      </c>
      <c r="S72" s="140">
        <f t="shared" si="36"/>
        <v>0</v>
      </c>
      <c r="T72" s="136">
        <f>IF($C$12="Physical",IF(Control!$C$35=Control!$B$36,R72,Q72)+S72,0)</f>
        <v>0</v>
      </c>
      <c r="U72" s="176">
        <f t="shared" si="24"/>
        <v>3.5670000000000002</v>
      </c>
      <c r="V72" s="152"/>
      <c r="W72" s="192">
        <f>VLOOKUP($B72,Curve_Fetch,VLOOKUP(Control!$F$25,Control!$E$26:$I$37,5))</f>
        <v>0.26500000000000001</v>
      </c>
      <c r="X72" s="194">
        <f t="shared" si="37"/>
        <v>0</v>
      </c>
      <c r="Y72" s="194">
        <f t="shared" si="25"/>
        <v>0.26500000000000001</v>
      </c>
      <c r="Z72" s="140">
        <f t="shared" ca="1" si="38"/>
        <v>0.28657937898642949</v>
      </c>
      <c r="AA72" s="140">
        <f t="shared" ca="1" si="17"/>
        <v>3.8535793789864297</v>
      </c>
      <c r="AB72" s="203">
        <f ca="1">_xll.EURO($U72,AA72,VLOOKUP($B72,Curve_Fetch,2),VLOOKUP($B72,Curve_Fetch,2),Y72,VLOOKUP($B72,Model!$A$8:$H$288,8),1,0)</f>
        <v>0.51711009805637542</v>
      </c>
      <c r="AC72" s="134"/>
      <c r="AD72" s="192">
        <f>VLOOKUP($B72,Curve_Fetch,VLOOKUP(Control!$F$25,Control!$E$26:$I$37,5))</f>
        <v>0.26500000000000001</v>
      </c>
      <c r="AE72" s="194">
        <f t="shared" si="18"/>
        <v>0</v>
      </c>
      <c r="AF72" s="194">
        <f t="shared" si="4"/>
        <v>0.26500000000000001</v>
      </c>
      <c r="AG72" s="140">
        <f t="shared" si="26"/>
        <v>-0.20435881234430545</v>
      </c>
      <c r="AH72" s="140">
        <f t="shared" si="19"/>
        <v>3.3626411876556945</v>
      </c>
      <c r="AI72" s="203">
        <f>_xll.EURO($U72,AH72,VLOOKUP($B72,Curve_Fetch,2),VLOOKUP($B72,Curve_Fetch,2),AF72,VLOOKUP($B72,Model!$A$8:$H$288,8),0,0)</f>
        <v>0.50767563798736259</v>
      </c>
      <c r="AK72" s="137">
        <f t="shared" ca="1" si="27"/>
        <v>0</v>
      </c>
      <c r="AL72" s="138">
        <f t="shared" ca="1" si="28"/>
        <v>0</v>
      </c>
      <c r="AM72" s="138">
        <f t="shared" ca="1" si="29"/>
        <v>0</v>
      </c>
      <c r="AN72" s="138">
        <f t="shared" ca="1" si="30"/>
        <v>0</v>
      </c>
      <c r="AO72" s="138">
        <f t="shared" ca="1" si="31"/>
        <v>0</v>
      </c>
      <c r="AP72" s="138">
        <f t="shared" ca="1" si="32"/>
        <v>0</v>
      </c>
      <c r="AQ72" s="138">
        <f t="shared" si="20"/>
        <v>0</v>
      </c>
      <c r="AR72" s="139">
        <f t="shared" ca="1" si="33"/>
        <v>0</v>
      </c>
      <c r="AT72"/>
      <c r="AU72"/>
      <c r="AV72"/>
      <c r="AW72"/>
      <c r="AX72"/>
      <c r="AY72"/>
      <c r="AZ72"/>
      <c r="BA72"/>
    </row>
    <row r="73" spans="2:53">
      <c r="B73" s="131">
        <f>[1]!_xludf.edate(B72,1)</f>
        <v>38504</v>
      </c>
      <c r="C73" s="132">
        <f t="shared" si="22"/>
        <v>38534</v>
      </c>
      <c r="D73" s="159">
        <v>0</v>
      </c>
      <c r="E73" s="160">
        <f>VLOOKUP($B73,Model!$A$8:$E$289,5)</f>
        <v>0</v>
      </c>
      <c r="F73" s="160">
        <f>VLOOKUP($B73,Model!$A$8:$F$289,6)</f>
        <v>0</v>
      </c>
      <c r="G73" s="179">
        <f ca="1">VLOOKUP($B73,Model!$A$8:$G$289,7)</f>
        <v>0</v>
      </c>
      <c r="I73" s="133">
        <v>0</v>
      </c>
      <c r="J73" s="134">
        <f t="shared" si="23"/>
        <v>3.6920000000000002</v>
      </c>
      <c r="K73" s="140">
        <f t="shared" si="34"/>
        <v>0</v>
      </c>
      <c r="L73" s="136">
        <f>IF(Control!$C$25=Control!$B$26,J73,I73)+K73</f>
        <v>3.6920000000000002</v>
      </c>
      <c r="M73" s="133">
        <v>0</v>
      </c>
      <c r="N73" s="134">
        <f>VLOOKUP($B73,Curve_Fetch,VLOOKUP(Control!$F$25,Control!$E$26:$G$37,3))</f>
        <v>-8.5000000000000006E-2</v>
      </c>
      <c r="O73" s="140">
        <f t="shared" si="35"/>
        <v>0</v>
      </c>
      <c r="P73" s="136">
        <f>IF(Control!$C$30=Control!$B$31,N73,M73)+O73</f>
        <v>-8.5000000000000006E-2</v>
      </c>
      <c r="Q73" s="133">
        <v>0</v>
      </c>
      <c r="R73" s="134">
        <f>VLOOKUP($B73,Curve_Fetch,(VLOOKUP(Control!$F$25,Control!$E$26:$H$37,4)))</f>
        <v>5.0000000000000001E-3</v>
      </c>
      <c r="S73" s="140">
        <f t="shared" si="36"/>
        <v>0</v>
      </c>
      <c r="T73" s="136">
        <f>IF($C$12="Physical",IF(Control!$C$35=Control!$B$36,R73,Q73)+S73,0)</f>
        <v>0</v>
      </c>
      <c r="U73" s="176">
        <f t="shared" si="24"/>
        <v>3.6070000000000002</v>
      </c>
      <c r="V73" s="152"/>
      <c r="W73" s="192">
        <f>VLOOKUP($B73,Curve_Fetch,VLOOKUP(Control!$F$25,Control!$E$26:$I$37,5))</f>
        <v>0.26</v>
      </c>
      <c r="X73" s="194">
        <f t="shared" si="37"/>
        <v>0</v>
      </c>
      <c r="Y73" s="194">
        <f t="shared" si="25"/>
        <v>0.26</v>
      </c>
      <c r="Z73" s="140">
        <f t="shared" ca="1" si="38"/>
        <v>0.28657937898642949</v>
      </c>
      <c r="AA73" s="140">
        <f t="shared" ca="1" si="17"/>
        <v>3.8935793789864297</v>
      </c>
      <c r="AB73" s="203">
        <f ca="1">_xll.EURO($U73,AA73,VLOOKUP($B73,Curve_Fetch,2),VLOOKUP($B73,Curve_Fetch,2),Y73,VLOOKUP($B73,Model!$A$8:$H$288,8),1,0)</f>
        <v>0.51715141882662508</v>
      </c>
      <c r="AC73" s="134"/>
      <c r="AD73" s="192">
        <f>VLOOKUP($B73,Curve_Fetch,VLOOKUP(Control!$F$25,Control!$E$26:$I$37,5))</f>
        <v>0.26</v>
      </c>
      <c r="AE73" s="194">
        <f t="shared" si="18"/>
        <v>0</v>
      </c>
      <c r="AF73" s="194">
        <f t="shared" si="4"/>
        <v>0.26</v>
      </c>
      <c r="AG73" s="140">
        <f t="shared" si="26"/>
        <v>-0.20435881234430545</v>
      </c>
      <c r="AH73" s="140">
        <f t="shared" si="19"/>
        <v>3.4026411876556946</v>
      </c>
      <c r="AI73" s="203">
        <f>_xll.EURO($U73,AH73,VLOOKUP($B73,Curve_Fetch,2),VLOOKUP($B73,Curve_Fetch,2),AF73,VLOOKUP($B73,Model!$A$8:$H$288,8),0,0)</f>
        <v>0.50805473574637694</v>
      </c>
      <c r="AK73" s="137">
        <f t="shared" ca="1" si="27"/>
        <v>0</v>
      </c>
      <c r="AL73" s="138">
        <f t="shared" ca="1" si="28"/>
        <v>0</v>
      </c>
      <c r="AM73" s="138">
        <f t="shared" ca="1" si="29"/>
        <v>0</v>
      </c>
      <c r="AN73" s="138">
        <f t="shared" ca="1" si="30"/>
        <v>0</v>
      </c>
      <c r="AO73" s="138">
        <f t="shared" ca="1" si="31"/>
        <v>0</v>
      </c>
      <c r="AP73" s="138">
        <f t="shared" ca="1" si="32"/>
        <v>0</v>
      </c>
      <c r="AQ73" s="138">
        <f t="shared" si="20"/>
        <v>0</v>
      </c>
      <c r="AR73" s="139">
        <f t="shared" ca="1" si="33"/>
        <v>0</v>
      </c>
      <c r="AT73"/>
      <c r="AU73"/>
      <c r="AV73"/>
      <c r="AW73"/>
      <c r="AX73"/>
      <c r="AY73"/>
      <c r="AZ73"/>
      <c r="BA73"/>
    </row>
    <row r="74" spans="2:53">
      <c r="B74" s="131">
        <f>[1]!_xludf.edate(B73,1)</f>
        <v>38534</v>
      </c>
      <c r="C74" s="132">
        <f t="shared" si="22"/>
        <v>38565</v>
      </c>
      <c r="D74" s="159">
        <v>0</v>
      </c>
      <c r="E74" s="160">
        <f>VLOOKUP($B74,Model!$A$8:$E$289,5)</f>
        <v>0</v>
      </c>
      <c r="F74" s="160">
        <f>VLOOKUP($B74,Model!$A$8:$F$289,6)</f>
        <v>0</v>
      </c>
      <c r="G74" s="179">
        <f ca="1">VLOOKUP($B74,Model!$A$8:$G$289,7)</f>
        <v>0</v>
      </c>
      <c r="I74" s="133">
        <v>0</v>
      </c>
      <c r="J74" s="134">
        <f t="shared" si="23"/>
        <v>3.7370000000000001</v>
      </c>
      <c r="K74" s="140">
        <f t="shared" si="34"/>
        <v>0</v>
      </c>
      <c r="L74" s="136">
        <f>IF(Control!$C$25=Control!$B$26,J74,I74)+K74</f>
        <v>3.7370000000000001</v>
      </c>
      <c r="M74" s="133">
        <v>0</v>
      </c>
      <c r="N74" s="134">
        <f>VLOOKUP($B74,Curve_Fetch,VLOOKUP(Control!$F$25,Control!$E$26:$G$37,3))</f>
        <v>-8.5000000000000006E-2</v>
      </c>
      <c r="O74" s="140">
        <f t="shared" si="35"/>
        <v>0</v>
      </c>
      <c r="P74" s="136">
        <f>IF(Control!$C$30=Control!$B$31,N74,M74)+O74</f>
        <v>-8.5000000000000006E-2</v>
      </c>
      <c r="Q74" s="133">
        <v>0</v>
      </c>
      <c r="R74" s="134">
        <f>VLOOKUP($B74,Curve_Fetch,(VLOOKUP(Control!$F$25,Control!$E$26:$H$37,4)))</f>
        <v>5.0000000000000001E-3</v>
      </c>
      <c r="S74" s="140">
        <f t="shared" si="36"/>
        <v>0</v>
      </c>
      <c r="T74" s="136">
        <f>IF($C$12="Physical",IF(Control!$C$35=Control!$B$36,R74,Q74)+S74,0)</f>
        <v>0</v>
      </c>
      <c r="U74" s="176">
        <f t="shared" si="24"/>
        <v>3.6520000000000001</v>
      </c>
      <c r="V74" s="152"/>
      <c r="W74" s="192">
        <f>VLOOKUP($B74,Curve_Fetch,VLOOKUP(Control!$F$25,Control!$E$26:$I$37,5))</f>
        <v>0.26</v>
      </c>
      <c r="X74" s="194">
        <f t="shared" si="37"/>
        <v>0</v>
      </c>
      <c r="Y74" s="194">
        <f t="shared" si="25"/>
        <v>0.26</v>
      </c>
      <c r="Z74" s="140">
        <f t="shared" ca="1" si="38"/>
        <v>0.28657937898642949</v>
      </c>
      <c r="AA74" s="140">
        <f t="shared" ca="1" si="17"/>
        <v>3.9385793789864296</v>
      </c>
      <c r="AB74" s="203">
        <f ca="1">_xll.EURO($U74,AA74,VLOOKUP($B74,Curve_Fetch,2),VLOOKUP($B74,Curve_Fetch,2),Y74,VLOOKUP($B74,Model!$A$8:$H$288,8),1,0)</f>
        <v>0.52942257498806211</v>
      </c>
      <c r="AC74" s="134"/>
      <c r="AD74" s="192">
        <f>VLOOKUP($B74,Curve_Fetch,VLOOKUP(Control!$F$25,Control!$E$26:$I$37,5))</f>
        <v>0.26</v>
      </c>
      <c r="AE74" s="194">
        <f t="shared" si="18"/>
        <v>0</v>
      </c>
      <c r="AF74" s="194">
        <f t="shared" si="4"/>
        <v>0.26</v>
      </c>
      <c r="AG74" s="140">
        <f t="shared" si="26"/>
        <v>-0.20435881234430545</v>
      </c>
      <c r="AH74" s="140">
        <f t="shared" si="19"/>
        <v>3.4476411876556945</v>
      </c>
      <c r="AI74" s="203">
        <f>_xll.EURO($U74,AH74,VLOOKUP($B74,Curve_Fetch,2),VLOOKUP($B74,Curve_Fetch,2),AF74,VLOOKUP($B74,Model!$A$8:$H$288,8),0,0)</f>
        <v>0.51997978957461899</v>
      </c>
      <c r="AK74" s="137">
        <f t="shared" ca="1" si="27"/>
        <v>0</v>
      </c>
      <c r="AL74" s="138">
        <f t="shared" ca="1" si="28"/>
        <v>0</v>
      </c>
      <c r="AM74" s="138">
        <f t="shared" ca="1" si="29"/>
        <v>0</v>
      </c>
      <c r="AN74" s="138">
        <f t="shared" ca="1" si="30"/>
        <v>0</v>
      </c>
      <c r="AO74" s="138">
        <f t="shared" ca="1" si="31"/>
        <v>0</v>
      </c>
      <c r="AP74" s="138">
        <f t="shared" ca="1" si="32"/>
        <v>0</v>
      </c>
      <c r="AQ74" s="138">
        <f t="shared" si="20"/>
        <v>0</v>
      </c>
      <c r="AR74" s="139">
        <f t="shared" ca="1" si="33"/>
        <v>0</v>
      </c>
      <c r="AT74"/>
      <c r="AU74"/>
      <c r="AV74"/>
      <c r="AW74"/>
      <c r="AX74"/>
      <c r="AY74"/>
      <c r="AZ74"/>
      <c r="BA74"/>
    </row>
    <row r="75" spans="2:53">
      <c r="B75" s="131">
        <f>[1]!_xludf.edate(B74,1)</f>
        <v>38565</v>
      </c>
      <c r="C75" s="132">
        <f t="shared" si="22"/>
        <v>38596</v>
      </c>
      <c r="D75" s="159">
        <v>0</v>
      </c>
      <c r="E75" s="160">
        <f>VLOOKUP($B75,Model!$A$8:$E$289,5)</f>
        <v>0</v>
      </c>
      <c r="F75" s="160">
        <f>VLOOKUP($B75,Model!$A$8:$F$289,6)</f>
        <v>0</v>
      </c>
      <c r="G75" s="179">
        <f ca="1">VLOOKUP($B75,Model!$A$8:$G$289,7)</f>
        <v>0</v>
      </c>
      <c r="I75" s="133">
        <v>0</v>
      </c>
      <c r="J75" s="134">
        <f t="shared" si="23"/>
        <v>3.7759999999999998</v>
      </c>
      <c r="K75" s="140">
        <f t="shared" si="34"/>
        <v>0</v>
      </c>
      <c r="L75" s="136">
        <f>IF(Control!$C$25=Control!$B$26,J75,I75)+K75</f>
        <v>3.7759999999999998</v>
      </c>
      <c r="M75" s="133">
        <v>0</v>
      </c>
      <c r="N75" s="134">
        <f>VLOOKUP($B75,Curve_Fetch,VLOOKUP(Control!$F$25,Control!$E$26:$G$37,3))</f>
        <v>-8.5000000000000006E-2</v>
      </c>
      <c r="O75" s="140">
        <f t="shared" si="35"/>
        <v>0</v>
      </c>
      <c r="P75" s="136">
        <f>IF(Control!$C$30=Control!$B$31,N75,M75)+O75</f>
        <v>-8.5000000000000006E-2</v>
      </c>
      <c r="Q75" s="133">
        <v>0</v>
      </c>
      <c r="R75" s="134">
        <f>VLOOKUP($B75,Curve_Fetch,(VLOOKUP(Control!$F$25,Control!$E$26:$H$37,4)))</f>
        <v>5.0000000000000001E-3</v>
      </c>
      <c r="S75" s="140">
        <f t="shared" si="36"/>
        <v>0</v>
      </c>
      <c r="T75" s="136">
        <f>IF($C$12="Physical",IF(Control!$C$35=Control!$B$36,R75,Q75)+S75,0)</f>
        <v>0</v>
      </c>
      <c r="U75" s="176">
        <f t="shared" si="24"/>
        <v>3.6909999999999998</v>
      </c>
      <c r="V75" s="152"/>
      <c r="W75" s="192">
        <f>VLOOKUP($B75,Curve_Fetch,VLOOKUP(Control!$F$25,Control!$E$26:$I$37,5))</f>
        <v>0.26</v>
      </c>
      <c r="X75" s="194">
        <f t="shared" si="37"/>
        <v>0</v>
      </c>
      <c r="Y75" s="194">
        <f t="shared" si="25"/>
        <v>0.26</v>
      </c>
      <c r="Z75" s="140">
        <f t="shared" ca="1" si="38"/>
        <v>0.28657937898642949</v>
      </c>
      <c r="AA75" s="140">
        <f t="shared" ca="1" si="17"/>
        <v>3.9775793789864293</v>
      </c>
      <c r="AB75" s="203">
        <f ca="1">_xll.EURO($U75,AA75,VLOOKUP($B75,Curve_Fetch,2),VLOOKUP($B75,Curve_Fetch,2),Y75,VLOOKUP($B75,Model!$A$8:$H$288,8),1,0)</f>
        <v>0.5407951830590958</v>
      </c>
      <c r="AC75" s="134"/>
      <c r="AD75" s="192">
        <f>VLOOKUP($B75,Curve_Fetch,VLOOKUP(Control!$F$25,Control!$E$26:$I$37,5))</f>
        <v>0.26</v>
      </c>
      <c r="AE75" s="194">
        <f t="shared" si="18"/>
        <v>0</v>
      </c>
      <c r="AF75" s="194">
        <f t="shared" si="4"/>
        <v>0.26</v>
      </c>
      <c r="AG75" s="140">
        <f t="shared" si="26"/>
        <v>-0.20435881234430545</v>
      </c>
      <c r="AH75" s="140">
        <f t="shared" si="19"/>
        <v>3.4866411876556942</v>
      </c>
      <c r="AI75" s="203">
        <f>_xll.EURO($U75,AH75,VLOOKUP($B75,Curve_Fetch,2),VLOOKUP($B75,Curve_Fetch,2),AF75,VLOOKUP($B75,Model!$A$8:$H$288,8),0,0)</f>
        <v>0.53099518315617478</v>
      </c>
      <c r="AK75" s="137">
        <f t="shared" ca="1" si="27"/>
        <v>0</v>
      </c>
      <c r="AL75" s="138">
        <f t="shared" ca="1" si="28"/>
        <v>0</v>
      </c>
      <c r="AM75" s="138">
        <f t="shared" ca="1" si="29"/>
        <v>0</v>
      </c>
      <c r="AN75" s="138">
        <f t="shared" ca="1" si="30"/>
        <v>0</v>
      </c>
      <c r="AO75" s="138">
        <f t="shared" ca="1" si="31"/>
        <v>0</v>
      </c>
      <c r="AP75" s="138">
        <f t="shared" ca="1" si="32"/>
        <v>0</v>
      </c>
      <c r="AQ75" s="138">
        <f t="shared" si="20"/>
        <v>0</v>
      </c>
      <c r="AR75" s="139">
        <f t="shared" ca="1" si="33"/>
        <v>0</v>
      </c>
      <c r="AT75"/>
      <c r="AU75"/>
      <c r="AV75"/>
      <c r="AW75"/>
      <c r="AX75"/>
      <c r="AY75"/>
      <c r="AZ75"/>
      <c r="BA75"/>
    </row>
    <row r="76" spans="2:53">
      <c r="B76" s="131">
        <f>[1]!_xludf.edate(B75,1)</f>
        <v>38596</v>
      </c>
      <c r="C76" s="132">
        <f t="shared" si="22"/>
        <v>38626</v>
      </c>
      <c r="D76" s="159">
        <v>0</v>
      </c>
      <c r="E76" s="160">
        <f>VLOOKUP($B76,Model!$A$8:$E$289,5)</f>
        <v>0</v>
      </c>
      <c r="F76" s="160">
        <f>VLOOKUP($B76,Model!$A$8:$F$289,6)</f>
        <v>0</v>
      </c>
      <c r="G76" s="179">
        <f ca="1">VLOOKUP($B76,Model!$A$8:$G$289,7)</f>
        <v>0</v>
      </c>
      <c r="I76" s="133">
        <v>0</v>
      </c>
      <c r="J76" s="134">
        <f t="shared" si="23"/>
        <v>3.77</v>
      </c>
      <c r="K76" s="140">
        <f t="shared" si="34"/>
        <v>0</v>
      </c>
      <c r="L76" s="136">
        <f>IF(Control!$C$25=Control!$B$26,J76,I76)+K76</f>
        <v>3.77</v>
      </c>
      <c r="M76" s="133">
        <v>0</v>
      </c>
      <c r="N76" s="134">
        <f>VLOOKUP($B76,Curve_Fetch,VLOOKUP(Control!$F$25,Control!$E$26:$G$37,3))</f>
        <v>-8.5000000000000006E-2</v>
      </c>
      <c r="O76" s="140">
        <f t="shared" si="35"/>
        <v>0</v>
      </c>
      <c r="P76" s="136">
        <f>IF(Control!$C$30=Control!$B$31,N76,M76)+O76</f>
        <v>-8.5000000000000006E-2</v>
      </c>
      <c r="Q76" s="133">
        <v>0</v>
      </c>
      <c r="R76" s="134">
        <f>VLOOKUP($B76,Curve_Fetch,(VLOOKUP(Control!$F$25,Control!$E$26:$H$37,4)))</f>
        <v>5.0000000000000001E-3</v>
      </c>
      <c r="S76" s="140">
        <f t="shared" si="36"/>
        <v>0</v>
      </c>
      <c r="T76" s="136">
        <f>IF($C$12="Physical",IF(Control!$C$35=Control!$B$36,R76,Q76)+S76,0)</f>
        <v>0</v>
      </c>
      <c r="U76" s="176">
        <f t="shared" si="24"/>
        <v>3.6850000000000001</v>
      </c>
      <c r="V76" s="152"/>
      <c r="W76" s="192">
        <f>VLOOKUP($B76,Curve_Fetch,VLOOKUP(Control!$F$25,Control!$E$26:$I$37,5))</f>
        <v>0.26</v>
      </c>
      <c r="X76" s="194">
        <f t="shared" si="37"/>
        <v>0</v>
      </c>
      <c r="Y76" s="194">
        <f t="shared" si="25"/>
        <v>0.26</v>
      </c>
      <c r="Z76" s="140">
        <f t="shared" ca="1" si="38"/>
        <v>0.28657937898642949</v>
      </c>
      <c r="AA76" s="140">
        <f t="shared" ca="1" si="17"/>
        <v>3.9715793789864295</v>
      </c>
      <c r="AB76" s="203">
        <f ca="1">_xll.EURO($U76,AA76,VLOOKUP($B76,Curve_Fetch,2),VLOOKUP($B76,Curve_Fetch,2),Y76,VLOOKUP($B76,Model!$A$8:$H$288,8),1,0)</f>
        <v>0.54439898384283958</v>
      </c>
      <c r="AC76" s="134"/>
      <c r="AD76" s="192">
        <f>VLOOKUP($B76,Curve_Fetch,VLOOKUP(Control!$F$25,Control!$E$26:$I$37,5))</f>
        <v>0.26</v>
      </c>
      <c r="AE76" s="194">
        <f t="shared" si="18"/>
        <v>0</v>
      </c>
      <c r="AF76" s="194">
        <f t="shared" si="4"/>
        <v>0.26</v>
      </c>
      <c r="AG76" s="140">
        <f t="shared" si="26"/>
        <v>-0.20435881234430545</v>
      </c>
      <c r="AH76" s="140">
        <f t="shared" si="19"/>
        <v>3.4806411876556944</v>
      </c>
      <c r="AI76" s="203">
        <f>_xll.EURO($U76,AH76,VLOOKUP($B76,Curve_Fetch,2),VLOOKUP($B76,Curve_Fetch,2),AF76,VLOOKUP($B76,Model!$A$8:$H$288,8),0,0)</f>
        <v>0.5342149658082731</v>
      </c>
      <c r="AK76" s="137">
        <f t="shared" ca="1" si="27"/>
        <v>0</v>
      </c>
      <c r="AL76" s="138">
        <f t="shared" ca="1" si="28"/>
        <v>0</v>
      </c>
      <c r="AM76" s="138">
        <f t="shared" ca="1" si="29"/>
        <v>0</v>
      </c>
      <c r="AN76" s="138">
        <f t="shared" ca="1" si="30"/>
        <v>0</v>
      </c>
      <c r="AO76" s="138">
        <f t="shared" ca="1" si="31"/>
        <v>0</v>
      </c>
      <c r="AP76" s="138">
        <f t="shared" ca="1" si="32"/>
        <v>0</v>
      </c>
      <c r="AQ76" s="138">
        <f t="shared" si="20"/>
        <v>0</v>
      </c>
      <c r="AR76" s="139">
        <f t="shared" ca="1" si="33"/>
        <v>0</v>
      </c>
      <c r="AT76"/>
      <c r="AU76"/>
      <c r="AV76"/>
      <c r="AW76"/>
      <c r="AX76"/>
      <c r="AY76"/>
      <c r="AZ76"/>
      <c r="BA76"/>
    </row>
    <row r="77" spans="2:53">
      <c r="B77" s="131">
        <f>[1]!_xludf.edate(B76,1)</f>
        <v>38626</v>
      </c>
      <c r="C77" s="132">
        <f t="shared" si="22"/>
        <v>38657</v>
      </c>
      <c r="D77" s="159">
        <v>0</v>
      </c>
      <c r="E77" s="160">
        <f>VLOOKUP($B77,Model!$A$8:$E$289,5)</f>
        <v>0</v>
      </c>
      <c r="F77" s="160">
        <f>VLOOKUP($B77,Model!$A$8:$F$289,6)</f>
        <v>0</v>
      </c>
      <c r="G77" s="179">
        <f ca="1">VLOOKUP($B77,Model!$A$8:$G$289,7)</f>
        <v>0</v>
      </c>
      <c r="I77" s="133">
        <v>0</v>
      </c>
      <c r="J77" s="134">
        <f t="shared" si="23"/>
        <v>3.78</v>
      </c>
      <c r="K77" s="140">
        <f t="shared" si="34"/>
        <v>0</v>
      </c>
      <c r="L77" s="136">
        <f>IF(Control!$C$25=Control!$B$26,J77,I77)+K77</f>
        <v>3.78</v>
      </c>
      <c r="M77" s="133">
        <v>0</v>
      </c>
      <c r="N77" s="134">
        <f>VLOOKUP($B77,Curve_Fetch,VLOOKUP(Control!$F$25,Control!$E$26:$G$37,3))</f>
        <v>-8.5000000000000006E-2</v>
      </c>
      <c r="O77" s="140">
        <f t="shared" si="35"/>
        <v>0</v>
      </c>
      <c r="P77" s="136">
        <f>IF(Control!$C$30=Control!$B$31,N77,M77)+O77</f>
        <v>-8.5000000000000006E-2</v>
      </c>
      <c r="Q77" s="133">
        <v>0</v>
      </c>
      <c r="R77" s="134">
        <f>VLOOKUP($B77,Curve_Fetch,(VLOOKUP(Control!$F$25,Control!$E$26:$H$37,4)))</f>
        <v>5.0000000000000001E-3</v>
      </c>
      <c r="S77" s="140">
        <f t="shared" si="36"/>
        <v>0</v>
      </c>
      <c r="T77" s="136">
        <f>IF($C$12="Physical",IF(Control!$C$35=Control!$B$36,R77,Q77)+S77,0)</f>
        <v>0</v>
      </c>
      <c r="U77" s="176">
        <f t="shared" si="24"/>
        <v>3.6949999999999998</v>
      </c>
      <c r="V77" s="152"/>
      <c r="W77" s="192">
        <f>VLOOKUP($B77,Curve_Fetch,VLOOKUP(Control!$F$25,Control!$E$26:$I$37,5))</f>
        <v>0.26</v>
      </c>
      <c r="X77" s="194">
        <f t="shared" si="37"/>
        <v>0</v>
      </c>
      <c r="Y77" s="194">
        <f t="shared" si="25"/>
        <v>0.26</v>
      </c>
      <c r="Z77" s="140">
        <f t="shared" ca="1" si="38"/>
        <v>0.28657937898642949</v>
      </c>
      <c r="AA77" s="140">
        <f t="shared" ca="1" si="17"/>
        <v>3.9815793789864293</v>
      </c>
      <c r="AB77" s="203">
        <f ca="1">_xll.EURO($U77,AA77,VLOOKUP($B77,Curve_Fetch,2),VLOOKUP($B77,Curve_Fetch,2),Y77,VLOOKUP($B77,Model!$A$8:$H$288,8),1,0)</f>
        <v>0.55044810481075124</v>
      </c>
      <c r="AC77" s="134"/>
      <c r="AD77" s="192">
        <f>VLOOKUP($B77,Curve_Fetch,VLOOKUP(Control!$F$25,Control!$E$26:$I$37,5))</f>
        <v>0.26</v>
      </c>
      <c r="AE77" s="194">
        <f t="shared" si="18"/>
        <v>0</v>
      </c>
      <c r="AF77" s="194">
        <f t="shared" si="4"/>
        <v>0.26</v>
      </c>
      <c r="AG77" s="140">
        <f t="shared" si="26"/>
        <v>-0.20435881234430545</v>
      </c>
      <c r="AH77" s="140">
        <f t="shared" si="19"/>
        <v>3.4906411876556942</v>
      </c>
      <c r="AI77" s="203">
        <f>_xll.EURO($U77,AH77,VLOOKUP($B77,Curve_Fetch,2),VLOOKUP($B77,Curve_Fetch,2),AF77,VLOOKUP($B77,Model!$A$8:$H$288,8),0,0)</f>
        <v>0.53991225494152695</v>
      </c>
      <c r="AK77" s="137">
        <f t="shared" ca="1" si="27"/>
        <v>0</v>
      </c>
      <c r="AL77" s="138">
        <f t="shared" ca="1" si="28"/>
        <v>0</v>
      </c>
      <c r="AM77" s="138">
        <f t="shared" ca="1" si="29"/>
        <v>0</v>
      </c>
      <c r="AN77" s="138">
        <f t="shared" ca="1" si="30"/>
        <v>0</v>
      </c>
      <c r="AO77" s="138">
        <f t="shared" ca="1" si="31"/>
        <v>0</v>
      </c>
      <c r="AP77" s="138">
        <f t="shared" ca="1" si="32"/>
        <v>0</v>
      </c>
      <c r="AQ77" s="138">
        <f t="shared" si="20"/>
        <v>0</v>
      </c>
      <c r="AR77" s="139">
        <f t="shared" ca="1" si="33"/>
        <v>0</v>
      </c>
      <c r="AT77"/>
      <c r="AU77"/>
      <c r="AV77"/>
      <c r="AW77"/>
      <c r="AX77"/>
      <c r="AY77"/>
      <c r="AZ77"/>
      <c r="BA77"/>
    </row>
    <row r="78" spans="2:53">
      <c r="B78" s="131">
        <f>[1]!_xludf.edate(B77,1)</f>
        <v>38657</v>
      </c>
      <c r="C78" s="132">
        <f t="shared" si="22"/>
        <v>38687</v>
      </c>
      <c r="D78" s="159">
        <v>0</v>
      </c>
      <c r="E78" s="160">
        <f>VLOOKUP($B78,Model!$A$8:$E$289,5)</f>
        <v>0</v>
      </c>
      <c r="F78" s="160">
        <f>VLOOKUP($B78,Model!$A$8:$F$289,6)</f>
        <v>0</v>
      </c>
      <c r="G78" s="179">
        <f ca="1">VLOOKUP($B78,Model!$A$8:$G$289,7)</f>
        <v>0</v>
      </c>
      <c r="I78" s="133">
        <v>0</v>
      </c>
      <c r="J78" s="134">
        <f t="shared" si="23"/>
        <v>3.94</v>
      </c>
      <c r="K78" s="140">
        <f t="shared" si="34"/>
        <v>0</v>
      </c>
      <c r="L78" s="136">
        <f>IF(Control!$C$25=Control!$B$26,J78,I78)+K78</f>
        <v>3.94</v>
      </c>
      <c r="M78" s="133">
        <v>0</v>
      </c>
      <c r="N78" s="134">
        <f>VLOOKUP($B78,Curve_Fetch,VLOOKUP(Control!$F$25,Control!$E$26:$G$37,3))</f>
        <v>-8.5000000000000006E-2</v>
      </c>
      <c r="O78" s="140">
        <f t="shared" si="35"/>
        <v>0</v>
      </c>
      <c r="P78" s="136">
        <f>IF(Control!$C$30=Control!$B$31,N78,M78)+O78</f>
        <v>-8.5000000000000006E-2</v>
      </c>
      <c r="Q78" s="133">
        <v>0</v>
      </c>
      <c r="R78" s="134">
        <f>VLOOKUP($B78,Curve_Fetch,(VLOOKUP(Control!$F$25,Control!$E$26:$H$37,4)))</f>
        <v>5.0000000000000001E-3</v>
      </c>
      <c r="S78" s="140">
        <f t="shared" si="36"/>
        <v>0</v>
      </c>
      <c r="T78" s="136">
        <f>IF($C$12="Physical",IF(Control!$C$35=Control!$B$36,R78,Q78)+S78,0)</f>
        <v>0</v>
      </c>
      <c r="U78" s="176">
        <f t="shared" si="24"/>
        <v>3.855</v>
      </c>
      <c r="V78" s="152"/>
      <c r="W78" s="192">
        <f>VLOOKUP($B78,Curve_Fetch,VLOOKUP(Control!$F$25,Control!$E$26:$I$37,5))</f>
        <v>0.26</v>
      </c>
      <c r="X78" s="194">
        <f t="shared" si="37"/>
        <v>0</v>
      </c>
      <c r="Y78" s="194">
        <f t="shared" si="25"/>
        <v>0.26</v>
      </c>
      <c r="Z78" s="140">
        <f t="shared" ca="1" si="38"/>
        <v>0.28657937898642949</v>
      </c>
      <c r="AA78" s="140">
        <f t="shared" ca="1" si="17"/>
        <v>4.1415793789864299</v>
      </c>
      <c r="AB78" s="203">
        <f ca="1">_xll.EURO($U78,AA78,VLOOKUP($B78,Curve_Fetch,2),VLOOKUP($B78,Curve_Fetch,2),Y78,VLOOKUP($B78,Model!$A$8:$H$288,8),1,0)</f>
        <v>0.58248346972657528</v>
      </c>
      <c r="AC78" s="134"/>
      <c r="AD78" s="192">
        <f>VLOOKUP($B78,Curve_Fetch,VLOOKUP(Control!$F$25,Control!$E$26:$I$37,5))</f>
        <v>0.26</v>
      </c>
      <c r="AE78" s="194">
        <f t="shared" si="18"/>
        <v>0</v>
      </c>
      <c r="AF78" s="194">
        <f t="shared" si="4"/>
        <v>0.26</v>
      </c>
      <c r="AG78" s="140">
        <f t="shared" si="26"/>
        <v>-0.20435881234430545</v>
      </c>
      <c r="AH78" s="140">
        <f t="shared" si="19"/>
        <v>3.6506411876556943</v>
      </c>
      <c r="AI78" s="203">
        <f>_xll.EURO($U78,AH78,VLOOKUP($B78,Curve_Fetch,2),VLOOKUP($B78,Curve_Fetch,2),AF78,VLOOKUP($B78,Model!$A$8:$H$288,8),0,0)</f>
        <v>0.57169715557453071</v>
      </c>
      <c r="AK78" s="137">
        <f t="shared" ca="1" si="27"/>
        <v>0</v>
      </c>
      <c r="AL78" s="138">
        <f t="shared" ca="1" si="28"/>
        <v>0</v>
      </c>
      <c r="AM78" s="138">
        <f t="shared" ca="1" si="29"/>
        <v>0</v>
      </c>
      <c r="AN78" s="138">
        <f t="shared" ca="1" si="30"/>
        <v>0</v>
      </c>
      <c r="AO78" s="138">
        <f t="shared" ca="1" si="31"/>
        <v>0</v>
      </c>
      <c r="AP78" s="138">
        <f t="shared" ca="1" si="32"/>
        <v>0</v>
      </c>
      <c r="AQ78" s="138">
        <f t="shared" si="20"/>
        <v>0</v>
      </c>
      <c r="AR78" s="139">
        <f t="shared" ca="1" si="33"/>
        <v>0</v>
      </c>
      <c r="AT78"/>
      <c r="AU78"/>
      <c r="AV78"/>
      <c r="AW78"/>
      <c r="AX78"/>
      <c r="AY78"/>
      <c r="AZ78"/>
      <c r="BA78"/>
    </row>
    <row r="79" spans="2:53">
      <c r="B79" s="131">
        <f>[1]!_xludf.edate(B78,1)</f>
        <v>38687</v>
      </c>
      <c r="C79" s="132">
        <f t="shared" si="22"/>
        <v>38718</v>
      </c>
      <c r="D79" s="159">
        <v>0</v>
      </c>
      <c r="E79" s="160">
        <f>VLOOKUP($B79,Model!$A$8:$E$289,5)</f>
        <v>0</v>
      </c>
      <c r="F79" s="160">
        <f>VLOOKUP($B79,Model!$A$8:$F$289,6)</f>
        <v>0</v>
      </c>
      <c r="G79" s="179">
        <f ca="1">VLOOKUP($B79,Model!$A$8:$G$289,7)</f>
        <v>0</v>
      </c>
      <c r="I79" s="133">
        <v>0</v>
      </c>
      <c r="J79" s="134">
        <f t="shared" si="23"/>
        <v>4.0940000000000003</v>
      </c>
      <c r="K79" s="140">
        <f t="shared" si="34"/>
        <v>0</v>
      </c>
      <c r="L79" s="136">
        <f>IF(Control!$C$25=Control!$B$26,J79,I79)+K79</f>
        <v>4.0940000000000003</v>
      </c>
      <c r="M79" s="133">
        <v>0</v>
      </c>
      <c r="N79" s="134">
        <f>VLOOKUP($B79,Curve_Fetch,VLOOKUP(Control!$F$25,Control!$E$26:$G$37,3))</f>
        <v>-8.5000000000000006E-2</v>
      </c>
      <c r="O79" s="140">
        <f t="shared" si="35"/>
        <v>0</v>
      </c>
      <c r="P79" s="136">
        <f>IF(Control!$C$30=Control!$B$31,N79,M79)+O79</f>
        <v>-8.5000000000000006E-2</v>
      </c>
      <c r="Q79" s="133">
        <v>0</v>
      </c>
      <c r="R79" s="134">
        <f>VLOOKUP($B79,Curve_Fetch,(VLOOKUP(Control!$F$25,Control!$E$26:$H$37,4)))</f>
        <v>5.0000000000000001E-3</v>
      </c>
      <c r="S79" s="140">
        <f t="shared" si="36"/>
        <v>0</v>
      </c>
      <c r="T79" s="136">
        <f>IF($C$12="Physical",IF(Control!$C$35=Control!$B$36,R79,Q79)+S79,0)</f>
        <v>0</v>
      </c>
      <c r="U79" s="176">
        <f t="shared" si="24"/>
        <v>4.0090000000000003</v>
      </c>
      <c r="V79" s="152"/>
      <c r="W79" s="192">
        <f>VLOOKUP($B79,Curve_Fetch,VLOOKUP(Control!$F$25,Control!$E$26:$I$37,5))</f>
        <v>0.26</v>
      </c>
      <c r="X79" s="194">
        <f t="shared" si="37"/>
        <v>0</v>
      </c>
      <c r="Y79" s="194">
        <f t="shared" si="25"/>
        <v>0.26</v>
      </c>
      <c r="Z79" s="140">
        <f t="shared" ca="1" si="38"/>
        <v>0.28657937898642949</v>
      </c>
      <c r="AA79" s="140">
        <f t="shared" ca="1" si="17"/>
        <v>4.2955793789864298</v>
      </c>
      <c r="AB79" s="203">
        <f ca="1">_xll.EURO($U79,AA79,VLOOKUP($B79,Curve_Fetch,2),VLOOKUP($B79,Curve_Fetch,2),Y79,VLOOKUP($B79,Model!$A$8:$H$288,8),1,0)</f>
        <v>0.61351079553310783</v>
      </c>
      <c r="AC79" s="134"/>
      <c r="AD79" s="192">
        <f>VLOOKUP($B79,Curve_Fetch,VLOOKUP(Control!$F$25,Control!$E$26:$I$37,5))</f>
        <v>0.26</v>
      </c>
      <c r="AE79" s="194">
        <f t="shared" si="18"/>
        <v>0</v>
      </c>
      <c r="AF79" s="194">
        <f t="shared" si="4"/>
        <v>0.26</v>
      </c>
      <c r="AG79" s="140">
        <f t="shared" si="26"/>
        <v>-0.20435881234430545</v>
      </c>
      <c r="AH79" s="140">
        <f t="shared" si="19"/>
        <v>3.8046411876556947</v>
      </c>
      <c r="AI79" s="203">
        <f>_xll.EURO($U79,AH79,VLOOKUP($B79,Curve_Fetch,2),VLOOKUP($B79,Curve_Fetch,2),AF79,VLOOKUP($B79,Model!$A$8:$H$288,8),0,0)</f>
        <v>0.60247855918504944</v>
      </c>
      <c r="AK79" s="137">
        <f t="shared" ca="1" si="27"/>
        <v>0</v>
      </c>
      <c r="AL79" s="138">
        <f t="shared" ca="1" si="28"/>
        <v>0</v>
      </c>
      <c r="AM79" s="138">
        <f t="shared" ca="1" si="29"/>
        <v>0</v>
      </c>
      <c r="AN79" s="138">
        <f t="shared" ca="1" si="30"/>
        <v>0</v>
      </c>
      <c r="AO79" s="138">
        <f t="shared" ca="1" si="31"/>
        <v>0</v>
      </c>
      <c r="AP79" s="138">
        <f t="shared" ca="1" si="32"/>
        <v>0</v>
      </c>
      <c r="AQ79" s="138">
        <f t="shared" si="20"/>
        <v>0</v>
      </c>
      <c r="AR79" s="139">
        <f t="shared" ca="1" si="33"/>
        <v>0</v>
      </c>
      <c r="AT79"/>
      <c r="AU79"/>
      <c r="AV79"/>
      <c r="AW79"/>
      <c r="AX79"/>
      <c r="AY79"/>
      <c r="AZ79"/>
      <c r="BA79"/>
    </row>
    <row r="80" spans="2:53">
      <c r="B80" s="131">
        <f>[1]!_xludf.edate(B79,1)</f>
        <v>38718</v>
      </c>
      <c r="C80" s="132">
        <f t="shared" si="22"/>
        <v>38749</v>
      </c>
      <c r="D80" s="159">
        <v>0</v>
      </c>
      <c r="E80" s="160">
        <f>VLOOKUP($B80,Model!$A$8:$E$289,5)</f>
        <v>0</v>
      </c>
      <c r="F80" s="160">
        <f>VLOOKUP($B80,Model!$A$8:$F$289,6)</f>
        <v>0</v>
      </c>
      <c r="G80" s="179">
        <f ca="1">VLOOKUP($B80,Model!$A$8:$G$289,7)</f>
        <v>0</v>
      </c>
      <c r="I80" s="133">
        <v>0</v>
      </c>
      <c r="J80" s="134">
        <f t="shared" si="23"/>
        <v>4.1315</v>
      </c>
      <c r="K80" s="140">
        <f t="shared" si="34"/>
        <v>0</v>
      </c>
      <c r="L80" s="136">
        <f>IF(Control!$C$25=Control!$B$26,J80,I80)+K80</f>
        <v>4.1315</v>
      </c>
      <c r="M80" s="133">
        <v>0</v>
      </c>
      <c r="N80" s="134">
        <f>VLOOKUP($B80,Curve_Fetch,VLOOKUP(Control!$F$25,Control!$E$26:$G$37,3))</f>
        <v>-7.4999999999999997E-2</v>
      </c>
      <c r="O80" s="140">
        <f t="shared" si="35"/>
        <v>0</v>
      </c>
      <c r="P80" s="136">
        <f>IF(Control!$C$30=Control!$B$31,N80,M80)+O80</f>
        <v>-7.4999999999999997E-2</v>
      </c>
      <c r="Q80" s="133">
        <v>0</v>
      </c>
      <c r="R80" s="134">
        <f>VLOOKUP($B80,Curve_Fetch,(VLOOKUP(Control!$F$25,Control!$E$26:$H$37,4)))</f>
        <v>5.0000000000000001E-3</v>
      </c>
      <c r="S80" s="140">
        <f t="shared" si="36"/>
        <v>0</v>
      </c>
      <c r="T80" s="136">
        <f>IF($C$12="Physical",IF(Control!$C$35=Control!$B$36,R80,Q80)+S80,0)</f>
        <v>0</v>
      </c>
      <c r="U80" s="176">
        <f t="shared" si="24"/>
        <v>4.0564999999999998</v>
      </c>
      <c r="V80" s="152"/>
      <c r="W80" s="192">
        <f>VLOOKUP($B80,Curve_Fetch,VLOOKUP(Control!$F$25,Control!$E$26:$I$37,5))</f>
        <v>0.26</v>
      </c>
      <c r="X80" s="194">
        <f t="shared" si="37"/>
        <v>0</v>
      </c>
      <c r="Y80" s="194">
        <f t="shared" si="25"/>
        <v>0.26</v>
      </c>
      <c r="Z80" s="140">
        <f t="shared" ca="1" si="38"/>
        <v>0.28657937898642949</v>
      </c>
      <c r="AA80" s="140">
        <f t="shared" ca="1" si="17"/>
        <v>4.3430793789864293</v>
      </c>
      <c r="AB80" s="203">
        <f ca="1">_xll.EURO($U80,AA80,VLOOKUP($B80,Curve_Fetch,2),VLOOKUP($B80,Curve_Fetch,2),Y80,VLOOKUP($B80,Model!$A$8:$H$288,8),1,0)</f>
        <v>0.62624711917066911</v>
      </c>
      <c r="AC80" s="134"/>
      <c r="AD80" s="192">
        <f>VLOOKUP($B80,Curve_Fetch,VLOOKUP(Control!$F$25,Control!$E$26:$I$37,5))</f>
        <v>0.26</v>
      </c>
      <c r="AE80" s="194">
        <f t="shared" si="18"/>
        <v>0</v>
      </c>
      <c r="AF80" s="194">
        <f t="shared" si="4"/>
        <v>0.26</v>
      </c>
      <c r="AG80" s="140">
        <f t="shared" si="26"/>
        <v>-0.20435881234430545</v>
      </c>
      <c r="AH80" s="140">
        <f t="shared" si="19"/>
        <v>3.8521411876556941</v>
      </c>
      <c r="AI80" s="203">
        <f>_xll.EURO($U80,AH80,VLOOKUP($B80,Curve_Fetch,2),VLOOKUP($B80,Curve_Fetch,2),AF80,VLOOKUP($B80,Model!$A$8:$H$288,8),0,0)</f>
        <v>0.61489153878843861</v>
      </c>
      <c r="AK80" s="137">
        <f t="shared" ca="1" si="27"/>
        <v>0</v>
      </c>
      <c r="AL80" s="138">
        <f t="shared" ca="1" si="28"/>
        <v>0</v>
      </c>
      <c r="AM80" s="138">
        <f t="shared" ca="1" si="29"/>
        <v>0</v>
      </c>
      <c r="AN80" s="138">
        <f t="shared" ca="1" si="30"/>
        <v>0</v>
      </c>
      <c r="AO80" s="138">
        <f t="shared" ca="1" si="31"/>
        <v>0</v>
      </c>
      <c r="AP80" s="138">
        <f t="shared" ca="1" si="32"/>
        <v>0</v>
      </c>
      <c r="AQ80" s="138">
        <f t="shared" si="20"/>
        <v>0</v>
      </c>
      <c r="AR80" s="139">
        <f t="shared" ca="1" si="33"/>
        <v>0</v>
      </c>
      <c r="AT80"/>
      <c r="AU80"/>
      <c r="AV80"/>
      <c r="AW80"/>
      <c r="AX80"/>
      <c r="AY80"/>
      <c r="AZ80"/>
      <c r="BA80"/>
    </row>
    <row r="81" spans="2:53">
      <c r="B81" s="131">
        <f>[1]!_xludf.edate(B80,1)</f>
        <v>38749</v>
      </c>
      <c r="C81" s="132">
        <f t="shared" si="22"/>
        <v>38777</v>
      </c>
      <c r="D81" s="159">
        <v>0</v>
      </c>
      <c r="E81" s="160">
        <f>VLOOKUP($B81,Model!$A$8:$E$289,5)</f>
        <v>0</v>
      </c>
      <c r="F81" s="160">
        <f>VLOOKUP($B81,Model!$A$8:$F$289,6)</f>
        <v>0</v>
      </c>
      <c r="G81" s="179">
        <f ca="1">VLOOKUP($B81,Model!$A$8:$G$289,7)</f>
        <v>0</v>
      </c>
      <c r="I81" s="133">
        <v>0</v>
      </c>
      <c r="J81" s="134">
        <f t="shared" si="23"/>
        <v>4.0434999999999999</v>
      </c>
      <c r="K81" s="140">
        <f t="shared" si="34"/>
        <v>0</v>
      </c>
      <c r="L81" s="136">
        <f>IF(Control!$C$25=Control!$B$26,J81,I81)+K81</f>
        <v>4.0434999999999999</v>
      </c>
      <c r="M81" s="133">
        <v>0</v>
      </c>
      <c r="N81" s="134">
        <f>VLOOKUP($B81,Curve_Fetch,VLOOKUP(Control!$F$25,Control!$E$26:$G$37,3))</f>
        <v>-7.4999999999999997E-2</v>
      </c>
      <c r="O81" s="140">
        <f t="shared" si="35"/>
        <v>0</v>
      </c>
      <c r="P81" s="136">
        <f>IF(Control!$C$30=Control!$B$31,N81,M81)+O81</f>
        <v>-7.4999999999999997E-2</v>
      </c>
      <c r="Q81" s="133">
        <v>0</v>
      </c>
      <c r="R81" s="134">
        <f>VLOOKUP($B81,Curve_Fetch,(VLOOKUP(Control!$F$25,Control!$E$26:$H$37,4)))</f>
        <v>5.0000000000000001E-3</v>
      </c>
      <c r="S81" s="140">
        <f t="shared" si="36"/>
        <v>0</v>
      </c>
      <c r="T81" s="136">
        <f>IF($C$12="Physical",IF(Control!$C$35=Control!$B$36,R81,Q81)+S81,0)</f>
        <v>0</v>
      </c>
      <c r="U81" s="176">
        <f t="shared" si="24"/>
        <v>3.9684999999999997</v>
      </c>
      <c r="V81" s="152"/>
      <c r="W81" s="192">
        <f>VLOOKUP($B81,Curve_Fetch,VLOOKUP(Control!$F$25,Control!$E$26:$I$37,5))</f>
        <v>0.25</v>
      </c>
      <c r="X81" s="194">
        <f t="shared" si="37"/>
        <v>0</v>
      </c>
      <c r="Y81" s="194">
        <f t="shared" si="25"/>
        <v>0.25</v>
      </c>
      <c r="Z81" s="140">
        <f t="shared" ca="1" si="38"/>
        <v>0.28657937898642949</v>
      </c>
      <c r="AA81" s="140">
        <f t="shared" ca="1" si="17"/>
        <v>4.2550793789864292</v>
      </c>
      <c r="AB81" s="203">
        <f ca="1">_xll.EURO($U81,AA81,VLOOKUP($B81,Curve_Fetch,2),VLOOKUP($B81,Curve_Fetch,2),Y81,VLOOKUP($B81,Model!$A$8:$H$288,8),1,0)</f>
        <v>0.58800354920599718</v>
      </c>
      <c r="AC81" s="134"/>
      <c r="AD81" s="192">
        <f>VLOOKUP($B81,Curve_Fetch,VLOOKUP(Control!$F$25,Control!$E$26:$I$37,5))</f>
        <v>0.25</v>
      </c>
      <c r="AE81" s="194">
        <f t="shared" si="18"/>
        <v>0</v>
      </c>
      <c r="AF81" s="194">
        <f t="shared" si="4"/>
        <v>0.25</v>
      </c>
      <c r="AG81" s="140">
        <f t="shared" si="26"/>
        <v>-0.20435881234430545</v>
      </c>
      <c r="AH81" s="140">
        <f t="shared" si="19"/>
        <v>3.7641411876556941</v>
      </c>
      <c r="AI81" s="203">
        <f>_xll.EURO($U81,AH81,VLOOKUP($B81,Curve_Fetch,2),VLOOKUP($B81,Curve_Fetch,2),AF81,VLOOKUP($B81,Model!$A$8:$H$288,8),0,0)</f>
        <v>0.5777670245780111</v>
      </c>
      <c r="AK81" s="137">
        <f t="shared" ca="1" si="27"/>
        <v>0</v>
      </c>
      <c r="AL81" s="138">
        <f t="shared" ca="1" si="28"/>
        <v>0</v>
      </c>
      <c r="AM81" s="138">
        <f t="shared" ca="1" si="29"/>
        <v>0</v>
      </c>
      <c r="AN81" s="138">
        <f t="shared" ca="1" si="30"/>
        <v>0</v>
      </c>
      <c r="AO81" s="138">
        <f t="shared" ca="1" si="31"/>
        <v>0</v>
      </c>
      <c r="AP81" s="138">
        <f t="shared" ca="1" si="32"/>
        <v>0</v>
      </c>
      <c r="AQ81" s="138">
        <f t="shared" si="20"/>
        <v>0</v>
      </c>
      <c r="AR81" s="139">
        <f t="shared" ca="1" si="33"/>
        <v>0</v>
      </c>
      <c r="AT81"/>
      <c r="AU81"/>
      <c r="AV81"/>
      <c r="AW81"/>
      <c r="AX81"/>
      <c r="AY81"/>
      <c r="AZ81"/>
      <c r="BA81"/>
    </row>
    <row r="82" spans="2:53">
      <c r="B82" s="131">
        <f>[1]!_xludf.edate(B81,1)</f>
        <v>38777</v>
      </c>
      <c r="C82" s="132">
        <f t="shared" si="22"/>
        <v>38808</v>
      </c>
      <c r="D82" s="159">
        <v>0</v>
      </c>
      <c r="E82" s="160">
        <f>VLOOKUP($B82,Model!$A$8:$E$289,5)</f>
        <v>0</v>
      </c>
      <c r="F82" s="160">
        <f>VLOOKUP($B82,Model!$A$8:$F$289,6)</f>
        <v>0</v>
      </c>
      <c r="G82" s="179">
        <f ca="1">VLOOKUP($B82,Model!$A$8:$G$289,7)</f>
        <v>0</v>
      </c>
      <c r="I82" s="133">
        <v>0</v>
      </c>
      <c r="J82" s="134">
        <f t="shared" si="23"/>
        <v>3.9045000000000001</v>
      </c>
      <c r="K82" s="140">
        <f t="shared" si="34"/>
        <v>0</v>
      </c>
      <c r="L82" s="136">
        <f>IF(Control!$C$25=Control!$B$26,J82,I82)+K82</f>
        <v>3.9045000000000001</v>
      </c>
      <c r="M82" s="133">
        <v>0</v>
      </c>
      <c r="N82" s="134">
        <f>VLOOKUP($B82,Curve_Fetch,VLOOKUP(Control!$F$25,Control!$E$26:$G$37,3))</f>
        <v>-7.4999999999999997E-2</v>
      </c>
      <c r="O82" s="140">
        <f t="shared" si="35"/>
        <v>0</v>
      </c>
      <c r="P82" s="136">
        <f>IF(Control!$C$30=Control!$B$31,N82,M82)+O82</f>
        <v>-7.4999999999999997E-2</v>
      </c>
      <c r="Q82" s="133">
        <v>0</v>
      </c>
      <c r="R82" s="134">
        <f>VLOOKUP($B82,Curve_Fetch,(VLOOKUP(Control!$F$25,Control!$E$26:$H$37,4)))</f>
        <v>5.0000000000000001E-3</v>
      </c>
      <c r="S82" s="140">
        <f t="shared" si="36"/>
        <v>0</v>
      </c>
      <c r="T82" s="136">
        <f>IF($C$12="Physical",IF(Control!$C$35=Control!$B$36,R82,Q82)+S82,0)</f>
        <v>0</v>
      </c>
      <c r="U82" s="176">
        <f t="shared" si="24"/>
        <v>3.8294999999999999</v>
      </c>
      <c r="V82" s="152"/>
      <c r="W82" s="192">
        <f>VLOOKUP($B82,Curve_Fetch,VLOOKUP(Control!$F$25,Control!$E$26:$I$37,5))</f>
        <v>0.24299999999999999</v>
      </c>
      <c r="X82" s="194">
        <f t="shared" si="37"/>
        <v>0</v>
      </c>
      <c r="Y82" s="194">
        <f t="shared" si="25"/>
        <v>0.24299999999999999</v>
      </c>
      <c r="Z82" s="140">
        <f t="shared" ca="1" si="38"/>
        <v>0.28657937898642949</v>
      </c>
      <c r="AA82" s="140">
        <f t="shared" ca="1" si="17"/>
        <v>4.1160793789864289</v>
      </c>
      <c r="AB82" s="203">
        <f ca="1">_xll.EURO($U82,AA82,VLOOKUP($B82,Curve_Fetch,2),VLOOKUP($B82,Curve_Fetch,2),Y82,VLOOKUP($B82,Model!$A$8:$H$288,8),1,0)</f>
        <v>0.54956036318636703</v>
      </c>
      <c r="AC82" s="134"/>
      <c r="AD82" s="192">
        <f>VLOOKUP($B82,Curve_Fetch,VLOOKUP(Control!$F$25,Control!$E$26:$I$37,5))</f>
        <v>0.24299999999999999</v>
      </c>
      <c r="AE82" s="194">
        <f t="shared" si="18"/>
        <v>0</v>
      </c>
      <c r="AF82" s="194">
        <f t="shared" si="4"/>
        <v>0.24299999999999999</v>
      </c>
      <c r="AG82" s="140">
        <f t="shared" si="26"/>
        <v>-0.20435881234430545</v>
      </c>
      <c r="AH82" s="140">
        <f t="shared" si="19"/>
        <v>3.6251411876556943</v>
      </c>
      <c r="AI82" s="203">
        <f>_xll.EURO($U82,AH82,VLOOKUP($B82,Curve_Fetch,2),VLOOKUP($B82,Curve_Fetch,2),AF82,VLOOKUP($B82,Model!$A$8:$H$288,8),0,0)</f>
        <v>0.53999844633338379</v>
      </c>
      <c r="AK82" s="137">
        <f t="shared" ca="1" si="27"/>
        <v>0</v>
      </c>
      <c r="AL82" s="138">
        <f t="shared" ca="1" si="28"/>
        <v>0</v>
      </c>
      <c r="AM82" s="138">
        <f t="shared" ca="1" si="29"/>
        <v>0</v>
      </c>
      <c r="AN82" s="138">
        <f t="shared" ca="1" si="30"/>
        <v>0</v>
      </c>
      <c r="AO82" s="138">
        <f t="shared" ca="1" si="31"/>
        <v>0</v>
      </c>
      <c r="AP82" s="138">
        <f t="shared" ca="1" si="32"/>
        <v>0</v>
      </c>
      <c r="AQ82" s="138">
        <f t="shared" si="20"/>
        <v>0</v>
      </c>
      <c r="AR82" s="139">
        <f t="shared" ca="1" si="33"/>
        <v>0</v>
      </c>
      <c r="AT82"/>
      <c r="AU82"/>
      <c r="AV82"/>
      <c r="AW82"/>
      <c r="AX82"/>
      <c r="AY82"/>
      <c r="AZ82"/>
      <c r="BA82"/>
    </row>
    <row r="83" spans="2:53">
      <c r="B83" s="131">
        <f>[1]!_xludf.edate(B82,1)</f>
        <v>38808</v>
      </c>
      <c r="C83" s="132">
        <f t="shared" si="22"/>
        <v>38838</v>
      </c>
      <c r="D83" s="159">
        <v>0</v>
      </c>
      <c r="E83" s="160">
        <f>VLOOKUP($B83,Model!$A$8:$E$289,5)</f>
        <v>0</v>
      </c>
      <c r="F83" s="160">
        <f>VLOOKUP($B83,Model!$A$8:$F$289,6)</f>
        <v>0</v>
      </c>
      <c r="G83" s="179">
        <f ca="1">VLOOKUP($B83,Model!$A$8:$G$289,7)</f>
        <v>0</v>
      </c>
      <c r="I83" s="133">
        <v>0</v>
      </c>
      <c r="J83" s="134">
        <f t="shared" si="23"/>
        <v>3.7505000000000002</v>
      </c>
      <c r="K83" s="140">
        <f t="shared" si="34"/>
        <v>0</v>
      </c>
      <c r="L83" s="136">
        <f>IF(Control!$C$25=Control!$B$26,J83,I83)+K83</f>
        <v>3.7505000000000002</v>
      </c>
      <c r="M83" s="133">
        <v>0</v>
      </c>
      <c r="N83" s="134">
        <f>VLOOKUP($B83,Curve_Fetch,VLOOKUP(Control!$F$25,Control!$E$26:$G$37,3))</f>
        <v>-7.4999999999999997E-2</v>
      </c>
      <c r="O83" s="140">
        <f t="shared" si="35"/>
        <v>0</v>
      </c>
      <c r="P83" s="136">
        <f>IF(Control!$C$30=Control!$B$31,N83,M83)+O83</f>
        <v>-7.4999999999999997E-2</v>
      </c>
      <c r="Q83" s="133">
        <v>0</v>
      </c>
      <c r="R83" s="134">
        <f>VLOOKUP($B83,Curve_Fetch,(VLOOKUP(Control!$F$25,Control!$E$26:$H$37,4)))</f>
        <v>5.0000000000000001E-3</v>
      </c>
      <c r="S83" s="140">
        <f t="shared" si="36"/>
        <v>0</v>
      </c>
      <c r="T83" s="136">
        <f>IF($C$12="Physical",IF(Control!$C$35=Control!$B$36,R83,Q83)+S83,0)</f>
        <v>0</v>
      </c>
      <c r="U83" s="176">
        <f t="shared" si="24"/>
        <v>3.6755</v>
      </c>
      <c r="V83" s="152"/>
      <c r="W83" s="192">
        <f>VLOOKUP($B83,Curve_Fetch,VLOOKUP(Control!$F$25,Control!$E$26:$I$37,5))</f>
        <v>0.24</v>
      </c>
      <c r="X83" s="194">
        <f t="shared" si="37"/>
        <v>0</v>
      </c>
      <c r="Y83" s="194">
        <f t="shared" si="25"/>
        <v>0.24</v>
      </c>
      <c r="Z83" s="140">
        <f t="shared" ca="1" si="38"/>
        <v>0.28657937898642949</v>
      </c>
      <c r="AA83" s="140">
        <f t="shared" ca="1" si="17"/>
        <v>3.9620793789864295</v>
      </c>
      <c r="AB83" s="203">
        <f ca="1">_xll.EURO($U83,AA83,VLOOKUP($B83,Curve_Fetch,2),VLOOKUP($B83,Curve_Fetch,2),Y83,VLOOKUP($B83,Model!$A$8:$H$288,8),1,0)</f>
        <v>0.52006744168121677</v>
      </c>
      <c r="AC83" s="134"/>
      <c r="AD83" s="192">
        <f>VLOOKUP($B83,Curve_Fetch,VLOOKUP(Control!$F$25,Control!$E$26:$I$37,5))</f>
        <v>0.24</v>
      </c>
      <c r="AE83" s="194">
        <f t="shared" si="18"/>
        <v>0</v>
      </c>
      <c r="AF83" s="194">
        <f t="shared" si="4"/>
        <v>0.24</v>
      </c>
      <c r="AG83" s="140">
        <f t="shared" si="26"/>
        <v>-0.20435881234430545</v>
      </c>
      <c r="AH83" s="140">
        <f t="shared" si="19"/>
        <v>3.4711411876556943</v>
      </c>
      <c r="AI83" s="203">
        <f>_xll.EURO($U83,AH83,VLOOKUP($B83,Curve_Fetch,2),VLOOKUP($B83,Curve_Fetch,2),AF83,VLOOKUP($B83,Model!$A$8:$H$288,8),0,0)</f>
        <v>0.51053650358878366</v>
      </c>
      <c r="AK83" s="137">
        <f t="shared" ca="1" si="27"/>
        <v>0</v>
      </c>
      <c r="AL83" s="138">
        <f t="shared" ca="1" si="28"/>
        <v>0</v>
      </c>
      <c r="AM83" s="138">
        <f t="shared" ca="1" si="29"/>
        <v>0</v>
      </c>
      <c r="AN83" s="138">
        <f t="shared" ca="1" si="30"/>
        <v>0</v>
      </c>
      <c r="AO83" s="138">
        <f t="shared" ca="1" si="31"/>
        <v>0</v>
      </c>
      <c r="AP83" s="138">
        <f t="shared" ca="1" si="32"/>
        <v>0</v>
      </c>
      <c r="AQ83" s="138">
        <f t="shared" si="20"/>
        <v>0</v>
      </c>
      <c r="AR83" s="139">
        <f t="shared" ca="1" si="33"/>
        <v>0</v>
      </c>
      <c r="AT83"/>
      <c r="AU83"/>
      <c r="AV83"/>
      <c r="AW83"/>
      <c r="AX83"/>
      <c r="AY83"/>
      <c r="AZ83"/>
      <c r="BA83"/>
    </row>
    <row r="84" spans="2:53">
      <c r="B84" s="131">
        <f>[1]!_xludf.edate(B83,1)</f>
        <v>38838</v>
      </c>
      <c r="C84" s="132">
        <f t="shared" si="22"/>
        <v>38869</v>
      </c>
      <c r="D84" s="159">
        <v>0</v>
      </c>
      <c r="E84" s="160">
        <f>VLOOKUP($B84,Model!$A$8:$E$289,5)</f>
        <v>0</v>
      </c>
      <c r="F84" s="160">
        <f>VLOOKUP($B84,Model!$A$8:$F$289,6)</f>
        <v>0</v>
      </c>
      <c r="G84" s="179">
        <f ca="1">VLOOKUP($B84,Model!$A$8:$G$289,7)</f>
        <v>0</v>
      </c>
      <c r="I84" s="133">
        <v>0</v>
      </c>
      <c r="J84" s="134">
        <f t="shared" si="23"/>
        <v>3.7545000000000002</v>
      </c>
      <c r="K84" s="140">
        <f t="shared" si="34"/>
        <v>0</v>
      </c>
      <c r="L84" s="136">
        <f>IF(Control!$C$25=Control!$B$26,J84,I84)+K84</f>
        <v>3.7545000000000002</v>
      </c>
      <c r="M84" s="133">
        <v>0</v>
      </c>
      <c r="N84" s="134">
        <f>VLOOKUP($B84,Curve_Fetch,VLOOKUP(Control!$F$25,Control!$E$26:$G$37,3))</f>
        <v>-7.4999999999999997E-2</v>
      </c>
      <c r="O84" s="140">
        <f t="shared" si="35"/>
        <v>0</v>
      </c>
      <c r="P84" s="136">
        <f>IF(Control!$C$30=Control!$B$31,N84,M84)+O84</f>
        <v>-7.4999999999999997E-2</v>
      </c>
      <c r="Q84" s="133">
        <v>0</v>
      </c>
      <c r="R84" s="134">
        <f>VLOOKUP($B84,Curve_Fetch,(VLOOKUP(Control!$F$25,Control!$E$26:$H$37,4)))</f>
        <v>5.0000000000000001E-3</v>
      </c>
      <c r="S84" s="140">
        <f t="shared" si="36"/>
        <v>0</v>
      </c>
      <c r="T84" s="136">
        <f>IF($C$12="Physical",IF(Control!$C$35=Control!$B$36,R84,Q84)+S84,0)</f>
        <v>0</v>
      </c>
      <c r="U84" s="176">
        <f t="shared" si="24"/>
        <v>3.6795</v>
      </c>
      <c r="V84" s="152"/>
      <c r="W84" s="192">
        <f>VLOOKUP($B84,Curve_Fetch,VLOOKUP(Control!$F$25,Control!$E$26:$I$37,5))</f>
        <v>0.23799999999999999</v>
      </c>
      <c r="X84" s="194">
        <f t="shared" si="37"/>
        <v>0</v>
      </c>
      <c r="Y84" s="194">
        <f t="shared" si="25"/>
        <v>0.23799999999999999</v>
      </c>
      <c r="Z84" s="140">
        <f t="shared" ca="1" si="38"/>
        <v>0.28657937898642949</v>
      </c>
      <c r="AA84" s="140">
        <f t="shared" ca="1" si="17"/>
        <v>3.9660793789864295</v>
      </c>
      <c r="AB84" s="203">
        <f ca="1">_xll.EURO($U84,AA84,VLOOKUP($B84,Curve_Fetch,2),VLOOKUP($B84,Curve_Fetch,2),Y84,VLOOKUP($B84,Model!$A$8:$H$288,8),1,0)</f>
        <v>0.51891480756714348</v>
      </c>
      <c r="AC84" s="134"/>
      <c r="AD84" s="192">
        <f>VLOOKUP($B84,Curve_Fetch,VLOOKUP(Control!$F$25,Control!$E$26:$I$37,5))</f>
        <v>0.23799999999999999</v>
      </c>
      <c r="AE84" s="194">
        <f t="shared" si="18"/>
        <v>0</v>
      </c>
      <c r="AF84" s="194">
        <f t="shared" si="4"/>
        <v>0.23799999999999999</v>
      </c>
      <c r="AG84" s="140">
        <f t="shared" si="26"/>
        <v>-0.20435881234430545</v>
      </c>
      <c r="AH84" s="140">
        <f t="shared" si="19"/>
        <v>3.4751411876556944</v>
      </c>
      <c r="AI84" s="203">
        <f>_xll.EURO($U84,AH84,VLOOKUP($B84,Curve_Fetch,2),VLOOKUP($B84,Curve_Fetch,2),AF84,VLOOKUP($B84,Model!$A$8:$H$288,8),0,0)</f>
        <v>0.50939778963948168</v>
      </c>
      <c r="AK84" s="137">
        <f t="shared" ca="1" si="27"/>
        <v>0</v>
      </c>
      <c r="AL84" s="138">
        <f t="shared" ca="1" si="28"/>
        <v>0</v>
      </c>
      <c r="AM84" s="138">
        <f t="shared" ca="1" si="29"/>
        <v>0</v>
      </c>
      <c r="AN84" s="138">
        <f t="shared" ca="1" si="30"/>
        <v>0</v>
      </c>
      <c r="AO84" s="138">
        <f t="shared" ca="1" si="31"/>
        <v>0</v>
      </c>
      <c r="AP84" s="138">
        <f t="shared" ca="1" si="32"/>
        <v>0</v>
      </c>
      <c r="AQ84" s="138">
        <f t="shared" si="20"/>
        <v>0</v>
      </c>
      <c r="AR84" s="139">
        <f t="shared" ca="1" si="33"/>
        <v>0</v>
      </c>
      <c r="AT84"/>
      <c r="AU84"/>
      <c r="AV84"/>
      <c r="AW84"/>
      <c r="AX84"/>
      <c r="AY84"/>
      <c r="AZ84"/>
      <c r="BA84"/>
    </row>
    <row r="85" spans="2:53">
      <c r="B85" s="131">
        <f>[1]!_xludf.edate(B84,1)</f>
        <v>38869</v>
      </c>
      <c r="C85" s="132">
        <f t="shared" si="22"/>
        <v>38899</v>
      </c>
      <c r="D85" s="159">
        <v>0</v>
      </c>
      <c r="E85" s="160">
        <f>VLOOKUP($B85,Model!$A$8:$E$289,5)</f>
        <v>0</v>
      </c>
      <c r="F85" s="160">
        <f>VLOOKUP($B85,Model!$A$8:$F$289,6)</f>
        <v>0</v>
      </c>
      <c r="G85" s="179">
        <f ca="1">VLOOKUP($B85,Model!$A$8:$G$289,7)</f>
        <v>0</v>
      </c>
      <c r="I85" s="133">
        <v>0</v>
      </c>
      <c r="J85" s="134">
        <f t="shared" si="23"/>
        <v>3.7945000000000002</v>
      </c>
      <c r="K85" s="140">
        <f t="shared" si="34"/>
        <v>0</v>
      </c>
      <c r="L85" s="136">
        <f>IF(Control!$C$25=Control!$B$26,J85,I85)+K85</f>
        <v>3.7945000000000002</v>
      </c>
      <c r="M85" s="133">
        <v>0</v>
      </c>
      <c r="N85" s="134">
        <f>VLOOKUP($B85,Curve_Fetch,VLOOKUP(Control!$F$25,Control!$E$26:$G$37,3))</f>
        <v>-7.4999999999999997E-2</v>
      </c>
      <c r="O85" s="140">
        <f t="shared" si="35"/>
        <v>0</v>
      </c>
      <c r="P85" s="136">
        <f>IF(Control!$C$30=Control!$B$31,N85,M85)+O85</f>
        <v>-7.4999999999999997E-2</v>
      </c>
      <c r="Q85" s="133">
        <v>0</v>
      </c>
      <c r="R85" s="134">
        <f>VLOOKUP($B85,Curve_Fetch,(VLOOKUP(Control!$F$25,Control!$E$26:$H$37,4)))</f>
        <v>5.0000000000000001E-3</v>
      </c>
      <c r="S85" s="140">
        <f t="shared" si="36"/>
        <v>0</v>
      </c>
      <c r="T85" s="136">
        <f>IF($C$12="Physical",IF(Control!$C$35=Control!$B$36,R85,Q85)+S85,0)</f>
        <v>0</v>
      </c>
      <c r="U85" s="176">
        <f t="shared" si="24"/>
        <v>3.7195</v>
      </c>
      <c r="V85" s="152"/>
      <c r="W85" s="192">
        <f>VLOOKUP($B85,Curve_Fetch,VLOOKUP(Control!$F$25,Control!$E$26:$I$37,5))</f>
        <v>0.23799999999999999</v>
      </c>
      <c r="X85" s="194">
        <f t="shared" si="37"/>
        <v>0</v>
      </c>
      <c r="Y85" s="194">
        <f t="shared" si="25"/>
        <v>0.23799999999999999</v>
      </c>
      <c r="Z85" s="140">
        <f t="shared" ca="1" si="38"/>
        <v>0.28657937898642949</v>
      </c>
      <c r="AA85" s="140">
        <f t="shared" ca="1" si="17"/>
        <v>4.0060793789864295</v>
      </c>
      <c r="AB85" s="203">
        <f ca="1">_xll.EURO($U85,AA85,VLOOKUP($B85,Curve_Fetch,2),VLOOKUP($B85,Curve_Fetch,2),Y85,VLOOKUP($B85,Model!$A$8:$H$288,8),1,0)</f>
        <v>0.52876609711304168</v>
      </c>
      <c r="AC85" s="134"/>
      <c r="AD85" s="192">
        <f>VLOOKUP($B85,Curve_Fetch,VLOOKUP(Control!$F$25,Control!$E$26:$I$37,5))</f>
        <v>0.23799999999999999</v>
      </c>
      <c r="AE85" s="194">
        <f t="shared" si="18"/>
        <v>0</v>
      </c>
      <c r="AF85" s="194">
        <f t="shared" si="4"/>
        <v>0.23799999999999999</v>
      </c>
      <c r="AG85" s="140">
        <f t="shared" si="26"/>
        <v>-0.20435881234430545</v>
      </c>
      <c r="AH85" s="140">
        <f t="shared" si="19"/>
        <v>3.5151411876556944</v>
      </c>
      <c r="AI85" s="203">
        <f>_xll.EURO($U85,AH85,VLOOKUP($B85,Curve_Fetch,2),VLOOKUP($B85,Curve_Fetch,2),AF85,VLOOKUP($B85,Model!$A$8:$H$288,8),0,0)</f>
        <v>0.51898152336956205</v>
      </c>
      <c r="AK85" s="137">
        <f t="shared" ca="1" si="27"/>
        <v>0</v>
      </c>
      <c r="AL85" s="138">
        <f t="shared" ca="1" si="28"/>
        <v>0</v>
      </c>
      <c r="AM85" s="138">
        <f t="shared" ca="1" si="29"/>
        <v>0</v>
      </c>
      <c r="AN85" s="138">
        <f t="shared" ca="1" si="30"/>
        <v>0</v>
      </c>
      <c r="AO85" s="138">
        <f t="shared" ca="1" si="31"/>
        <v>0</v>
      </c>
      <c r="AP85" s="138">
        <f t="shared" ca="1" si="32"/>
        <v>0</v>
      </c>
      <c r="AQ85" s="138">
        <f t="shared" si="20"/>
        <v>0</v>
      </c>
      <c r="AR85" s="139">
        <f t="shared" ca="1" si="33"/>
        <v>0</v>
      </c>
      <c r="AT85"/>
      <c r="AU85"/>
      <c r="AV85"/>
      <c r="AW85"/>
      <c r="AX85"/>
      <c r="AY85"/>
      <c r="AZ85"/>
      <c r="BA85"/>
    </row>
    <row r="86" spans="2:53">
      <c r="B86" s="131">
        <f>[1]!_xludf.edate(B85,1)</f>
        <v>38899</v>
      </c>
      <c r="C86" s="132">
        <f t="shared" si="22"/>
        <v>38930</v>
      </c>
      <c r="D86" s="159">
        <v>0</v>
      </c>
      <c r="E86" s="160">
        <f>VLOOKUP($B86,Model!$A$8:$E$289,5)</f>
        <v>0</v>
      </c>
      <c r="F86" s="160">
        <f>VLOOKUP($B86,Model!$A$8:$F$289,6)</f>
        <v>0</v>
      </c>
      <c r="G86" s="179">
        <f ca="1">VLOOKUP($B86,Model!$A$8:$G$289,7)</f>
        <v>0</v>
      </c>
      <c r="I86" s="133">
        <v>0</v>
      </c>
      <c r="J86" s="134">
        <f t="shared" si="23"/>
        <v>3.8395000000000001</v>
      </c>
      <c r="K86" s="140">
        <f t="shared" si="34"/>
        <v>0</v>
      </c>
      <c r="L86" s="136">
        <f>IF(Control!$C$25=Control!$B$26,J86,I86)+K86</f>
        <v>3.8395000000000001</v>
      </c>
      <c r="M86" s="133">
        <v>0</v>
      </c>
      <c r="N86" s="134">
        <f>VLOOKUP($B86,Curve_Fetch,VLOOKUP(Control!$F$25,Control!$E$26:$G$37,3))</f>
        <v>-7.4999999999999997E-2</v>
      </c>
      <c r="O86" s="140">
        <f t="shared" si="35"/>
        <v>0</v>
      </c>
      <c r="P86" s="136">
        <f>IF(Control!$C$30=Control!$B$31,N86,M86)+O86</f>
        <v>-7.4999999999999997E-2</v>
      </c>
      <c r="Q86" s="133">
        <v>0</v>
      </c>
      <c r="R86" s="134">
        <f>VLOOKUP($B86,Curve_Fetch,(VLOOKUP(Control!$F$25,Control!$E$26:$H$37,4)))</f>
        <v>5.0000000000000001E-3</v>
      </c>
      <c r="S86" s="140">
        <f t="shared" si="36"/>
        <v>0</v>
      </c>
      <c r="T86" s="136">
        <f>IF($C$12="Physical",IF(Control!$C$35=Control!$B$36,R86,Q86)+S86,0)</f>
        <v>0</v>
      </c>
      <c r="U86" s="176">
        <f t="shared" si="24"/>
        <v>3.7645</v>
      </c>
      <c r="V86" s="152"/>
      <c r="W86" s="192">
        <f>VLOOKUP($B86,Curve_Fetch,VLOOKUP(Control!$F$25,Control!$E$26:$I$37,5))</f>
        <v>0.23799999999999999</v>
      </c>
      <c r="X86" s="194">
        <f t="shared" si="37"/>
        <v>0</v>
      </c>
      <c r="Y86" s="194">
        <f t="shared" si="25"/>
        <v>0.23799999999999999</v>
      </c>
      <c r="Z86" s="140">
        <f t="shared" ca="1" si="38"/>
        <v>0.28657937898642949</v>
      </c>
      <c r="AA86" s="140">
        <f t="shared" ca="1" si="17"/>
        <v>4.0510793789864294</v>
      </c>
      <c r="AB86" s="203">
        <f ca="1">_xll.EURO($U86,AA86,VLOOKUP($B86,Curve_Fetch,2),VLOOKUP($B86,Curve_Fetch,2),Y86,VLOOKUP($B86,Model!$A$8:$H$288,8),1,0)</f>
        <v>0.53927907010396114</v>
      </c>
      <c r="AC86" s="134"/>
      <c r="AD86" s="192">
        <f>VLOOKUP($B86,Curve_Fetch,VLOOKUP(Control!$F$25,Control!$E$26:$I$37,5))</f>
        <v>0.23799999999999999</v>
      </c>
      <c r="AE86" s="194">
        <f t="shared" si="18"/>
        <v>0</v>
      </c>
      <c r="AF86" s="194">
        <f t="shared" si="4"/>
        <v>0.23799999999999999</v>
      </c>
      <c r="AG86" s="140">
        <f t="shared" si="26"/>
        <v>-0.20435881234430545</v>
      </c>
      <c r="AH86" s="140">
        <f t="shared" si="19"/>
        <v>3.5601411876556943</v>
      </c>
      <c r="AI86" s="203">
        <f>_xll.EURO($U86,AH86,VLOOKUP($B86,Curve_Fetch,2),VLOOKUP($B86,Curve_Fetch,2),AF86,VLOOKUP($B86,Model!$A$8:$H$288,8),0,0)</f>
        <v>0.52924462329581923</v>
      </c>
      <c r="AK86" s="137">
        <f t="shared" ca="1" si="27"/>
        <v>0</v>
      </c>
      <c r="AL86" s="138">
        <f t="shared" ca="1" si="28"/>
        <v>0</v>
      </c>
      <c r="AM86" s="138">
        <f t="shared" ca="1" si="29"/>
        <v>0</v>
      </c>
      <c r="AN86" s="138">
        <f t="shared" ca="1" si="30"/>
        <v>0</v>
      </c>
      <c r="AO86" s="138">
        <f t="shared" ca="1" si="31"/>
        <v>0</v>
      </c>
      <c r="AP86" s="138">
        <f t="shared" ca="1" si="32"/>
        <v>0</v>
      </c>
      <c r="AQ86" s="138">
        <f t="shared" si="20"/>
        <v>0</v>
      </c>
      <c r="AR86" s="139">
        <f t="shared" ca="1" si="33"/>
        <v>0</v>
      </c>
      <c r="AT86"/>
      <c r="AU86"/>
      <c r="AV86"/>
      <c r="AW86"/>
      <c r="AX86"/>
      <c r="AY86"/>
      <c r="AZ86"/>
      <c r="BA86"/>
    </row>
    <row r="87" spans="2:53">
      <c r="B87" s="131">
        <f>[1]!_xludf.edate(B86,1)</f>
        <v>38930</v>
      </c>
      <c r="C87" s="132">
        <f t="shared" si="22"/>
        <v>38961</v>
      </c>
      <c r="D87" s="159">
        <v>0</v>
      </c>
      <c r="E87" s="160">
        <f>VLOOKUP($B87,Model!$A$8:$E$289,5)</f>
        <v>0</v>
      </c>
      <c r="F87" s="160">
        <f>VLOOKUP($B87,Model!$A$8:$F$289,6)</f>
        <v>0</v>
      </c>
      <c r="G87" s="179">
        <f ca="1">VLOOKUP($B87,Model!$A$8:$G$289,7)</f>
        <v>0</v>
      </c>
      <c r="I87" s="133">
        <v>0</v>
      </c>
      <c r="J87" s="134">
        <f t="shared" si="23"/>
        <v>3.8784999999999998</v>
      </c>
      <c r="K87" s="140">
        <f t="shared" si="34"/>
        <v>0</v>
      </c>
      <c r="L87" s="136">
        <f>IF(Control!$C$25=Control!$B$26,J87,I87)+K87</f>
        <v>3.8784999999999998</v>
      </c>
      <c r="M87" s="133">
        <v>0</v>
      </c>
      <c r="N87" s="134">
        <f>VLOOKUP($B87,Curve_Fetch,VLOOKUP(Control!$F$25,Control!$E$26:$G$37,3))</f>
        <v>-7.4999999999999997E-2</v>
      </c>
      <c r="O87" s="140">
        <f t="shared" si="35"/>
        <v>0</v>
      </c>
      <c r="P87" s="136">
        <f>IF(Control!$C$30=Control!$B$31,N87,M87)+O87</f>
        <v>-7.4999999999999997E-2</v>
      </c>
      <c r="Q87" s="133">
        <v>0</v>
      </c>
      <c r="R87" s="134">
        <f>VLOOKUP($B87,Curve_Fetch,(VLOOKUP(Control!$F$25,Control!$E$26:$H$37,4)))</f>
        <v>5.0000000000000001E-3</v>
      </c>
      <c r="S87" s="140">
        <f t="shared" si="36"/>
        <v>0</v>
      </c>
      <c r="T87" s="136">
        <f>IF($C$12="Physical",IF(Control!$C$35=Control!$B$36,R87,Q87)+S87,0)</f>
        <v>0</v>
      </c>
      <c r="U87" s="176">
        <f t="shared" si="24"/>
        <v>3.8034999999999997</v>
      </c>
      <c r="V87" s="152"/>
      <c r="W87" s="192">
        <f>VLOOKUP($B87,Curve_Fetch,VLOOKUP(Control!$F$25,Control!$E$26:$I$37,5))</f>
        <v>0.23799999999999999</v>
      </c>
      <c r="X87" s="194">
        <f t="shared" si="37"/>
        <v>0</v>
      </c>
      <c r="Y87" s="194">
        <f t="shared" si="25"/>
        <v>0.23799999999999999</v>
      </c>
      <c r="Z87" s="140">
        <f t="shared" ca="1" si="38"/>
        <v>0.28657937898642949</v>
      </c>
      <c r="AA87" s="140">
        <f t="shared" ca="1" si="17"/>
        <v>4.0900793789864291</v>
      </c>
      <c r="AB87" s="203">
        <f ca="1">_xll.EURO($U87,AA87,VLOOKUP($B87,Curve_Fetch,2),VLOOKUP($B87,Curve_Fetch,2),Y87,VLOOKUP($B87,Model!$A$8:$H$288,8),1,0)</f>
        <v>0.54884902382589384</v>
      </c>
      <c r="AC87" s="134"/>
      <c r="AD87" s="192">
        <f>VLOOKUP($B87,Curve_Fetch,VLOOKUP(Control!$F$25,Control!$E$26:$I$37,5))</f>
        <v>0.23799999999999999</v>
      </c>
      <c r="AE87" s="194">
        <f t="shared" si="18"/>
        <v>0</v>
      </c>
      <c r="AF87" s="194">
        <f t="shared" si="4"/>
        <v>0.23799999999999999</v>
      </c>
      <c r="AG87" s="140">
        <f t="shared" si="26"/>
        <v>-0.20435881234430545</v>
      </c>
      <c r="AH87" s="140">
        <f t="shared" si="19"/>
        <v>3.599141187655694</v>
      </c>
      <c r="AI87" s="203">
        <f>_xll.EURO($U87,AH87,VLOOKUP($B87,Curve_Fetch,2),VLOOKUP($B87,Curve_Fetch,2),AF87,VLOOKUP($B87,Model!$A$8:$H$288,8),0,0)</f>
        <v>0.53855583619043723</v>
      </c>
      <c r="AK87" s="137">
        <f t="shared" ca="1" si="27"/>
        <v>0</v>
      </c>
      <c r="AL87" s="138">
        <f t="shared" ca="1" si="28"/>
        <v>0</v>
      </c>
      <c r="AM87" s="138">
        <f t="shared" ca="1" si="29"/>
        <v>0</v>
      </c>
      <c r="AN87" s="138">
        <f t="shared" ca="1" si="30"/>
        <v>0</v>
      </c>
      <c r="AO87" s="138">
        <f t="shared" ca="1" si="31"/>
        <v>0</v>
      </c>
      <c r="AP87" s="138">
        <f t="shared" ca="1" si="32"/>
        <v>0</v>
      </c>
      <c r="AQ87" s="138">
        <f t="shared" si="20"/>
        <v>0</v>
      </c>
      <c r="AR87" s="139">
        <f t="shared" ca="1" si="33"/>
        <v>0</v>
      </c>
      <c r="AT87"/>
      <c r="AU87"/>
      <c r="AV87"/>
      <c r="AW87"/>
      <c r="AX87"/>
      <c r="AY87"/>
      <c r="AZ87"/>
      <c r="BA87"/>
    </row>
    <row r="88" spans="2:53">
      <c r="B88" s="131">
        <f>[1]!_xludf.edate(B87,1)</f>
        <v>38961</v>
      </c>
      <c r="C88" s="132">
        <f t="shared" si="22"/>
        <v>38991</v>
      </c>
      <c r="D88" s="159">
        <v>0</v>
      </c>
      <c r="E88" s="160">
        <f>VLOOKUP($B88,Model!$A$8:$E$289,5)</f>
        <v>0</v>
      </c>
      <c r="F88" s="160">
        <f>VLOOKUP($B88,Model!$A$8:$F$289,6)</f>
        <v>0</v>
      </c>
      <c r="G88" s="179">
        <f ca="1">VLOOKUP($B88,Model!$A$8:$G$289,7)</f>
        <v>0</v>
      </c>
      <c r="I88" s="133">
        <v>0</v>
      </c>
      <c r="J88" s="134">
        <f t="shared" si="23"/>
        <v>3.8725000000000001</v>
      </c>
      <c r="K88" s="140">
        <f t="shared" si="34"/>
        <v>0</v>
      </c>
      <c r="L88" s="136">
        <f>IF(Control!$C$25=Control!$B$26,J88,I88)+K88</f>
        <v>3.8725000000000001</v>
      </c>
      <c r="M88" s="133">
        <v>0</v>
      </c>
      <c r="N88" s="134">
        <f>VLOOKUP($B88,Curve_Fetch,VLOOKUP(Control!$F$25,Control!$E$26:$G$37,3))</f>
        <v>-7.4999999999999997E-2</v>
      </c>
      <c r="O88" s="140">
        <f t="shared" si="35"/>
        <v>0</v>
      </c>
      <c r="P88" s="136">
        <f>IF(Control!$C$30=Control!$B$31,N88,M88)+O88</f>
        <v>-7.4999999999999997E-2</v>
      </c>
      <c r="Q88" s="133">
        <v>0</v>
      </c>
      <c r="R88" s="134">
        <f>VLOOKUP($B88,Curve_Fetch,(VLOOKUP(Control!$F$25,Control!$E$26:$H$37,4)))</f>
        <v>5.0000000000000001E-3</v>
      </c>
      <c r="S88" s="140">
        <f t="shared" si="36"/>
        <v>0</v>
      </c>
      <c r="T88" s="136">
        <f>IF($C$12="Physical",IF(Control!$C$35=Control!$B$36,R88,Q88)+S88,0)</f>
        <v>0</v>
      </c>
      <c r="U88" s="176">
        <f t="shared" si="24"/>
        <v>3.7974999999999999</v>
      </c>
      <c r="V88" s="152"/>
      <c r="W88" s="192">
        <f>VLOOKUP($B88,Curve_Fetch,VLOOKUP(Control!$F$25,Control!$E$26:$I$37,5))</f>
        <v>0.23799999999999999</v>
      </c>
      <c r="X88" s="194">
        <f t="shared" si="37"/>
        <v>0</v>
      </c>
      <c r="Y88" s="194">
        <f t="shared" si="25"/>
        <v>0.23799999999999999</v>
      </c>
      <c r="Z88" s="140">
        <f t="shared" ca="1" si="38"/>
        <v>0.28657937898642949</v>
      </c>
      <c r="AA88" s="140">
        <f t="shared" ca="1" si="17"/>
        <v>4.0840793789864289</v>
      </c>
      <c r="AB88" s="203">
        <f ca="1">_xll.EURO($U88,AA88,VLOOKUP($B88,Curve_Fetch,2),VLOOKUP($B88,Curve_Fetch,2),Y88,VLOOKUP($B88,Model!$A$8:$H$288,8),1,0)</f>
        <v>0.55087245112385141</v>
      </c>
      <c r="AC88" s="134"/>
      <c r="AD88" s="192">
        <f>VLOOKUP($B88,Curve_Fetch,VLOOKUP(Control!$F$25,Control!$E$26:$I$37,5))</f>
        <v>0.23799999999999999</v>
      </c>
      <c r="AE88" s="194">
        <f t="shared" si="18"/>
        <v>0</v>
      </c>
      <c r="AF88" s="194">
        <f t="shared" si="4"/>
        <v>0.23799999999999999</v>
      </c>
      <c r="AG88" s="140">
        <f t="shared" si="26"/>
        <v>-0.20435881234430545</v>
      </c>
      <c r="AH88" s="140">
        <f t="shared" si="19"/>
        <v>3.5931411876556942</v>
      </c>
      <c r="AI88" s="203">
        <f>_xll.EURO($U88,AH88,VLOOKUP($B88,Curve_Fetch,2),VLOOKUP($B88,Curve_Fetch,2),AF88,VLOOKUP($B88,Model!$A$8:$H$288,8),0,0)</f>
        <v>0.54029576713411687</v>
      </c>
      <c r="AK88" s="137">
        <f t="shared" ca="1" si="27"/>
        <v>0</v>
      </c>
      <c r="AL88" s="138">
        <f t="shared" ca="1" si="28"/>
        <v>0</v>
      </c>
      <c r="AM88" s="138">
        <f t="shared" ca="1" si="29"/>
        <v>0</v>
      </c>
      <c r="AN88" s="138">
        <f t="shared" ca="1" si="30"/>
        <v>0</v>
      </c>
      <c r="AO88" s="138">
        <f t="shared" ca="1" si="31"/>
        <v>0</v>
      </c>
      <c r="AP88" s="138">
        <f t="shared" ca="1" si="32"/>
        <v>0</v>
      </c>
      <c r="AQ88" s="138">
        <f t="shared" si="20"/>
        <v>0</v>
      </c>
      <c r="AR88" s="139">
        <f t="shared" ca="1" si="33"/>
        <v>0</v>
      </c>
      <c r="AT88"/>
      <c r="AU88"/>
      <c r="AV88"/>
      <c r="AW88"/>
      <c r="AX88"/>
      <c r="AY88"/>
      <c r="AZ88"/>
      <c r="BA88"/>
    </row>
    <row r="89" spans="2:53">
      <c r="B89" s="131">
        <f>[1]!_xludf.edate(B88,1)</f>
        <v>38991</v>
      </c>
      <c r="C89" s="132">
        <f t="shared" si="22"/>
        <v>39022</v>
      </c>
      <c r="D89" s="159">
        <v>0</v>
      </c>
      <c r="E89" s="160">
        <f>VLOOKUP($B89,Model!$A$8:$E$289,5)</f>
        <v>0</v>
      </c>
      <c r="F89" s="160">
        <f>VLOOKUP($B89,Model!$A$8:$F$289,6)</f>
        <v>0</v>
      </c>
      <c r="G89" s="179">
        <f ca="1">VLOOKUP($B89,Model!$A$8:$G$289,7)</f>
        <v>0</v>
      </c>
      <c r="I89" s="133">
        <v>0</v>
      </c>
      <c r="J89" s="134">
        <f t="shared" si="23"/>
        <v>3.8824999999999998</v>
      </c>
      <c r="K89" s="140">
        <f t="shared" si="34"/>
        <v>0</v>
      </c>
      <c r="L89" s="136">
        <f>IF(Control!$C$25=Control!$B$26,J89,I89)+K89</f>
        <v>3.8824999999999998</v>
      </c>
      <c r="M89" s="133">
        <v>0</v>
      </c>
      <c r="N89" s="134">
        <f>VLOOKUP($B89,Curve_Fetch,VLOOKUP(Control!$F$25,Control!$E$26:$G$37,3))</f>
        <v>-7.4999999999999997E-2</v>
      </c>
      <c r="O89" s="140">
        <f t="shared" si="35"/>
        <v>0</v>
      </c>
      <c r="P89" s="136">
        <f>IF(Control!$C$30=Control!$B$31,N89,M89)+O89</f>
        <v>-7.4999999999999997E-2</v>
      </c>
      <c r="Q89" s="133">
        <v>0</v>
      </c>
      <c r="R89" s="134">
        <f>VLOOKUP($B89,Curve_Fetch,(VLOOKUP(Control!$F$25,Control!$E$26:$H$37,4)))</f>
        <v>5.0000000000000001E-3</v>
      </c>
      <c r="S89" s="140">
        <f t="shared" si="36"/>
        <v>0</v>
      </c>
      <c r="T89" s="136">
        <f>IF($C$12="Physical",IF(Control!$C$35=Control!$B$36,R89,Q89)+S89,0)</f>
        <v>0</v>
      </c>
      <c r="U89" s="176">
        <f t="shared" si="24"/>
        <v>3.8074999999999997</v>
      </c>
      <c r="V89" s="152"/>
      <c r="W89" s="192">
        <f>VLOOKUP($B89,Curve_Fetch,VLOOKUP(Control!$F$25,Control!$E$26:$I$37,5))</f>
        <v>0.23799999999999999</v>
      </c>
      <c r="X89" s="194">
        <f t="shared" si="37"/>
        <v>0</v>
      </c>
      <c r="Y89" s="194">
        <f t="shared" si="25"/>
        <v>0.23799999999999999</v>
      </c>
      <c r="Z89" s="140">
        <f t="shared" ca="1" si="38"/>
        <v>0.28657937898642949</v>
      </c>
      <c r="AA89" s="140">
        <f t="shared" ca="1" si="17"/>
        <v>4.0940793789864287</v>
      </c>
      <c r="AB89" s="203">
        <f ca="1">_xll.EURO($U89,AA89,VLOOKUP($B89,Curve_Fetch,2),VLOOKUP($B89,Curve_Fetch,2),Y89,VLOOKUP($B89,Model!$A$8:$H$288,8),1,0)</f>
        <v>0.55534814509372987</v>
      </c>
      <c r="AC89" s="134"/>
      <c r="AD89" s="192">
        <f>VLOOKUP($B89,Curve_Fetch,VLOOKUP(Control!$F$25,Control!$E$26:$I$37,5))</f>
        <v>0.23799999999999999</v>
      </c>
      <c r="AE89" s="194">
        <f t="shared" si="18"/>
        <v>0</v>
      </c>
      <c r="AF89" s="194">
        <f t="shared" si="4"/>
        <v>0.23799999999999999</v>
      </c>
      <c r="AG89" s="140">
        <f t="shared" si="26"/>
        <v>-0.20435881234430545</v>
      </c>
      <c r="AH89" s="140">
        <f t="shared" si="19"/>
        <v>3.603141187655694</v>
      </c>
      <c r="AI89" s="203">
        <f>_xll.EURO($U89,AH89,VLOOKUP($B89,Curve_Fetch,2),VLOOKUP($B89,Curve_Fetch,2),AF89,VLOOKUP($B89,Model!$A$8:$H$288,8),0,0)</f>
        <v>0.54451333713690286</v>
      </c>
      <c r="AK89" s="137">
        <f t="shared" ca="1" si="27"/>
        <v>0</v>
      </c>
      <c r="AL89" s="138">
        <f t="shared" ca="1" si="28"/>
        <v>0</v>
      </c>
      <c r="AM89" s="138">
        <f t="shared" ca="1" si="29"/>
        <v>0</v>
      </c>
      <c r="AN89" s="138">
        <f t="shared" ca="1" si="30"/>
        <v>0</v>
      </c>
      <c r="AO89" s="138">
        <f t="shared" ca="1" si="31"/>
        <v>0</v>
      </c>
      <c r="AP89" s="138">
        <f t="shared" ca="1" si="32"/>
        <v>0</v>
      </c>
      <c r="AQ89" s="138">
        <f t="shared" si="20"/>
        <v>0</v>
      </c>
      <c r="AR89" s="139">
        <f t="shared" ca="1" si="33"/>
        <v>0</v>
      </c>
      <c r="AT89"/>
      <c r="AU89"/>
      <c r="AV89"/>
      <c r="AW89"/>
      <c r="AX89"/>
      <c r="AY89"/>
      <c r="AZ89"/>
      <c r="BA89"/>
    </row>
    <row r="90" spans="2:53">
      <c r="B90" s="131">
        <f>[1]!_xludf.edate(B89,1)</f>
        <v>39022</v>
      </c>
      <c r="C90" s="132">
        <f t="shared" si="22"/>
        <v>39052</v>
      </c>
      <c r="D90" s="159">
        <v>0</v>
      </c>
      <c r="E90" s="160">
        <f>VLOOKUP($B90,Model!$A$8:$E$289,5)</f>
        <v>0</v>
      </c>
      <c r="F90" s="160">
        <f>VLOOKUP($B90,Model!$A$8:$F$289,6)</f>
        <v>0</v>
      </c>
      <c r="G90" s="179">
        <f ca="1">VLOOKUP($B90,Model!$A$8:$G$289,7)</f>
        <v>0</v>
      </c>
      <c r="I90" s="133">
        <v>0</v>
      </c>
      <c r="J90" s="134">
        <f t="shared" si="23"/>
        <v>4.0425000000000004</v>
      </c>
      <c r="K90" s="140">
        <f t="shared" si="34"/>
        <v>0</v>
      </c>
      <c r="L90" s="136">
        <f>IF(Control!$C$25=Control!$B$26,J90,I90)+K90</f>
        <v>4.0425000000000004</v>
      </c>
      <c r="M90" s="133">
        <v>0</v>
      </c>
      <c r="N90" s="134">
        <f>VLOOKUP($B90,Curve_Fetch,VLOOKUP(Control!$F$25,Control!$E$26:$G$37,3))</f>
        <v>-7.4999999999999997E-2</v>
      </c>
      <c r="O90" s="140">
        <f t="shared" si="35"/>
        <v>0</v>
      </c>
      <c r="P90" s="136">
        <f>IF(Control!$C$30=Control!$B$31,N90,M90)+O90</f>
        <v>-7.4999999999999997E-2</v>
      </c>
      <c r="Q90" s="133">
        <v>0</v>
      </c>
      <c r="R90" s="134">
        <f>VLOOKUP($B90,Curve_Fetch,(VLOOKUP(Control!$F$25,Control!$E$26:$H$37,4)))</f>
        <v>5.0000000000000001E-3</v>
      </c>
      <c r="S90" s="140">
        <f t="shared" si="36"/>
        <v>0</v>
      </c>
      <c r="T90" s="136">
        <f>IF($C$12="Physical",IF(Control!$C$35=Control!$B$36,R90,Q90)+S90,0)</f>
        <v>0</v>
      </c>
      <c r="U90" s="176">
        <f t="shared" si="24"/>
        <v>3.9675000000000002</v>
      </c>
      <c r="V90" s="152"/>
      <c r="W90" s="192">
        <f>VLOOKUP($B90,Curve_Fetch,VLOOKUP(Control!$F$25,Control!$E$26:$I$37,5))</f>
        <v>0.23799999999999999</v>
      </c>
      <c r="X90" s="194">
        <f t="shared" si="37"/>
        <v>0</v>
      </c>
      <c r="Y90" s="194">
        <f t="shared" si="25"/>
        <v>0.23799999999999999</v>
      </c>
      <c r="Z90" s="140">
        <f t="shared" ca="1" si="38"/>
        <v>0.28657937898642949</v>
      </c>
      <c r="AA90" s="140">
        <f t="shared" ca="1" si="17"/>
        <v>4.2540793789864297</v>
      </c>
      <c r="AB90" s="203">
        <f ca="1">_xll.EURO($U90,AA90,VLOOKUP($B90,Curve_Fetch,2),VLOOKUP($B90,Curve_Fetch,2),Y90,VLOOKUP($B90,Model!$A$8:$H$288,8),1,0)</f>
        <v>0.58494337224774462</v>
      </c>
      <c r="AC90" s="134"/>
      <c r="AD90" s="192">
        <f>VLOOKUP($B90,Curve_Fetch,VLOOKUP(Control!$F$25,Control!$E$26:$I$37,5))</f>
        <v>0.23799999999999999</v>
      </c>
      <c r="AE90" s="194">
        <f t="shared" si="18"/>
        <v>0</v>
      </c>
      <c r="AF90" s="194">
        <f t="shared" si="4"/>
        <v>0.23799999999999999</v>
      </c>
      <c r="AG90" s="140">
        <f t="shared" si="26"/>
        <v>-0.20435881234430545</v>
      </c>
      <c r="AH90" s="140">
        <f t="shared" si="19"/>
        <v>3.7631411876556946</v>
      </c>
      <c r="AI90" s="203">
        <f>_xll.EURO($U90,AH90,VLOOKUP($B90,Curve_Fetch,2),VLOOKUP($B90,Curve_Fetch,2),AF90,VLOOKUP($B90,Model!$A$8:$H$288,8),0,0)</f>
        <v>0.57394038576276785</v>
      </c>
      <c r="AK90" s="137">
        <f t="shared" ca="1" si="27"/>
        <v>0</v>
      </c>
      <c r="AL90" s="138">
        <f t="shared" ca="1" si="28"/>
        <v>0</v>
      </c>
      <c r="AM90" s="138">
        <f t="shared" ca="1" si="29"/>
        <v>0</v>
      </c>
      <c r="AN90" s="138">
        <f t="shared" ca="1" si="30"/>
        <v>0</v>
      </c>
      <c r="AO90" s="138">
        <f t="shared" ca="1" si="31"/>
        <v>0</v>
      </c>
      <c r="AP90" s="138">
        <f t="shared" ca="1" si="32"/>
        <v>0</v>
      </c>
      <c r="AQ90" s="138">
        <f t="shared" si="20"/>
        <v>0</v>
      </c>
      <c r="AR90" s="139">
        <f t="shared" ca="1" si="33"/>
        <v>0</v>
      </c>
      <c r="AT90"/>
      <c r="AU90"/>
      <c r="AV90"/>
      <c r="AW90"/>
      <c r="AX90"/>
      <c r="AY90"/>
      <c r="AZ90"/>
      <c r="BA90"/>
    </row>
    <row r="91" spans="2:53">
      <c r="B91" s="131">
        <f>[1]!_xludf.edate(B90,1)</f>
        <v>39052</v>
      </c>
      <c r="C91" s="132">
        <f t="shared" si="22"/>
        <v>39083</v>
      </c>
      <c r="D91" s="159">
        <v>0</v>
      </c>
      <c r="E91" s="160">
        <f>VLOOKUP($B91,Model!$A$8:$E$289,5)</f>
        <v>0</v>
      </c>
      <c r="F91" s="160">
        <f>VLOOKUP($B91,Model!$A$8:$F$289,6)</f>
        <v>0</v>
      </c>
      <c r="G91" s="179">
        <f ca="1">VLOOKUP($B91,Model!$A$8:$G$289,7)</f>
        <v>0</v>
      </c>
      <c r="I91" s="133">
        <v>0</v>
      </c>
      <c r="J91" s="134">
        <f t="shared" si="23"/>
        <v>4.1965000000000003</v>
      </c>
      <c r="K91" s="140">
        <f t="shared" si="34"/>
        <v>0</v>
      </c>
      <c r="L91" s="136">
        <f>IF(Control!$C$25=Control!$B$26,J91,I91)+K91</f>
        <v>4.1965000000000003</v>
      </c>
      <c r="M91" s="133">
        <v>0</v>
      </c>
      <c r="N91" s="134">
        <f>VLOOKUP($B91,Curve_Fetch,VLOOKUP(Control!$F$25,Control!$E$26:$G$37,3))</f>
        <v>-7.4999999999999997E-2</v>
      </c>
      <c r="O91" s="140">
        <f t="shared" si="35"/>
        <v>0</v>
      </c>
      <c r="P91" s="136">
        <f>IF(Control!$C$30=Control!$B$31,N91,M91)+O91</f>
        <v>-7.4999999999999997E-2</v>
      </c>
      <c r="Q91" s="133">
        <v>0</v>
      </c>
      <c r="R91" s="134">
        <f>VLOOKUP($B91,Curve_Fetch,(VLOOKUP(Control!$F$25,Control!$E$26:$H$37,4)))</f>
        <v>5.0000000000000001E-3</v>
      </c>
      <c r="S91" s="140">
        <f t="shared" si="36"/>
        <v>0</v>
      </c>
      <c r="T91" s="136">
        <f>IF($C$12="Physical",IF(Control!$C$35=Control!$B$36,R91,Q91)+S91,0)</f>
        <v>0</v>
      </c>
      <c r="U91" s="176">
        <f t="shared" si="24"/>
        <v>4.1215000000000002</v>
      </c>
      <c r="V91" s="152"/>
      <c r="W91" s="192">
        <f>VLOOKUP($B91,Curve_Fetch,VLOOKUP(Control!$F$25,Control!$E$26:$I$37,5))</f>
        <v>0.24</v>
      </c>
      <c r="X91" s="194">
        <f t="shared" si="37"/>
        <v>0</v>
      </c>
      <c r="Y91" s="194">
        <f t="shared" si="25"/>
        <v>0.24</v>
      </c>
      <c r="Z91" s="140">
        <f t="shared" ca="1" si="38"/>
        <v>0.28657937898642949</v>
      </c>
      <c r="AA91" s="140">
        <f t="shared" ca="1" si="17"/>
        <v>4.4080793789864297</v>
      </c>
      <c r="AB91" s="203">
        <f ca="1">_xll.EURO($U91,AA91,VLOOKUP($B91,Curve_Fetch,2),VLOOKUP($B91,Curve_Fetch,2),Y91,VLOOKUP($B91,Model!$A$8:$H$288,8),1,0)</f>
        <v>0.61960135406213901</v>
      </c>
      <c r="AC91" s="134"/>
      <c r="AD91" s="192">
        <f>VLOOKUP($B91,Curve_Fetch,VLOOKUP(Control!$F$25,Control!$E$26:$I$37,5))</f>
        <v>0.24</v>
      </c>
      <c r="AE91" s="194">
        <f t="shared" si="18"/>
        <v>0</v>
      </c>
      <c r="AF91" s="194">
        <f t="shared" si="4"/>
        <v>0.24</v>
      </c>
      <c r="AG91" s="140">
        <f t="shared" si="26"/>
        <v>-0.20435881234430545</v>
      </c>
      <c r="AH91" s="140">
        <f t="shared" si="19"/>
        <v>3.9171411876556945</v>
      </c>
      <c r="AI91" s="203">
        <f>_xll.EURO($U91,AH91,VLOOKUP($B91,Curve_Fetch,2),VLOOKUP($B91,Curve_Fetch,2),AF91,VLOOKUP($B91,Model!$A$8:$H$288,8),0,0)</f>
        <v>0.60810954665261963</v>
      </c>
      <c r="AK91" s="137">
        <f t="shared" ca="1" si="27"/>
        <v>0</v>
      </c>
      <c r="AL91" s="138">
        <f t="shared" ca="1" si="28"/>
        <v>0</v>
      </c>
      <c r="AM91" s="138">
        <f t="shared" ca="1" si="29"/>
        <v>0</v>
      </c>
      <c r="AN91" s="138">
        <f t="shared" ca="1" si="30"/>
        <v>0</v>
      </c>
      <c r="AO91" s="138">
        <f t="shared" ca="1" si="31"/>
        <v>0</v>
      </c>
      <c r="AP91" s="138">
        <f t="shared" ca="1" si="32"/>
        <v>0</v>
      </c>
      <c r="AQ91" s="138">
        <f t="shared" si="20"/>
        <v>0</v>
      </c>
      <c r="AR91" s="139">
        <f t="shared" ca="1" si="33"/>
        <v>0</v>
      </c>
      <c r="AT91"/>
      <c r="AU91"/>
      <c r="AV91"/>
      <c r="AW91"/>
      <c r="AX91"/>
      <c r="AY91"/>
      <c r="AZ91"/>
      <c r="BA91"/>
    </row>
    <row r="92" spans="2:53">
      <c r="B92" s="131">
        <f>[1]!_xludf.edate(B91,1)</f>
        <v>39083</v>
      </c>
      <c r="C92" s="132">
        <f t="shared" si="22"/>
        <v>39114</v>
      </c>
      <c r="D92" s="159">
        <v>0</v>
      </c>
      <c r="E92" s="160">
        <f>VLOOKUP($B92,Model!$A$8:$E$289,5)</f>
        <v>0</v>
      </c>
      <c r="F92" s="160">
        <f>VLOOKUP($B92,Model!$A$8:$F$289,6)</f>
        <v>0</v>
      </c>
      <c r="G92" s="179">
        <f ca="1">VLOOKUP($B92,Model!$A$8:$G$289,7)</f>
        <v>0</v>
      </c>
      <c r="I92" s="133">
        <v>0</v>
      </c>
      <c r="J92" s="134">
        <f t="shared" si="23"/>
        <v>4.2365000000000004</v>
      </c>
      <c r="K92" s="140">
        <f t="shared" si="34"/>
        <v>0</v>
      </c>
      <c r="L92" s="136">
        <f>IF(Control!$C$25=Control!$B$26,J92,I92)+K92</f>
        <v>4.2365000000000004</v>
      </c>
      <c r="M92" s="133">
        <v>0</v>
      </c>
      <c r="N92" s="134">
        <f>VLOOKUP($B92,Curve_Fetch,VLOOKUP(Control!$F$25,Control!$E$26:$G$37,3))</f>
        <v>-7.0000000000000007E-2</v>
      </c>
      <c r="O92" s="140">
        <f t="shared" si="35"/>
        <v>0</v>
      </c>
      <c r="P92" s="136">
        <f>IF(Control!$C$30=Control!$B$31,N92,M92)+O92</f>
        <v>-7.0000000000000007E-2</v>
      </c>
      <c r="Q92" s="133">
        <v>0</v>
      </c>
      <c r="R92" s="134">
        <f>VLOOKUP($B92,Curve_Fetch,(VLOOKUP(Control!$F$25,Control!$E$26:$H$37,4)))</f>
        <v>5.0000000000000001E-3</v>
      </c>
      <c r="S92" s="140">
        <f t="shared" si="36"/>
        <v>0</v>
      </c>
      <c r="T92" s="136">
        <f>IF($C$12="Physical",IF(Control!$C$35=Control!$B$36,R92,Q92)+S92,0)</f>
        <v>0</v>
      </c>
      <c r="U92" s="176">
        <f t="shared" si="24"/>
        <v>4.1665000000000001</v>
      </c>
      <c r="V92" s="152"/>
      <c r="W92" s="192">
        <f>VLOOKUP($B92,Curve_Fetch,VLOOKUP(Control!$F$25,Control!$E$26:$I$37,5))</f>
        <v>0.24299999999999999</v>
      </c>
      <c r="X92" s="194">
        <f t="shared" si="37"/>
        <v>0</v>
      </c>
      <c r="Y92" s="194">
        <f t="shared" si="25"/>
        <v>0.24299999999999999</v>
      </c>
      <c r="Z92" s="140">
        <f t="shared" ca="1" si="38"/>
        <v>0.28657937898642949</v>
      </c>
      <c r="AA92" s="140">
        <f t="shared" ca="1" si="17"/>
        <v>4.4530793789864296</v>
      </c>
      <c r="AB92" s="203">
        <f ca="1">_xll.EURO($U92,AA92,VLOOKUP($B92,Curve_Fetch,2),VLOOKUP($B92,Curve_Fetch,2),Y92,VLOOKUP($B92,Model!$A$8:$H$288,8),1,0)</f>
        <v>0.63922606697816864</v>
      </c>
      <c r="AC92" s="134"/>
      <c r="AD92" s="192">
        <f>VLOOKUP($B92,Curve_Fetch,VLOOKUP(Control!$F$25,Control!$E$26:$I$37,5))</f>
        <v>0.24299999999999999</v>
      </c>
      <c r="AE92" s="194">
        <f t="shared" si="18"/>
        <v>0</v>
      </c>
      <c r="AF92" s="194">
        <f t="shared" si="4"/>
        <v>0.24299999999999999</v>
      </c>
      <c r="AG92" s="140">
        <f t="shared" si="26"/>
        <v>-0.20435881234430545</v>
      </c>
      <c r="AH92" s="140">
        <f t="shared" si="19"/>
        <v>3.9621411876556945</v>
      </c>
      <c r="AI92" s="203">
        <f>_xll.EURO($U92,AH92,VLOOKUP($B92,Curve_Fetch,2),VLOOKUP($B92,Curve_Fetch,2),AF92,VLOOKUP($B92,Model!$A$8:$H$288,8),0,0)</f>
        <v>0.62701281241382456</v>
      </c>
      <c r="AK92" s="137">
        <f t="shared" ca="1" si="27"/>
        <v>0</v>
      </c>
      <c r="AL92" s="138">
        <f t="shared" ca="1" si="28"/>
        <v>0</v>
      </c>
      <c r="AM92" s="138">
        <f t="shared" ca="1" si="29"/>
        <v>0</v>
      </c>
      <c r="AN92" s="138">
        <f t="shared" ca="1" si="30"/>
        <v>0</v>
      </c>
      <c r="AO92" s="138">
        <f t="shared" ca="1" si="31"/>
        <v>0</v>
      </c>
      <c r="AP92" s="138">
        <f t="shared" ca="1" si="32"/>
        <v>0</v>
      </c>
      <c r="AQ92" s="138">
        <f t="shared" si="20"/>
        <v>0</v>
      </c>
      <c r="AR92" s="139">
        <f t="shared" ca="1" si="33"/>
        <v>0</v>
      </c>
      <c r="AT92"/>
      <c r="AU92"/>
      <c r="AV92"/>
      <c r="AW92"/>
      <c r="AX92"/>
      <c r="AY92"/>
      <c r="AZ92"/>
      <c r="BA92"/>
    </row>
    <row r="93" spans="2:53">
      <c r="B93" s="131">
        <f>[1]!_xludf.edate(B92,1)</f>
        <v>39114</v>
      </c>
      <c r="C93" s="132">
        <f t="shared" si="22"/>
        <v>39142</v>
      </c>
      <c r="D93" s="159">
        <v>0</v>
      </c>
      <c r="E93" s="160">
        <f>VLOOKUP($B93,Model!$A$8:$E$289,5)</f>
        <v>0</v>
      </c>
      <c r="F93" s="160">
        <f>VLOOKUP($B93,Model!$A$8:$F$289,6)</f>
        <v>0</v>
      </c>
      <c r="G93" s="179">
        <f ca="1">VLOOKUP($B93,Model!$A$8:$G$289,7)</f>
        <v>0</v>
      </c>
      <c r="I93" s="133">
        <v>0</v>
      </c>
      <c r="J93" s="134">
        <f t="shared" si="23"/>
        <v>4.1485000000000003</v>
      </c>
      <c r="K93" s="140">
        <f t="shared" si="34"/>
        <v>0</v>
      </c>
      <c r="L93" s="136">
        <f>IF(Control!$C$25=Control!$B$26,J93,I93)+K93</f>
        <v>4.1485000000000003</v>
      </c>
      <c r="M93" s="133">
        <v>0</v>
      </c>
      <c r="N93" s="134">
        <f>VLOOKUP($B93,Curve_Fetch,VLOOKUP(Control!$F$25,Control!$E$26:$G$37,3))</f>
        <v>-7.0000000000000007E-2</v>
      </c>
      <c r="O93" s="140">
        <f t="shared" si="35"/>
        <v>0</v>
      </c>
      <c r="P93" s="136">
        <f>IF(Control!$C$30=Control!$B$31,N93,M93)+O93</f>
        <v>-7.0000000000000007E-2</v>
      </c>
      <c r="Q93" s="133">
        <v>0</v>
      </c>
      <c r="R93" s="134">
        <f>VLOOKUP($B93,Curve_Fetch,(VLOOKUP(Control!$F$25,Control!$E$26:$H$37,4)))</f>
        <v>5.0000000000000001E-3</v>
      </c>
      <c r="S93" s="140">
        <f t="shared" si="36"/>
        <v>0</v>
      </c>
      <c r="T93" s="136">
        <f>IF($C$12="Physical",IF(Control!$C$35=Control!$B$36,R93,Q93)+S93,0)</f>
        <v>0</v>
      </c>
      <c r="U93" s="176">
        <f t="shared" si="24"/>
        <v>4.0785</v>
      </c>
      <c r="V93" s="152"/>
      <c r="W93" s="192">
        <f>VLOOKUP($B93,Curve_Fetch,VLOOKUP(Control!$F$25,Control!$E$26:$I$37,5))</f>
        <v>0.23799999999999999</v>
      </c>
      <c r="X93" s="194">
        <f t="shared" si="37"/>
        <v>0</v>
      </c>
      <c r="Y93" s="194">
        <f t="shared" si="25"/>
        <v>0.23799999999999999</v>
      </c>
      <c r="Z93" s="140">
        <f t="shared" ca="1" si="38"/>
        <v>0.28657937898642949</v>
      </c>
      <c r="AA93" s="140">
        <f t="shared" ca="1" si="17"/>
        <v>4.3650793789864295</v>
      </c>
      <c r="AB93" s="203">
        <f ca="1">_xll.EURO($U93,AA93,VLOOKUP($B93,Curve_Fetch,2),VLOOKUP($B93,Curve_Fetch,2),Y93,VLOOKUP($B93,Model!$A$8:$H$288,8),1,0)</f>
        <v>0.61232324281808648</v>
      </c>
      <c r="AC93" s="134"/>
      <c r="AD93" s="192">
        <f>VLOOKUP($B93,Curve_Fetch,VLOOKUP(Control!$F$25,Control!$E$26:$I$37,5))</f>
        <v>0.23799999999999999</v>
      </c>
      <c r="AE93" s="194">
        <f t="shared" si="18"/>
        <v>0</v>
      </c>
      <c r="AF93" s="194">
        <f t="shared" si="4"/>
        <v>0.23799999999999999</v>
      </c>
      <c r="AG93" s="140">
        <f t="shared" si="26"/>
        <v>-0.20435881234430545</v>
      </c>
      <c r="AH93" s="140">
        <f t="shared" si="19"/>
        <v>3.8741411876556944</v>
      </c>
      <c r="AI93" s="203">
        <f>_xll.EURO($U93,AH93,VLOOKUP($B93,Curve_Fetch,2),VLOOKUP($B93,Curve_Fetch,2),AF93,VLOOKUP($B93,Model!$A$8:$H$288,8),0,0)</f>
        <v>0.60060486510444111</v>
      </c>
      <c r="AK93" s="137">
        <f t="shared" ca="1" si="27"/>
        <v>0</v>
      </c>
      <c r="AL93" s="138">
        <f t="shared" ca="1" si="28"/>
        <v>0</v>
      </c>
      <c r="AM93" s="138">
        <f t="shared" ca="1" si="29"/>
        <v>0</v>
      </c>
      <c r="AN93" s="138">
        <f t="shared" ca="1" si="30"/>
        <v>0</v>
      </c>
      <c r="AO93" s="138">
        <f t="shared" ca="1" si="31"/>
        <v>0</v>
      </c>
      <c r="AP93" s="138">
        <f t="shared" ca="1" si="32"/>
        <v>0</v>
      </c>
      <c r="AQ93" s="138">
        <f t="shared" si="20"/>
        <v>0</v>
      </c>
      <c r="AR93" s="139">
        <f t="shared" ca="1" si="33"/>
        <v>0</v>
      </c>
      <c r="AT93"/>
      <c r="AU93"/>
      <c r="AV93"/>
      <c r="AW93"/>
      <c r="AX93"/>
      <c r="AY93"/>
      <c r="AZ93"/>
      <c r="BA93"/>
    </row>
    <row r="94" spans="2:53">
      <c r="B94" s="131">
        <f>[1]!_xludf.edate(B93,1)</f>
        <v>39142</v>
      </c>
      <c r="C94" s="132">
        <f t="shared" si="22"/>
        <v>39173</v>
      </c>
      <c r="D94" s="159">
        <v>0</v>
      </c>
      <c r="E94" s="160">
        <f>VLOOKUP($B94,Model!$A$8:$E$289,5)</f>
        <v>0</v>
      </c>
      <c r="F94" s="160">
        <f>VLOOKUP($B94,Model!$A$8:$F$289,6)</f>
        <v>0</v>
      </c>
      <c r="G94" s="179">
        <f ca="1">VLOOKUP($B94,Model!$A$8:$G$289,7)</f>
        <v>0</v>
      </c>
      <c r="I94" s="133">
        <v>0</v>
      </c>
      <c r="J94" s="134">
        <f t="shared" si="23"/>
        <v>4.0095000000000001</v>
      </c>
      <c r="K94" s="140">
        <f t="shared" si="34"/>
        <v>0</v>
      </c>
      <c r="L94" s="136">
        <f>IF(Control!$C$25=Control!$B$26,J94,I94)+K94</f>
        <v>4.0095000000000001</v>
      </c>
      <c r="M94" s="133">
        <v>0</v>
      </c>
      <c r="N94" s="134">
        <f>VLOOKUP($B94,Curve_Fetch,VLOOKUP(Control!$F$25,Control!$E$26:$G$37,3))</f>
        <v>-7.0000000000000007E-2</v>
      </c>
      <c r="O94" s="140">
        <f t="shared" si="35"/>
        <v>0</v>
      </c>
      <c r="P94" s="136">
        <f>IF(Control!$C$30=Control!$B$31,N94,M94)+O94</f>
        <v>-7.0000000000000007E-2</v>
      </c>
      <c r="Q94" s="133">
        <v>0</v>
      </c>
      <c r="R94" s="134">
        <f>VLOOKUP($B94,Curve_Fetch,(VLOOKUP(Control!$F$25,Control!$E$26:$H$37,4)))</f>
        <v>5.0000000000000001E-3</v>
      </c>
      <c r="S94" s="140">
        <f t="shared" si="36"/>
        <v>0</v>
      </c>
      <c r="T94" s="136">
        <f>IF($C$12="Physical",IF(Control!$C$35=Control!$B$36,R94,Q94)+S94,0)</f>
        <v>0</v>
      </c>
      <c r="U94" s="176">
        <f t="shared" si="24"/>
        <v>3.9395000000000002</v>
      </c>
      <c r="V94" s="152"/>
      <c r="W94" s="192">
        <f>VLOOKUP($B94,Curve_Fetch,VLOOKUP(Control!$F$25,Control!$E$26:$I$37,5))</f>
        <v>0.23300000000000001</v>
      </c>
      <c r="X94" s="194">
        <f t="shared" si="37"/>
        <v>0</v>
      </c>
      <c r="Y94" s="194">
        <f t="shared" si="25"/>
        <v>0.23300000000000001</v>
      </c>
      <c r="Z94" s="140">
        <f t="shared" ca="1" si="38"/>
        <v>0.28657937898642949</v>
      </c>
      <c r="AA94" s="140">
        <f t="shared" ca="1" si="17"/>
        <v>4.2260793789864302</v>
      </c>
      <c r="AB94" s="203">
        <f ca="1">_xll.EURO($U94,AA94,VLOOKUP($B94,Curve_Fetch,2),VLOOKUP($B94,Curve_Fetch,2),Y94,VLOOKUP($B94,Model!$A$8:$H$288,8),1,0)</f>
        <v>0.57699513475261299</v>
      </c>
      <c r="AC94" s="134"/>
      <c r="AD94" s="192">
        <f>VLOOKUP($B94,Curve_Fetch,VLOOKUP(Control!$F$25,Control!$E$26:$I$37,5))</f>
        <v>0.23300000000000001</v>
      </c>
      <c r="AE94" s="194">
        <f t="shared" si="18"/>
        <v>0</v>
      </c>
      <c r="AF94" s="194">
        <f t="shared" si="4"/>
        <v>0.23300000000000001</v>
      </c>
      <c r="AG94" s="140">
        <f t="shared" si="26"/>
        <v>-0.20435881234430545</v>
      </c>
      <c r="AH94" s="140">
        <f t="shared" si="19"/>
        <v>3.7351411876556946</v>
      </c>
      <c r="AI94" s="203">
        <f>_xll.EURO($U94,AH94,VLOOKUP($B94,Curve_Fetch,2),VLOOKUP($B94,Curve_Fetch,2),AF94,VLOOKUP($B94,Model!$A$8:$H$288,8),0,0)</f>
        <v>0.56577369635774355</v>
      </c>
      <c r="AK94" s="137">
        <f t="shared" ca="1" si="27"/>
        <v>0</v>
      </c>
      <c r="AL94" s="138">
        <f t="shared" ca="1" si="28"/>
        <v>0</v>
      </c>
      <c r="AM94" s="138">
        <f t="shared" ca="1" si="29"/>
        <v>0</v>
      </c>
      <c r="AN94" s="138">
        <f t="shared" ca="1" si="30"/>
        <v>0</v>
      </c>
      <c r="AO94" s="138">
        <f t="shared" ca="1" si="31"/>
        <v>0</v>
      </c>
      <c r="AP94" s="138">
        <f t="shared" ca="1" si="32"/>
        <v>0</v>
      </c>
      <c r="AQ94" s="138">
        <f t="shared" si="20"/>
        <v>0</v>
      </c>
      <c r="AR94" s="139">
        <f t="shared" ca="1" si="33"/>
        <v>0</v>
      </c>
      <c r="AT94"/>
      <c r="AU94"/>
      <c r="AV94"/>
      <c r="AW94"/>
      <c r="AX94"/>
      <c r="AY94"/>
      <c r="AZ94"/>
      <c r="BA94"/>
    </row>
    <row r="95" spans="2:53">
      <c r="B95" s="131">
        <f>[1]!_xludf.edate(B94,1)</f>
        <v>39173</v>
      </c>
      <c r="C95" s="132">
        <f t="shared" ref="C95:C126" si="39">IF($C$12="Physical",B96+24,B96)</f>
        <v>39203</v>
      </c>
      <c r="D95" s="159">
        <v>0</v>
      </c>
      <c r="E95" s="160">
        <f>VLOOKUP($B95,Model!$A$8:$E$289,5)</f>
        <v>0</v>
      </c>
      <c r="F95" s="160">
        <f>VLOOKUP($B95,Model!$A$8:$F$289,6)</f>
        <v>0</v>
      </c>
      <c r="G95" s="179">
        <f ca="1">VLOOKUP($B95,Model!$A$8:$G$289,7)</f>
        <v>0</v>
      </c>
      <c r="I95" s="133">
        <v>0</v>
      </c>
      <c r="J95" s="134">
        <f t="shared" ref="J95:J126" si="40">VLOOKUP($B95,Curve_Fetch,3)</f>
        <v>3.8555000000000001</v>
      </c>
      <c r="K95" s="140">
        <f t="shared" si="34"/>
        <v>0</v>
      </c>
      <c r="L95" s="136">
        <f>IF(Control!$C$25=Control!$B$26,J95,I95)+K95</f>
        <v>3.8555000000000001</v>
      </c>
      <c r="M95" s="133">
        <v>0</v>
      </c>
      <c r="N95" s="134">
        <f>VLOOKUP($B95,Curve_Fetch,VLOOKUP(Control!$F$25,Control!$E$26:$G$37,3))</f>
        <v>-7.0000000000000007E-2</v>
      </c>
      <c r="O95" s="140">
        <f t="shared" si="35"/>
        <v>0</v>
      </c>
      <c r="P95" s="136">
        <f>IF(Control!$C$30=Control!$B$31,N95,M95)+O95</f>
        <v>-7.0000000000000007E-2</v>
      </c>
      <c r="Q95" s="133">
        <v>0</v>
      </c>
      <c r="R95" s="134">
        <f>VLOOKUP($B95,Curve_Fetch,(VLOOKUP(Control!$F$25,Control!$E$26:$H$37,4)))</f>
        <v>5.0000000000000001E-3</v>
      </c>
      <c r="S95" s="140">
        <f t="shared" si="36"/>
        <v>0</v>
      </c>
      <c r="T95" s="136">
        <f>IF($C$12="Physical",IF(Control!$C$35=Control!$B$36,R95,Q95)+S95,0)</f>
        <v>0</v>
      </c>
      <c r="U95" s="176">
        <f t="shared" ref="U95:U126" si="41">IF($C$12="Financial",L95+P95,L95+P95+T95)</f>
        <v>3.7855000000000003</v>
      </c>
      <c r="V95" s="152"/>
      <c r="W95" s="192">
        <f>VLOOKUP($B95,Curve_Fetch,VLOOKUP(Control!$F$25,Control!$E$26:$I$37,5))</f>
        <v>0.23300000000000001</v>
      </c>
      <c r="X95" s="194">
        <f t="shared" si="37"/>
        <v>0</v>
      </c>
      <c r="Y95" s="194">
        <f t="shared" ref="Y95:Y126" si="42">W95+X95</f>
        <v>0.23300000000000001</v>
      </c>
      <c r="Z95" s="140">
        <f t="shared" ca="1" si="38"/>
        <v>0.28657937898642949</v>
      </c>
      <c r="AA95" s="140">
        <f t="shared" ca="1" si="17"/>
        <v>4.0720793789864302</v>
      </c>
      <c r="AB95" s="203">
        <f ca="1">_xll.EURO($U95,AA95,VLOOKUP($B95,Curve_Fetch,2),VLOOKUP($B95,Curve_Fetch,2),Y95,VLOOKUP($B95,Model!$A$8:$H$288,8),1,0)</f>
        <v>0.55385657377360986</v>
      </c>
      <c r="AC95" s="134"/>
      <c r="AD95" s="192">
        <f>VLOOKUP($B95,Curve_Fetch,VLOOKUP(Control!$F$25,Control!$E$26:$I$37,5))</f>
        <v>0.23300000000000001</v>
      </c>
      <c r="AE95" s="194">
        <f t="shared" si="18"/>
        <v>0</v>
      </c>
      <c r="AF95" s="194">
        <f t="shared" ref="AF95:AF158" si="43">AD95+AE95</f>
        <v>0.23300000000000001</v>
      </c>
      <c r="AG95" s="140">
        <f t="shared" ref="AG95:AG126" si="44">$C$15</f>
        <v>-0.20435881234430545</v>
      </c>
      <c r="AH95" s="140">
        <f t="shared" si="19"/>
        <v>3.5811411876556947</v>
      </c>
      <c r="AI95" s="203">
        <f>_xll.EURO($U95,AH95,VLOOKUP($B95,Curve_Fetch,2),VLOOKUP($B95,Curve_Fetch,2),AF95,VLOOKUP($B95,Model!$A$8:$H$288,8),0,0)</f>
        <v>0.54229844945361938</v>
      </c>
      <c r="AK95" s="137">
        <f t="shared" ref="AK95:AK126" ca="1" si="45">$G95*L95</f>
        <v>0</v>
      </c>
      <c r="AL95" s="138">
        <f t="shared" ref="AL95:AL126" ca="1" si="46">$G95*P95</f>
        <v>0</v>
      </c>
      <c r="AM95" s="138">
        <f t="shared" ref="AM95:AM126" ca="1" si="47">$G95*T95</f>
        <v>0</v>
      </c>
      <c r="AN95" s="138">
        <f t="shared" ref="AN95:AN126" ca="1" si="48">$G95*U95</f>
        <v>0</v>
      </c>
      <c r="AO95" s="138">
        <f t="shared" ref="AO95:AO126" ca="1" si="49">$G95*AA95</f>
        <v>0</v>
      </c>
      <c r="AP95" s="138">
        <f t="shared" ref="AP95:AP126" ca="1" si="50">$G95*AH95</f>
        <v>0</v>
      </c>
      <c r="AQ95" s="138">
        <f t="shared" si="20"/>
        <v>0</v>
      </c>
      <c r="AR95" s="139">
        <f t="shared" ref="AR95:AR126" ca="1" si="51">$F95*AB95</f>
        <v>0</v>
      </c>
      <c r="AT95"/>
      <c r="AU95"/>
      <c r="AV95"/>
      <c r="AW95"/>
      <c r="AX95"/>
      <c r="AY95"/>
      <c r="AZ95"/>
      <c r="BA95"/>
    </row>
    <row r="96" spans="2:53">
      <c r="B96" s="131">
        <f>[1]!_xludf.edate(B95,1)</f>
        <v>39203</v>
      </c>
      <c r="C96" s="132">
        <f t="shared" si="39"/>
        <v>39234</v>
      </c>
      <c r="D96" s="159">
        <v>0</v>
      </c>
      <c r="E96" s="160">
        <f>VLOOKUP($B96,Model!$A$8:$E$289,5)</f>
        <v>0</v>
      </c>
      <c r="F96" s="160">
        <f>VLOOKUP($B96,Model!$A$8:$F$289,6)</f>
        <v>0</v>
      </c>
      <c r="G96" s="179">
        <f ca="1">VLOOKUP($B96,Model!$A$8:$G$289,7)</f>
        <v>0</v>
      </c>
      <c r="I96" s="133">
        <v>0</v>
      </c>
      <c r="J96" s="134">
        <f t="shared" si="40"/>
        <v>3.8595000000000002</v>
      </c>
      <c r="K96" s="140">
        <f t="shared" ref="K96:K127" si="52">K95</f>
        <v>0</v>
      </c>
      <c r="L96" s="136">
        <f>IF(Control!$C$25=Control!$B$26,J96,I96)+K96</f>
        <v>3.8595000000000002</v>
      </c>
      <c r="M96" s="133">
        <v>0</v>
      </c>
      <c r="N96" s="134">
        <f>VLOOKUP($B96,Curve_Fetch,VLOOKUP(Control!$F$25,Control!$E$26:$G$37,3))</f>
        <v>-7.0000000000000007E-2</v>
      </c>
      <c r="O96" s="140">
        <f t="shared" ref="O96:O127" si="53">O95</f>
        <v>0</v>
      </c>
      <c r="P96" s="136">
        <f>IF(Control!$C$30=Control!$B$31,N96,M96)+O96</f>
        <v>-7.0000000000000007E-2</v>
      </c>
      <c r="Q96" s="133">
        <v>0</v>
      </c>
      <c r="R96" s="134">
        <f>VLOOKUP($B96,Curve_Fetch,(VLOOKUP(Control!$F$25,Control!$E$26:$H$37,4)))</f>
        <v>5.0000000000000001E-3</v>
      </c>
      <c r="S96" s="140">
        <f t="shared" ref="S96:S127" si="54">S95</f>
        <v>0</v>
      </c>
      <c r="T96" s="136">
        <f>IF($C$12="Physical",IF(Control!$C$35=Control!$B$36,R96,Q96)+S96,0)</f>
        <v>0</v>
      </c>
      <c r="U96" s="176">
        <f t="shared" si="41"/>
        <v>3.7895000000000003</v>
      </c>
      <c r="V96" s="152"/>
      <c r="W96" s="192">
        <f>VLOOKUP($B96,Curve_Fetch,VLOOKUP(Control!$F$25,Control!$E$26:$I$37,5))</f>
        <v>0.23300000000000001</v>
      </c>
      <c r="X96" s="194">
        <f t="shared" ref="X96:X127" si="55">X95</f>
        <v>0</v>
      </c>
      <c r="Y96" s="194">
        <f t="shared" si="42"/>
        <v>0.23300000000000001</v>
      </c>
      <c r="Z96" s="140">
        <f t="shared" ref="Z96:Z127" ca="1" si="56">Z95</f>
        <v>0.28657937898642949</v>
      </c>
      <c r="AA96" s="140">
        <f t="shared" ref="AA96:AA159" ca="1" si="57">$U96+$Z96</f>
        <v>4.0760793789864298</v>
      </c>
      <c r="AB96" s="203">
        <f ca="1">_xll.EURO($U96,AA96,VLOOKUP($B96,Curve_Fetch,2),VLOOKUP($B96,Curve_Fetch,2),Y96,VLOOKUP($B96,Model!$A$8:$H$288,8),1,0)</f>
        <v>0.5568259521427692</v>
      </c>
      <c r="AC96" s="134"/>
      <c r="AD96" s="192">
        <f>VLOOKUP($B96,Curve_Fetch,VLOOKUP(Control!$F$25,Control!$E$26:$I$37,5))</f>
        <v>0.23300000000000001</v>
      </c>
      <c r="AE96" s="194">
        <f t="shared" ref="AE96:AE159" si="58">AE95</f>
        <v>0</v>
      </c>
      <c r="AF96" s="194">
        <f t="shared" si="43"/>
        <v>0.23300000000000001</v>
      </c>
      <c r="AG96" s="140">
        <f t="shared" si="44"/>
        <v>-0.20435881234430545</v>
      </c>
      <c r="AH96" s="140">
        <f t="shared" ref="AH96:AH159" si="59">$U96+$AG96</f>
        <v>3.5851411876556947</v>
      </c>
      <c r="AI96" s="203">
        <f>_xll.EURO($U96,AH96,VLOOKUP($B96,Curve_Fetch,2),VLOOKUP($B96,Curve_Fetch,2),AF96,VLOOKUP($B96,Model!$A$8:$H$288,8),0,0)</f>
        <v>0.54504031182806667</v>
      </c>
      <c r="AK96" s="137">
        <f t="shared" ca="1" si="45"/>
        <v>0</v>
      </c>
      <c r="AL96" s="138">
        <f t="shared" ca="1" si="46"/>
        <v>0</v>
      </c>
      <c r="AM96" s="138">
        <f t="shared" ca="1" si="47"/>
        <v>0</v>
      </c>
      <c r="AN96" s="138">
        <f t="shared" ca="1" si="48"/>
        <v>0</v>
      </c>
      <c r="AO96" s="138">
        <f t="shared" ca="1" si="49"/>
        <v>0</v>
      </c>
      <c r="AP96" s="138">
        <f t="shared" ca="1" si="50"/>
        <v>0</v>
      </c>
      <c r="AQ96" s="138">
        <f t="shared" ref="AQ96:AQ159" si="60">$F96*AI96</f>
        <v>0</v>
      </c>
      <c r="AR96" s="139">
        <f t="shared" ca="1" si="51"/>
        <v>0</v>
      </c>
      <c r="AT96"/>
      <c r="AU96"/>
      <c r="AV96"/>
      <c r="AW96"/>
      <c r="AX96"/>
      <c r="AY96"/>
      <c r="AZ96"/>
      <c r="BA96"/>
    </row>
    <row r="97" spans="2:53">
      <c r="B97" s="131">
        <f>[1]!_xludf.edate(B96,1)</f>
        <v>39234</v>
      </c>
      <c r="C97" s="132">
        <f t="shared" si="39"/>
        <v>39264</v>
      </c>
      <c r="D97" s="159">
        <v>0</v>
      </c>
      <c r="E97" s="160">
        <f>VLOOKUP($B97,Model!$A$8:$E$289,5)</f>
        <v>0</v>
      </c>
      <c r="F97" s="160">
        <f>VLOOKUP($B97,Model!$A$8:$F$289,6)</f>
        <v>0</v>
      </c>
      <c r="G97" s="179">
        <f ca="1">VLOOKUP($B97,Model!$A$8:$G$289,7)</f>
        <v>0</v>
      </c>
      <c r="I97" s="133">
        <v>0</v>
      </c>
      <c r="J97" s="134">
        <f t="shared" si="40"/>
        <v>3.8995000000000002</v>
      </c>
      <c r="K97" s="140">
        <f t="shared" si="52"/>
        <v>0</v>
      </c>
      <c r="L97" s="136">
        <f>IF(Control!$C$25=Control!$B$26,J97,I97)+K97</f>
        <v>3.8995000000000002</v>
      </c>
      <c r="M97" s="133">
        <v>0</v>
      </c>
      <c r="N97" s="134">
        <f>VLOOKUP($B97,Curve_Fetch,VLOOKUP(Control!$F$25,Control!$E$26:$G$37,3))</f>
        <v>-7.0000000000000007E-2</v>
      </c>
      <c r="O97" s="140">
        <f t="shared" si="53"/>
        <v>0</v>
      </c>
      <c r="P97" s="136">
        <f>IF(Control!$C$30=Control!$B$31,N97,M97)+O97</f>
        <v>-7.0000000000000007E-2</v>
      </c>
      <c r="Q97" s="133">
        <v>0</v>
      </c>
      <c r="R97" s="134">
        <f>VLOOKUP($B97,Curve_Fetch,(VLOOKUP(Control!$F$25,Control!$E$26:$H$37,4)))</f>
        <v>5.0000000000000001E-3</v>
      </c>
      <c r="S97" s="140">
        <f t="shared" si="54"/>
        <v>0</v>
      </c>
      <c r="T97" s="136">
        <f>IF($C$12="Physical",IF(Control!$C$35=Control!$B$36,R97,Q97)+S97,0)</f>
        <v>0</v>
      </c>
      <c r="U97" s="176">
        <f t="shared" si="41"/>
        <v>3.8295000000000003</v>
      </c>
      <c r="V97" s="152"/>
      <c r="W97" s="192">
        <f>VLOOKUP($B97,Curve_Fetch,VLOOKUP(Control!$F$25,Control!$E$26:$I$37,5))</f>
        <v>0.23300000000000001</v>
      </c>
      <c r="X97" s="194">
        <f t="shared" si="55"/>
        <v>0</v>
      </c>
      <c r="Y97" s="194">
        <f t="shared" si="42"/>
        <v>0.23300000000000001</v>
      </c>
      <c r="Z97" s="140">
        <f t="shared" ca="1" si="56"/>
        <v>0.28657937898642949</v>
      </c>
      <c r="AA97" s="140">
        <f t="shared" ca="1" si="57"/>
        <v>4.1160793789864298</v>
      </c>
      <c r="AB97" s="203">
        <f ca="1">_xll.EURO($U97,AA97,VLOOKUP($B97,Curve_Fetch,2),VLOOKUP($B97,Curve_Fetch,2),Y97,VLOOKUP($B97,Model!$A$8:$H$288,8),1,0)</f>
        <v>0.5658248172471867</v>
      </c>
      <c r="AC97" s="134"/>
      <c r="AD97" s="192">
        <f>VLOOKUP($B97,Curve_Fetch,VLOOKUP(Control!$F$25,Control!$E$26:$I$37,5))</f>
        <v>0.23300000000000001</v>
      </c>
      <c r="AE97" s="194">
        <f t="shared" si="58"/>
        <v>0</v>
      </c>
      <c r="AF97" s="194">
        <f t="shared" si="43"/>
        <v>0.23300000000000001</v>
      </c>
      <c r="AG97" s="140">
        <f t="shared" si="44"/>
        <v>-0.20435881234430545</v>
      </c>
      <c r="AH97" s="140">
        <f t="shared" si="59"/>
        <v>3.6251411876556947</v>
      </c>
      <c r="AI97" s="203">
        <f>_xll.EURO($U97,AH97,VLOOKUP($B97,Curve_Fetch,2),VLOOKUP($B97,Curve_Fetch,2),AF97,VLOOKUP($B97,Model!$A$8:$H$288,8),0,0)</f>
        <v>0.55383045082767346</v>
      </c>
      <c r="AK97" s="137">
        <f t="shared" ca="1" si="45"/>
        <v>0</v>
      </c>
      <c r="AL97" s="138">
        <f t="shared" ca="1" si="46"/>
        <v>0</v>
      </c>
      <c r="AM97" s="138">
        <f t="shared" ca="1" si="47"/>
        <v>0</v>
      </c>
      <c r="AN97" s="138">
        <f t="shared" ca="1" si="48"/>
        <v>0</v>
      </c>
      <c r="AO97" s="138">
        <f t="shared" ca="1" si="49"/>
        <v>0</v>
      </c>
      <c r="AP97" s="138">
        <f t="shared" ca="1" si="50"/>
        <v>0</v>
      </c>
      <c r="AQ97" s="138">
        <f t="shared" si="60"/>
        <v>0</v>
      </c>
      <c r="AR97" s="139">
        <f t="shared" ca="1" si="51"/>
        <v>0</v>
      </c>
      <c r="AT97"/>
      <c r="AU97"/>
      <c r="AV97"/>
      <c r="AW97"/>
      <c r="AX97"/>
      <c r="AY97"/>
      <c r="AZ97"/>
      <c r="BA97"/>
    </row>
    <row r="98" spans="2:53">
      <c r="B98" s="131">
        <f>[1]!_xludf.edate(B97,1)</f>
        <v>39264</v>
      </c>
      <c r="C98" s="132">
        <f t="shared" si="39"/>
        <v>39295</v>
      </c>
      <c r="D98" s="159">
        <v>0</v>
      </c>
      <c r="E98" s="160">
        <f>VLOOKUP($B98,Model!$A$8:$E$289,5)</f>
        <v>0</v>
      </c>
      <c r="F98" s="160">
        <f>VLOOKUP($B98,Model!$A$8:$F$289,6)</f>
        <v>0</v>
      </c>
      <c r="G98" s="179">
        <f ca="1">VLOOKUP($B98,Model!$A$8:$G$289,7)</f>
        <v>0</v>
      </c>
      <c r="I98" s="133">
        <v>0</v>
      </c>
      <c r="J98" s="134">
        <f t="shared" si="40"/>
        <v>3.9445000000000001</v>
      </c>
      <c r="K98" s="140">
        <f t="shared" si="52"/>
        <v>0</v>
      </c>
      <c r="L98" s="136">
        <f>IF(Control!$C$25=Control!$B$26,J98,I98)+K98</f>
        <v>3.9445000000000001</v>
      </c>
      <c r="M98" s="133">
        <v>0</v>
      </c>
      <c r="N98" s="134">
        <f>VLOOKUP($B98,Curve_Fetch,VLOOKUP(Control!$F$25,Control!$E$26:$G$37,3))</f>
        <v>-7.0000000000000007E-2</v>
      </c>
      <c r="O98" s="140">
        <f t="shared" si="53"/>
        <v>0</v>
      </c>
      <c r="P98" s="136">
        <f>IF(Control!$C$30=Control!$B$31,N98,M98)+O98</f>
        <v>-7.0000000000000007E-2</v>
      </c>
      <c r="Q98" s="133">
        <v>0</v>
      </c>
      <c r="R98" s="134">
        <f>VLOOKUP($B98,Curve_Fetch,(VLOOKUP(Control!$F$25,Control!$E$26:$H$37,4)))</f>
        <v>5.0000000000000001E-3</v>
      </c>
      <c r="S98" s="140">
        <f t="shared" si="54"/>
        <v>0</v>
      </c>
      <c r="T98" s="136">
        <f>IF($C$12="Physical",IF(Control!$C$35=Control!$B$36,R98,Q98)+S98,0)</f>
        <v>0</v>
      </c>
      <c r="U98" s="176">
        <f t="shared" si="41"/>
        <v>3.8745000000000003</v>
      </c>
      <c r="V98" s="152"/>
      <c r="W98" s="192">
        <f>VLOOKUP($B98,Curve_Fetch,VLOOKUP(Control!$F$25,Control!$E$26:$I$37,5))</f>
        <v>0.23300000000000001</v>
      </c>
      <c r="X98" s="194">
        <f t="shared" si="55"/>
        <v>0</v>
      </c>
      <c r="Y98" s="194">
        <f t="shared" si="42"/>
        <v>0.23300000000000001</v>
      </c>
      <c r="Z98" s="140">
        <f t="shared" ca="1" si="56"/>
        <v>0.28657937898642949</v>
      </c>
      <c r="AA98" s="140">
        <f t="shared" ca="1" si="57"/>
        <v>4.1610793789864298</v>
      </c>
      <c r="AB98" s="203">
        <f ca="1">_xll.EURO($U98,AA98,VLOOKUP($B98,Curve_Fetch,2),VLOOKUP($B98,Curve_Fetch,2),Y98,VLOOKUP($B98,Model!$A$8:$H$288,8),1,0)</f>
        <v>0.57554189601361583</v>
      </c>
      <c r="AC98" s="134"/>
      <c r="AD98" s="192">
        <f>VLOOKUP($B98,Curve_Fetch,VLOOKUP(Control!$F$25,Control!$E$26:$I$37,5))</f>
        <v>0.23300000000000001</v>
      </c>
      <c r="AE98" s="194">
        <f t="shared" si="58"/>
        <v>0</v>
      </c>
      <c r="AF98" s="194">
        <f t="shared" si="43"/>
        <v>0.23300000000000001</v>
      </c>
      <c r="AG98" s="140">
        <f t="shared" si="44"/>
        <v>-0.20435881234430545</v>
      </c>
      <c r="AH98" s="140">
        <f t="shared" si="59"/>
        <v>3.6701411876556946</v>
      </c>
      <c r="AI98" s="203">
        <f>_xll.EURO($U98,AH98,VLOOKUP($B98,Curve_Fetch,2),VLOOKUP($B98,Curve_Fetch,2),AF98,VLOOKUP($B98,Model!$A$8:$H$288,8),0,0)</f>
        <v>0.56335282801637665</v>
      </c>
      <c r="AK98" s="137">
        <f t="shared" ca="1" si="45"/>
        <v>0</v>
      </c>
      <c r="AL98" s="138">
        <f t="shared" ca="1" si="46"/>
        <v>0</v>
      </c>
      <c r="AM98" s="138">
        <f t="shared" ca="1" si="47"/>
        <v>0</v>
      </c>
      <c r="AN98" s="138">
        <f t="shared" ca="1" si="48"/>
        <v>0</v>
      </c>
      <c r="AO98" s="138">
        <f t="shared" ca="1" si="49"/>
        <v>0</v>
      </c>
      <c r="AP98" s="138">
        <f t="shared" ca="1" si="50"/>
        <v>0</v>
      </c>
      <c r="AQ98" s="138">
        <f t="shared" si="60"/>
        <v>0</v>
      </c>
      <c r="AR98" s="139">
        <f t="shared" ca="1" si="51"/>
        <v>0</v>
      </c>
      <c r="AT98"/>
      <c r="AU98"/>
      <c r="AV98"/>
      <c r="AW98"/>
      <c r="AX98"/>
      <c r="AY98"/>
      <c r="AZ98"/>
      <c r="BA98"/>
    </row>
    <row r="99" spans="2:53">
      <c r="B99" s="131">
        <f>[1]!_xludf.edate(B98,1)</f>
        <v>39295</v>
      </c>
      <c r="C99" s="132">
        <f t="shared" si="39"/>
        <v>39326</v>
      </c>
      <c r="D99" s="159">
        <v>0</v>
      </c>
      <c r="E99" s="160">
        <f>VLOOKUP($B99,Model!$A$8:$E$289,5)</f>
        <v>0</v>
      </c>
      <c r="F99" s="160">
        <f>VLOOKUP($B99,Model!$A$8:$F$289,6)</f>
        <v>0</v>
      </c>
      <c r="G99" s="179">
        <f ca="1">VLOOKUP($B99,Model!$A$8:$G$289,7)</f>
        <v>0</v>
      </c>
      <c r="I99" s="133">
        <v>0</v>
      </c>
      <c r="J99" s="134">
        <f t="shared" si="40"/>
        <v>3.9834999999999998</v>
      </c>
      <c r="K99" s="140">
        <f t="shared" si="52"/>
        <v>0</v>
      </c>
      <c r="L99" s="136">
        <f>IF(Control!$C$25=Control!$B$26,J99,I99)+K99</f>
        <v>3.9834999999999998</v>
      </c>
      <c r="M99" s="133">
        <v>0</v>
      </c>
      <c r="N99" s="134">
        <f>VLOOKUP($B99,Curve_Fetch,VLOOKUP(Control!$F$25,Control!$E$26:$G$37,3))</f>
        <v>-7.0000000000000007E-2</v>
      </c>
      <c r="O99" s="140">
        <f t="shared" si="53"/>
        <v>0</v>
      </c>
      <c r="P99" s="136">
        <f>IF(Control!$C$30=Control!$B$31,N99,M99)+O99</f>
        <v>-7.0000000000000007E-2</v>
      </c>
      <c r="Q99" s="133">
        <v>0</v>
      </c>
      <c r="R99" s="134">
        <f>VLOOKUP($B99,Curve_Fetch,(VLOOKUP(Control!$F$25,Control!$E$26:$H$37,4)))</f>
        <v>5.0000000000000001E-3</v>
      </c>
      <c r="S99" s="140">
        <f t="shared" si="54"/>
        <v>0</v>
      </c>
      <c r="T99" s="136">
        <f>IF($C$12="Physical",IF(Control!$C$35=Control!$B$36,R99,Q99)+S99,0)</f>
        <v>0</v>
      </c>
      <c r="U99" s="176">
        <f t="shared" si="41"/>
        <v>3.9135</v>
      </c>
      <c r="V99" s="152"/>
      <c r="W99" s="192">
        <f>VLOOKUP($B99,Curve_Fetch,VLOOKUP(Control!$F$25,Control!$E$26:$I$37,5))</f>
        <v>0.23300000000000001</v>
      </c>
      <c r="X99" s="194">
        <f t="shared" si="55"/>
        <v>0</v>
      </c>
      <c r="Y99" s="194">
        <f t="shared" si="42"/>
        <v>0.23300000000000001</v>
      </c>
      <c r="Z99" s="140">
        <f t="shared" ca="1" si="56"/>
        <v>0.28657937898642949</v>
      </c>
      <c r="AA99" s="140">
        <f t="shared" ca="1" si="57"/>
        <v>4.2000793789864295</v>
      </c>
      <c r="AB99" s="203">
        <f ca="1">_xll.EURO($U99,AA99,VLOOKUP($B99,Curve_Fetch,2),VLOOKUP($B99,Curve_Fetch,2),Y99,VLOOKUP($B99,Model!$A$8:$H$288,8),1,0)</f>
        <v>0.58427069808634458</v>
      </c>
      <c r="AC99" s="134"/>
      <c r="AD99" s="192">
        <f>VLOOKUP($B99,Curve_Fetch,VLOOKUP(Control!$F$25,Control!$E$26:$I$37,5))</f>
        <v>0.23300000000000001</v>
      </c>
      <c r="AE99" s="194">
        <f t="shared" si="58"/>
        <v>0</v>
      </c>
      <c r="AF99" s="194">
        <f t="shared" si="43"/>
        <v>0.23300000000000001</v>
      </c>
      <c r="AG99" s="140">
        <f t="shared" si="44"/>
        <v>-0.20435881234430545</v>
      </c>
      <c r="AH99" s="140">
        <f t="shared" si="59"/>
        <v>3.7091411876556943</v>
      </c>
      <c r="AI99" s="203">
        <f>_xll.EURO($U99,AH99,VLOOKUP($B99,Curve_Fetch,2),VLOOKUP($B99,Curve_Fetch,2),AF99,VLOOKUP($B99,Model!$A$8:$H$288,8),0,0)</f>
        <v>0.57187976558262865</v>
      </c>
      <c r="AK99" s="137">
        <f t="shared" ca="1" si="45"/>
        <v>0</v>
      </c>
      <c r="AL99" s="138">
        <f t="shared" ca="1" si="46"/>
        <v>0</v>
      </c>
      <c r="AM99" s="138">
        <f t="shared" ca="1" si="47"/>
        <v>0</v>
      </c>
      <c r="AN99" s="138">
        <f t="shared" ca="1" si="48"/>
        <v>0</v>
      </c>
      <c r="AO99" s="138">
        <f t="shared" ca="1" si="49"/>
        <v>0</v>
      </c>
      <c r="AP99" s="138">
        <f t="shared" ca="1" si="50"/>
        <v>0</v>
      </c>
      <c r="AQ99" s="138">
        <f t="shared" si="60"/>
        <v>0</v>
      </c>
      <c r="AR99" s="139">
        <f t="shared" ca="1" si="51"/>
        <v>0</v>
      </c>
      <c r="AT99"/>
      <c r="AU99"/>
      <c r="AV99"/>
      <c r="AW99"/>
      <c r="AX99"/>
      <c r="AY99"/>
      <c r="AZ99"/>
      <c r="BA99"/>
    </row>
    <row r="100" spans="2:53">
      <c r="B100" s="131">
        <f>[1]!_xludf.edate(B99,1)</f>
        <v>39326</v>
      </c>
      <c r="C100" s="132">
        <f t="shared" si="39"/>
        <v>39356</v>
      </c>
      <c r="D100" s="159">
        <v>0</v>
      </c>
      <c r="E100" s="160">
        <f>VLOOKUP($B100,Model!$A$8:$E$289,5)</f>
        <v>0</v>
      </c>
      <c r="F100" s="160">
        <f>VLOOKUP($B100,Model!$A$8:$F$289,6)</f>
        <v>0</v>
      </c>
      <c r="G100" s="179">
        <f ca="1">VLOOKUP($B100,Model!$A$8:$G$289,7)</f>
        <v>0</v>
      </c>
      <c r="I100" s="133">
        <v>0</v>
      </c>
      <c r="J100" s="134">
        <f t="shared" si="40"/>
        <v>3.9775</v>
      </c>
      <c r="K100" s="140">
        <f t="shared" si="52"/>
        <v>0</v>
      </c>
      <c r="L100" s="136">
        <f>IF(Control!$C$25=Control!$B$26,J100,I100)+K100</f>
        <v>3.9775</v>
      </c>
      <c r="M100" s="133">
        <v>0</v>
      </c>
      <c r="N100" s="134">
        <f>VLOOKUP($B100,Curve_Fetch,VLOOKUP(Control!$F$25,Control!$E$26:$G$37,3))</f>
        <v>-7.0000000000000007E-2</v>
      </c>
      <c r="O100" s="140">
        <f t="shared" si="53"/>
        <v>0</v>
      </c>
      <c r="P100" s="136">
        <f>IF(Control!$C$30=Control!$B$31,N100,M100)+O100</f>
        <v>-7.0000000000000007E-2</v>
      </c>
      <c r="Q100" s="133">
        <v>0</v>
      </c>
      <c r="R100" s="134">
        <f>VLOOKUP($B100,Curve_Fetch,(VLOOKUP(Control!$F$25,Control!$E$26:$H$37,4)))</f>
        <v>5.0000000000000001E-3</v>
      </c>
      <c r="S100" s="140">
        <f t="shared" si="54"/>
        <v>0</v>
      </c>
      <c r="T100" s="136">
        <f>IF($C$12="Physical",IF(Control!$C$35=Control!$B$36,R100,Q100)+S100,0)</f>
        <v>0</v>
      </c>
      <c r="U100" s="176">
        <f t="shared" si="41"/>
        <v>3.9075000000000002</v>
      </c>
      <c r="V100" s="152"/>
      <c r="W100" s="192">
        <f>VLOOKUP($B100,Curve_Fetch,VLOOKUP(Control!$F$25,Control!$E$26:$I$37,5))</f>
        <v>0.23300000000000001</v>
      </c>
      <c r="X100" s="194">
        <f t="shared" si="55"/>
        <v>0</v>
      </c>
      <c r="Y100" s="194">
        <f t="shared" si="42"/>
        <v>0.23300000000000001</v>
      </c>
      <c r="Z100" s="140">
        <f t="shared" ca="1" si="56"/>
        <v>0.28657937898642949</v>
      </c>
      <c r="AA100" s="140">
        <f t="shared" ca="1" si="57"/>
        <v>4.1940793789864301</v>
      </c>
      <c r="AB100" s="203">
        <f ca="1">_xll.EURO($U100,AA100,VLOOKUP($B100,Curve_Fetch,2),VLOOKUP($B100,Curve_Fetch,2),Y100,VLOOKUP($B100,Model!$A$8:$H$288,8),1,0)</f>
        <v>0.58533254961451719</v>
      </c>
      <c r="AC100" s="134"/>
      <c r="AD100" s="192">
        <f>VLOOKUP($B100,Curve_Fetch,VLOOKUP(Control!$F$25,Control!$E$26:$I$37,5))</f>
        <v>0.23300000000000001</v>
      </c>
      <c r="AE100" s="194">
        <f t="shared" si="58"/>
        <v>0</v>
      </c>
      <c r="AF100" s="194">
        <f t="shared" si="43"/>
        <v>0.23300000000000001</v>
      </c>
      <c r="AG100" s="140">
        <f t="shared" si="44"/>
        <v>-0.20435881234430545</v>
      </c>
      <c r="AH100" s="140">
        <f t="shared" si="59"/>
        <v>3.7031411876556946</v>
      </c>
      <c r="AI100" s="203">
        <f>_xll.EURO($U100,AH100,VLOOKUP($B100,Curve_Fetch,2),VLOOKUP($B100,Curve_Fetch,2),AF100,VLOOKUP($B100,Model!$A$8:$H$288,8),0,0)</f>
        <v>0.57271887493831852</v>
      </c>
      <c r="AK100" s="137">
        <f t="shared" ca="1" si="45"/>
        <v>0</v>
      </c>
      <c r="AL100" s="138">
        <f t="shared" ca="1" si="46"/>
        <v>0</v>
      </c>
      <c r="AM100" s="138">
        <f t="shared" ca="1" si="47"/>
        <v>0</v>
      </c>
      <c r="AN100" s="138">
        <f t="shared" ca="1" si="48"/>
        <v>0</v>
      </c>
      <c r="AO100" s="138">
        <f t="shared" ca="1" si="49"/>
        <v>0</v>
      </c>
      <c r="AP100" s="138">
        <f t="shared" ca="1" si="50"/>
        <v>0</v>
      </c>
      <c r="AQ100" s="138">
        <f t="shared" si="60"/>
        <v>0</v>
      </c>
      <c r="AR100" s="139">
        <f t="shared" ca="1" si="51"/>
        <v>0</v>
      </c>
      <c r="AT100"/>
      <c r="AU100"/>
      <c r="AV100"/>
      <c r="AW100"/>
      <c r="AX100"/>
      <c r="AY100"/>
      <c r="AZ100"/>
      <c r="BA100"/>
    </row>
    <row r="101" spans="2:53">
      <c r="B101" s="131">
        <f>[1]!_xludf.edate(B100,1)</f>
        <v>39356</v>
      </c>
      <c r="C101" s="132">
        <f t="shared" si="39"/>
        <v>39387</v>
      </c>
      <c r="D101" s="159">
        <v>0</v>
      </c>
      <c r="E101" s="160">
        <f>VLOOKUP($B101,Model!$A$8:$E$289,5)</f>
        <v>0</v>
      </c>
      <c r="F101" s="160">
        <f>VLOOKUP($B101,Model!$A$8:$F$289,6)</f>
        <v>0</v>
      </c>
      <c r="G101" s="179">
        <f ca="1">VLOOKUP($B101,Model!$A$8:$G$289,7)</f>
        <v>0</v>
      </c>
      <c r="I101" s="133">
        <v>0</v>
      </c>
      <c r="J101" s="134">
        <f t="shared" si="40"/>
        <v>3.9874999999999998</v>
      </c>
      <c r="K101" s="140">
        <f t="shared" si="52"/>
        <v>0</v>
      </c>
      <c r="L101" s="136">
        <f>IF(Control!$C$25=Control!$B$26,J101,I101)+K101</f>
        <v>3.9874999999999998</v>
      </c>
      <c r="M101" s="133">
        <v>0</v>
      </c>
      <c r="N101" s="134">
        <f>VLOOKUP($B101,Curve_Fetch,VLOOKUP(Control!$F$25,Control!$E$26:$G$37,3))</f>
        <v>-7.0000000000000007E-2</v>
      </c>
      <c r="O101" s="140">
        <f t="shared" si="53"/>
        <v>0</v>
      </c>
      <c r="P101" s="136">
        <f>IF(Control!$C$30=Control!$B$31,N101,M101)+O101</f>
        <v>-7.0000000000000007E-2</v>
      </c>
      <c r="Q101" s="133">
        <v>0</v>
      </c>
      <c r="R101" s="134">
        <f>VLOOKUP($B101,Curve_Fetch,(VLOOKUP(Control!$F$25,Control!$E$26:$H$37,4)))</f>
        <v>5.0000000000000001E-3</v>
      </c>
      <c r="S101" s="140">
        <f t="shared" si="54"/>
        <v>0</v>
      </c>
      <c r="T101" s="136">
        <f>IF($C$12="Physical",IF(Control!$C$35=Control!$B$36,R101,Q101)+S101,0)</f>
        <v>0</v>
      </c>
      <c r="U101" s="176">
        <f t="shared" si="41"/>
        <v>3.9175</v>
      </c>
      <c r="V101" s="152"/>
      <c r="W101" s="192">
        <f>VLOOKUP($B101,Curve_Fetch,VLOOKUP(Control!$F$25,Control!$E$26:$I$37,5))</f>
        <v>0.23300000000000001</v>
      </c>
      <c r="X101" s="194">
        <f t="shared" si="55"/>
        <v>0</v>
      </c>
      <c r="Y101" s="194">
        <f t="shared" si="42"/>
        <v>0.23300000000000001</v>
      </c>
      <c r="Z101" s="140">
        <f t="shared" ca="1" si="56"/>
        <v>0.28657937898642949</v>
      </c>
      <c r="AA101" s="140">
        <f t="shared" ca="1" si="57"/>
        <v>4.2040793789864299</v>
      </c>
      <c r="AB101" s="203">
        <f ca="1">_xll.EURO($U101,AA101,VLOOKUP($B101,Curve_Fetch,2),VLOOKUP($B101,Curve_Fetch,2),Y101,VLOOKUP($B101,Model!$A$8:$H$288,8),1,0)</f>
        <v>0.58895026480513857</v>
      </c>
      <c r="AC101" s="134"/>
      <c r="AD101" s="192">
        <f>VLOOKUP($B101,Curve_Fetch,VLOOKUP(Control!$F$25,Control!$E$26:$I$37,5))</f>
        <v>0.23300000000000001</v>
      </c>
      <c r="AE101" s="194">
        <f t="shared" si="58"/>
        <v>0</v>
      </c>
      <c r="AF101" s="194">
        <f t="shared" si="43"/>
        <v>0.23300000000000001</v>
      </c>
      <c r="AG101" s="140">
        <f t="shared" si="44"/>
        <v>-0.20435881234430545</v>
      </c>
      <c r="AH101" s="140">
        <f t="shared" si="59"/>
        <v>3.7131411876556943</v>
      </c>
      <c r="AI101" s="203">
        <f>_xll.EURO($U101,AH101,VLOOKUP($B101,Curve_Fetch,2),VLOOKUP($B101,Curve_Fetch,2),AF101,VLOOKUP($B101,Model!$A$8:$H$288,8),0,0)</f>
        <v>0.57613424045431261</v>
      </c>
      <c r="AK101" s="137">
        <f t="shared" ca="1" si="45"/>
        <v>0</v>
      </c>
      <c r="AL101" s="138">
        <f t="shared" ca="1" si="46"/>
        <v>0</v>
      </c>
      <c r="AM101" s="138">
        <f t="shared" ca="1" si="47"/>
        <v>0</v>
      </c>
      <c r="AN101" s="138">
        <f t="shared" ca="1" si="48"/>
        <v>0</v>
      </c>
      <c r="AO101" s="138">
        <f t="shared" ca="1" si="49"/>
        <v>0</v>
      </c>
      <c r="AP101" s="138">
        <f t="shared" ca="1" si="50"/>
        <v>0</v>
      </c>
      <c r="AQ101" s="138">
        <f t="shared" si="60"/>
        <v>0</v>
      </c>
      <c r="AR101" s="139">
        <f t="shared" ca="1" si="51"/>
        <v>0</v>
      </c>
      <c r="AT101"/>
      <c r="AU101"/>
      <c r="AV101"/>
      <c r="AW101"/>
      <c r="AX101"/>
      <c r="AY101"/>
      <c r="AZ101"/>
      <c r="BA101"/>
    </row>
    <row r="102" spans="2:53">
      <c r="B102" s="131">
        <f>[1]!_xludf.edate(B101,1)</f>
        <v>39387</v>
      </c>
      <c r="C102" s="132">
        <f t="shared" si="39"/>
        <v>39417</v>
      </c>
      <c r="D102" s="159">
        <v>0</v>
      </c>
      <c r="E102" s="160">
        <f>VLOOKUP($B102,Model!$A$8:$E$289,5)</f>
        <v>0</v>
      </c>
      <c r="F102" s="160">
        <f>VLOOKUP($B102,Model!$A$8:$F$289,6)</f>
        <v>0</v>
      </c>
      <c r="G102" s="179">
        <f ca="1">VLOOKUP($B102,Model!$A$8:$G$289,7)</f>
        <v>0</v>
      </c>
      <c r="I102" s="133">
        <v>0</v>
      </c>
      <c r="J102" s="134">
        <f t="shared" si="40"/>
        <v>4.1475</v>
      </c>
      <c r="K102" s="140">
        <f t="shared" si="52"/>
        <v>0</v>
      </c>
      <c r="L102" s="136">
        <f>IF(Control!$C$25=Control!$B$26,J102,I102)+K102</f>
        <v>4.1475</v>
      </c>
      <c r="M102" s="133">
        <v>0</v>
      </c>
      <c r="N102" s="134">
        <f>VLOOKUP($B102,Curve_Fetch,VLOOKUP(Control!$F$25,Control!$E$26:$G$37,3))</f>
        <v>-7.0000000000000007E-2</v>
      </c>
      <c r="O102" s="140">
        <f t="shared" si="53"/>
        <v>0</v>
      </c>
      <c r="P102" s="136">
        <f>IF(Control!$C$30=Control!$B$31,N102,M102)+O102</f>
        <v>-7.0000000000000007E-2</v>
      </c>
      <c r="Q102" s="133">
        <v>0</v>
      </c>
      <c r="R102" s="134">
        <f>VLOOKUP($B102,Curve_Fetch,(VLOOKUP(Control!$F$25,Control!$E$26:$H$37,4)))</f>
        <v>5.0000000000000001E-3</v>
      </c>
      <c r="S102" s="140">
        <f t="shared" si="54"/>
        <v>0</v>
      </c>
      <c r="T102" s="136">
        <f>IF($C$12="Physical",IF(Control!$C$35=Control!$B$36,R102,Q102)+S102,0)</f>
        <v>0</v>
      </c>
      <c r="U102" s="176">
        <f t="shared" si="41"/>
        <v>4.0774999999999997</v>
      </c>
      <c r="V102" s="152"/>
      <c r="W102" s="192">
        <f>VLOOKUP($B102,Curve_Fetch,VLOOKUP(Control!$F$25,Control!$E$26:$I$37,5))</f>
        <v>0.23300000000000001</v>
      </c>
      <c r="X102" s="194">
        <f t="shared" si="55"/>
        <v>0</v>
      </c>
      <c r="Y102" s="194">
        <f t="shared" si="42"/>
        <v>0.23300000000000001</v>
      </c>
      <c r="Z102" s="140">
        <f t="shared" ca="1" si="56"/>
        <v>0.28657937898642949</v>
      </c>
      <c r="AA102" s="140">
        <f t="shared" ca="1" si="57"/>
        <v>4.3640793789864292</v>
      </c>
      <c r="AB102" s="203">
        <f ca="1">_xll.EURO($U102,AA102,VLOOKUP($B102,Curve_Fetch,2),VLOOKUP($B102,Curve_Fetch,2),Y102,VLOOKUP($B102,Model!$A$8:$H$288,8),1,0)</f>
        <v>0.61804190723951646</v>
      </c>
      <c r="AC102" s="134"/>
      <c r="AD102" s="192">
        <f>VLOOKUP($B102,Curve_Fetch,VLOOKUP(Control!$F$25,Control!$E$26:$I$37,5))</f>
        <v>0.23300000000000001</v>
      </c>
      <c r="AE102" s="194">
        <f t="shared" si="58"/>
        <v>0</v>
      </c>
      <c r="AF102" s="194">
        <f t="shared" si="43"/>
        <v>0.23300000000000001</v>
      </c>
      <c r="AG102" s="140">
        <f t="shared" si="44"/>
        <v>-0.20435881234430545</v>
      </c>
      <c r="AH102" s="140">
        <f t="shared" si="59"/>
        <v>3.873141187655694</v>
      </c>
      <c r="AI102" s="203">
        <f>_xll.EURO($U102,AH102,VLOOKUP($B102,Curve_Fetch,2),VLOOKUP($B102,Curve_Fetch,2),AF102,VLOOKUP($B102,Model!$A$8:$H$288,8),0,0)</f>
        <v>0.60509886317740502</v>
      </c>
      <c r="AK102" s="137">
        <f t="shared" ca="1" si="45"/>
        <v>0</v>
      </c>
      <c r="AL102" s="138">
        <f t="shared" ca="1" si="46"/>
        <v>0</v>
      </c>
      <c r="AM102" s="138">
        <f t="shared" ca="1" si="47"/>
        <v>0</v>
      </c>
      <c r="AN102" s="138">
        <f t="shared" ca="1" si="48"/>
        <v>0</v>
      </c>
      <c r="AO102" s="138">
        <f t="shared" ca="1" si="49"/>
        <v>0</v>
      </c>
      <c r="AP102" s="138">
        <f t="shared" ca="1" si="50"/>
        <v>0</v>
      </c>
      <c r="AQ102" s="138">
        <f t="shared" si="60"/>
        <v>0</v>
      </c>
      <c r="AR102" s="139">
        <f t="shared" ca="1" si="51"/>
        <v>0</v>
      </c>
      <c r="AT102"/>
      <c r="AU102"/>
      <c r="AV102"/>
      <c r="AW102"/>
      <c r="AX102"/>
      <c r="AY102"/>
      <c r="AZ102"/>
      <c r="BA102"/>
    </row>
    <row r="103" spans="2:53">
      <c r="B103" s="131">
        <f>[1]!_xludf.edate(B102,1)</f>
        <v>39417</v>
      </c>
      <c r="C103" s="132">
        <f t="shared" si="39"/>
        <v>39448</v>
      </c>
      <c r="D103" s="159">
        <v>0</v>
      </c>
      <c r="E103" s="160">
        <f>VLOOKUP($B103,Model!$A$8:$E$289,5)</f>
        <v>0</v>
      </c>
      <c r="F103" s="160">
        <f>VLOOKUP($B103,Model!$A$8:$F$289,6)</f>
        <v>0</v>
      </c>
      <c r="G103" s="179">
        <f ca="1">VLOOKUP($B103,Model!$A$8:$G$289,7)</f>
        <v>0</v>
      </c>
      <c r="I103" s="133">
        <v>0</v>
      </c>
      <c r="J103" s="134">
        <f t="shared" si="40"/>
        <v>4.3014999999999999</v>
      </c>
      <c r="K103" s="140">
        <f t="shared" si="52"/>
        <v>0</v>
      </c>
      <c r="L103" s="136">
        <f>IF(Control!$C$25=Control!$B$26,J103,I103)+K103</f>
        <v>4.3014999999999999</v>
      </c>
      <c r="M103" s="133">
        <v>0</v>
      </c>
      <c r="N103" s="134">
        <f>VLOOKUP($B103,Curve_Fetch,VLOOKUP(Control!$F$25,Control!$E$26:$G$37,3))</f>
        <v>-7.0000000000000007E-2</v>
      </c>
      <c r="O103" s="140">
        <f t="shared" si="53"/>
        <v>0</v>
      </c>
      <c r="P103" s="136">
        <f>IF(Control!$C$30=Control!$B$31,N103,M103)+O103</f>
        <v>-7.0000000000000007E-2</v>
      </c>
      <c r="Q103" s="133">
        <v>0</v>
      </c>
      <c r="R103" s="134">
        <f>VLOOKUP($B103,Curve_Fetch,(VLOOKUP(Control!$F$25,Control!$E$26:$H$37,4)))</f>
        <v>5.0000000000000001E-3</v>
      </c>
      <c r="S103" s="140">
        <f t="shared" si="54"/>
        <v>0</v>
      </c>
      <c r="T103" s="136">
        <f>IF($C$12="Physical",IF(Control!$C$35=Control!$B$36,R103,Q103)+S103,0)</f>
        <v>0</v>
      </c>
      <c r="U103" s="176">
        <f t="shared" si="41"/>
        <v>4.2314999999999996</v>
      </c>
      <c r="V103" s="152"/>
      <c r="W103" s="192">
        <f>VLOOKUP($B103,Curve_Fetch,VLOOKUP(Control!$F$25,Control!$E$26:$I$37,5))</f>
        <v>0.23300000000000001</v>
      </c>
      <c r="X103" s="194">
        <f t="shared" si="55"/>
        <v>0</v>
      </c>
      <c r="Y103" s="194">
        <f t="shared" si="42"/>
        <v>0.23300000000000001</v>
      </c>
      <c r="Z103" s="140">
        <f t="shared" ca="1" si="56"/>
        <v>0.28657937898642949</v>
      </c>
      <c r="AA103" s="140">
        <f t="shared" ca="1" si="57"/>
        <v>4.5180793789864291</v>
      </c>
      <c r="AB103" s="203">
        <f ca="1">_xll.EURO($U103,AA103,VLOOKUP($B103,Curve_Fetch,2),VLOOKUP($B103,Curve_Fetch,2),Y103,VLOOKUP($B103,Model!$A$8:$H$288,8),1,0)</f>
        <v>0.64608944180357564</v>
      </c>
      <c r="AC103" s="134"/>
      <c r="AD103" s="192">
        <f>VLOOKUP($B103,Curve_Fetch,VLOOKUP(Control!$F$25,Control!$E$26:$I$37,5))</f>
        <v>0.23300000000000001</v>
      </c>
      <c r="AE103" s="194">
        <f t="shared" si="58"/>
        <v>0</v>
      </c>
      <c r="AF103" s="194">
        <f t="shared" si="43"/>
        <v>0.23300000000000001</v>
      </c>
      <c r="AG103" s="140">
        <f t="shared" si="44"/>
        <v>-0.20435881234430545</v>
      </c>
      <c r="AH103" s="140">
        <f t="shared" si="59"/>
        <v>4.027141187655694</v>
      </c>
      <c r="AI103" s="203">
        <f>_xll.EURO($U103,AH103,VLOOKUP($B103,Curve_Fetch,2),VLOOKUP($B103,Curve_Fetch,2),AF103,VLOOKUP($B103,Model!$A$8:$H$288,8),0,0)</f>
        <v>0.63302025254998306</v>
      </c>
      <c r="AK103" s="137">
        <f t="shared" ca="1" si="45"/>
        <v>0</v>
      </c>
      <c r="AL103" s="138">
        <f t="shared" ca="1" si="46"/>
        <v>0</v>
      </c>
      <c r="AM103" s="138">
        <f t="shared" ca="1" si="47"/>
        <v>0</v>
      </c>
      <c r="AN103" s="138">
        <f t="shared" ca="1" si="48"/>
        <v>0</v>
      </c>
      <c r="AO103" s="138">
        <f t="shared" ca="1" si="49"/>
        <v>0</v>
      </c>
      <c r="AP103" s="138">
        <f t="shared" ca="1" si="50"/>
        <v>0</v>
      </c>
      <c r="AQ103" s="138">
        <f t="shared" si="60"/>
        <v>0</v>
      </c>
      <c r="AR103" s="139">
        <f t="shared" ca="1" si="51"/>
        <v>0</v>
      </c>
      <c r="AT103"/>
      <c r="AU103"/>
      <c r="AV103"/>
      <c r="AW103"/>
      <c r="AX103"/>
      <c r="AY103"/>
      <c r="AZ103"/>
      <c r="BA103"/>
    </row>
    <row r="104" spans="2:53">
      <c r="B104" s="131">
        <f>[1]!_xludf.edate(B103,1)</f>
        <v>39448</v>
      </c>
      <c r="C104" s="132">
        <f t="shared" si="39"/>
        <v>39479</v>
      </c>
      <c r="D104" s="159">
        <v>0</v>
      </c>
      <c r="E104" s="160">
        <f>VLOOKUP($B104,Model!$A$8:$E$289,5)</f>
        <v>0</v>
      </c>
      <c r="F104" s="160">
        <f>VLOOKUP($B104,Model!$A$8:$F$289,6)</f>
        <v>0</v>
      </c>
      <c r="G104" s="179">
        <f ca="1">VLOOKUP($B104,Model!$A$8:$G$289,7)</f>
        <v>0</v>
      </c>
      <c r="I104" s="133">
        <v>0</v>
      </c>
      <c r="J104" s="134">
        <f t="shared" si="40"/>
        <v>4.3440000000000003</v>
      </c>
      <c r="K104" s="140">
        <f t="shared" si="52"/>
        <v>0</v>
      </c>
      <c r="L104" s="136">
        <f>IF(Control!$C$25=Control!$B$26,J104,I104)+K104</f>
        <v>4.3440000000000003</v>
      </c>
      <c r="M104" s="133">
        <v>0</v>
      </c>
      <c r="N104" s="134">
        <f>VLOOKUP($B104,Curve_Fetch,VLOOKUP(Control!$F$25,Control!$E$26:$G$37,3))</f>
        <v>-7.0000000000000007E-2</v>
      </c>
      <c r="O104" s="140">
        <f t="shared" si="53"/>
        <v>0</v>
      </c>
      <c r="P104" s="136">
        <f>IF(Control!$C$30=Control!$B$31,N104,M104)+O104</f>
        <v>-7.0000000000000007E-2</v>
      </c>
      <c r="Q104" s="133">
        <v>0</v>
      </c>
      <c r="R104" s="134">
        <f>VLOOKUP($B104,Curve_Fetch,(VLOOKUP(Control!$F$25,Control!$E$26:$H$37,4)))</f>
        <v>5.0000000000000001E-3</v>
      </c>
      <c r="S104" s="140">
        <f t="shared" si="54"/>
        <v>0</v>
      </c>
      <c r="T104" s="136">
        <f>IF($C$12="Physical",IF(Control!$C$35=Control!$B$36,R104,Q104)+S104,0)</f>
        <v>0</v>
      </c>
      <c r="U104" s="176">
        <f t="shared" si="41"/>
        <v>4.274</v>
      </c>
      <c r="V104" s="152"/>
      <c r="W104" s="192">
        <f>VLOOKUP($B104,Curve_Fetch,VLOOKUP(Control!$F$25,Control!$E$26:$I$37,5))</f>
        <v>0.23300000000000001</v>
      </c>
      <c r="X104" s="194">
        <f t="shared" si="55"/>
        <v>0</v>
      </c>
      <c r="Y104" s="194">
        <f t="shared" si="42"/>
        <v>0.23300000000000001</v>
      </c>
      <c r="Z104" s="140">
        <f t="shared" ca="1" si="56"/>
        <v>0.28657937898642949</v>
      </c>
      <c r="AA104" s="140">
        <f t="shared" ca="1" si="57"/>
        <v>4.5605793789864295</v>
      </c>
      <c r="AB104" s="203">
        <f ca="1">_xll.EURO($U104,AA104,VLOOKUP($B104,Curve_Fetch,2),VLOOKUP($B104,Curve_Fetch,2),Y104,VLOOKUP($B104,Model!$A$8:$H$288,8),1,0)</f>
        <v>0.65518352152890191</v>
      </c>
      <c r="AC104" s="134"/>
      <c r="AD104" s="192">
        <f>VLOOKUP($B104,Curve_Fetch,VLOOKUP(Control!$F$25,Control!$E$26:$I$37,5))</f>
        <v>0.23300000000000001</v>
      </c>
      <c r="AE104" s="194">
        <f t="shared" si="58"/>
        <v>0</v>
      </c>
      <c r="AF104" s="194">
        <f t="shared" si="43"/>
        <v>0.23300000000000001</v>
      </c>
      <c r="AG104" s="140">
        <f t="shared" si="44"/>
        <v>-0.20435881234430545</v>
      </c>
      <c r="AH104" s="140">
        <f t="shared" si="59"/>
        <v>4.0696411876556944</v>
      </c>
      <c r="AI104" s="203">
        <f>_xll.EURO($U104,AH104,VLOOKUP($B104,Curve_Fetch,2),VLOOKUP($B104,Curve_Fetch,2),AF104,VLOOKUP($B104,Model!$A$8:$H$288,8),0,0)</f>
        <v>0.6419304745706107</v>
      </c>
      <c r="AK104" s="137">
        <f t="shared" ca="1" si="45"/>
        <v>0</v>
      </c>
      <c r="AL104" s="138">
        <f t="shared" ca="1" si="46"/>
        <v>0</v>
      </c>
      <c r="AM104" s="138">
        <f t="shared" ca="1" si="47"/>
        <v>0</v>
      </c>
      <c r="AN104" s="138">
        <f t="shared" ca="1" si="48"/>
        <v>0</v>
      </c>
      <c r="AO104" s="138">
        <f t="shared" ca="1" si="49"/>
        <v>0</v>
      </c>
      <c r="AP104" s="138">
        <f t="shared" ca="1" si="50"/>
        <v>0</v>
      </c>
      <c r="AQ104" s="138">
        <f t="shared" si="60"/>
        <v>0</v>
      </c>
      <c r="AR104" s="139">
        <f t="shared" ca="1" si="51"/>
        <v>0</v>
      </c>
      <c r="AT104"/>
      <c r="AU104"/>
      <c r="AV104"/>
      <c r="AW104"/>
      <c r="AX104"/>
      <c r="AY104"/>
      <c r="AZ104"/>
      <c r="BA104"/>
    </row>
    <row r="105" spans="2:53">
      <c r="B105" s="131">
        <f>[1]!_xludf.edate(B104,1)</f>
        <v>39479</v>
      </c>
      <c r="C105" s="132">
        <f t="shared" si="39"/>
        <v>39508</v>
      </c>
      <c r="D105" s="159">
        <v>0</v>
      </c>
      <c r="E105" s="160">
        <f>VLOOKUP($B105,Model!$A$8:$E$289,5)</f>
        <v>0</v>
      </c>
      <c r="F105" s="160">
        <f>VLOOKUP($B105,Model!$A$8:$F$289,6)</f>
        <v>0</v>
      </c>
      <c r="G105" s="179">
        <f ca="1">VLOOKUP($B105,Model!$A$8:$G$289,7)</f>
        <v>0</v>
      </c>
      <c r="I105" s="133">
        <v>0</v>
      </c>
      <c r="J105" s="134">
        <f t="shared" si="40"/>
        <v>4.2560000000000002</v>
      </c>
      <c r="K105" s="140">
        <f t="shared" si="52"/>
        <v>0</v>
      </c>
      <c r="L105" s="136">
        <f>IF(Control!$C$25=Control!$B$26,J105,I105)+K105</f>
        <v>4.2560000000000002</v>
      </c>
      <c r="M105" s="133">
        <v>0</v>
      </c>
      <c r="N105" s="134">
        <f>VLOOKUP($B105,Curve_Fetch,VLOOKUP(Control!$F$25,Control!$E$26:$G$37,3))</f>
        <v>-7.0000000000000007E-2</v>
      </c>
      <c r="O105" s="140">
        <f t="shared" si="53"/>
        <v>0</v>
      </c>
      <c r="P105" s="136">
        <f>IF(Control!$C$30=Control!$B$31,N105,M105)+O105</f>
        <v>-7.0000000000000007E-2</v>
      </c>
      <c r="Q105" s="133">
        <v>0</v>
      </c>
      <c r="R105" s="134">
        <f>VLOOKUP($B105,Curve_Fetch,(VLOOKUP(Control!$F$25,Control!$E$26:$H$37,4)))</f>
        <v>5.0000000000000001E-3</v>
      </c>
      <c r="S105" s="140">
        <f t="shared" si="54"/>
        <v>0</v>
      </c>
      <c r="T105" s="136">
        <f>IF($C$12="Physical",IF(Control!$C$35=Control!$B$36,R105,Q105)+S105,0)</f>
        <v>0</v>
      </c>
      <c r="U105" s="176">
        <f t="shared" si="41"/>
        <v>4.1859999999999999</v>
      </c>
      <c r="V105" s="152"/>
      <c r="W105" s="192">
        <f>VLOOKUP($B105,Curve_Fetch,VLOOKUP(Control!$F$25,Control!$E$26:$I$37,5))</f>
        <v>0.23300000000000001</v>
      </c>
      <c r="X105" s="194">
        <f t="shared" si="55"/>
        <v>0</v>
      </c>
      <c r="Y105" s="194">
        <f t="shared" si="42"/>
        <v>0.23300000000000001</v>
      </c>
      <c r="Z105" s="140">
        <f t="shared" ca="1" si="56"/>
        <v>0.28657937898642949</v>
      </c>
      <c r="AA105" s="140">
        <f t="shared" ca="1" si="57"/>
        <v>4.4725793789864294</v>
      </c>
      <c r="AB105" s="203">
        <f ca="1">_xll.EURO($U105,AA105,VLOOKUP($B105,Curve_Fetch,2),VLOOKUP($B105,Curve_Fetch,2),Y105,VLOOKUP($B105,Model!$A$8:$H$288,8),1,0)</f>
        <v>0.6418962240052688</v>
      </c>
      <c r="AC105" s="134"/>
      <c r="AD105" s="192">
        <f>VLOOKUP($B105,Curve_Fetch,VLOOKUP(Control!$F$25,Control!$E$26:$I$37,5))</f>
        <v>0.23300000000000001</v>
      </c>
      <c r="AE105" s="194">
        <f t="shared" si="58"/>
        <v>0</v>
      </c>
      <c r="AF105" s="194">
        <f t="shared" si="43"/>
        <v>0.23300000000000001</v>
      </c>
      <c r="AG105" s="140">
        <f t="shared" si="44"/>
        <v>-0.20435881234430545</v>
      </c>
      <c r="AH105" s="140">
        <f t="shared" si="59"/>
        <v>3.9816411876556943</v>
      </c>
      <c r="AI105" s="203">
        <f>_xll.EURO($U105,AH105,VLOOKUP($B105,Curve_Fetch,2),VLOOKUP($B105,Curve_Fetch,2),AF105,VLOOKUP($B105,Model!$A$8:$H$288,8),0,0)</f>
        <v>0.62840433999774614</v>
      </c>
      <c r="AK105" s="137">
        <f t="shared" ca="1" si="45"/>
        <v>0</v>
      </c>
      <c r="AL105" s="138">
        <f t="shared" ca="1" si="46"/>
        <v>0</v>
      </c>
      <c r="AM105" s="138">
        <f t="shared" ca="1" si="47"/>
        <v>0</v>
      </c>
      <c r="AN105" s="138">
        <f t="shared" ca="1" si="48"/>
        <v>0</v>
      </c>
      <c r="AO105" s="138">
        <f t="shared" ca="1" si="49"/>
        <v>0</v>
      </c>
      <c r="AP105" s="138">
        <f t="shared" ca="1" si="50"/>
        <v>0</v>
      </c>
      <c r="AQ105" s="138">
        <f t="shared" si="60"/>
        <v>0</v>
      </c>
      <c r="AR105" s="139">
        <f t="shared" ca="1" si="51"/>
        <v>0</v>
      </c>
      <c r="AT105"/>
      <c r="AU105"/>
      <c r="AV105"/>
      <c r="AW105"/>
      <c r="AX105"/>
      <c r="AY105"/>
      <c r="AZ105"/>
      <c r="BA105"/>
    </row>
    <row r="106" spans="2:53">
      <c r="B106" s="131">
        <f>[1]!_xludf.edate(B105,1)</f>
        <v>39508</v>
      </c>
      <c r="C106" s="132">
        <f t="shared" si="39"/>
        <v>39539</v>
      </c>
      <c r="D106" s="159">
        <v>0</v>
      </c>
      <c r="E106" s="160">
        <f>VLOOKUP($B106,Model!$A$8:$E$289,5)</f>
        <v>0</v>
      </c>
      <c r="F106" s="160">
        <f>VLOOKUP($B106,Model!$A$8:$F$289,6)</f>
        <v>0</v>
      </c>
      <c r="G106" s="179">
        <f ca="1">VLOOKUP($B106,Model!$A$8:$G$289,7)</f>
        <v>0</v>
      </c>
      <c r="I106" s="133">
        <v>0</v>
      </c>
      <c r="J106" s="134">
        <f t="shared" si="40"/>
        <v>4.117</v>
      </c>
      <c r="K106" s="140">
        <f t="shared" si="52"/>
        <v>0</v>
      </c>
      <c r="L106" s="136">
        <f>IF(Control!$C$25=Control!$B$26,J106,I106)+K106</f>
        <v>4.117</v>
      </c>
      <c r="M106" s="133">
        <v>0</v>
      </c>
      <c r="N106" s="134">
        <f>VLOOKUP($B106,Curve_Fetch,VLOOKUP(Control!$F$25,Control!$E$26:$G$37,3))</f>
        <v>-7.0000000000000007E-2</v>
      </c>
      <c r="O106" s="140">
        <f t="shared" si="53"/>
        <v>0</v>
      </c>
      <c r="P106" s="136">
        <f>IF(Control!$C$30=Control!$B$31,N106,M106)+O106</f>
        <v>-7.0000000000000007E-2</v>
      </c>
      <c r="Q106" s="133">
        <v>0</v>
      </c>
      <c r="R106" s="134">
        <f>VLOOKUP($B106,Curve_Fetch,(VLOOKUP(Control!$F$25,Control!$E$26:$H$37,4)))</f>
        <v>5.0000000000000001E-3</v>
      </c>
      <c r="S106" s="140">
        <f t="shared" si="54"/>
        <v>0</v>
      </c>
      <c r="T106" s="136">
        <f>IF($C$12="Physical",IF(Control!$C$35=Control!$B$36,R106,Q106)+S106,0)</f>
        <v>0</v>
      </c>
      <c r="U106" s="176">
        <f t="shared" si="41"/>
        <v>4.0469999999999997</v>
      </c>
      <c r="V106" s="152"/>
      <c r="W106" s="192">
        <f>VLOOKUP($B106,Curve_Fetch,VLOOKUP(Control!$F$25,Control!$E$26:$I$37,5))</f>
        <v>0.223</v>
      </c>
      <c r="X106" s="194">
        <f t="shared" si="55"/>
        <v>0</v>
      </c>
      <c r="Y106" s="194">
        <f t="shared" si="42"/>
        <v>0.223</v>
      </c>
      <c r="Z106" s="140">
        <f t="shared" ca="1" si="56"/>
        <v>0.28657937898642949</v>
      </c>
      <c r="AA106" s="140">
        <f t="shared" ca="1" si="57"/>
        <v>4.3335793789864292</v>
      </c>
      <c r="AB106" s="203">
        <f ca="1">_xll.EURO($U106,AA106,VLOOKUP($B106,Curve_Fetch,2),VLOOKUP($B106,Curve_Fetch,2),Y106,VLOOKUP($B106,Model!$A$8:$H$288,8),1,0)</f>
        <v>0.58970323530114443</v>
      </c>
      <c r="AC106" s="134"/>
      <c r="AD106" s="192">
        <f>VLOOKUP($B106,Curve_Fetch,VLOOKUP(Control!$F$25,Control!$E$26:$I$37,5))</f>
        <v>0.223</v>
      </c>
      <c r="AE106" s="194">
        <f t="shared" si="58"/>
        <v>0</v>
      </c>
      <c r="AF106" s="194">
        <f t="shared" si="43"/>
        <v>0.223</v>
      </c>
      <c r="AG106" s="140">
        <f t="shared" si="44"/>
        <v>-0.20435881234430545</v>
      </c>
      <c r="AH106" s="140">
        <f t="shared" si="59"/>
        <v>3.8426411876556941</v>
      </c>
      <c r="AI106" s="203">
        <f>_xll.EURO($U106,AH106,VLOOKUP($B106,Curve_Fetch,2),VLOOKUP($B106,Curve_Fetch,2),AF106,VLOOKUP($B106,Model!$A$8:$H$288,8),0,0)</f>
        <v>0.57762517178093886</v>
      </c>
      <c r="AK106" s="137">
        <f t="shared" ca="1" si="45"/>
        <v>0</v>
      </c>
      <c r="AL106" s="138">
        <f t="shared" ca="1" si="46"/>
        <v>0</v>
      </c>
      <c r="AM106" s="138">
        <f t="shared" ca="1" si="47"/>
        <v>0</v>
      </c>
      <c r="AN106" s="138">
        <f t="shared" ca="1" si="48"/>
        <v>0</v>
      </c>
      <c r="AO106" s="138">
        <f t="shared" ca="1" si="49"/>
        <v>0</v>
      </c>
      <c r="AP106" s="138">
        <f t="shared" ca="1" si="50"/>
        <v>0</v>
      </c>
      <c r="AQ106" s="138">
        <f t="shared" si="60"/>
        <v>0</v>
      </c>
      <c r="AR106" s="139">
        <f t="shared" ca="1" si="51"/>
        <v>0</v>
      </c>
      <c r="AT106"/>
      <c r="AU106"/>
      <c r="AV106"/>
      <c r="AW106"/>
      <c r="AX106"/>
      <c r="AY106"/>
      <c r="AZ106"/>
      <c r="BA106"/>
    </row>
    <row r="107" spans="2:53">
      <c r="B107" s="131">
        <f>[1]!_xludf.edate(B106,1)</f>
        <v>39539</v>
      </c>
      <c r="C107" s="132">
        <f t="shared" si="39"/>
        <v>39569</v>
      </c>
      <c r="D107" s="159">
        <v>0</v>
      </c>
      <c r="E107" s="160">
        <f>VLOOKUP($B107,Model!$A$8:$E$289,5)</f>
        <v>0</v>
      </c>
      <c r="F107" s="160">
        <f>VLOOKUP($B107,Model!$A$8:$F$289,6)</f>
        <v>0</v>
      </c>
      <c r="G107" s="179">
        <f ca="1">VLOOKUP($B107,Model!$A$8:$G$289,7)</f>
        <v>0</v>
      </c>
      <c r="I107" s="133">
        <v>0</v>
      </c>
      <c r="J107" s="134">
        <f t="shared" si="40"/>
        <v>3.9630000000000001</v>
      </c>
      <c r="K107" s="140">
        <f t="shared" si="52"/>
        <v>0</v>
      </c>
      <c r="L107" s="136">
        <f>IF(Control!$C$25=Control!$B$26,J107,I107)+K107</f>
        <v>3.9630000000000001</v>
      </c>
      <c r="M107" s="133">
        <v>0</v>
      </c>
      <c r="N107" s="134">
        <f>VLOOKUP($B107,Curve_Fetch,VLOOKUP(Control!$F$25,Control!$E$26:$G$37,3))</f>
        <v>-7.0000000000000007E-2</v>
      </c>
      <c r="O107" s="140">
        <f t="shared" si="53"/>
        <v>0</v>
      </c>
      <c r="P107" s="136">
        <f>IF(Control!$C$30=Control!$B$31,N107,M107)+O107</f>
        <v>-7.0000000000000007E-2</v>
      </c>
      <c r="Q107" s="133">
        <v>0</v>
      </c>
      <c r="R107" s="134">
        <f>VLOOKUP($B107,Curve_Fetch,(VLOOKUP(Control!$F$25,Control!$E$26:$H$37,4)))</f>
        <v>5.0000000000000001E-3</v>
      </c>
      <c r="S107" s="140">
        <f t="shared" si="54"/>
        <v>0</v>
      </c>
      <c r="T107" s="136">
        <f>IF($C$12="Physical",IF(Control!$C$35=Control!$B$36,R107,Q107)+S107,0)</f>
        <v>0</v>
      </c>
      <c r="U107" s="176">
        <f t="shared" si="41"/>
        <v>3.8930000000000002</v>
      </c>
      <c r="V107" s="152"/>
      <c r="W107" s="192">
        <f>VLOOKUP($B107,Curve_Fetch,VLOOKUP(Control!$F$25,Control!$E$26:$I$37,5))</f>
        <v>0.223</v>
      </c>
      <c r="X107" s="194">
        <f t="shared" si="55"/>
        <v>0</v>
      </c>
      <c r="Y107" s="194">
        <f t="shared" si="42"/>
        <v>0.223</v>
      </c>
      <c r="Z107" s="140">
        <f t="shared" ca="1" si="56"/>
        <v>0.28657937898642949</v>
      </c>
      <c r="AA107" s="140">
        <f t="shared" ca="1" si="57"/>
        <v>4.1795793789864302</v>
      </c>
      <c r="AB107" s="203">
        <f ca="1">_xll.EURO($U107,AA107,VLOOKUP($B107,Curve_Fetch,2),VLOOKUP($B107,Curve_Fetch,2),Y107,VLOOKUP($B107,Model!$A$8:$H$288,8),1,0)</f>
        <v>0.5659199211489081</v>
      </c>
      <c r="AC107" s="134"/>
      <c r="AD107" s="192">
        <f>VLOOKUP($B107,Curve_Fetch,VLOOKUP(Control!$F$25,Control!$E$26:$I$37,5))</f>
        <v>0.223</v>
      </c>
      <c r="AE107" s="194">
        <f t="shared" si="58"/>
        <v>0</v>
      </c>
      <c r="AF107" s="194">
        <f t="shared" si="43"/>
        <v>0.223</v>
      </c>
      <c r="AG107" s="140">
        <f t="shared" si="44"/>
        <v>-0.20435881234430545</v>
      </c>
      <c r="AH107" s="140">
        <f t="shared" si="59"/>
        <v>3.6886411876556946</v>
      </c>
      <c r="AI107" s="203">
        <f>_xll.EURO($U107,AH107,VLOOKUP($B107,Curve_Fetch,2),VLOOKUP($B107,Curve_Fetch,2),AF107,VLOOKUP($B107,Model!$A$8:$H$288,8),0,0)</f>
        <v>0.55357589768242188</v>
      </c>
      <c r="AK107" s="137">
        <f t="shared" ca="1" si="45"/>
        <v>0</v>
      </c>
      <c r="AL107" s="138">
        <f t="shared" ca="1" si="46"/>
        <v>0</v>
      </c>
      <c r="AM107" s="138">
        <f t="shared" ca="1" si="47"/>
        <v>0</v>
      </c>
      <c r="AN107" s="138">
        <f t="shared" ca="1" si="48"/>
        <v>0</v>
      </c>
      <c r="AO107" s="138">
        <f t="shared" ca="1" si="49"/>
        <v>0</v>
      </c>
      <c r="AP107" s="138">
        <f t="shared" ca="1" si="50"/>
        <v>0</v>
      </c>
      <c r="AQ107" s="138">
        <f t="shared" si="60"/>
        <v>0</v>
      </c>
      <c r="AR107" s="139">
        <f t="shared" ca="1" si="51"/>
        <v>0</v>
      </c>
      <c r="AT107"/>
      <c r="AU107"/>
      <c r="AV107"/>
      <c r="AW107"/>
      <c r="AX107"/>
      <c r="AY107"/>
      <c r="AZ107"/>
      <c r="BA107"/>
    </row>
    <row r="108" spans="2:53">
      <c r="B108" s="131">
        <f>[1]!_xludf.edate(B107,1)</f>
        <v>39569</v>
      </c>
      <c r="C108" s="132">
        <f t="shared" si="39"/>
        <v>39600</v>
      </c>
      <c r="D108" s="159">
        <v>0</v>
      </c>
      <c r="E108" s="160">
        <f>VLOOKUP($B108,Model!$A$8:$E$289,5)</f>
        <v>0</v>
      </c>
      <c r="F108" s="160">
        <f>VLOOKUP($B108,Model!$A$8:$F$289,6)</f>
        <v>0</v>
      </c>
      <c r="G108" s="179">
        <f ca="1">VLOOKUP($B108,Model!$A$8:$G$289,7)</f>
        <v>0</v>
      </c>
      <c r="I108" s="133">
        <v>0</v>
      </c>
      <c r="J108" s="134">
        <f t="shared" si="40"/>
        <v>3.9670000000000001</v>
      </c>
      <c r="K108" s="140">
        <f t="shared" si="52"/>
        <v>0</v>
      </c>
      <c r="L108" s="136">
        <f>IF(Control!$C$25=Control!$B$26,J108,I108)+K108</f>
        <v>3.9670000000000001</v>
      </c>
      <c r="M108" s="133">
        <v>0</v>
      </c>
      <c r="N108" s="134">
        <f>VLOOKUP($B108,Curve_Fetch,VLOOKUP(Control!$F$25,Control!$E$26:$G$37,3))</f>
        <v>-7.0000000000000007E-2</v>
      </c>
      <c r="O108" s="140">
        <f t="shared" si="53"/>
        <v>0</v>
      </c>
      <c r="P108" s="136">
        <f>IF(Control!$C$30=Control!$B$31,N108,M108)+O108</f>
        <v>-7.0000000000000007E-2</v>
      </c>
      <c r="Q108" s="133">
        <v>0</v>
      </c>
      <c r="R108" s="134">
        <f>VLOOKUP($B108,Curve_Fetch,(VLOOKUP(Control!$F$25,Control!$E$26:$H$37,4)))</f>
        <v>5.0000000000000001E-3</v>
      </c>
      <c r="S108" s="140">
        <f t="shared" si="54"/>
        <v>0</v>
      </c>
      <c r="T108" s="136">
        <f>IF($C$12="Physical",IF(Control!$C$35=Control!$B$36,R108,Q108)+S108,0)</f>
        <v>0</v>
      </c>
      <c r="U108" s="176">
        <f t="shared" si="41"/>
        <v>3.8970000000000002</v>
      </c>
      <c r="V108" s="152"/>
      <c r="W108" s="192">
        <f>VLOOKUP($B108,Curve_Fetch,VLOOKUP(Control!$F$25,Control!$E$26:$I$37,5))</f>
        <v>0.223</v>
      </c>
      <c r="X108" s="194">
        <f t="shared" si="55"/>
        <v>0</v>
      </c>
      <c r="Y108" s="194">
        <f t="shared" si="42"/>
        <v>0.223</v>
      </c>
      <c r="Z108" s="140">
        <f t="shared" ca="1" si="56"/>
        <v>0.28657937898642949</v>
      </c>
      <c r="AA108" s="140">
        <f t="shared" ca="1" si="57"/>
        <v>4.1835793789864297</v>
      </c>
      <c r="AB108" s="203">
        <f ca="1">_xll.EURO($U108,AA108,VLOOKUP($B108,Curve_Fetch,2),VLOOKUP($B108,Curve_Fetch,2),Y108,VLOOKUP($B108,Model!$A$8:$H$288,8),1,0)</f>
        <v>0.56791218328886539</v>
      </c>
      <c r="AC108" s="134"/>
      <c r="AD108" s="192">
        <f>VLOOKUP($B108,Curve_Fetch,VLOOKUP(Control!$F$25,Control!$E$26:$I$37,5))</f>
        <v>0.223</v>
      </c>
      <c r="AE108" s="194">
        <f t="shared" si="58"/>
        <v>0</v>
      </c>
      <c r="AF108" s="194">
        <f t="shared" si="43"/>
        <v>0.223</v>
      </c>
      <c r="AG108" s="140">
        <f t="shared" si="44"/>
        <v>-0.20435881234430545</v>
      </c>
      <c r="AH108" s="140">
        <f t="shared" si="59"/>
        <v>3.6926411876556946</v>
      </c>
      <c r="AI108" s="203">
        <f>_xll.EURO($U108,AH108,VLOOKUP($B108,Curve_Fetch,2),VLOOKUP($B108,Curve_Fetch,2),AF108,VLOOKUP($B108,Model!$A$8:$H$288,8),0,0)</f>
        <v>0.55539514947304114</v>
      </c>
      <c r="AK108" s="137">
        <f t="shared" ca="1" si="45"/>
        <v>0</v>
      </c>
      <c r="AL108" s="138">
        <f t="shared" ca="1" si="46"/>
        <v>0</v>
      </c>
      <c r="AM108" s="138">
        <f t="shared" ca="1" si="47"/>
        <v>0</v>
      </c>
      <c r="AN108" s="138">
        <f t="shared" ca="1" si="48"/>
        <v>0</v>
      </c>
      <c r="AO108" s="138">
        <f t="shared" ca="1" si="49"/>
        <v>0</v>
      </c>
      <c r="AP108" s="138">
        <f t="shared" ca="1" si="50"/>
        <v>0</v>
      </c>
      <c r="AQ108" s="138">
        <f t="shared" si="60"/>
        <v>0</v>
      </c>
      <c r="AR108" s="139">
        <f t="shared" ca="1" si="51"/>
        <v>0</v>
      </c>
      <c r="AT108"/>
      <c r="AU108"/>
      <c r="AV108"/>
      <c r="AW108"/>
      <c r="AX108"/>
      <c r="AY108"/>
      <c r="AZ108"/>
      <c r="BA108"/>
    </row>
    <row r="109" spans="2:53">
      <c r="B109" s="131">
        <f>[1]!_xludf.edate(B108,1)</f>
        <v>39600</v>
      </c>
      <c r="C109" s="132">
        <f t="shared" si="39"/>
        <v>39630</v>
      </c>
      <c r="D109" s="159">
        <v>0</v>
      </c>
      <c r="E109" s="160">
        <f>VLOOKUP($B109,Model!$A$8:$E$289,5)</f>
        <v>0</v>
      </c>
      <c r="F109" s="160">
        <f>VLOOKUP($B109,Model!$A$8:$F$289,6)</f>
        <v>0</v>
      </c>
      <c r="G109" s="179">
        <f ca="1">VLOOKUP($B109,Model!$A$8:$G$289,7)</f>
        <v>0</v>
      </c>
      <c r="I109" s="133">
        <v>0</v>
      </c>
      <c r="J109" s="134">
        <f t="shared" si="40"/>
        <v>4.0069999999999997</v>
      </c>
      <c r="K109" s="140">
        <f t="shared" si="52"/>
        <v>0</v>
      </c>
      <c r="L109" s="136">
        <f>IF(Control!$C$25=Control!$B$26,J109,I109)+K109</f>
        <v>4.0069999999999997</v>
      </c>
      <c r="M109" s="133">
        <v>0</v>
      </c>
      <c r="N109" s="134">
        <f>VLOOKUP($B109,Curve_Fetch,VLOOKUP(Control!$F$25,Control!$E$26:$G$37,3))</f>
        <v>-7.0000000000000007E-2</v>
      </c>
      <c r="O109" s="140">
        <f t="shared" si="53"/>
        <v>0</v>
      </c>
      <c r="P109" s="136">
        <f>IF(Control!$C$30=Control!$B$31,N109,M109)+O109</f>
        <v>-7.0000000000000007E-2</v>
      </c>
      <c r="Q109" s="133">
        <v>0</v>
      </c>
      <c r="R109" s="134">
        <f>VLOOKUP($B109,Curve_Fetch,(VLOOKUP(Control!$F$25,Control!$E$26:$H$37,4)))</f>
        <v>5.0000000000000001E-3</v>
      </c>
      <c r="S109" s="140">
        <f t="shared" si="54"/>
        <v>0</v>
      </c>
      <c r="T109" s="136">
        <f>IF($C$12="Physical",IF(Control!$C$35=Control!$B$36,R109,Q109)+S109,0)</f>
        <v>0</v>
      </c>
      <c r="U109" s="176">
        <f t="shared" si="41"/>
        <v>3.9369999999999998</v>
      </c>
      <c r="V109" s="152"/>
      <c r="W109" s="192">
        <f>VLOOKUP($B109,Curve_Fetch,VLOOKUP(Control!$F$25,Control!$E$26:$I$37,5))</f>
        <v>0.223</v>
      </c>
      <c r="X109" s="194">
        <f t="shared" si="55"/>
        <v>0</v>
      </c>
      <c r="Y109" s="194">
        <f t="shared" si="42"/>
        <v>0.223</v>
      </c>
      <c r="Z109" s="140">
        <f t="shared" ca="1" si="56"/>
        <v>0.28657937898642949</v>
      </c>
      <c r="AA109" s="140">
        <f t="shared" ca="1" si="57"/>
        <v>4.2235793789864289</v>
      </c>
      <c r="AB109" s="203">
        <f ca="1">_xll.EURO($U109,AA109,VLOOKUP($B109,Curve_Fetch,2),VLOOKUP($B109,Curve_Fetch,2),Y109,VLOOKUP($B109,Model!$A$8:$H$288,8),1,0)</f>
        <v>0.57580127502874201</v>
      </c>
      <c r="AC109" s="134"/>
      <c r="AD109" s="192">
        <f>VLOOKUP($B109,Curve_Fetch,VLOOKUP(Control!$F$25,Control!$E$26:$I$37,5))</f>
        <v>0.223</v>
      </c>
      <c r="AE109" s="194">
        <f t="shared" si="58"/>
        <v>0</v>
      </c>
      <c r="AF109" s="194">
        <f t="shared" si="43"/>
        <v>0.223</v>
      </c>
      <c r="AG109" s="140">
        <f t="shared" si="44"/>
        <v>-0.20435881234430545</v>
      </c>
      <c r="AH109" s="140">
        <f t="shared" si="59"/>
        <v>3.7326411876556942</v>
      </c>
      <c r="AI109" s="203">
        <f>_xll.EURO($U109,AH109,VLOOKUP($B109,Curve_Fetch,2),VLOOKUP($B109,Curve_Fetch,2),AF109,VLOOKUP($B109,Model!$A$8:$H$288,8),0,0)</f>
        <v>0.56312798205113657</v>
      </c>
      <c r="AK109" s="137">
        <f t="shared" ca="1" si="45"/>
        <v>0</v>
      </c>
      <c r="AL109" s="138">
        <f t="shared" ca="1" si="46"/>
        <v>0</v>
      </c>
      <c r="AM109" s="138">
        <f t="shared" ca="1" si="47"/>
        <v>0</v>
      </c>
      <c r="AN109" s="138">
        <f t="shared" ca="1" si="48"/>
        <v>0</v>
      </c>
      <c r="AO109" s="138">
        <f t="shared" ca="1" si="49"/>
        <v>0</v>
      </c>
      <c r="AP109" s="138">
        <f t="shared" ca="1" si="50"/>
        <v>0</v>
      </c>
      <c r="AQ109" s="138">
        <f t="shared" si="60"/>
        <v>0</v>
      </c>
      <c r="AR109" s="139">
        <f t="shared" ca="1" si="51"/>
        <v>0</v>
      </c>
      <c r="AT109"/>
      <c r="AU109"/>
      <c r="AV109"/>
      <c r="AW109"/>
      <c r="AX109"/>
      <c r="AY109"/>
      <c r="AZ109"/>
      <c r="BA109"/>
    </row>
    <row r="110" spans="2:53">
      <c r="B110" s="131">
        <f>[1]!_xludf.edate(B109,1)</f>
        <v>39630</v>
      </c>
      <c r="C110" s="132">
        <f t="shared" si="39"/>
        <v>39661</v>
      </c>
      <c r="D110" s="159">
        <v>0</v>
      </c>
      <c r="E110" s="160">
        <f>VLOOKUP($B110,Model!$A$8:$E$289,5)</f>
        <v>0</v>
      </c>
      <c r="F110" s="160">
        <f>VLOOKUP($B110,Model!$A$8:$F$289,6)</f>
        <v>0</v>
      </c>
      <c r="G110" s="179">
        <f ca="1">VLOOKUP($B110,Model!$A$8:$G$289,7)</f>
        <v>0</v>
      </c>
      <c r="I110" s="133">
        <v>0</v>
      </c>
      <c r="J110" s="134">
        <f t="shared" si="40"/>
        <v>4.0519999999999996</v>
      </c>
      <c r="K110" s="140">
        <f t="shared" si="52"/>
        <v>0</v>
      </c>
      <c r="L110" s="136">
        <f>IF(Control!$C$25=Control!$B$26,J110,I110)+K110</f>
        <v>4.0519999999999996</v>
      </c>
      <c r="M110" s="133">
        <v>0</v>
      </c>
      <c r="N110" s="134">
        <f>VLOOKUP($B110,Curve_Fetch,VLOOKUP(Control!$F$25,Control!$E$26:$G$37,3))</f>
        <v>-7.0000000000000007E-2</v>
      </c>
      <c r="O110" s="140">
        <f t="shared" si="53"/>
        <v>0</v>
      </c>
      <c r="P110" s="136">
        <f>IF(Control!$C$30=Control!$B$31,N110,M110)+O110</f>
        <v>-7.0000000000000007E-2</v>
      </c>
      <c r="Q110" s="133">
        <v>0</v>
      </c>
      <c r="R110" s="134">
        <f>VLOOKUP($B110,Curve_Fetch,(VLOOKUP(Control!$F$25,Control!$E$26:$H$37,4)))</f>
        <v>5.0000000000000001E-3</v>
      </c>
      <c r="S110" s="140">
        <f t="shared" si="54"/>
        <v>0</v>
      </c>
      <c r="T110" s="136">
        <f>IF($C$12="Physical",IF(Control!$C$35=Control!$B$36,R110,Q110)+S110,0)</f>
        <v>0</v>
      </c>
      <c r="U110" s="176">
        <f t="shared" si="41"/>
        <v>3.9819999999999998</v>
      </c>
      <c r="V110" s="152"/>
      <c r="W110" s="192">
        <f>VLOOKUP($B110,Curve_Fetch,VLOOKUP(Control!$F$25,Control!$E$26:$I$37,5))</f>
        <v>0.22</v>
      </c>
      <c r="X110" s="194">
        <f t="shared" si="55"/>
        <v>0</v>
      </c>
      <c r="Y110" s="194">
        <f t="shared" si="42"/>
        <v>0.22</v>
      </c>
      <c r="Z110" s="140">
        <f t="shared" ca="1" si="56"/>
        <v>0.28657937898642949</v>
      </c>
      <c r="AA110" s="140">
        <f t="shared" ca="1" si="57"/>
        <v>4.2685793789864288</v>
      </c>
      <c r="AB110" s="203">
        <f ca="1">_xll.EURO($U110,AA110,VLOOKUP($B110,Curve_Fetch,2),VLOOKUP($B110,Curve_Fetch,2),Y110,VLOOKUP($B110,Model!$A$8:$H$288,8),1,0)</f>
        <v>0.57552555027648578</v>
      </c>
      <c r="AC110" s="134"/>
      <c r="AD110" s="192">
        <f>VLOOKUP($B110,Curve_Fetch,VLOOKUP(Control!$F$25,Control!$E$26:$I$37,5))</f>
        <v>0.22</v>
      </c>
      <c r="AE110" s="194">
        <f t="shared" si="58"/>
        <v>0</v>
      </c>
      <c r="AF110" s="194">
        <f t="shared" si="43"/>
        <v>0.22</v>
      </c>
      <c r="AG110" s="140">
        <f t="shared" si="44"/>
        <v>-0.20435881234430545</v>
      </c>
      <c r="AH110" s="140">
        <f t="shared" si="59"/>
        <v>3.7776411876556941</v>
      </c>
      <c r="AI110" s="203">
        <f>_xll.EURO($U110,AH110,VLOOKUP($B110,Curve_Fetch,2),VLOOKUP($B110,Curve_Fetch,2),AF110,VLOOKUP($B110,Model!$A$8:$H$288,8),0,0)</f>
        <v>0.56320779412915112</v>
      </c>
      <c r="AK110" s="137">
        <f t="shared" ca="1" si="45"/>
        <v>0</v>
      </c>
      <c r="AL110" s="138">
        <f t="shared" ca="1" si="46"/>
        <v>0</v>
      </c>
      <c r="AM110" s="138">
        <f t="shared" ca="1" si="47"/>
        <v>0</v>
      </c>
      <c r="AN110" s="138">
        <f t="shared" ca="1" si="48"/>
        <v>0</v>
      </c>
      <c r="AO110" s="138">
        <f t="shared" ca="1" si="49"/>
        <v>0</v>
      </c>
      <c r="AP110" s="138">
        <f t="shared" ca="1" si="50"/>
        <v>0</v>
      </c>
      <c r="AQ110" s="138">
        <f t="shared" si="60"/>
        <v>0</v>
      </c>
      <c r="AR110" s="139">
        <f t="shared" ca="1" si="51"/>
        <v>0</v>
      </c>
      <c r="AT110"/>
      <c r="AU110"/>
      <c r="AV110"/>
      <c r="AW110"/>
      <c r="AX110"/>
      <c r="AY110"/>
      <c r="AZ110"/>
      <c r="BA110"/>
    </row>
    <row r="111" spans="2:53">
      <c r="B111" s="131">
        <f>[1]!_xludf.edate(B110,1)</f>
        <v>39661</v>
      </c>
      <c r="C111" s="132">
        <f t="shared" si="39"/>
        <v>39692</v>
      </c>
      <c r="D111" s="159">
        <v>0</v>
      </c>
      <c r="E111" s="160">
        <f>VLOOKUP($B111,Model!$A$8:$E$289,5)</f>
        <v>0</v>
      </c>
      <c r="F111" s="160">
        <f>VLOOKUP($B111,Model!$A$8:$F$289,6)</f>
        <v>0</v>
      </c>
      <c r="G111" s="179">
        <f ca="1">VLOOKUP($B111,Model!$A$8:$G$289,7)</f>
        <v>0</v>
      </c>
      <c r="I111" s="133">
        <v>0</v>
      </c>
      <c r="J111" s="134">
        <f t="shared" si="40"/>
        <v>4.0910000000000002</v>
      </c>
      <c r="K111" s="140">
        <f t="shared" si="52"/>
        <v>0</v>
      </c>
      <c r="L111" s="136">
        <f>IF(Control!$C$25=Control!$B$26,J111,I111)+K111</f>
        <v>4.0910000000000002</v>
      </c>
      <c r="M111" s="133">
        <v>0</v>
      </c>
      <c r="N111" s="134">
        <f>VLOOKUP($B111,Curve_Fetch,VLOOKUP(Control!$F$25,Control!$E$26:$G$37,3))</f>
        <v>-7.0000000000000007E-2</v>
      </c>
      <c r="O111" s="140">
        <f t="shared" si="53"/>
        <v>0</v>
      </c>
      <c r="P111" s="136">
        <f>IF(Control!$C$30=Control!$B$31,N111,M111)+O111</f>
        <v>-7.0000000000000007E-2</v>
      </c>
      <c r="Q111" s="133">
        <v>0</v>
      </c>
      <c r="R111" s="134">
        <f>VLOOKUP($B111,Curve_Fetch,(VLOOKUP(Control!$F$25,Control!$E$26:$H$37,4)))</f>
        <v>5.0000000000000001E-3</v>
      </c>
      <c r="S111" s="140">
        <f t="shared" si="54"/>
        <v>0</v>
      </c>
      <c r="T111" s="136">
        <f>IF($C$12="Physical",IF(Control!$C$35=Control!$B$36,R111,Q111)+S111,0)</f>
        <v>0</v>
      </c>
      <c r="U111" s="176">
        <f t="shared" si="41"/>
        <v>4.0209999999999999</v>
      </c>
      <c r="V111" s="152"/>
      <c r="W111" s="192">
        <f>VLOOKUP($B111,Curve_Fetch,VLOOKUP(Control!$F$25,Control!$E$26:$I$37,5))</f>
        <v>0.22</v>
      </c>
      <c r="X111" s="194">
        <f t="shared" si="55"/>
        <v>0</v>
      </c>
      <c r="Y111" s="194">
        <f t="shared" si="42"/>
        <v>0.22</v>
      </c>
      <c r="Z111" s="140">
        <f t="shared" ca="1" si="56"/>
        <v>0.28657937898642949</v>
      </c>
      <c r="AA111" s="140">
        <f t="shared" ca="1" si="57"/>
        <v>4.3075793789864294</v>
      </c>
      <c r="AB111" s="203">
        <f ca="1">_xll.EURO($U111,AA111,VLOOKUP($B111,Curve_Fetch,2),VLOOKUP($B111,Curve_Fetch,2),Y111,VLOOKUP($B111,Model!$A$8:$H$288,8),1,0)</f>
        <v>0.58304608017320758</v>
      </c>
      <c r="AC111" s="134"/>
      <c r="AD111" s="192">
        <f>VLOOKUP($B111,Curve_Fetch,VLOOKUP(Control!$F$25,Control!$E$26:$I$37,5))</f>
        <v>0.22</v>
      </c>
      <c r="AE111" s="194">
        <f t="shared" si="58"/>
        <v>0</v>
      </c>
      <c r="AF111" s="194">
        <f t="shared" si="43"/>
        <v>0.22</v>
      </c>
      <c r="AG111" s="140">
        <f t="shared" si="44"/>
        <v>-0.20435881234430545</v>
      </c>
      <c r="AH111" s="140">
        <f t="shared" si="59"/>
        <v>3.8166411876556943</v>
      </c>
      <c r="AI111" s="203">
        <f>_xll.EURO($U111,AH111,VLOOKUP($B111,Curve_Fetch,2),VLOOKUP($B111,Curve_Fetch,2),AF111,VLOOKUP($B111,Model!$A$8:$H$288,8),0,0)</f>
        <v>0.57057862625048039</v>
      </c>
      <c r="AK111" s="137">
        <f t="shared" ca="1" si="45"/>
        <v>0</v>
      </c>
      <c r="AL111" s="138">
        <f t="shared" ca="1" si="46"/>
        <v>0</v>
      </c>
      <c r="AM111" s="138">
        <f t="shared" ca="1" si="47"/>
        <v>0</v>
      </c>
      <c r="AN111" s="138">
        <f t="shared" ca="1" si="48"/>
        <v>0</v>
      </c>
      <c r="AO111" s="138">
        <f t="shared" ca="1" si="49"/>
        <v>0</v>
      </c>
      <c r="AP111" s="138">
        <f t="shared" ca="1" si="50"/>
        <v>0</v>
      </c>
      <c r="AQ111" s="138">
        <f t="shared" si="60"/>
        <v>0</v>
      </c>
      <c r="AR111" s="139">
        <f t="shared" ca="1" si="51"/>
        <v>0</v>
      </c>
      <c r="AT111"/>
      <c r="AU111"/>
      <c r="AV111"/>
      <c r="AW111"/>
      <c r="AX111"/>
      <c r="AY111"/>
      <c r="AZ111"/>
      <c r="BA111"/>
    </row>
    <row r="112" spans="2:53">
      <c r="B112" s="131">
        <f>[1]!_xludf.edate(B111,1)</f>
        <v>39692</v>
      </c>
      <c r="C112" s="132">
        <f t="shared" si="39"/>
        <v>39722</v>
      </c>
      <c r="D112" s="159">
        <v>0</v>
      </c>
      <c r="E112" s="160">
        <f>VLOOKUP($B112,Model!$A$8:$E$289,5)</f>
        <v>0</v>
      </c>
      <c r="F112" s="160">
        <f>VLOOKUP($B112,Model!$A$8:$F$289,6)</f>
        <v>0</v>
      </c>
      <c r="G112" s="179">
        <f ca="1">VLOOKUP($B112,Model!$A$8:$G$289,7)</f>
        <v>0</v>
      </c>
      <c r="I112" s="133">
        <v>0</v>
      </c>
      <c r="J112" s="134">
        <f t="shared" si="40"/>
        <v>4.085</v>
      </c>
      <c r="K112" s="140">
        <f t="shared" si="52"/>
        <v>0</v>
      </c>
      <c r="L112" s="136">
        <f>IF(Control!$C$25=Control!$B$26,J112,I112)+K112</f>
        <v>4.085</v>
      </c>
      <c r="M112" s="133">
        <v>0</v>
      </c>
      <c r="N112" s="134">
        <f>VLOOKUP($B112,Curve_Fetch,VLOOKUP(Control!$F$25,Control!$E$26:$G$37,3))</f>
        <v>-7.0000000000000007E-2</v>
      </c>
      <c r="O112" s="140">
        <f t="shared" si="53"/>
        <v>0</v>
      </c>
      <c r="P112" s="136">
        <f>IF(Control!$C$30=Control!$B$31,N112,M112)+O112</f>
        <v>-7.0000000000000007E-2</v>
      </c>
      <c r="Q112" s="133">
        <v>0</v>
      </c>
      <c r="R112" s="134">
        <f>VLOOKUP($B112,Curve_Fetch,(VLOOKUP(Control!$F$25,Control!$E$26:$H$37,4)))</f>
        <v>5.0000000000000001E-3</v>
      </c>
      <c r="S112" s="140">
        <f t="shared" si="54"/>
        <v>0</v>
      </c>
      <c r="T112" s="136">
        <f>IF($C$12="Physical",IF(Control!$C$35=Control!$B$36,R112,Q112)+S112,0)</f>
        <v>0</v>
      </c>
      <c r="U112" s="176">
        <f t="shared" si="41"/>
        <v>4.0149999999999997</v>
      </c>
      <c r="V112" s="152"/>
      <c r="W112" s="192">
        <f>VLOOKUP($B112,Curve_Fetch,VLOOKUP(Control!$F$25,Control!$E$26:$I$37,5))</f>
        <v>0.22</v>
      </c>
      <c r="X112" s="194">
        <f t="shared" si="55"/>
        <v>0</v>
      </c>
      <c r="Y112" s="194">
        <f t="shared" si="42"/>
        <v>0.22</v>
      </c>
      <c r="Z112" s="140">
        <f t="shared" ca="1" si="56"/>
        <v>0.28657937898642949</v>
      </c>
      <c r="AA112" s="140">
        <f t="shared" ca="1" si="57"/>
        <v>4.3015793789864292</v>
      </c>
      <c r="AB112" s="203">
        <f ca="1">_xll.EURO($U112,AA112,VLOOKUP($B112,Curve_Fetch,2),VLOOKUP($B112,Curve_Fetch,2),Y112,VLOOKUP($B112,Model!$A$8:$H$288,8),1,0)</f>
        <v>0.58317422273882036</v>
      </c>
      <c r="AC112" s="134"/>
      <c r="AD112" s="192">
        <f>VLOOKUP($B112,Curve_Fetch,VLOOKUP(Control!$F$25,Control!$E$26:$I$37,5))</f>
        <v>0.22</v>
      </c>
      <c r="AE112" s="194">
        <f t="shared" si="58"/>
        <v>0</v>
      </c>
      <c r="AF112" s="194">
        <f t="shared" si="43"/>
        <v>0.22</v>
      </c>
      <c r="AG112" s="140">
        <f t="shared" si="44"/>
        <v>-0.20435881234430545</v>
      </c>
      <c r="AH112" s="140">
        <f t="shared" si="59"/>
        <v>3.810641187655694</v>
      </c>
      <c r="AI112" s="203">
        <f>_xll.EURO($U112,AH112,VLOOKUP($B112,Curve_Fetch,2),VLOOKUP($B112,Curve_Fetch,2),AF112,VLOOKUP($B112,Model!$A$8:$H$288,8),0,0)</f>
        <v>0.57053843333944032</v>
      </c>
      <c r="AK112" s="137">
        <f t="shared" ca="1" si="45"/>
        <v>0</v>
      </c>
      <c r="AL112" s="138">
        <f t="shared" ca="1" si="46"/>
        <v>0</v>
      </c>
      <c r="AM112" s="138">
        <f t="shared" ca="1" si="47"/>
        <v>0</v>
      </c>
      <c r="AN112" s="138">
        <f t="shared" ca="1" si="48"/>
        <v>0</v>
      </c>
      <c r="AO112" s="138">
        <f t="shared" ca="1" si="49"/>
        <v>0</v>
      </c>
      <c r="AP112" s="138">
        <f t="shared" ca="1" si="50"/>
        <v>0</v>
      </c>
      <c r="AQ112" s="138">
        <f t="shared" si="60"/>
        <v>0</v>
      </c>
      <c r="AR112" s="139">
        <f t="shared" ca="1" si="51"/>
        <v>0</v>
      </c>
      <c r="AT112"/>
      <c r="AU112"/>
      <c r="AV112"/>
      <c r="AW112"/>
      <c r="AX112"/>
      <c r="AY112"/>
      <c r="AZ112"/>
      <c r="BA112"/>
    </row>
    <row r="113" spans="2:53">
      <c r="B113" s="131">
        <f>[1]!_xludf.edate(B112,1)</f>
        <v>39722</v>
      </c>
      <c r="C113" s="132">
        <f t="shared" si="39"/>
        <v>39753</v>
      </c>
      <c r="D113" s="159">
        <v>0</v>
      </c>
      <c r="E113" s="160">
        <f>VLOOKUP($B113,Model!$A$8:$E$289,5)</f>
        <v>0</v>
      </c>
      <c r="F113" s="160">
        <f>VLOOKUP($B113,Model!$A$8:$F$289,6)</f>
        <v>0</v>
      </c>
      <c r="G113" s="179">
        <f ca="1">VLOOKUP($B113,Model!$A$8:$G$289,7)</f>
        <v>0</v>
      </c>
      <c r="I113" s="133">
        <v>0</v>
      </c>
      <c r="J113" s="134">
        <f t="shared" si="40"/>
        <v>4.0949999999999998</v>
      </c>
      <c r="K113" s="140">
        <f t="shared" si="52"/>
        <v>0</v>
      </c>
      <c r="L113" s="136">
        <f>IF(Control!$C$25=Control!$B$26,J113,I113)+K113</f>
        <v>4.0949999999999998</v>
      </c>
      <c r="M113" s="133">
        <v>0</v>
      </c>
      <c r="N113" s="134">
        <f>VLOOKUP($B113,Curve_Fetch,VLOOKUP(Control!$F$25,Control!$E$26:$G$37,3))</f>
        <v>-7.0000000000000007E-2</v>
      </c>
      <c r="O113" s="140">
        <f t="shared" si="53"/>
        <v>0</v>
      </c>
      <c r="P113" s="136">
        <f>IF(Control!$C$30=Control!$B$31,N113,M113)+O113</f>
        <v>-7.0000000000000007E-2</v>
      </c>
      <c r="Q113" s="133">
        <v>0</v>
      </c>
      <c r="R113" s="134">
        <f>VLOOKUP($B113,Curve_Fetch,(VLOOKUP(Control!$F$25,Control!$E$26:$H$37,4)))</f>
        <v>5.0000000000000001E-3</v>
      </c>
      <c r="S113" s="140">
        <f t="shared" si="54"/>
        <v>0</v>
      </c>
      <c r="T113" s="136">
        <f>IF($C$12="Physical",IF(Control!$C$35=Control!$B$36,R113,Q113)+S113,0)</f>
        <v>0</v>
      </c>
      <c r="U113" s="176">
        <f t="shared" si="41"/>
        <v>4.0249999999999995</v>
      </c>
      <c r="V113" s="152"/>
      <c r="W113" s="192">
        <f>VLOOKUP($B113,Curve_Fetch,VLOOKUP(Control!$F$25,Control!$E$26:$I$37,5))</f>
        <v>0.22</v>
      </c>
      <c r="X113" s="194">
        <f t="shared" si="55"/>
        <v>0</v>
      </c>
      <c r="Y113" s="194">
        <f t="shared" si="42"/>
        <v>0.22</v>
      </c>
      <c r="Z113" s="140">
        <f t="shared" ca="1" si="56"/>
        <v>0.28657937898642949</v>
      </c>
      <c r="AA113" s="140">
        <f t="shared" ca="1" si="57"/>
        <v>4.311579378986429</v>
      </c>
      <c r="AB113" s="203">
        <f ca="1">_xll.EURO($U113,AA113,VLOOKUP($B113,Curve_Fetch,2),VLOOKUP($B113,Curve_Fetch,2),Y113,VLOOKUP($B113,Model!$A$8:$H$288,8),1,0)</f>
        <v>0.58580639143177748</v>
      </c>
      <c r="AC113" s="134"/>
      <c r="AD113" s="192">
        <f>VLOOKUP($B113,Curve_Fetch,VLOOKUP(Control!$F$25,Control!$E$26:$I$37,5))</f>
        <v>0.22</v>
      </c>
      <c r="AE113" s="194">
        <f t="shared" si="58"/>
        <v>0</v>
      </c>
      <c r="AF113" s="194">
        <f t="shared" si="43"/>
        <v>0.22</v>
      </c>
      <c r="AG113" s="140">
        <f t="shared" si="44"/>
        <v>-0.20435881234430545</v>
      </c>
      <c r="AH113" s="140">
        <f t="shared" si="59"/>
        <v>3.8206411876556938</v>
      </c>
      <c r="AI113" s="203">
        <f>_xll.EURO($U113,AH113,VLOOKUP($B113,Curve_Fetch,2),VLOOKUP($B113,Curve_Fetch,2),AF113,VLOOKUP($B113,Model!$A$8:$H$288,8),0,0)</f>
        <v>0.57301896985490819</v>
      </c>
      <c r="AK113" s="137">
        <f t="shared" ca="1" si="45"/>
        <v>0</v>
      </c>
      <c r="AL113" s="138">
        <f t="shared" ca="1" si="46"/>
        <v>0</v>
      </c>
      <c r="AM113" s="138">
        <f t="shared" ca="1" si="47"/>
        <v>0</v>
      </c>
      <c r="AN113" s="138">
        <f t="shared" ca="1" si="48"/>
        <v>0</v>
      </c>
      <c r="AO113" s="138">
        <f t="shared" ca="1" si="49"/>
        <v>0</v>
      </c>
      <c r="AP113" s="138">
        <f t="shared" ca="1" si="50"/>
        <v>0</v>
      </c>
      <c r="AQ113" s="138">
        <f t="shared" si="60"/>
        <v>0</v>
      </c>
      <c r="AR113" s="139">
        <f t="shared" ca="1" si="51"/>
        <v>0</v>
      </c>
      <c r="AT113"/>
      <c r="AU113"/>
      <c r="AV113"/>
      <c r="AW113"/>
      <c r="AX113"/>
      <c r="AY113"/>
      <c r="AZ113"/>
      <c r="BA113"/>
    </row>
    <row r="114" spans="2:53">
      <c r="B114" s="131">
        <f>[1]!_xludf.edate(B113,1)</f>
        <v>39753</v>
      </c>
      <c r="C114" s="132">
        <f t="shared" si="39"/>
        <v>39783</v>
      </c>
      <c r="D114" s="159">
        <v>0</v>
      </c>
      <c r="E114" s="160">
        <f>VLOOKUP($B114,Model!$A$8:$E$289,5)</f>
        <v>0</v>
      </c>
      <c r="F114" s="160">
        <f>VLOOKUP($B114,Model!$A$8:$F$289,6)</f>
        <v>0</v>
      </c>
      <c r="G114" s="179">
        <f ca="1">VLOOKUP($B114,Model!$A$8:$G$289,7)</f>
        <v>0</v>
      </c>
      <c r="I114" s="133">
        <v>0</v>
      </c>
      <c r="J114" s="134">
        <f t="shared" si="40"/>
        <v>4.2549999999999999</v>
      </c>
      <c r="K114" s="140">
        <f t="shared" si="52"/>
        <v>0</v>
      </c>
      <c r="L114" s="136">
        <f>IF(Control!$C$25=Control!$B$26,J114,I114)+K114</f>
        <v>4.2549999999999999</v>
      </c>
      <c r="M114" s="133">
        <v>0</v>
      </c>
      <c r="N114" s="134">
        <f>VLOOKUP($B114,Curve_Fetch,VLOOKUP(Control!$F$25,Control!$E$26:$G$37,3))</f>
        <v>-7.0000000000000007E-2</v>
      </c>
      <c r="O114" s="140">
        <f t="shared" si="53"/>
        <v>0</v>
      </c>
      <c r="P114" s="136">
        <f>IF(Control!$C$30=Control!$B$31,N114,M114)+O114</f>
        <v>-7.0000000000000007E-2</v>
      </c>
      <c r="Q114" s="133">
        <v>0</v>
      </c>
      <c r="R114" s="134">
        <f>VLOOKUP($B114,Curve_Fetch,(VLOOKUP(Control!$F$25,Control!$E$26:$H$37,4)))</f>
        <v>5.0000000000000001E-3</v>
      </c>
      <c r="S114" s="140">
        <f t="shared" si="54"/>
        <v>0</v>
      </c>
      <c r="T114" s="136">
        <f>IF($C$12="Physical",IF(Control!$C$35=Control!$B$36,R114,Q114)+S114,0)</f>
        <v>0</v>
      </c>
      <c r="U114" s="176">
        <f t="shared" si="41"/>
        <v>4.1849999999999996</v>
      </c>
      <c r="V114" s="152"/>
      <c r="W114" s="192">
        <f>VLOOKUP($B114,Curve_Fetch,VLOOKUP(Control!$F$25,Control!$E$26:$I$37,5))</f>
        <v>0.22</v>
      </c>
      <c r="X114" s="194">
        <f t="shared" si="55"/>
        <v>0</v>
      </c>
      <c r="Y114" s="194">
        <f t="shared" si="42"/>
        <v>0.22</v>
      </c>
      <c r="Z114" s="140">
        <f t="shared" ca="1" si="56"/>
        <v>0.28657937898642949</v>
      </c>
      <c r="AA114" s="140">
        <f t="shared" ca="1" si="57"/>
        <v>4.4715793789864291</v>
      </c>
      <c r="AB114" s="203">
        <f ca="1">_xll.EURO($U114,AA114,VLOOKUP($B114,Curve_Fetch,2),VLOOKUP($B114,Curve_Fetch,2),Y114,VLOOKUP($B114,Model!$A$8:$H$288,8),1,0)</f>
        <v>0.61289732509775141</v>
      </c>
      <c r="AC114" s="134"/>
      <c r="AD114" s="192">
        <f>VLOOKUP($B114,Curve_Fetch,VLOOKUP(Control!$F$25,Control!$E$26:$I$37,5))</f>
        <v>0.22</v>
      </c>
      <c r="AE114" s="194">
        <f t="shared" si="58"/>
        <v>0</v>
      </c>
      <c r="AF114" s="194">
        <f t="shared" si="43"/>
        <v>0.22</v>
      </c>
      <c r="AG114" s="140">
        <f t="shared" si="44"/>
        <v>-0.20435881234430545</v>
      </c>
      <c r="AH114" s="140">
        <f t="shared" si="59"/>
        <v>3.980641187655694</v>
      </c>
      <c r="AI114" s="203">
        <f>_xll.EURO($U114,AH114,VLOOKUP($B114,Curve_Fetch,2),VLOOKUP($B114,Curve_Fetch,2),AF114,VLOOKUP($B114,Model!$A$8:$H$288,8),0,0)</f>
        <v>0.60002510081132465</v>
      </c>
      <c r="AK114" s="137">
        <f t="shared" ca="1" si="45"/>
        <v>0</v>
      </c>
      <c r="AL114" s="138">
        <f t="shared" ca="1" si="46"/>
        <v>0</v>
      </c>
      <c r="AM114" s="138">
        <f t="shared" ca="1" si="47"/>
        <v>0</v>
      </c>
      <c r="AN114" s="138">
        <f t="shared" ca="1" si="48"/>
        <v>0</v>
      </c>
      <c r="AO114" s="138">
        <f t="shared" ca="1" si="49"/>
        <v>0</v>
      </c>
      <c r="AP114" s="138">
        <f t="shared" ca="1" si="50"/>
        <v>0</v>
      </c>
      <c r="AQ114" s="138">
        <f t="shared" si="60"/>
        <v>0</v>
      </c>
      <c r="AR114" s="139">
        <f t="shared" ca="1" si="51"/>
        <v>0</v>
      </c>
      <c r="AT114"/>
      <c r="AU114"/>
      <c r="AV114"/>
      <c r="AW114"/>
      <c r="AX114"/>
      <c r="AY114"/>
      <c r="AZ114"/>
      <c r="BA114"/>
    </row>
    <row r="115" spans="2:53">
      <c r="B115" s="131">
        <f>[1]!_xludf.edate(B114,1)</f>
        <v>39783</v>
      </c>
      <c r="C115" s="132">
        <f t="shared" si="39"/>
        <v>39814</v>
      </c>
      <c r="D115" s="159">
        <v>0</v>
      </c>
      <c r="E115" s="160">
        <f>VLOOKUP($B115,Model!$A$8:$E$289,5)</f>
        <v>0</v>
      </c>
      <c r="F115" s="160">
        <f>VLOOKUP($B115,Model!$A$8:$F$289,6)</f>
        <v>0</v>
      </c>
      <c r="G115" s="179">
        <f ca="1">VLOOKUP($B115,Model!$A$8:$G$289,7)</f>
        <v>0</v>
      </c>
      <c r="I115" s="133">
        <v>0</v>
      </c>
      <c r="J115" s="134">
        <f t="shared" si="40"/>
        <v>4.4089999999999998</v>
      </c>
      <c r="K115" s="140">
        <f t="shared" si="52"/>
        <v>0</v>
      </c>
      <c r="L115" s="136">
        <f>IF(Control!$C$25=Control!$B$26,J115,I115)+K115</f>
        <v>4.4089999999999998</v>
      </c>
      <c r="M115" s="133">
        <v>0</v>
      </c>
      <c r="N115" s="134">
        <f>VLOOKUP($B115,Curve_Fetch,VLOOKUP(Control!$F$25,Control!$E$26:$G$37,3))</f>
        <v>-7.0000000000000007E-2</v>
      </c>
      <c r="O115" s="140">
        <f t="shared" si="53"/>
        <v>0</v>
      </c>
      <c r="P115" s="136">
        <f>IF(Control!$C$30=Control!$B$31,N115,M115)+O115</f>
        <v>-7.0000000000000007E-2</v>
      </c>
      <c r="Q115" s="133">
        <v>0</v>
      </c>
      <c r="R115" s="134">
        <f>VLOOKUP($B115,Curve_Fetch,(VLOOKUP(Control!$F$25,Control!$E$26:$H$37,4)))</f>
        <v>5.0000000000000001E-3</v>
      </c>
      <c r="S115" s="140">
        <f t="shared" si="54"/>
        <v>0</v>
      </c>
      <c r="T115" s="136">
        <f>IF($C$12="Physical",IF(Control!$C$35=Control!$B$36,R115,Q115)+S115,0)</f>
        <v>0</v>
      </c>
      <c r="U115" s="176">
        <f t="shared" si="41"/>
        <v>4.3389999999999995</v>
      </c>
      <c r="V115" s="152"/>
      <c r="W115" s="192">
        <f>VLOOKUP($B115,Curve_Fetch,VLOOKUP(Control!$F$25,Control!$E$26:$I$37,5))</f>
        <v>0.223</v>
      </c>
      <c r="X115" s="194">
        <f t="shared" si="55"/>
        <v>0</v>
      </c>
      <c r="Y115" s="194">
        <f t="shared" si="42"/>
        <v>0.223</v>
      </c>
      <c r="Z115" s="140">
        <f t="shared" ca="1" si="56"/>
        <v>0.28657937898642949</v>
      </c>
      <c r="AA115" s="140">
        <f t="shared" ca="1" si="57"/>
        <v>4.625579378986429</v>
      </c>
      <c r="AB115" s="203">
        <f ca="1">_xll.EURO($U115,AA115,VLOOKUP($B115,Curve_Fetch,2),VLOOKUP($B115,Curve_Fetch,2),Y115,VLOOKUP($B115,Model!$A$8:$H$288,8),1,0)</f>
        <v>0.64891731490078008</v>
      </c>
      <c r="AC115" s="134"/>
      <c r="AD115" s="192">
        <f>VLOOKUP($B115,Curve_Fetch,VLOOKUP(Control!$F$25,Control!$E$26:$I$37,5))</f>
        <v>0.223</v>
      </c>
      <c r="AE115" s="194">
        <f t="shared" si="58"/>
        <v>0</v>
      </c>
      <c r="AF115" s="194">
        <f t="shared" si="43"/>
        <v>0.223</v>
      </c>
      <c r="AG115" s="140">
        <f t="shared" si="44"/>
        <v>-0.20435881234430545</v>
      </c>
      <c r="AH115" s="140">
        <f t="shared" si="59"/>
        <v>4.1346411876556939</v>
      </c>
      <c r="AI115" s="203">
        <f>_xll.EURO($U115,AH115,VLOOKUP($B115,Curve_Fetch,2),VLOOKUP($B115,Curve_Fetch,2),AF115,VLOOKUP($B115,Model!$A$8:$H$288,8),0,0)</f>
        <v>0.63544879672216581</v>
      </c>
      <c r="AK115" s="137">
        <f t="shared" ca="1" si="45"/>
        <v>0</v>
      </c>
      <c r="AL115" s="138">
        <f t="shared" ca="1" si="46"/>
        <v>0</v>
      </c>
      <c r="AM115" s="138">
        <f t="shared" ca="1" si="47"/>
        <v>0</v>
      </c>
      <c r="AN115" s="138">
        <f t="shared" ca="1" si="48"/>
        <v>0</v>
      </c>
      <c r="AO115" s="138">
        <f t="shared" ca="1" si="49"/>
        <v>0</v>
      </c>
      <c r="AP115" s="138">
        <f t="shared" ca="1" si="50"/>
        <v>0</v>
      </c>
      <c r="AQ115" s="138">
        <f t="shared" si="60"/>
        <v>0</v>
      </c>
      <c r="AR115" s="139">
        <f t="shared" ca="1" si="51"/>
        <v>0</v>
      </c>
      <c r="AT115"/>
      <c r="AU115"/>
      <c r="AV115"/>
      <c r="AW115"/>
      <c r="AX115"/>
      <c r="AY115"/>
      <c r="AZ115"/>
      <c r="BA115"/>
    </row>
    <row r="116" spans="2:53">
      <c r="B116" s="131">
        <f>[1]!_xludf.edate(B115,1)</f>
        <v>39814</v>
      </c>
      <c r="C116" s="132">
        <f t="shared" si="39"/>
        <v>39845</v>
      </c>
      <c r="D116" s="159">
        <v>0</v>
      </c>
      <c r="E116" s="160">
        <f>VLOOKUP($B116,Model!$A$8:$E$289,5)</f>
        <v>0</v>
      </c>
      <c r="F116" s="160">
        <f>VLOOKUP($B116,Model!$A$8:$F$289,6)</f>
        <v>0</v>
      </c>
      <c r="G116" s="179">
        <f ca="1">VLOOKUP($B116,Model!$A$8:$G$289,7)</f>
        <v>0</v>
      </c>
      <c r="I116" s="133">
        <v>0</v>
      </c>
      <c r="J116" s="134">
        <f t="shared" si="40"/>
        <v>4.4539999999999997</v>
      </c>
      <c r="K116" s="140">
        <f t="shared" si="52"/>
        <v>0</v>
      </c>
      <c r="L116" s="136">
        <f>IF(Control!$C$25=Control!$B$26,J116,I116)+K116</f>
        <v>4.4539999999999997</v>
      </c>
      <c r="M116" s="133">
        <v>0</v>
      </c>
      <c r="N116" s="134">
        <f>VLOOKUP($B116,Curve_Fetch,VLOOKUP(Control!$F$25,Control!$E$26:$G$37,3))</f>
        <v>-7.0000000000000007E-2</v>
      </c>
      <c r="O116" s="140">
        <f t="shared" si="53"/>
        <v>0</v>
      </c>
      <c r="P116" s="136">
        <f>IF(Control!$C$30=Control!$B$31,N116,M116)+O116</f>
        <v>-7.0000000000000007E-2</v>
      </c>
      <c r="Q116" s="133">
        <v>0</v>
      </c>
      <c r="R116" s="134">
        <f>VLOOKUP($B116,Curve_Fetch,(VLOOKUP(Control!$F$25,Control!$E$26:$H$37,4)))</f>
        <v>5.0000000000000001E-3</v>
      </c>
      <c r="S116" s="140">
        <f t="shared" si="54"/>
        <v>0</v>
      </c>
      <c r="T116" s="136">
        <f>IF($C$12="Physical",IF(Control!$C$35=Control!$B$36,R116,Q116)+S116,0)</f>
        <v>0</v>
      </c>
      <c r="U116" s="176">
        <f t="shared" si="41"/>
        <v>4.3839999999999995</v>
      </c>
      <c r="V116" s="152"/>
      <c r="W116" s="192">
        <f>VLOOKUP($B116,Curve_Fetch,VLOOKUP(Control!$F$25,Control!$E$26:$I$37,5))</f>
        <v>0.22500000000000001</v>
      </c>
      <c r="X116" s="194">
        <f t="shared" si="55"/>
        <v>0</v>
      </c>
      <c r="Y116" s="194">
        <f t="shared" si="42"/>
        <v>0.22500000000000001</v>
      </c>
      <c r="Z116" s="140">
        <f t="shared" ca="1" si="56"/>
        <v>0.28657937898642949</v>
      </c>
      <c r="AA116" s="140">
        <f t="shared" ca="1" si="57"/>
        <v>4.6705793789864289</v>
      </c>
      <c r="AB116" s="203">
        <f ca="1">_xll.EURO($U116,AA116,VLOOKUP($B116,Curve_Fetch,2),VLOOKUP($B116,Curve_Fetch,2),Y116,VLOOKUP($B116,Model!$A$8:$H$288,8),1,0)</f>
        <v>0.66412624264200448</v>
      </c>
      <c r="AC116" s="134"/>
      <c r="AD116" s="192">
        <f>VLOOKUP($B116,Curve_Fetch,VLOOKUP(Control!$F$25,Control!$E$26:$I$37,5))</f>
        <v>0.22500000000000001</v>
      </c>
      <c r="AE116" s="194">
        <f t="shared" si="58"/>
        <v>0</v>
      </c>
      <c r="AF116" s="194">
        <f t="shared" si="43"/>
        <v>0.22500000000000001</v>
      </c>
      <c r="AG116" s="140">
        <f t="shared" si="44"/>
        <v>-0.20435881234430545</v>
      </c>
      <c r="AH116" s="140">
        <f t="shared" si="59"/>
        <v>4.1796411876556938</v>
      </c>
      <c r="AI116" s="203">
        <f>_xll.EURO($U116,AH116,VLOOKUP($B116,Curve_Fetch,2),VLOOKUP($B116,Curve_Fetch,2),AF116,VLOOKUP($B116,Model!$A$8:$H$288,8),0,0)</f>
        <v>0.65017747158475281</v>
      </c>
      <c r="AK116" s="137">
        <f t="shared" ca="1" si="45"/>
        <v>0</v>
      </c>
      <c r="AL116" s="138">
        <f t="shared" ca="1" si="46"/>
        <v>0</v>
      </c>
      <c r="AM116" s="138">
        <f t="shared" ca="1" si="47"/>
        <v>0</v>
      </c>
      <c r="AN116" s="138">
        <f t="shared" ca="1" si="48"/>
        <v>0</v>
      </c>
      <c r="AO116" s="138">
        <f t="shared" ca="1" si="49"/>
        <v>0</v>
      </c>
      <c r="AP116" s="138">
        <f t="shared" ca="1" si="50"/>
        <v>0</v>
      </c>
      <c r="AQ116" s="138">
        <f t="shared" si="60"/>
        <v>0</v>
      </c>
      <c r="AR116" s="139">
        <f t="shared" ca="1" si="51"/>
        <v>0</v>
      </c>
      <c r="AT116"/>
      <c r="AU116"/>
      <c r="AV116"/>
      <c r="AW116"/>
      <c r="AX116"/>
      <c r="AY116"/>
      <c r="AZ116"/>
      <c r="BA116"/>
    </row>
    <row r="117" spans="2:53">
      <c r="B117" s="131">
        <f>[1]!_xludf.edate(B116,1)</f>
        <v>39845</v>
      </c>
      <c r="C117" s="132">
        <f t="shared" si="39"/>
        <v>39873</v>
      </c>
      <c r="D117" s="159">
        <v>0</v>
      </c>
      <c r="E117" s="160">
        <f>VLOOKUP($B117,Model!$A$8:$E$289,5)</f>
        <v>0</v>
      </c>
      <c r="F117" s="160">
        <f>VLOOKUP($B117,Model!$A$8:$F$289,6)</f>
        <v>0</v>
      </c>
      <c r="G117" s="179">
        <f ca="1">VLOOKUP($B117,Model!$A$8:$G$289,7)</f>
        <v>0</v>
      </c>
      <c r="I117" s="133">
        <v>0</v>
      </c>
      <c r="J117" s="134">
        <f t="shared" si="40"/>
        <v>4.3659999999999997</v>
      </c>
      <c r="K117" s="140">
        <f t="shared" si="52"/>
        <v>0</v>
      </c>
      <c r="L117" s="136">
        <f>IF(Control!$C$25=Control!$B$26,J117,I117)+K117</f>
        <v>4.3659999999999997</v>
      </c>
      <c r="M117" s="133">
        <v>0</v>
      </c>
      <c r="N117" s="134">
        <f>VLOOKUP($B117,Curve_Fetch,VLOOKUP(Control!$F$25,Control!$E$26:$G$37,3))</f>
        <v>-7.0000000000000007E-2</v>
      </c>
      <c r="O117" s="140">
        <f t="shared" si="53"/>
        <v>0</v>
      </c>
      <c r="P117" s="136">
        <f>IF(Control!$C$30=Control!$B$31,N117,M117)+O117</f>
        <v>-7.0000000000000007E-2</v>
      </c>
      <c r="Q117" s="133">
        <v>0</v>
      </c>
      <c r="R117" s="134">
        <f>VLOOKUP($B117,Curve_Fetch,(VLOOKUP(Control!$F$25,Control!$E$26:$H$37,4)))</f>
        <v>5.0000000000000001E-3</v>
      </c>
      <c r="S117" s="140">
        <f t="shared" si="54"/>
        <v>0</v>
      </c>
      <c r="T117" s="136">
        <f>IF($C$12="Physical",IF(Control!$C$35=Control!$B$36,R117,Q117)+S117,0)</f>
        <v>0</v>
      </c>
      <c r="U117" s="176">
        <f t="shared" si="41"/>
        <v>4.2959999999999994</v>
      </c>
      <c r="V117" s="152"/>
      <c r="W117" s="192">
        <f>VLOOKUP($B117,Curve_Fetch,VLOOKUP(Control!$F$25,Control!$E$26:$I$37,5))</f>
        <v>0.22</v>
      </c>
      <c r="X117" s="194">
        <f t="shared" si="55"/>
        <v>0</v>
      </c>
      <c r="Y117" s="194">
        <f t="shared" si="42"/>
        <v>0.22</v>
      </c>
      <c r="Z117" s="140">
        <f t="shared" ca="1" si="56"/>
        <v>0.28657937898642949</v>
      </c>
      <c r="AA117" s="140">
        <f t="shared" ca="1" si="57"/>
        <v>4.5825793789864289</v>
      </c>
      <c r="AB117" s="203">
        <f ca="1">_xll.EURO($U117,AA117,VLOOKUP($B117,Curve_Fetch,2),VLOOKUP($B117,Curve_Fetch,2),Y117,VLOOKUP($B117,Model!$A$8:$H$288,8),1,0)</f>
        <v>0.63450185734956221</v>
      </c>
      <c r="AC117" s="134"/>
      <c r="AD117" s="192">
        <f>VLOOKUP($B117,Curve_Fetch,VLOOKUP(Control!$F$25,Control!$E$26:$I$37,5))</f>
        <v>0.22</v>
      </c>
      <c r="AE117" s="194">
        <f t="shared" si="58"/>
        <v>0</v>
      </c>
      <c r="AF117" s="194">
        <f t="shared" si="43"/>
        <v>0.22</v>
      </c>
      <c r="AG117" s="140">
        <f t="shared" si="44"/>
        <v>-0.20435881234430545</v>
      </c>
      <c r="AH117" s="140">
        <f t="shared" si="59"/>
        <v>4.0916411876556937</v>
      </c>
      <c r="AI117" s="203">
        <f>_xll.EURO($U117,AH117,VLOOKUP($B117,Curve_Fetch,2),VLOOKUP($B117,Curve_Fetch,2),AF117,VLOOKUP($B117,Model!$A$8:$H$288,8),0,0)</f>
        <v>0.62120653003850146</v>
      </c>
      <c r="AK117" s="137">
        <f t="shared" ca="1" si="45"/>
        <v>0</v>
      </c>
      <c r="AL117" s="138">
        <f t="shared" ca="1" si="46"/>
        <v>0</v>
      </c>
      <c r="AM117" s="138">
        <f t="shared" ca="1" si="47"/>
        <v>0</v>
      </c>
      <c r="AN117" s="138">
        <f t="shared" ca="1" si="48"/>
        <v>0</v>
      </c>
      <c r="AO117" s="138">
        <f t="shared" ca="1" si="49"/>
        <v>0</v>
      </c>
      <c r="AP117" s="138">
        <f t="shared" ca="1" si="50"/>
        <v>0</v>
      </c>
      <c r="AQ117" s="138">
        <f t="shared" si="60"/>
        <v>0</v>
      </c>
      <c r="AR117" s="139">
        <f t="shared" ca="1" si="51"/>
        <v>0</v>
      </c>
      <c r="AT117"/>
      <c r="AU117"/>
      <c r="AV117"/>
      <c r="AW117"/>
      <c r="AX117"/>
      <c r="AY117"/>
      <c r="AZ117"/>
      <c r="BA117"/>
    </row>
    <row r="118" spans="2:53">
      <c r="B118" s="131">
        <f>[1]!_xludf.edate(B117,1)</f>
        <v>39873</v>
      </c>
      <c r="C118" s="132">
        <f t="shared" si="39"/>
        <v>39904</v>
      </c>
      <c r="D118" s="159">
        <v>0</v>
      </c>
      <c r="E118" s="160">
        <f>VLOOKUP($B118,Model!$A$8:$E$289,5)</f>
        <v>0</v>
      </c>
      <c r="F118" s="160">
        <f>VLOOKUP($B118,Model!$A$8:$F$289,6)</f>
        <v>0</v>
      </c>
      <c r="G118" s="179">
        <f ca="1">VLOOKUP($B118,Model!$A$8:$G$289,7)</f>
        <v>0</v>
      </c>
      <c r="I118" s="133">
        <v>0</v>
      </c>
      <c r="J118" s="134">
        <f t="shared" si="40"/>
        <v>4.2270000000000003</v>
      </c>
      <c r="K118" s="140">
        <f t="shared" si="52"/>
        <v>0</v>
      </c>
      <c r="L118" s="136">
        <f>IF(Control!$C$25=Control!$B$26,J118,I118)+K118</f>
        <v>4.2270000000000003</v>
      </c>
      <c r="M118" s="133">
        <v>0</v>
      </c>
      <c r="N118" s="134">
        <f>VLOOKUP($B118,Curve_Fetch,VLOOKUP(Control!$F$25,Control!$E$26:$G$37,3))</f>
        <v>-7.0000000000000007E-2</v>
      </c>
      <c r="O118" s="140">
        <f t="shared" si="53"/>
        <v>0</v>
      </c>
      <c r="P118" s="136">
        <f>IF(Control!$C$30=Control!$B$31,N118,M118)+O118</f>
        <v>-7.0000000000000007E-2</v>
      </c>
      <c r="Q118" s="133">
        <v>0</v>
      </c>
      <c r="R118" s="134">
        <f>VLOOKUP($B118,Curve_Fetch,(VLOOKUP(Control!$F$25,Control!$E$26:$H$37,4)))</f>
        <v>5.0000000000000001E-3</v>
      </c>
      <c r="S118" s="140">
        <f t="shared" si="54"/>
        <v>0</v>
      </c>
      <c r="T118" s="136">
        <f>IF($C$12="Physical",IF(Control!$C$35=Control!$B$36,R118,Q118)+S118,0)</f>
        <v>0</v>
      </c>
      <c r="U118" s="176">
        <f t="shared" si="41"/>
        <v>4.157</v>
      </c>
      <c r="V118" s="152"/>
      <c r="W118" s="192">
        <f>VLOOKUP($B118,Curve_Fetch,VLOOKUP(Control!$F$25,Control!$E$26:$I$37,5))</f>
        <v>0.20499999999999999</v>
      </c>
      <c r="X118" s="194">
        <f t="shared" si="55"/>
        <v>0</v>
      </c>
      <c r="Y118" s="194">
        <f t="shared" si="42"/>
        <v>0.20499999999999999</v>
      </c>
      <c r="Z118" s="140">
        <f t="shared" ca="1" si="56"/>
        <v>0.28657937898642949</v>
      </c>
      <c r="AA118" s="140">
        <f t="shared" ca="1" si="57"/>
        <v>4.4435793789864295</v>
      </c>
      <c r="AB118" s="203">
        <f ca="1">_xll.EURO($U118,AA118,VLOOKUP($B118,Curve_Fetch,2),VLOOKUP($B118,Curve_Fetch,2),Y118,VLOOKUP($B118,Model!$A$8:$H$288,8),1,0)</f>
        <v>0.56591785883439227</v>
      </c>
      <c r="AC118" s="134"/>
      <c r="AD118" s="192">
        <f>VLOOKUP($B118,Curve_Fetch,VLOOKUP(Control!$F$25,Control!$E$26:$I$37,5))</f>
        <v>0.20499999999999999</v>
      </c>
      <c r="AE118" s="194">
        <f t="shared" si="58"/>
        <v>0</v>
      </c>
      <c r="AF118" s="194">
        <f t="shared" si="43"/>
        <v>0.20499999999999999</v>
      </c>
      <c r="AG118" s="140">
        <f t="shared" si="44"/>
        <v>-0.20435881234430545</v>
      </c>
      <c r="AH118" s="140">
        <f t="shared" si="59"/>
        <v>3.9526411876556944</v>
      </c>
      <c r="AI118" s="203">
        <f>_xll.EURO($U118,AH118,VLOOKUP($B118,Curve_Fetch,2),VLOOKUP($B118,Curve_Fetch,2),AF118,VLOOKUP($B118,Model!$A$8:$H$288,8),0,0)</f>
        <v>0.55495768666011047</v>
      </c>
      <c r="AK118" s="137">
        <f t="shared" ca="1" si="45"/>
        <v>0</v>
      </c>
      <c r="AL118" s="138">
        <f t="shared" ca="1" si="46"/>
        <v>0</v>
      </c>
      <c r="AM118" s="138">
        <f t="shared" ca="1" si="47"/>
        <v>0</v>
      </c>
      <c r="AN118" s="138">
        <f t="shared" ca="1" si="48"/>
        <v>0</v>
      </c>
      <c r="AO118" s="138">
        <f t="shared" ca="1" si="49"/>
        <v>0</v>
      </c>
      <c r="AP118" s="138">
        <f t="shared" ca="1" si="50"/>
        <v>0</v>
      </c>
      <c r="AQ118" s="138">
        <f t="shared" si="60"/>
        <v>0</v>
      </c>
      <c r="AR118" s="139">
        <f t="shared" ca="1" si="51"/>
        <v>0</v>
      </c>
      <c r="AT118"/>
      <c r="AU118"/>
      <c r="AV118"/>
      <c r="AW118"/>
      <c r="AX118"/>
      <c r="AY118"/>
      <c r="AZ118"/>
      <c r="BA118"/>
    </row>
    <row r="119" spans="2:53">
      <c r="B119" s="131">
        <f>[1]!_xludf.edate(B118,1)</f>
        <v>39904</v>
      </c>
      <c r="C119" s="132">
        <f t="shared" si="39"/>
        <v>39934</v>
      </c>
      <c r="D119" s="159">
        <v>0</v>
      </c>
      <c r="E119" s="160">
        <f>VLOOKUP($B119,Model!$A$8:$E$289,5)</f>
        <v>0</v>
      </c>
      <c r="F119" s="160">
        <f>VLOOKUP($B119,Model!$A$8:$F$289,6)</f>
        <v>0</v>
      </c>
      <c r="G119" s="179">
        <f ca="1">VLOOKUP($B119,Model!$A$8:$G$289,7)</f>
        <v>0</v>
      </c>
      <c r="I119" s="133">
        <v>0</v>
      </c>
      <c r="J119" s="134">
        <f t="shared" si="40"/>
        <v>4.0730000000000004</v>
      </c>
      <c r="K119" s="140">
        <f t="shared" si="52"/>
        <v>0</v>
      </c>
      <c r="L119" s="136">
        <f>IF(Control!$C$25=Control!$B$26,J119,I119)+K119</f>
        <v>4.0730000000000004</v>
      </c>
      <c r="M119" s="133">
        <v>0</v>
      </c>
      <c r="N119" s="134">
        <f>VLOOKUP($B119,Curve_Fetch,VLOOKUP(Control!$F$25,Control!$E$26:$G$37,3))</f>
        <v>-7.0000000000000007E-2</v>
      </c>
      <c r="O119" s="140">
        <f t="shared" si="53"/>
        <v>0</v>
      </c>
      <c r="P119" s="136">
        <f>IF(Control!$C$30=Control!$B$31,N119,M119)+O119</f>
        <v>-7.0000000000000007E-2</v>
      </c>
      <c r="Q119" s="133">
        <v>0</v>
      </c>
      <c r="R119" s="134">
        <f>VLOOKUP($B119,Curve_Fetch,(VLOOKUP(Control!$F$25,Control!$E$26:$H$37,4)))</f>
        <v>5.0000000000000001E-3</v>
      </c>
      <c r="S119" s="140">
        <f t="shared" si="54"/>
        <v>0</v>
      </c>
      <c r="T119" s="136">
        <f>IF($C$12="Physical",IF(Control!$C$35=Control!$B$36,R119,Q119)+S119,0)</f>
        <v>0</v>
      </c>
      <c r="U119" s="176">
        <f t="shared" si="41"/>
        <v>4.0030000000000001</v>
      </c>
      <c r="V119" s="152"/>
      <c r="W119" s="192">
        <f>VLOOKUP($B119,Curve_Fetch,VLOOKUP(Control!$F$25,Control!$E$26:$I$37,5))</f>
        <v>0.19500000000000001</v>
      </c>
      <c r="X119" s="194">
        <f t="shared" si="55"/>
        <v>0</v>
      </c>
      <c r="Y119" s="194">
        <f t="shared" si="42"/>
        <v>0.19500000000000001</v>
      </c>
      <c r="Z119" s="140">
        <f t="shared" ca="1" si="56"/>
        <v>0.28657937898642949</v>
      </c>
      <c r="AA119" s="140">
        <f t="shared" ca="1" si="57"/>
        <v>4.2895793789864296</v>
      </c>
      <c r="AB119" s="203">
        <f ca="1">_xll.EURO($U119,AA119,VLOOKUP($B119,Curve_Fetch,2),VLOOKUP($B119,Curve_Fetch,2),Y119,VLOOKUP($B119,Model!$A$8:$H$288,8),1,0)</f>
        <v>0.51314768217633389</v>
      </c>
      <c r="AC119" s="134"/>
      <c r="AD119" s="192">
        <f>VLOOKUP($B119,Curve_Fetch,VLOOKUP(Control!$F$25,Control!$E$26:$I$37,5))</f>
        <v>0.19500000000000001</v>
      </c>
      <c r="AE119" s="194">
        <f t="shared" si="58"/>
        <v>0</v>
      </c>
      <c r="AF119" s="194">
        <f t="shared" si="43"/>
        <v>0.19500000000000001</v>
      </c>
      <c r="AG119" s="140">
        <f t="shared" si="44"/>
        <v>-0.20435881234430545</v>
      </c>
      <c r="AH119" s="140">
        <f t="shared" si="59"/>
        <v>3.7986411876556945</v>
      </c>
      <c r="AI119" s="203">
        <f>_xll.EURO($U119,AH119,VLOOKUP($B119,Curve_Fetch,2),VLOOKUP($B119,Curve_Fetch,2),AF119,VLOOKUP($B119,Model!$A$8:$H$288,8),0,0)</f>
        <v>0.50364960951633431</v>
      </c>
      <c r="AK119" s="137">
        <f t="shared" ca="1" si="45"/>
        <v>0</v>
      </c>
      <c r="AL119" s="138">
        <f t="shared" ca="1" si="46"/>
        <v>0</v>
      </c>
      <c r="AM119" s="138">
        <f t="shared" ca="1" si="47"/>
        <v>0</v>
      </c>
      <c r="AN119" s="138">
        <f t="shared" ca="1" si="48"/>
        <v>0</v>
      </c>
      <c r="AO119" s="138">
        <f t="shared" ca="1" si="49"/>
        <v>0</v>
      </c>
      <c r="AP119" s="138">
        <f t="shared" ca="1" si="50"/>
        <v>0</v>
      </c>
      <c r="AQ119" s="138">
        <f t="shared" si="60"/>
        <v>0</v>
      </c>
      <c r="AR119" s="139">
        <f t="shared" ca="1" si="51"/>
        <v>0</v>
      </c>
      <c r="AT119"/>
      <c r="AU119"/>
      <c r="AV119"/>
      <c r="AW119"/>
      <c r="AX119"/>
      <c r="AY119"/>
      <c r="AZ119"/>
      <c r="BA119"/>
    </row>
    <row r="120" spans="2:53">
      <c r="B120" s="131">
        <f>[1]!_xludf.edate(B119,1)</f>
        <v>39934</v>
      </c>
      <c r="C120" s="132">
        <f t="shared" si="39"/>
        <v>39965</v>
      </c>
      <c r="D120" s="159">
        <v>0</v>
      </c>
      <c r="E120" s="160">
        <f>VLOOKUP($B120,Model!$A$8:$E$289,5)</f>
        <v>0</v>
      </c>
      <c r="F120" s="160">
        <f>VLOOKUP($B120,Model!$A$8:$F$289,6)</f>
        <v>0</v>
      </c>
      <c r="G120" s="179">
        <f ca="1">VLOOKUP($B120,Model!$A$8:$G$289,7)</f>
        <v>0</v>
      </c>
      <c r="I120" s="133">
        <v>0</v>
      </c>
      <c r="J120" s="134">
        <f t="shared" si="40"/>
        <v>4.077</v>
      </c>
      <c r="K120" s="140">
        <f t="shared" si="52"/>
        <v>0</v>
      </c>
      <c r="L120" s="136">
        <f>IF(Control!$C$25=Control!$B$26,J120,I120)+K120</f>
        <v>4.077</v>
      </c>
      <c r="M120" s="133">
        <v>0</v>
      </c>
      <c r="N120" s="134">
        <f>VLOOKUP($B120,Curve_Fetch,VLOOKUP(Control!$F$25,Control!$E$26:$G$37,3))</f>
        <v>-7.0000000000000007E-2</v>
      </c>
      <c r="O120" s="140">
        <f t="shared" si="53"/>
        <v>0</v>
      </c>
      <c r="P120" s="136">
        <f>IF(Control!$C$30=Control!$B$31,N120,M120)+O120</f>
        <v>-7.0000000000000007E-2</v>
      </c>
      <c r="Q120" s="133">
        <v>0</v>
      </c>
      <c r="R120" s="134">
        <f>VLOOKUP($B120,Curve_Fetch,(VLOOKUP(Control!$F$25,Control!$E$26:$H$37,4)))</f>
        <v>5.0000000000000001E-3</v>
      </c>
      <c r="S120" s="140">
        <f t="shared" si="54"/>
        <v>0</v>
      </c>
      <c r="T120" s="136">
        <f>IF($C$12="Physical",IF(Control!$C$35=Control!$B$36,R120,Q120)+S120,0)</f>
        <v>0</v>
      </c>
      <c r="U120" s="176">
        <f t="shared" si="41"/>
        <v>4.0069999999999997</v>
      </c>
      <c r="V120" s="152"/>
      <c r="W120" s="192">
        <f>VLOOKUP($B120,Curve_Fetch,VLOOKUP(Control!$F$25,Control!$E$26:$I$37,5))</f>
        <v>0.19500000000000001</v>
      </c>
      <c r="X120" s="194">
        <f t="shared" si="55"/>
        <v>0</v>
      </c>
      <c r="Y120" s="194">
        <f t="shared" si="42"/>
        <v>0.19500000000000001</v>
      </c>
      <c r="Z120" s="140">
        <f t="shared" ca="1" si="56"/>
        <v>0.28657937898642949</v>
      </c>
      <c r="AA120" s="140">
        <f t="shared" ca="1" si="57"/>
        <v>4.2935793789864292</v>
      </c>
      <c r="AB120" s="203">
        <f ca="1">_xll.EURO($U120,AA120,VLOOKUP($B120,Curve_Fetch,2),VLOOKUP($B120,Curve_Fetch,2),Y120,VLOOKUP($B120,Model!$A$8:$H$288,8),1,0)</f>
        <v>0.51457940003782809</v>
      </c>
      <c r="AC120" s="134"/>
      <c r="AD120" s="192">
        <f>VLOOKUP($B120,Curve_Fetch,VLOOKUP(Control!$F$25,Control!$E$26:$I$37,5))</f>
        <v>0.19500000000000001</v>
      </c>
      <c r="AE120" s="194">
        <f t="shared" si="58"/>
        <v>0</v>
      </c>
      <c r="AF120" s="194">
        <f t="shared" si="43"/>
        <v>0.19500000000000001</v>
      </c>
      <c r="AG120" s="140">
        <f t="shared" si="44"/>
        <v>-0.20435881234430545</v>
      </c>
      <c r="AH120" s="140">
        <f t="shared" si="59"/>
        <v>3.802641187655694</v>
      </c>
      <c r="AI120" s="203">
        <f>_xll.EURO($U120,AH120,VLOOKUP($B120,Curve_Fetch,2),VLOOKUP($B120,Curve_Fetch,2),AF120,VLOOKUP($B120,Model!$A$8:$H$288,8),0,0)</f>
        <v>0.50494739406934674</v>
      </c>
      <c r="AK120" s="137">
        <f t="shared" ca="1" si="45"/>
        <v>0</v>
      </c>
      <c r="AL120" s="138">
        <f t="shared" ca="1" si="46"/>
        <v>0</v>
      </c>
      <c r="AM120" s="138">
        <f t="shared" ca="1" si="47"/>
        <v>0</v>
      </c>
      <c r="AN120" s="138">
        <f t="shared" ca="1" si="48"/>
        <v>0</v>
      </c>
      <c r="AO120" s="138">
        <f t="shared" ca="1" si="49"/>
        <v>0</v>
      </c>
      <c r="AP120" s="138">
        <f t="shared" ca="1" si="50"/>
        <v>0</v>
      </c>
      <c r="AQ120" s="138">
        <f t="shared" si="60"/>
        <v>0</v>
      </c>
      <c r="AR120" s="139">
        <f t="shared" ca="1" si="51"/>
        <v>0</v>
      </c>
      <c r="AT120"/>
      <c r="AU120"/>
      <c r="AV120"/>
      <c r="AW120"/>
      <c r="AX120"/>
      <c r="AY120"/>
      <c r="AZ120"/>
      <c r="BA120"/>
    </row>
    <row r="121" spans="2:53">
      <c r="B121" s="131">
        <f>[1]!_xludf.edate(B120,1)</f>
        <v>39965</v>
      </c>
      <c r="C121" s="132">
        <f t="shared" si="39"/>
        <v>39995</v>
      </c>
      <c r="D121" s="159">
        <v>0</v>
      </c>
      <c r="E121" s="160">
        <f>VLOOKUP($B121,Model!$A$8:$E$289,5)</f>
        <v>0</v>
      </c>
      <c r="F121" s="160">
        <f>VLOOKUP($B121,Model!$A$8:$F$289,6)</f>
        <v>0</v>
      </c>
      <c r="G121" s="179">
        <f ca="1">VLOOKUP($B121,Model!$A$8:$G$289,7)</f>
        <v>0</v>
      </c>
      <c r="I121" s="133">
        <v>0</v>
      </c>
      <c r="J121" s="134">
        <f t="shared" si="40"/>
        <v>4.117</v>
      </c>
      <c r="K121" s="140">
        <f t="shared" si="52"/>
        <v>0</v>
      </c>
      <c r="L121" s="136">
        <f>IF(Control!$C$25=Control!$B$26,J121,I121)+K121</f>
        <v>4.117</v>
      </c>
      <c r="M121" s="133">
        <v>0</v>
      </c>
      <c r="N121" s="134">
        <f>VLOOKUP($B121,Curve_Fetch,VLOOKUP(Control!$F$25,Control!$E$26:$G$37,3))</f>
        <v>-7.0000000000000007E-2</v>
      </c>
      <c r="O121" s="140">
        <f t="shared" si="53"/>
        <v>0</v>
      </c>
      <c r="P121" s="136">
        <f>IF(Control!$C$30=Control!$B$31,N121,M121)+O121</f>
        <v>-7.0000000000000007E-2</v>
      </c>
      <c r="Q121" s="133">
        <v>0</v>
      </c>
      <c r="R121" s="134">
        <f>VLOOKUP($B121,Curve_Fetch,(VLOOKUP(Control!$F$25,Control!$E$26:$H$37,4)))</f>
        <v>5.0000000000000001E-3</v>
      </c>
      <c r="S121" s="140">
        <f t="shared" si="54"/>
        <v>0</v>
      </c>
      <c r="T121" s="136">
        <f>IF($C$12="Physical",IF(Control!$C$35=Control!$B$36,R121,Q121)+S121,0)</f>
        <v>0</v>
      </c>
      <c r="U121" s="176">
        <f t="shared" si="41"/>
        <v>4.0469999999999997</v>
      </c>
      <c r="V121" s="152"/>
      <c r="W121" s="192">
        <f>VLOOKUP($B121,Curve_Fetch,VLOOKUP(Control!$F$25,Control!$E$26:$I$37,5))</f>
        <v>0.19500000000000001</v>
      </c>
      <c r="X121" s="194">
        <f t="shared" si="55"/>
        <v>0</v>
      </c>
      <c r="Y121" s="194">
        <f t="shared" si="42"/>
        <v>0.19500000000000001</v>
      </c>
      <c r="Z121" s="140">
        <f t="shared" ca="1" si="56"/>
        <v>0.28657937898642949</v>
      </c>
      <c r="AA121" s="140">
        <f t="shared" ca="1" si="57"/>
        <v>4.3335793789864292</v>
      </c>
      <c r="AB121" s="203">
        <f ca="1">_xll.EURO($U121,AA121,VLOOKUP($B121,Curve_Fetch,2),VLOOKUP($B121,Curve_Fetch,2),Y121,VLOOKUP($B121,Model!$A$8:$H$288,8),1,0)</f>
        <v>0.5212414768399678</v>
      </c>
      <c r="AC121" s="134"/>
      <c r="AD121" s="192">
        <f>VLOOKUP($B121,Curve_Fetch,VLOOKUP(Control!$F$25,Control!$E$26:$I$37,5))</f>
        <v>0.19500000000000001</v>
      </c>
      <c r="AE121" s="194">
        <f t="shared" si="58"/>
        <v>0</v>
      </c>
      <c r="AF121" s="194">
        <f t="shared" si="43"/>
        <v>0.19500000000000001</v>
      </c>
      <c r="AG121" s="140">
        <f t="shared" si="44"/>
        <v>-0.20435881234430545</v>
      </c>
      <c r="AH121" s="140">
        <f t="shared" si="59"/>
        <v>3.8426411876556941</v>
      </c>
      <c r="AI121" s="203">
        <f>_xll.EURO($U121,AH121,VLOOKUP($B121,Curve_Fetch,2),VLOOKUP($B121,Curve_Fetch,2),AF121,VLOOKUP($B121,Model!$A$8:$H$288,8),0,0)</f>
        <v>0.5114915890403533</v>
      </c>
      <c r="AK121" s="137">
        <f t="shared" ca="1" si="45"/>
        <v>0</v>
      </c>
      <c r="AL121" s="138">
        <f t="shared" ca="1" si="46"/>
        <v>0</v>
      </c>
      <c r="AM121" s="138">
        <f t="shared" ca="1" si="47"/>
        <v>0</v>
      </c>
      <c r="AN121" s="138">
        <f t="shared" ca="1" si="48"/>
        <v>0</v>
      </c>
      <c r="AO121" s="138">
        <f t="shared" ca="1" si="49"/>
        <v>0</v>
      </c>
      <c r="AP121" s="138">
        <f t="shared" ca="1" si="50"/>
        <v>0</v>
      </c>
      <c r="AQ121" s="138">
        <f t="shared" si="60"/>
        <v>0</v>
      </c>
      <c r="AR121" s="139">
        <f t="shared" ca="1" si="51"/>
        <v>0</v>
      </c>
      <c r="AT121"/>
      <c r="AU121"/>
      <c r="AV121"/>
      <c r="AW121"/>
      <c r="AX121"/>
      <c r="AY121"/>
      <c r="AZ121"/>
      <c r="BA121"/>
    </row>
    <row r="122" spans="2:53">
      <c r="B122" s="131">
        <f>[1]!_xludf.edate(B121,1)</f>
        <v>39995</v>
      </c>
      <c r="C122" s="132">
        <f t="shared" si="39"/>
        <v>40026</v>
      </c>
      <c r="D122" s="159">
        <v>0</v>
      </c>
      <c r="E122" s="160">
        <f>VLOOKUP($B122,Model!$A$8:$E$289,5)</f>
        <v>0</v>
      </c>
      <c r="F122" s="160">
        <f>VLOOKUP($B122,Model!$A$8:$F$289,6)</f>
        <v>0</v>
      </c>
      <c r="G122" s="179">
        <f ca="1">VLOOKUP($B122,Model!$A$8:$G$289,7)</f>
        <v>0</v>
      </c>
      <c r="I122" s="133">
        <v>0</v>
      </c>
      <c r="J122" s="134">
        <f t="shared" si="40"/>
        <v>4.1619999999999999</v>
      </c>
      <c r="K122" s="140">
        <f t="shared" si="52"/>
        <v>0</v>
      </c>
      <c r="L122" s="136">
        <f>IF(Control!$C$25=Control!$B$26,J122,I122)+K122</f>
        <v>4.1619999999999999</v>
      </c>
      <c r="M122" s="133">
        <v>0</v>
      </c>
      <c r="N122" s="134">
        <f>VLOOKUP($B122,Curve_Fetch,VLOOKUP(Control!$F$25,Control!$E$26:$G$37,3))</f>
        <v>-7.0000000000000007E-2</v>
      </c>
      <c r="O122" s="140">
        <f t="shared" si="53"/>
        <v>0</v>
      </c>
      <c r="P122" s="136">
        <f>IF(Control!$C$30=Control!$B$31,N122,M122)+O122</f>
        <v>-7.0000000000000007E-2</v>
      </c>
      <c r="Q122" s="133">
        <v>0</v>
      </c>
      <c r="R122" s="134">
        <f>VLOOKUP($B122,Curve_Fetch,(VLOOKUP(Control!$F$25,Control!$E$26:$H$37,4)))</f>
        <v>5.0000000000000001E-3</v>
      </c>
      <c r="S122" s="140">
        <f t="shared" si="54"/>
        <v>0</v>
      </c>
      <c r="T122" s="136">
        <f>IF($C$12="Physical",IF(Control!$C$35=Control!$B$36,R122,Q122)+S122,0)</f>
        <v>0</v>
      </c>
      <c r="U122" s="176">
        <f t="shared" si="41"/>
        <v>4.0919999999999996</v>
      </c>
      <c r="V122" s="152"/>
      <c r="W122" s="192">
        <f>VLOOKUP($B122,Curve_Fetch,VLOOKUP(Control!$F$25,Control!$E$26:$I$37,5))</f>
        <v>0.19500000000000001</v>
      </c>
      <c r="X122" s="194">
        <f t="shared" si="55"/>
        <v>0</v>
      </c>
      <c r="Y122" s="194">
        <f t="shared" si="42"/>
        <v>0.19500000000000001</v>
      </c>
      <c r="Z122" s="140">
        <f t="shared" ca="1" si="56"/>
        <v>0.28657937898642949</v>
      </c>
      <c r="AA122" s="140">
        <f t="shared" ca="1" si="57"/>
        <v>4.3785793789864291</v>
      </c>
      <c r="AB122" s="203">
        <f ca="1">_xll.EURO($U122,AA122,VLOOKUP($B122,Curve_Fetch,2),VLOOKUP($B122,Curve_Fetch,2),Y122,VLOOKUP($B122,Model!$A$8:$H$288,8),1,0)</f>
        <v>0.52856862469045285</v>
      </c>
      <c r="AC122" s="134"/>
      <c r="AD122" s="192">
        <f>VLOOKUP($B122,Curve_Fetch,VLOOKUP(Control!$F$25,Control!$E$26:$I$37,5))</f>
        <v>0.19500000000000001</v>
      </c>
      <c r="AE122" s="194">
        <f t="shared" si="58"/>
        <v>0</v>
      </c>
      <c r="AF122" s="194">
        <f t="shared" si="43"/>
        <v>0.19500000000000001</v>
      </c>
      <c r="AG122" s="140">
        <f t="shared" si="44"/>
        <v>-0.20435881234430545</v>
      </c>
      <c r="AH122" s="140">
        <f t="shared" si="59"/>
        <v>3.887641187655694</v>
      </c>
      <c r="AI122" s="203">
        <f>_xll.EURO($U122,AH122,VLOOKUP($B122,Curve_Fetch,2),VLOOKUP($B122,Curve_Fetch,2),AF122,VLOOKUP($B122,Model!$A$8:$H$288,8),0,0)</f>
        <v>0.51870951604047977</v>
      </c>
      <c r="AK122" s="137">
        <f t="shared" ca="1" si="45"/>
        <v>0</v>
      </c>
      <c r="AL122" s="138">
        <f t="shared" ca="1" si="46"/>
        <v>0</v>
      </c>
      <c r="AM122" s="138">
        <f t="shared" ca="1" si="47"/>
        <v>0</v>
      </c>
      <c r="AN122" s="138">
        <f t="shared" ca="1" si="48"/>
        <v>0</v>
      </c>
      <c r="AO122" s="138">
        <f t="shared" ca="1" si="49"/>
        <v>0</v>
      </c>
      <c r="AP122" s="138">
        <f t="shared" ca="1" si="50"/>
        <v>0</v>
      </c>
      <c r="AQ122" s="138">
        <f t="shared" si="60"/>
        <v>0</v>
      </c>
      <c r="AR122" s="139">
        <f t="shared" ca="1" si="51"/>
        <v>0</v>
      </c>
      <c r="AT122"/>
      <c r="AU122"/>
      <c r="AV122"/>
      <c r="AW122"/>
      <c r="AX122"/>
      <c r="AY122"/>
      <c r="AZ122"/>
      <c r="BA122"/>
    </row>
    <row r="123" spans="2:53">
      <c r="B123" s="131">
        <f>[1]!_xludf.edate(B122,1)</f>
        <v>40026</v>
      </c>
      <c r="C123" s="132">
        <f t="shared" si="39"/>
        <v>40057</v>
      </c>
      <c r="D123" s="159">
        <v>0</v>
      </c>
      <c r="E123" s="160">
        <f>VLOOKUP($B123,Model!$A$8:$E$289,5)</f>
        <v>0</v>
      </c>
      <c r="F123" s="160">
        <f>VLOOKUP($B123,Model!$A$8:$F$289,6)</f>
        <v>0</v>
      </c>
      <c r="G123" s="179">
        <f ca="1">VLOOKUP($B123,Model!$A$8:$G$289,7)</f>
        <v>0</v>
      </c>
      <c r="I123" s="133">
        <v>0</v>
      </c>
      <c r="J123" s="134">
        <f t="shared" si="40"/>
        <v>4.2009999999999996</v>
      </c>
      <c r="K123" s="140">
        <f t="shared" si="52"/>
        <v>0</v>
      </c>
      <c r="L123" s="136">
        <f>IF(Control!$C$25=Control!$B$26,J123,I123)+K123</f>
        <v>4.2009999999999996</v>
      </c>
      <c r="M123" s="133">
        <v>0</v>
      </c>
      <c r="N123" s="134">
        <f>VLOOKUP($B123,Curve_Fetch,VLOOKUP(Control!$F$25,Control!$E$26:$G$37,3))</f>
        <v>-7.0000000000000007E-2</v>
      </c>
      <c r="O123" s="140">
        <f t="shared" si="53"/>
        <v>0</v>
      </c>
      <c r="P123" s="136">
        <f>IF(Control!$C$30=Control!$B$31,N123,M123)+O123</f>
        <v>-7.0000000000000007E-2</v>
      </c>
      <c r="Q123" s="133">
        <v>0</v>
      </c>
      <c r="R123" s="134">
        <f>VLOOKUP($B123,Curve_Fetch,(VLOOKUP(Control!$F$25,Control!$E$26:$H$37,4)))</f>
        <v>5.0000000000000001E-3</v>
      </c>
      <c r="S123" s="140">
        <f t="shared" si="54"/>
        <v>0</v>
      </c>
      <c r="T123" s="136">
        <f>IF($C$12="Physical",IF(Control!$C$35=Control!$B$36,R123,Q123)+S123,0)</f>
        <v>0</v>
      </c>
      <c r="U123" s="176">
        <f t="shared" si="41"/>
        <v>4.1309999999999993</v>
      </c>
      <c r="V123" s="152"/>
      <c r="W123" s="192">
        <f>VLOOKUP($B123,Curve_Fetch,VLOOKUP(Control!$F$25,Control!$E$26:$I$37,5))</f>
        <v>0.19500000000000001</v>
      </c>
      <c r="X123" s="194">
        <f t="shared" si="55"/>
        <v>0</v>
      </c>
      <c r="Y123" s="194">
        <f t="shared" si="42"/>
        <v>0.19500000000000001</v>
      </c>
      <c r="Z123" s="140">
        <f t="shared" ca="1" si="56"/>
        <v>0.28657937898642949</v>
      </c>
      <c r="AA123" s="140">
        <f t="shared" ca="1" si="57"/>
        <v>4.4175793789864288</v>
      </c>
      <c r="AB123" s="203">
        <f ca="1">_xll.EURO($U123,AA123,VLOOKUP($B123,Curve_Fetch,2),VLOOKUP($B123,Curve_Fetch,2),Y123,VLOOKUP($B123,Model!$A$8:$H$288,8),1,0)</f>
        <v>0.53500583100066867</v>
      </c>
      <c r="AC123" s="134"/>
      <c r="AD123" s="192">
        <f>VLOOKUP($B123,Curve_Fetch,VLOOKUP(Control!$F$25,Control!$E$26:$I$37,5))</f>
        <v>0.19500000000000001</v>
      </c>
      <c r="AE123" s="194">
        <f t="shared" si="58"/>
        <v>0</v>
      </c>
      <c r="AF123" s="194">
        <f t="shared" si="43"/>
        <v>0.19500000000000001</v>
      </c>
      <c r="AG123" s="140">
        <f t="shared" si="44"/>
        <v>-0.20435881234430545</v>
      </c>
      <c r="AH123" s="140">
        <f t="shared" si="59"/>
        <v>3.9266411876556937</v>
      </c>
      <c r="AI123" s="203">
        <f>_xll.EURO($U123,AH123,VLOOKUP($B123,Curve_Fetch,2),VLOOKUP($B123,Curve_Fetch,2),AF123,VLOOKUP($B123,Model!$A$8:$H$288,8),0,0)</f>
        <v>0.5250320780690283</v>
      </c>
      <c r="AK123" s="137">
        <f t="shared" ca="1" si="45"/>
        <v>0</v>
      </c>
      <c r="AL123" s="138">
        <f t="shared" ca="1" si="46"/>
        <v>0</v>
      </c>
      <c r="AM123" s="138">
        <f t="shared" ca="1" si="47"/>
        <v>0</v>
      </c>
      <c r="AN123" s="138">
        <f t="shared" ca="1" si="48"/>
        <v>0</v>
      </c>
      <c r="AO123" s="138">
        <f t="shared" ca="1" si="49"/>
        <v>0</v>
      </c>
      <c r="AP123" s="138">
        <f t="shared" ca="1" si="50"/>
        <v>0</v>
      </c>
      <c r="AQ123" s="138">
        <f t="shared" si="60"/>
        <v>0</v>
      </c>
      <c r="AR123" s="139">
        <f t="shared" ca="1" si="51"/>
        <v>0</v>
      </c>
      <c r="AT123"/>
      <c r="AU123"/>
      <c r="AV123"/>
      <c r="AW123"/>
      <c r="AX123"/>
      <c r="AY123"/>
      <c r="AZ123"/>
      <c r="BA123"/>
    </row>
    <row r="124" spans="2:53">
      <c r="B124" s="131">
        <f>[1]!_xludf.edate(B123,1)</f>
        <v>40057</v>
      </c>
      <c r="C124" s="132">
        <f t="shared" si="39"/>
        <v>40087</v>
      </c>
      <c r="D124" s="159">
        <v>0</v>
      </c>
      <c r="E124" s="160">
        <f>VLOOKUP($B124,Model!$A$8:$E$289,5)</f>
        <v>0</v>
      </c>
      <c r="F124" s="160">
        <f>VLOOKUP($B124,Model!$A$8:$F$289,6)</f>
        <v>0</v>
      </c>
      <c r="G124" s="179">
        <f ca="1">VLOOKUP($B124,Model!$A$8:$G$289,7)</f>
        <v>0</v>
      </c>
      <c r="I124" s="133">
        <v>0</v>
      </c>
      <c r="J124" s="134">
        <f t="shared" si="40"/>
        <v>4.1950000000000003</v>
      </c>
      <c r="K124" s="140">
        <f t="shared" si="52"/>
        <v>0</v>
      </c>
      <c r="L124" s="136">
        <f>IF(Control!$C$25=Control!$B$26,J124,I124)+K124</f>
        <v>4.1950000000000003</v>
      </c>
      <c r="M124" s="133">
        <v>0</v>
      </c>
      <c r="N124" s="134">
        <f>VLOOKUP($B124,Curve_Fetch,VLOOKUP(Control!$F$25,Control!$E$26:$G$37,3))</f>
        <v>-7.0000000000000007E-2</v>
      </c>
      <c r="O124" s="140">
        <f t="shared" si="53"/>
        <v>0</v>
      </c>
      <c r="P124" s="136">
        <f>IF(Control!$C$30=Control!$B$31,N124,M124)+O124</f>
        <v>-7.0000000000000007E-2</v>
      </c>
      <c r="Q124" s="133">
        <v>0</v>
      </c>
      <c r="R124" s="134">
        <f>VLOOKUP($B124,Curve_Fetch,(VLOOKUP(Control!$F$25,Control!$E$26:$H$37,4)))</f>
        <v>5.0000000000000001E-3</v>
      </c>
      <c r="S124" s="140">
        <f t="shared" si="54"/>
        <v>0</v>
      </c>
      <c r="T124" s="136">
        <f>IF($C$12="Physical",IF(Control!$C$35=Control!$B$36,R124,Q124)+S124,0)</f>
        <v>0</v>
      </c>
      <c r="U124" s="176">
        <f t="shared" si="41"/>
        <v>4.125</v>
      </c>
      <c r="V124" s="152"/>
      <c r="W124" s="192">
        <f>VLOOKUP($B124,Curve_Fetch,VLOOKUP(Control!$F$25,Control!$E$26:$I$37,5))</f>
        <v>0.19500000000000001</v>
      </c>
      <c r="X124" s="194">
        <f t="shared" si="55"/>
        <v>0</v>
      </c>
      <c r="Y124" s="194">
        <f t="shared" si="42"/>
        <v>0.19500000000000001</v>
      </c>
      <c r="Z124" s="140">
        <f t="shared" ca="1" si="56"/>
        <v>0.28657937898642949</v>
      </c>
      <c r="AA124" s="140">
        <f t="shared" ca="1" si="57"/>
        <v>4.4115793789864295</v>
      </c>
      <c r="AB124" s="203">
        <f ca="1">_xll.EURO($U124,AA124,VLOOKUP($B124,Curve_Fetch,2),VLOOKUP($B124,Curve_Fetch,2),Y124,VLOOKUP($B124,Model!$A$8:$H$288,8),1,0)</f>
        <v>0.53482497771735216</v>
      </c>
      <c r="AC124" s="134"/>
      <c r="AD124" s="192">
        <f>VLOOKUP($B124,Curve_Fetch,VLOOKUP(Control!$F$25,Control!$E$26:$I$37,5))</f>
        <v>0.19500000000000001</v>
      </c>
      <c r="AE124" s="194">
        <f t="shared" si="58"/>
        <v>0</v>
      </c>
      <c r="AF124" s="194">
        <f t="shared" si="43"/>
        <v>0.19500000000000001</v>
      </c>
      <c r="AG124" s="140">
        <f t="shared" si="44"/>
        <v>-0.20435881234430545</v>
      </c>
      <c r="AH124" s="140">
        <f t="shared" si="59"/>
        <v>3.9206411876556944</v>
      </c>
      <c r="AI124" s="203">
        <f>_xll.EURO($U124,AH124,VLOOKUP($B124,Curve_Fetch,2),VLOOKUP($B124,Curve_Fetch,2),AF124,VLOOKUP($B124,Model!$A$8:$H$288,8),0,0)</f>
        <v>0.52471787869706721</v>
      </c>
      <c r="AK124" s="137">
        <f t="shared" ca="1" si="45"/>
        <v>0</v>
      </c>
      <c r="AL124" s="138">
        <f t="shared" ca="1" si="46"/>
        <v>0</v>
      </c>
      <c r="AM124" s="138">
        <f t="shared" ca="1" si="47"/>
        <v>0</v>
      </c>
      <c r="AN124" s="138">
        <f t="shared" ca="1" si="48"/>
        <v>0</v>
      </c>
      <c r="AO124" s="138">
        <f t="shared" ca="1" si="49"/>
        <v>0</v>
      </c>
      <c r="AP124" s="138">
        <f t="shared" ca="1" si="50"/>
        <v>0</v>
      </c>
      <c r="AQ124" s="138">
        <f t="shared" si="60"/>
        <v>0</v>
      </c>
      <c r="AR124" s="139">
        <f t="shared" ca="1" si="51"/>
        <v>0</v>
      </c>
      <c r="AT124"/>
      <c r="AU124"/>
      <c r="AV124"/>
      <c r="AW124"/>
      <c r="AX124"/>
      <c r="AY124"/>
      <c r="AZ124"/>
      <c r="BA124"/>
    </row>
    <row r="125" spans="2:53">
      <c r="B125" s="131">
        <f>[1]!_xludf.edate(B124,1)</f>
        <v>40087</v>
      </c>
      <c r="C125" s="132">
        <f t="shared" si="39"/>
        <v>40118</v>
      </c>
      <c r="D125" s="159">
        <v>0</v>
      </c>
      <c r="E125" s="160">
        <f>VLOOKUP($B125,Model!$A$8:$E$289,5)</f>
        <v>0</v>
      </c>
      <c r="F125" s="160">
        <f>VLOOKUP($B125,Model!$A$8:$F$289,6)</f>
        <v>0</v>
      </c>
      <c r="G125" s="179">
        <f ca="1">VLOOKUP($B125,Model!$A$8:$G$289,7)</f>
        <v>0</v>
      </c>
      <c r="I125" s="133">
        <v>0</v>
      </c>
      <c r="J125" s="134">
        <f t="shared" si="40"/>
        <v>4.2050000000000001</v>
      </c>
      <c r="K125" s="140">
        <f t="shared" si="52"/>
        <v>0</v>
      </c>
      <c r="L125" s="136">
        <f>IF(Control!$C$25=Control!$B$26,J125,I125)+K125</f>
        <v>4.2050000000000001</v>
      </c>
      <c r="M125" s="133">
        <v>0</v>
      </c>
      <c r="N125" s="134">
        <f>VLOOKUP($B125,Curve_Fetch,VLOOKUP(Control!$F$25,Control!$E$26:$G$37,3))</f>
        <v>-7.0000000000000007E-2</v>
      </c>
      <c r="O125" s="140">
        <f t="shared" si="53"/>
        <v>0</v>
      </c>
      <c r="P125" s="136">
        <f>IF(Control!$C$30=Control!$B$31,N125,M125)+O125</f>
        <v>-7.0000000000000007E-2</v>
      </c>
      <c r="Q125" s="133">
        <v>0</v>
      </c>
      <c r="R125" s="134">
        <f>VLOOKUP($B125,Curve_Fetch,(VLOOKUP(Control!$F$25,Control!$E$26:$H$37,4)))</f>
        <v>5.0000000000000001E-3</v>
      </c>
      <c r="S125" s="140">
        <f t="shared" si="54"/>
        <v>0</v>
      </c>
      <c r="T125" s="136">
        <f>IF($C$12="Physical",IF(Control!$C$35=Control!$B$36,R125,Q125)+S125,0)</f>
        <v>0</v>
      </c>
      <c r="U125" s="176">
        <f t="shared" si="41"/>
        <v>4.1349999999999998</v>
      </c>
      <c r="V125" s="152"/>
      <c r="W125" s="192">
        <f>VLOOKUP($B125,Curve_Fetch,VLOOKUP(Control!$F$25,Control!$E$26:$I$37,5))</f>
        <v>0.19500000000000001</v>
      </c>
      <c r="X125" s="194">
        <f t="shared" si="55"/>
        <v>0</v>
      </c>
      <c r="Y125" s="194">
        <f t="shared" si="42"/>
        <v>0.19500000000000001</v>
      </c>
      <c r="Z125" s="140">
        <f t="shared" ca="1" si="56"/>
        <v>0.28657937898642949</v>
      </c>
      <c r="AA125" s="140">
        <f t="shared" ca="1" si="57"/>
        <v>4.4215793789864293</v>
      </c>
      <c r="AB125" s="203">
        <f ca="1">_xll.EURO($U125,AA125,VLOOKUP($B125,Curve_Fetch,2),VLOOKUP($B125,Curve_Fetch,2),Y125,VLOOKUP($B125,Model!$A$8:$H$288,8),1,0)</f>
        <v>0.53691435995725612</v>
      </c>
      <c r="AC125" s="134"/>
      <c r="AD125" s="192">
        <f>VLOOKUP($B125,Curve_Fetch,VLOOKUP(Control!$F$25,Control!$E$26:$I$37,5))</f>
        <v>0.19500000000000001</v>
      </c>
      <c r="AE125" s="194">
        <f t="shared" si="58"/>
        <v>0</v>
      </c>
      <c r="AF125" s="194">
        <f t="shared" si="43"/>
        <v>0.19500000000000001</v>
      </c>
      <c r="AG125" s="140">
        <f t="shared" si="44"/>
        <v>-0.20435881234430545</v>
      </c>
      <c r="AH125" s="140">
        <f t="shared" si="59"/>
        <v>3.9306411876556941</v>
      </c>
      <c r="AI125" s="203">
        <f>_xll.EURO($U125,AH125,VLOOKUP($B125,Curve_Fetch,2),VLOOKUP($B125,Curve_Fetch,2),AF125,VLOOKUP($B125,Model!$A$8:$H$288,8),0,0)</f>
        <v>0.52668799307114433</v>
      </c>
      <c r="AK125" s="137">
        <f t="shared" ca="1" si="45"/>
        <v>0</v>
      </c>
      <c r="AL125" s="138">
        <f t="shared" ca="1" si="46"/>
        <v>0</v>
      </c>
      <c r="AM125" s="138">
        <f t="shared" ca="1" si="47"/>
        <v>0</v>
      </c>
      <c r="AN125" s="138">
        <f t="shared" ca="1" si="48"/>
        <v>0</v>
      </c>
      <c r="AO125" s="138">
        <f t="shared" ca="1" si="49"/>
        <v>0</v>
      </c>
      <c r="AP125" s="138">
        <f t="shared" ca="1" si="50"/>
        <v>0</v>
      </c>
      <c r="AQ125" s="138">
        <f t="shared" si="60"/>
        <v>0</v>
      </c>
      <c r="AR125" s="139">
        <f t="shared" ca="1" si="51"/>
        <v>0</v>
      </c>
      <c r="AT125"/>
      <c r="AU125"/>
      <c r="AV125"/>
      <c r="AW125"/>
      <c r="AX125"/>
      <c r="AY125"/>
      <c r="AZ125"/>
      <c r="BA125"/>
    </row>
    <row r="126" spans="2:53">
      <c r="B126" s="131">
        <f>[1]!_xludf.edate(B125,1)</f>
        <v>40118</v>
      </c>
      <c r="C126" s="132">
        <f t="shared" si="39"/>
        <v>40148</v>
      </c>
      <c r="D126" s="159">
        <v>0</v>
      </c>
      <c r="E126" s="160">
        <f>VLOOKUP($B126,Model!$A$8:$E$289,5)</f>
        <v>0</v>
      </c>
      <c r="F126" s="160">
        <f>VLOOKUP($B126,Model!$A$8:$F$289,6)</f>
        <v>0</v>
      </c>
      <c r="G126" s="179">
        <f ca="1">VLOOKUP($B126,Model!$A$8:$G$289,7)</f>
        <v>0</v>
      </c>
      <c r="I126" s="133">
        <v>0</v>
      </c>
      <c r="J126" s="134">
        <f t="shared" si="40"/>
        <v>4.3650000000000002</v>
      </c>
      <c r="K126" s="140">
        <f t="shared" si="52"/>
        <v>0</v>
      </c>
      <c r="L126" s="136">
        <f>IF(Control!$C$25=Control!$B$26,J126,I126)+K126</f>
        <v>4.3650000000000002</v>
      </c>
      <c r="M126" s="133">
        <v>0</v>
      </c>
      <c r="N126" s="134">
        <f>VLOOKUP($B126,Curve_Fetch,VLOOKUP(Control!$F$25,Control!$E$26:$G$37,3))</f>
        <v>-7.0000000000000007E-2</v>
      </c>
      <c r="O126" s="140">
        <f t="shared" si="53"/>
        <v>0</v>
      </c>
      <c r="P126" s="136">
        <f>IF(Control!$C$30=Control!$B$31,N126,M126)+O126</f>
        <v>-7.0000000000000007E-2</v>
      </c>
      <c r="Q126" s="133">
        <v>0</v>
      </c>
      <c r="R126" s="134">
        <f>VLOOKUP($B126,Curve_Fetch,(VLOOKUP(Control!$F$25,Control!$E$26:$H$37,4)))</f>
        <v>5.0000000000000001E-3</v>
      </c>
      <c r="S126" s="140">
        <f t="shared" si="54"/>
        <v>0</v>
      </c>
      <c r="T126" s="136">
        <f>IF($C$12="Physical",IF(Control!$C$35=Control!$B$36,R126,Q126)+S126,0)</f>
        <v>0</v>
      </c>
      <c r="U126" s="176">
        <f t="shared" si="41"/>
        <v>4.2949999999999999</v>
      </c>
      <c r="V126" s="152"/>
      <c r="W126" s="192">
        <f>VLOOKUP($B126,Curve_Fetch,VLOOKUP(Control!$F$25,Control!$E$26:$I$37,5))</f>
        <v>0.19500000000000001</v>
      </c>
      <c r="X126" s="194">
        <f t="shared" si="55"/>
        <v>0</v>
      </c>
      <c r="Y126" s="194">
        <f t="shared" si="42"/>
        <v>0.19500000000000001</v>
      </c>
      <c r="Z126" s="140">
        <f t="shared" ca="1" si="56"/>
        <v>0.28657937898642949</v>
      </c>
      <c r="AA126" s="140">
        <f t="shared" ca="1" si="57"/>
        <v>4.5815793789864294</v>
      </c>
      <c r="AB126" s="203">
        <f ca="1">_xll.EURO($U126,AA126,VLOOKUP($B126,Curve_Fetch,2),VLOOKUP($B126,Curve_Fetch,2),Y126,VLOOKUP($B126,Model!$A$8:$H$288,8),1,0)</f>
        <v>0.56092218322145659</v>
      </c>
      <c r="AC126" s="134"/>
      <c r="AD126" s="192">
        <f>VLOOKUP($B126,Curve_Fetch,VLOOKUP(Control!$F$25,Control!$E$26:$I$37,5))</f>
        <v>0.19500000000000001</v>
      </c>
      <c r="AE126" s="194">
        <f t="shared" si="58"/>
        <v>0</v>
      </c>
      <c r="AF126" s="194">
        <f t="shared" si="43"/>
        <v>0.19500000000000001</v>
      </c>
      <c r="AG126" s="140">
        <f t="shared" si="44"/>
        <v>-0.20435881234430545</v>
      </c>
      <c r="AH126" s="140">
        <f t="shared" si="59"/>
        <v>4.0906411876556943</v>
      </c>
      <c r="AI126" s="203">
        <f>_xll.EURO($U126,AH126,VLOOKUP($B126,Curve_Fetch,2),VLOOKUP($B126,Curve_Fetch,2),AF126,VLOOKUP($B126,Model!$A$8:$H$288,8),0,0)</f>
        <v>0.55064022623970921</v>
      </c>
      <c r="AK126" s="137">
        <f t="shared" ca="1" si="45"/>
        <v>0</v>
      </c>
      <c r="AL126" s="138">
        <f t="shared" ca="1" si="46"/>
        <v>0</v>
      </c>
      <c r="AM126" s="138">
        <f t="shared" ca="1" si="47"/>
        <v>0</v>
      </c>
      <c r="AN126" s="138">
        <f t="shared" ca="1" si="48"/>
        <v>0</v>
      </c>
      <c r="AO126" s="138">
        <f t="shared" ca="1" si="49"/>
        <v>0</v>
      </c>
      <c r="AP126" s="138">
        <f t="shared" ca="1" si="50"/>
        <v>0</v>
      </c>
      <c r="AQ126" s="138">
        <f t="shared" si="60"/>
        <v>0</v>
      </c>
      <c r="AR126" s="139">
        <f t="shared" ca="1" si="51"/>
        <v>0</v>
      </c>
      <c r="AT126"/>
      <c r="AU126"/>
      <c r="AV126"/>
      <c r="AW126"/>
      <c r="AX126"/>
      <c r="AY126"/>
      <c r="AZ126"/>
      <c r="BA126"/>
    </row>
    <row r="127" spans="2:53">
      <c r="B127" s="131">
        <f>[1]!_xludf.edate(B126,1)</f>
        <v>40148</v>
      </c>
      <c r="C127" s="132">
        <f t="shared" ref="C127:C158" si="61">IF($C$12="Physical",B128+24,B128)</f>
        <v>40179</v>
      </c>
      <c r="D127" s="159">
        <v>0</v>
      </c>
      <c r="E127" s="160">
        <f>VLOOKUP($B127,Model!$A$8:$E$289,5)</f>
        <v>0</v>
      </c>
      <c r="F127" s="160">
        <f>VLOOKUP($B127,Model!$A$8:$F$289,6)</f>
        <v>0</v>
      </c>
      <c r="G127" s="179">
        <f ca="1">VLOOKUP($B127,Model!$A$8:$G$289,7)</f>
        <v>0</v>
      </c>
      <c r="I127" s="133">
        <v>0</v>
      </c>
      <c r="J127" s="134">
        <f t="shared" ref="J127:J158" si="62">VLOOKUP($B127,Curve_Fetch,3)</f>
        <v>4.5190000000000001</v>
      </c>
      <c r="K127" s="140">
        <f t="shared" si="52"/>
        <v>0</v>
      </c>
      <c r="L127" s="136">
        <f>IF(Control!$C$25=Control!$B$26,J127,I127)+K127</f>
        <v>4.5190000000000001</v>
      </c>
      <c r="M127" s="133">
        <v>0</v>
      </c>
      <c r="N127" s="134">
        <f>VLOOKUP($B127,Curve_Fetch,VLOOKUP(Control!$F$25,Control!$E$26:$G$37,3))</f>
        <v>-7.0000000000000007E-2</v>
      </c>
      <c r="O127" s="140">
        <f t="shared" si="53"/>
        <v>0</v>
      </c>
      <c r="P127" s="136">
        <f>IF(Control!$C$30=Control!$B$31,N127,M127)+O127</f>
        <v>-7.0000000000000007E-2</v>
      </c>
      <c r="Q127" s="133">
        <v>0</v>
      </c>
      <c r="R127" s="134">
        <f>VLOOKUP($B127,Curve_Fetch,(VLOOKUP(Control!$F$25,Control!$E$26:$H$37,4)))</f>
        <v>5.0000000000000001E-3</v>
      </c>
      <c r="S127" s="140">
        <f t="shared" si="54"/>
        <v>0</v>
      </c>
      <c r="T127" s="136">
        <f>IF($C$12="Physical",IF(Control!$C$35=Control!$B$36,R127,Q127)+S127,0)</f>
        <v>0</v>
      </c>
      <c r="U127" s="176">
        <f t="shared" ref="U127:U158" si="63">IF($C$12="Financial",L127+P127,L127+P127+T127)</f>
        <v>4.4489999999999998</v>
      </c>
      <c r="V127" s="152"/>
      <c r="W127" s="192">
        <f>VLOOKUP($B127,Curve_Fetch,VLOOKUP(Control!$F$25,Control!$E$26:$I$37,5))</f>
        <v>0.19500000000000001</v>
      </c>
      <c r="X127" s="194">
        <f t="shared" si="55"/>
        <v>0</v>
      </c>
      <c r="Y127" s="194">
        <f t="shared" ref="Y127:Y158" si="64">W127+X127</f>
        <v>0.19500000000000001</v>
      </c>
      <c r="Z127" s="140">
        <f t="shared" ca="1" si="56"/>
        <v>0.28657937898642949</v>
      </c>
      <c r="AA127" s="140">
        <f t="shared" ca="1" si="57"/>
        <v>4.7355793789864293</v>
      </c>
      <c r="AB127" s="203">
        <f ca="1">_xll.EURO($U127,AA127,VLOOKUP($B127,Curve_Fetch,2),VLOOKUP($B127,Curve_Fetch,2),Y127,VLOOKUP($B127,Model!$A$8:$H$288,8),1,0)</f>
        <v>0.58401115852504804</v>
      </c>
      <c r="AC127" s="134"/>
      <c r="AD127" s="192">
        <f>VLOOKUP($B127,Curve_Fetch,VLOOKUP(Control!$F$25,Control!$E$26:$I$37,5))</f>
        <v>0.19500000000000001</v>
      </c>
      <c r="AE127" s="194">
        <f t="shared" si="58"/>
        <v>0</v>
      </c>
      <c r="AF127" s="194">
        <f t="shared" si="43"/>
        <v>0.19500000000000001</v>
      </c>
      <c r="AG127" s="140">
        <f t="shared" ref="AG127:AG158" si="65">$C$15</f>
        <v>-0.20435881234430545</v>
      </c>
      <c r="AH127" s="140">
        <f t="shared" si="59"/>
        <v>4.2446411876556942</v>
      </c>
      <c r="AI127" s="203">
        <f>_xll.EURO($U127,AH127,VLOOKUP($B127,Curve_Fetch,2),VLOOKUP($B127,Curve_Fetch,2),AF127,VLOOKUP($B127,Model!$A$8:$H$288,8),0,0)</f>
        <v>0.57367187747804782</v>
      </c>
      <c r="AK127" s="137">
        <f t="shared" ref="AK127:AK158" ca="1" si="66">$G127*L127</f>
        <v>0</v>
      </c>
      <c r="AL127" s="138">
        <f t="shared" ref="AL127:AL158" ca="1" si="67">$G127*P127</f>
        <v>0</v>
      </c>
      <c r="AM127" s="138">
        <f t="shared" ref="AM127:AM158" ca="1" si="68">$G127*T127</f>
        <v>0</v>
      </c>
      <c r="AN127" s="138">
        <f t="shared" ref="AN127:AN158" ca="1" si="69">$G127*U127</f>
        <v>0</v>
      </c>
      <c r="AO127" s="138">
        <f t="shared" ref="AO127:AO158" ca="1" si="70">$G127*AA127</f>
        <v>0</v>
      </c>
      <c r="AP127" s="138">
        <f t="shared" ref="AP127:AP158" ca="1" si="71">$G127*AH127</f>
        <v>0</v>
      </c>
      <c r="AQ127" s="138">
        <f t="shared" si="60"/>
        <v>0</v>
      </c>
      <c r="AR127" s="139">
        <f t="shared" ref="AR127:AR158" ca="1" si="72">$F127*AB127</f>
        <v>0</v>
      </c>
      <c r="AT127"/>
      <c r="AU127"/>
      <c r="AV127"/>
      <c r="AW127"/>
      <c r="AX127"/>
      <c r="AY127"/>
      <c r="AZ127"/>
      <c r="BA127"/>
    </row>
    <row r="128" spans="2:53">
      <c r="B128" s="131">
        <f>[1]!_xludf.edate(B127,1)</f>
        <v>40179</v>
      </c>
      <c r="C128" s="132">
        <f t="shared" si="61"/>
        <v>40210</v>
      </c>
      <c r="D128" s="159">
        <v>0</v>
      </c>
      <c r="E128" s="160">
        <f>VLOOKUP($B128,Model!$A$8:$E$289,5)</f>
        <v>0</v>
      </c>
      <c r="F128" s="160">
        <f>VLOOKUP($B128,Model!$A$8:$F$289,6)</f>
        <v>0</v>
      </c>
      <c r="G128" s="179">
        <f ca="1">VLOOKUP($B128,Model!$A$8:$G$289,7)</f>
        <v>0</v>
      </c>
      <c r="I128" s="133">
        <v>0</v>
      </c>
      <c r="J128" s="134">
        <f t="shared" si="62"/>
        <v>4.5664999999999996</v>
      </c>
      <c r="K128" s="140">
        <f t="shared" ref="K128:K159" si="73">K127</f>
        <v>0</v>
      </c>
      <c r="L128" s="136">
        <f>IF(Control!$C$25=Control!$B$26,J128,I128)+K128</f>
        <v>4.5664999999999996</v>
      </c>
      <c r="M128" s="133">
        <v>0</v>
      </c>
      <c r="N128" s="134">
        <f>VLOOKUP($B128,Curve_Fetch,VLOOKUP(Control!$F$25,Control!$E$26:$G$37,3))</f>
        <v>-7.0000000000000007E-2</v>
      </c>
      <c r="O128" s="140">
        <f t="shared" ref="O128:O159" si="74">O127</f>
        <v>0</v>
      </c>
      <c r="P128" s="136">
        <f>IF(Control!$C$30=Control!$B$31,N128,M128)+O128</f>
        <v>-7.0000000000000007E-2</v>
      </c>
      <c r="Q128" s="133">
        <v>0</v>
      </c>
      <c r="R128" s="134">
        <f>VLOOKUP($B128,Curve_Fetch,(VLOOKUP(Control!$F$25,Control!$E$26:$H$37,4)))</f>
        <v>5.0000000000000001E-3</v>
      </c>
      <c r="S128" s="140">
        <f t="shared" ref="S128:S159" si="75">S127</f>
        <v>0</v>
      </c>
      <c r="T128" s="136">
        <f>IF($C$12="Physical",IF(Control!$C$35=Control!$B$36,R128,Q128)+S128,0)</f>
        <v>0</v>
      </c>
      <c r="U128" s="176">
        <f t="shared" si="63"/>
        <v>4.4964999999999993</v>
      </c>
      <c r="V128" s="152"/>
      <c r="W128" s="192">
        <f>VLOOKUP($B128,Curve_Fetch,VLOOKUP(Control!$F$25,Control!$E$26:$I$37,5))</f>
        <v>0.19500000000000001</v>
      </c>
      <c r="X128" s="194">
        <f t="shared" ref="X128:X159" si="76">X127</f>
        <v>0</v>
      </c>
      <c r="Y128" s="194">
        <f t="shared" si="64"/>
        <v>0.19500000000000001</v>
      </c>
      <c r="Z128" s="140">
        <f t="shared" ref="Z128:Z159" ca="1" si="77">Z127</f>
        <v>0.28657937898642949</v>
      </c>
      <c r="AA128" s="140">
        <f t="shared" ca="1" si="57"/>
        <v>4.7830793789864288</v>
      </c>
      <c r="AB128" s="203">
        <f ca="1">_xll.EURO($U128,AA128,VLOOKUP($B128,Curve_Fetch,2),VLOOKUP($B128,Curve_Fetch,2),Y128,VLOOKUP($B128,Model!$A$8:$H$288,8),1,0)</f>
        <v>0.59148838771720746</v>
      </c>
      <c r="AC128" s="134"/>
      <c r="AD128" s="192">
        <f>VLOOKUP($B128,Curve_Fetch,VLOOKUP(Control!$F$25,Control!$E$26:$I$37,5))</f>
        <v>0.19500000000000001</v>
      </c>
      <c r="AE128" s="194">
        <f t="shared" si="58"/>
        <v>0</v>
      </c>
      <c r="AF128" s="194">
        <f t="shared" si="43"/>
        <v>0.19500000000000001</v>
      </c>
      <c r="AG128" s="140">
        <f t="shared" si="65"/>
        <v>-0.20435881234430545</v>
      </c>
      <c r="AH128" s="140">
        <f t="shared" si="59"/>
        <v>4.2921411876556936</v>
      </c>
      <c r="AI128" s="203">
        <f>_xll.EURO($U128,AH128,VLOOKUP($B128,Curve_Fetch,2),VLOOKUP($B128,Curve_Fetch,2),AF128,VLOOKUP($B128,Model!$A$8:$H$288,8),0,0)</f>
        <v>0.58104551466987697</v>
      </c>
      <c r="AK128" s="137">
        <f t="shared" ca="1" si="66"/>
        <v>0</v>
      </c>
      <c r="AL128" s="138">
        <f t="shared" ca="1" si="67"/>
        <v>0</v>
      </c>
      <c r="AM128" s="138">
        <f t="shared" ca="1" si="68"/>
        <v>0</v>
      </c>
      <c r="AN128" s="138">
        <f t="shared" ca="1" si="69"/>
        <v>0</v>
      </c>
      <c r="AO128" s="138">
        <f t="shared" ca="1" si="70"/>
        <v>0</v>
      </c>
      <c r="AP128" s="138">
        <f t="shared" ca="1" si="71"/>
        <v>0</v>
      </c>
      <c r="AQ128" s="138">
        <f t="shared" si="60"/>
        <v>0</v>
      </c>
      <c r="AR128" s="139">
        <f t="shared" ca="1" si="72"/>
        <v>0</v>
      </c>
      <c r="AT128"/>
      <c r="AU128"/>
      <c r="AV128"/>
      <c r="AW128"/>
      <c r="AX128"/>
      <c r="AY128"/>
      <c r="AZ128"/>
      <c r="BA128"/>
    </row>
    <row r="129" spans="2:53">
      <c r="B129" s="131">
        <f>[1]!_xludf.edate(B128,1)</f>
        <v>40210</v>
      </c>
      <c r="C129" s="132">
        <f t="shared" si="61"/>
        <v>40238</v>
      </c>
      <c r="D129" s="159">
        <v>0</v>
      </c>
      <c r="E129" s="160">
        <f>VLOOKUP($B129,Model!$A$8:$E$289,5)</f>
        <v>0</v>
      </c>
      <c r="F129" s="160">
        <f>VLOOKUP($B129,Model!$A$8:$F$289,6)</f>
        <v>0</v>
      </c>
      <c r="G129" s="179">
        <f ca="1">VLOOKUP($B129,Model!$A$8:$G$289,7)</f>
        <v>0</v>
      </c>
      <c r="I129" s="133">
        <v>0</v>
      </c>
      <c r="J129" s="134">
        <f t="shared" si="62"/>
        <v>4.4785000000000004</v>
      </c>
      <c r="K129" s="140">
        <f t="shared" si="73"/>
        <v>0</v>
      </c>
      <c r="L129" s="136">
        <f>IF(Control!$C$25=Control!$B$26,J129,I129)+K129</f>
        <v>4.4785000000000004</v>
      </c>
      <c r="M129" s="133">
        <v>0</v>
      </c>
      <c r="N129" s="134">
        <f>VLOOKUP($B129,Curve_Fetch,VLOOKUP(Control!$F$25,Control!$E$26:$G$37,3))</f>
        <v>-7.0000000000000007E-2</v>
      </c>
      <c r="O129" s="140">
        <f t="shared" si="74"/>
        <v>0</v>
      </c>
      <c r="P129" s="136">
        <f>IF(Control!$C$30=Control!$B$31,N129,M129)+O129</f>
        <v>-7.0000000000000007E-2</v>
      </c>
      <c r="Q129" s="133">
        <v>0</v>
      </c>
      <c r="R129" s="134">
        <f>VLOOKUP($B129,Curve_Fetch,(VLOOKUP(Control!$F$25,Control!$E$26:$H$37,4)))</f>
        <v>5.0000000000000001E-3</v>
      </c>
      <c r="S129" s="140">
        <f t="shared" si="75"/>
        <v>0</v>
      </c>
      <c r="T129" s="136">
        <f>IF($C$12="Physical",IF(Control!$C$35=Control!$B$36,R129,Q129)+S129,0)</f>
        <v>0</v>
      </c>
      <c r="U129" s="176">
        <f t="shared" si="63"/>
        <v>4.4085000000000001</v>
      </c>
      <c r="V129" s="152"/>
      <c r="W129" s="192">
        <f>VLOOKUP($B129,Curve_Fetch,VLOOKUP(Control!$F$25,Control!$E$26:$I$37,5))</f>
        <v>0.19</v>
      </c>
      <c r="X129" s="194">
        <f t="shared" si="76"/>
        <v>0</v>
      </c>
      <c r="Y129" s="194">
        <f t="shared" si="64"/>
        <v>0.19</v>
      </c>
      <c r="Z129" s="140">
        <f t="shared" ca="1" si="77"/>
        <v>0.28657937898642949</v>
      </c>
      <c r="AA129" s="140">
        <f t="shared" ca="1" si="57"/>
        <v>4.6950793789864296</v>
      </c>
      <c r="AB129" s="203">
        <f ca="1">_xll.EURO($U129,AA129,VLOOKUP($B129,Curve_Fetch,2),VLOOKUP($B129,Curve_Fetch,2),Y129,VLOOKUP($B129,Model!$A$8:$H$288,8),1,0)</f>
        <v>0.56241775306167874</v>
      </c>
      <c r="AC129" s="134"/>
      <c r="AD129" s="192">
        <f>VLOOKUP($B129,Curve_Fetch,VLOOKUP(Control!$F$25,Control!$E$26:$I$37,5))</f>
        <v>0.19</v>
      </c>
      <c r="AE129" s="194">
        <f t="shared" si="58"/>
        <v>0</v>
      </c>
      <c r="AF129" s="194">
        <f t="shared" si="43"/>
        <v>0.19</v>
      </c>
      <c r="AG129" s="140">
        <f t="shared" si="65"/>
        <v>-0.20435881234430545</v>
      </c>
      <c r="AH129" s="140">
        <f t="shared" si="59"/>
        <v>4.2041411876556944</v>
      </c>
      <c r="AI129" s="203">
        <f>_xll.EURO($U129,AH129,VLOOKUP($B129,Curve_Fetch,2),VLOOKUP($B129,Curve_Fetch,2),AF129,VLOOKUP($B129,Model!$A$8:$H$288,8),0,0)</f>
        <v>0.55267198029233611</v>
      </c>
      <c r="AK129" s="137">
        <f t="shared" ca="1" si="66"/>
        <v>0</v>
      </c>
      <c r="AL129" s="138">
        <f t="shared" ca="1" si="67"/>
        <v>0</v>
      </c>
      <c r="AM129" s="138">
        <f t="shared" ca="1" si="68"/>
        <v>0</v>
      </c>
      <c r="AN129" s="138">
        <f t="shared" ca="1" si="69"/>
        <v>0</v>
      </c>
      <c r="AO129" s="138">
        <f t="shared" ca="1" si="70"/>
        <v>0</v>
      </c>
      <c r="AP129" s="138">
        <f t="shared" ca="1" si="71"/>
        <v>0</v>
      </c>
      <c r="AQ129" s="138">
        <f t="shared" si="60"/>
        <v>0</v>
      </c>
      <c r="AR129" s="139">
        <f t="shared" ca="1" si="72"/>
        <v>0</v>
      </c>
      <c r="AT129"/>
      <c r="AU129"/>
      <c r="AV129"/>
      <c r="AW129"/>
      <c r="AX129"/>
      <c r="AY129"/>
      <c r="AZ129"/>
      <c r="BA129"/>
    </row>
    <row r="130" spans="2:53">
      <c r="B130" s="131">
        <f>[1]!_xludf.edate(B129,1)</f>
        <v>40238</v>
      </c>
      <c r="C130" s="132">
        <f t="shared" si="61"/>
        <v>40269</v>
      </c>
      <c r="D130" s="159">
        <v>0</v>
      </c>
      <c r="E130" s="160">
        <f>VLOOKUP($B130,Model!$A$8:$E$289,5)</f>
        <v>0</v>
      </c>
      <c r="F130" s="160">
        <f>VLOOKUP($B130,Model!$A$8:$F$289,6)</f>
        <v>0</v>
      </c>
      <c r="G130" s="179">
        <f ca="1">VLOOKUP($B130,Model!$A$8:$G$289,7)</f>
        <v>0</v>
      </c>
      <c r="I130" s="133">
        <v>0</v>
      </c>
      <c r="J130" s="134">
        <f t="shared" si="62"/>
        <v>4.3395000000000001</v>
      </c>
      <c r="K130" s="140">
        <f t="shared" si="73"/>
        <v>0</v>
      </c>
      <c r="L130" s="136">
        <f>IF(Control!$C$25=Control!$B$26,J130,I130)+K130</f>
        <v>4.3395000000000001</v>
      </c>
      <c r="M130" s="133">
        <v>0</v>
      </c>
      <c r="N130" s="134">
        <f>VLOOKUP($B130,Curve_Fetch,VLOOKUP(Control!$F$25,Control!$E$26:$G$37,3))</f>
        <v>-7.0000000000000007E-2</v>
      </c>
      <c r="O130" s="140">
        <f t="shared" si="74"/>
        <v>0</v>
      </c>
      <c r="P130" s="136">
        <f>IF(Control!$C$30=Control!$B$31,N130,M130)+O130</f>
        <v>-7.0000000000000007E-2</v>
      </c>
      <c r="Q130" s="133">
        <v>0</v>
      </c>
      <c r="R130" s="134">
        <f>VLOOKUP($B130,Curve_Fetch,(VLOOKUP(Control!$F$25,Control!$E$26:$H$37,4)))</f>
        <v>5.0000000000000001E-3</v>
      </c>
      <c r="S130" s="140">
        <f t="shared" si="75"/>
        <v>0</v>
      </c>
      <c r="T130" s="136">
        <f>IF($C$12="Physical",IF(Control!$C$35=Control!$B$36,R130,Q130)+S130,0)</f>
        <v>0</v>
      </c>
      <c r="U130" s="176">
        <f t="shared" si="63"/>
        <v>4.2694999999999999</v>
      </c>
      <c r="V130" s="152"/>
      <c r="W130" s="192">
        <f>VLOOKUP($B130,Curve_Fetch,VLOOKUP(Control!$F$25,Control!$E$26:$I$37,5))</f>
        <v>0.188</v>
      </c>
      <c r="X130" s="194">
        <f t="shared" si="76"/>
        <v>0</v>
      </c>
      <c r="Y130" s="194">
        <f t="shared" si="64"/>
        <v>0.188</v>
      </c>
      <c r="Z130" s="140">
        <f t="shared" ca="1" si="77"/>
        <v>0.28657937898642949</v>
      </c>
      <c r="AA130" s="140">
        <f t="shared" ca="1" si="57"/>
        <v>4.5560793789864293</v>
      </c>
      <c r="AB130" s="203">
        <f ca="1">_xll.EURO($U130,AA130,VLOOKUP($B130,Curve_Fetch,2),VLOOKUP($B130,Curve_Fetch,2),Y130,VLOOKUP($B130,Model!$A$8:$H$288,8),1,0)</f>
        <v>0.53650600380333069</v>
      </c>
      <c r="AC130" s="134"/>
      <c r="AD130" s="192">
        <f>VLOOKUP($B130,Curve_Fetch,VLOOKUP(Control!$F$25,Control!$E$26:$I$37,5))</f>
        <v>0.188</v>
      </c>
      <c r="AE130" s="194">
        <f t="shared" si="58"/>
        <v>0</v>
      </c>
      <c r="AF130" s="194">
        <f t="shared" si="43"/>
        <v>0.188</v>
      </c>
      <c r="AG130" s="140">
        <f t="shared" si="65"/>
        <v>-0.20435881234430545</v>
      </c>
      <c r="AH130" s="140">
        <f t="shared" si="59"/>
        <v>4.0651411876556942</v>
      </c>
      <c r="AI130" s="203">
        <f>_xll.EURO($U130,AH130,VLOOKUP($B130,Curve_Fetch,2),VLOOKUP($B130,Curve_Fetch,2),AF130,VLOOKUP($B130,Model!$A$8:$H$288,8),0,0)</f>
        <v>0.52693740403150757</v>
      </c>
      <c r="AK130" s="137">
        <f t="shared" ca="1" si="66"/>
        <v>0</v>
      </c>
      <c r="AL130" s="138">
        <f t="shared" ca="1" si="67"/>
        <v>0</v>
      </c>
      <c r="AM130" s="138">
        <f t="shared" ca="1" si="68"/>
        <v>0</v>
      </c>
      <c r="AN130" s="138">
        <f t="shared" ca="1" si="69"/>
        <v>0</v>
      </c>
      <c r="AO130" s="138">
        <f t="shared" ca="1" si="70"/>
        <v>0</v>
      </c>
      <c r="AP130" s="138">
        <f t="shared" ca="1" si="71"/>
        <v>0</v>
      </c>
      <c r="AQ130" s="138">
        <f t="shared" si="60"/>
        <v>0</v>
      </c>
      <c r="AR130" s="139">
        <f t="shared" ca="1" si="72"/>
        <v>0</v>
      </c>
      <c r="AT130"/>
      <c r="AU130"/>
      <c r="AV130"/>
      <c r="AW130"/>
      <c r="AX130"/>
      <c r="AY130"/>
      <c r="AZ130"/>
      <c r="BA130"/>
    </row>
    <row r="131" spans="2:53">
      <c r="B131" s="131">
        <f>[1]!_xludf.edate(B130,1)</f>
        <v>40269</v>
      </c>
      <c r="C131" s="132">
        <f t="shared" si="61"/>
        <v>40299</v>
      </c>
      <c r="D131" s="159">
        <v>0</v>
      </c>
      <c r="E131" s="160">
        <f>VLOOKUP($B131,Model!$A$8:$E$289,5)</f>
        <v>0</v>
      </c>
      <c r="F131" s="160">
        <f>VLOOKUP($B131,Model!$A$8:$F$289,6)</f>
        <v>0</v>
      </c>
      <c r="G131" s="179">
        <f ca="1">VLOOKUP($B131,Model!$A$8:$G$289,7)</f>
        <v>0</v>
      </c>
      <c r="I131" s="133">
        <v>0</v>
      </c>
      <c r="J131" s="134">
        <f t="shared" si="62"/>
        <v>4.1855000000000002</v>
      </c>
      <c r="K131" s="140">
        <f t="shared" si="73"/>
        <v>0</v>
      </c>
      <c r="L131" s="136">
        <f>IF(Control!$C$25=Control!$B$26,J131,I131)+K131</f>
        <v>4.1855000000000002</v>
      </c>
      <c r="M131" s="133">
        <v>0</v>
      </c>
      <c r="N131" s="134">
        <f>VLOOKUP($B131,Curve_Fetch,VLOOKUP(Control!$F$25,Control!$E$26:$G$37,3))</f>
        <v>-7.0000000000000007E-2</v>
      </c>
      <c r="O131" s="140">
        <f t="shared" si="74"/>
        <v>0</v>
      </c>
      <c r="P131" s="136">
        <f>IF(Control!$C$30=Control!$B$31,N131,M131)+O131</f>
        <v>-7.0000000000000007E-2</v>
      </c>
      <c r="Q131" s="133">
        <v>0</v>
      </c>
      <c r="R131" s="134">
        <f>VLOOKUP($B131,Curve_Fetch,(VLOOKUP(Control!$F$25,Control!$E$26:$H$37,4)))</f>
        <v>5.0000000000000001E-3</v>
      </c>
      <c r="S131" s="140">
        <f t="shared" si="75"/>
        <v>0</v>
      </c>
      <c r="T131" s="136">
        <f>IF($C$12="Physical",IF(Control!$C$35=Control!$B$36,R131,Q131)+S131,0)</f>
        <v>0</v>
      </c>
      <c r="U131" s="176">
        <f t="shared" si="63"/>
        <v>4.1154999999999999</v>
      </c>
      <c r="V131" s="152"/>
      <c r="W131" s="192">
        <f>VLOOKUP($B131,Curve_Fetch,VLOOKUP(Control!$F$25,Control!$E$26:$I$37,5))</f>
        <v>0.185</v>
      </c>
      <c r="X131" s="194">
        <f t="shared" si="76"/>
        <v>0</v>
      </c>
      <c r="Y131" s="194">
        <f t="shared" si="64"/>
        <v>0.185</v>
      </c>
      <c r="Z131" s="140">
        <f t="shared" ca="1" si="77"/>
        <v>0.28657937898642949</v>
      </c>
      <c r="AA131" s="140">
        <f t="shared" ca="1" si="57"/>
        <v>4.4020793789864294</v>
      </c>
      <c r="AB131" s="203">
        <f ca="1">_xll.EURO($U131,AA131,VLOOKUP($B131,Curve_Fetch,2),VLOOKUP($B131,Curve_Fetch,2),Y131,VLOOKUP($B131,Model!$A$8:$H$288,8),1,0)</f>
        <v>0.50580009588031238</v>
      </c>
      <c r="AC131" s="134"/>
      <c r="AD131" s="192">
        <f>VLOOKUP($B131,Curve_Fetch,VLOOKUP(Control!$F$25,Control!$E$26:$I$37,5))</f>
        <v>0.185</v>
      </c>
      <c r="AE131" s="194">
        <f t="shared" si="58"/>
        <v>0</v>
      </c>
      <c r="AF131" s="194">
        <f t="shared" si="43"/>
        <v>0.185</v>
      </c>
      <c r="AG131" s="140">
        <f t="shared" si="65"/>
        <v>-0.20435881234430545</v>
      </c>
      <c r="AH131" s="140">
        <f t="shared" si="59"/>
        <v>3.9111411876556943</v>
      </c>
      <c r="AI131" s="203">
        <f>_xll.EURO($U131,AH131,VLOOKUP($B131,Curve_Fetch,2),VLOOKUP($B131,Curve_Fetch,2),AF131,VLOOKUP($B131,Model!$A$8:$H$288,8),0,0)</f>
        <v>0.49655852131806877</v>
      </c>
      <c r="AK131" s="137">
        <f t="shared" ca="1" si="66"/>
        <v>0</v>
      </c>
      <c r="AL131" s="138">
        <f t="shared" ca="1" si="67"/>
        <v>0</v>
      </c>
      <c r="AM131" s="138">
        <f t="shared" ca="1" si="68"/>
        <v>0</v>
      </c>
      <c r="AN131" s="138">
        <f t="shared" ca="1" si="69"/>
        <v>0</v>
      </c>
      <c r="AO131" s="138">
        <f t="shared" ca="1" si="70"/>
        <v>0</v>
      </c>
      <c r="AP131" s="138">
        <f t="shared" ca="1" si="71"/>
        <v>0</v>
      </c>
      <c r="AQ131" s="138">
        <f t="shared" si="60"/>
        <v>0</v>
      </c>
      <c r="AR131" s="139">
        <f t="shared" ca="1" si="72"/>
        <v>0</v>
      </c>
      <c r="AT131"/>
      <c r="AU131"/>
      <c r="AV131"/>
      <c r="AW131"/>
      <c r="AX131"/>
      <c r="AY131"/>
      <c r="AZ131"/>
      <c r="BA131"/>
    </row>
    <row r="132" spans="2:53">
      <c r="B132" s="131">
        <f>[1]!_xludf.edate(B131,1)</f>
        <v>40299</v>
      </c>
      <c r="C132" s="132">
        <f t="shared" si="61"/>
        <v>40330</v>
      </c>
      <c r="D132" s="159">
        <v>0</v>
      </c>
      <c r="E132" s="160">
        <f>VLOOKUP($B132,Model!$A$8:$E$289,5)</f>
        <v>0</v>
      </c>
      <c r="F132" s="160">
        <f>VLOOKUP($B132,Model!$A$8:$F$289,6)</f>
        <v>0</v>
      </c>
      <c r="G132" s="179">
        <f ca="1">VLOOKUP($B132,Model!$A$8:$G$289,7)</f>
        <v>0</v>
      </c>
      <c r="I132" s="133">
        <v>0</v>
      </c>
      <c r="J132" s="134">
        <f t="shared" si="62"/>
        <v>4.1894999999999998</v>
      </c>
      <c r="K132" s="140">
        <f t="shared" si="73"/>
        <v>0</v>
      </c>
      <c r="L132" s="136">
        <f>IF(Control!$C$25=Control!$B$26,J132,I132)+K132</f>
        <v>4.1894999999999998</v>
      </c>
      <c r="M132" s="133">
        <v>0</v>
      </c>
      <c r="N132" s="134">
        <f>VLOOKUP($B132,Curve_Fetch,VLOOKUP(Control!$F$25,Control!$E$26:$G$37,3))</f>
        <v>-7.0000000000000007E-2</v>
      </c>
      <c r="O132" s="140">
        <f t="shared" si="74"/>
        <v>0</v>
      </c>
      <c r="P132" s="136">
        <f>IF(Control!$C$30=Control!$B$31,N132,M132)+O132</f>
        <v>-7.0000000000000007E-2</v>
      </c>
      <c r="Q132" s="133">
        <v>0</v>
      </c>
      <c r="R132" s="134">
        <f>VLOOKUP($B132,Curve_Fetch,(VLOOKUP(Control!$F$25,Control!$E$26:$H$37,4)))</f>
        <v>5.0000000000000001E-3</v>
      </c>
      <c r="S132" s="140">
        <f t="shared" si="75"/>
        <v>0</v>
      </c>
      <c r="T132" s="136">
        <f>IF($C$12="Physical",IF(Control!$C$35=Control!$B$36,R132,Q132)+S132,0)</f>
        <v>0</v>
      </c>
      <c r="U132" s="176">
        <f t="shared" si="63"/>
        <v>4.1194999999999995</v>
      </c>
      <c r="V132" s="152"/>
      <c r="W132" s="192">
        <f>VLOOKUP($B132,Curve_Fetch,VLOOKUP(Control!$F$25,Control!$E$26:$I$37,5))</f>
        <v>0.185</v>
      </c>
      <c r="X132" s="194">
        <f t="shared" si="76"/>
        <v>0</v>
      </c>
      <c r="Y132" s="194">
        <f t="shared" si="64"/>
        <v>0.185</v>
      </c>
      <c r="Z132" s="140">
        <f t="shared" ca="1" si="77"/>
        <v>0.28657937898642949</v>
      </c>
      <c r="AA132" s="140">
        <f t="shared" ca="1" si="57"/>
        <v>4.406079378986429</v>
      </c>
      <c r="AB132" s="203">
        <f ca="1">_xll.EURO($U132,AA132,VLOOKUP($B132,Curve_Fetch,2),VLOOKUP($B132,Curve_Fetch,2),Y132,VLOOKUP($B132,Model!$A$8:$H$288,8),1,0)</f>
        <v>0.50669385019420154</v>
      </c>
      <c r="AC132" s="134"/>
      <c r="AD132" s="192">
        <f>VLOOKUP($B132,Curve_Fetch,VLOOKUP(Control!$F$25,Control!$E$26:$I$37,5))</f>
        <v>0.185</v>
      </c>
      <c r="AE132" s="194">
        <f t="shared" si="58"/>
        <v>0</v>
      </c>
      <c r="AF132" s="194">
        <f t="shared" si="43"/>
        <v>0.185</v>
      </c>
      <c r="AG132" s="140">
        <f t="shared" si="65"/>
        <v>-0.20435881234430545</v>
      </c>
      <c r="AH132" s="140">
        <f t="shared" si="59"/>
        <v>3.9151411876556939</v>
      </c>
      <c r="AI132" s="203">
        <f>_xll.EURO($U132,AH132,VLOOKUP($B132,Curve_Fetch,2),VLOOKUP($B132,Curve_Fetch,2),AF132,VLOOKUP($B132,Model!$A$8:$H$288,8),0,0)</f>
        <v>0.49734716869126849</v>
      </c>
      <c r="AK132" s="137">
        <f t="shared" ca="1" si="66"/>
        <v>0</v>
      </c>
      <c r="AL132" s="138">
        <f t="shared" ca="1" si="67"/>
        <v>0</v>
      </c>
      <c r="AM132" s="138">
        <f t="shared" ca="1" si="68"/>
        <v>0</v>
      </c>
      <c r="AN132" s="138">
        <f t="shared" ca="1" si="69"/>
        <v>0</v>
      </c>
      <c r="AO132" s="138">
        <f t="shared" ca="1" si="70"/>
        <v>0</v>
      </c>
      <c r="AP132" s="138">
        <f t="shared" ca="1" si="71"/>
        <v>0</v>
      </c>
      <c r="AQ132" s="138">
        <f t="shared" si="60"/>
        <v>0</v>
      </c>
      <c r="AR132" s="139">
        <f t="shared" ca="1" si="72"/>
        <v>0</v>
      </c>
      <c r="AT132"/>
      <c r="AU132"/>
      <c r="AV132"/>
      <c r="AW132"/>
      <c r="AX132"/>
      <c r="AY132"/>
      <c r="AZ132"/>
      <c r="BA132"/>
    </row>
    <row r="133" spans="2:53">
      <c r="B133" s="131">
        <f>[1]!_xludf.edate(B132,1)</f>
        <v>40330</v>
      </c>
      <c r="C133" s="132">
        <f t="shared" si="61"/>
        <v>40360</v>
      </c>
      <c r="D133" s="159">
        <v>0</v>
      </c>
      <c r="E133" s="160">
        <f>VLOOKUP($B133,Model!$A$8:$E$289,5)</f>
        <v>0</v>
      </c>
      <c r="F133" s="160">
        <f>VLOOKUP($B133,Model!$A$8:$F$289,6)</f>
        <v>0</v>
      </c>
      <c r="G133" s="179">
        <f ca="1">VLOOKUP($B133,Model!$A$8:$G$289,7)</f>
        <v>0</v>
      </c>
      <c r="I133" s="133">
        <v>0</v>
      </c>
      <c r="J133" s="134">
        <f t="shared" si="62"/>
        <v>4.2294999999999998</v>
      </c>
      <c r="K133" s="140">
        <f t="shared" si="73"/>
        <v>0</v>
      </c>
      <c r="L133" s="136">
        <f>IF(Control!$C$25=Control!$B$26,J133,I133)+K133</f>
        <v>4.2294999999999998</v>
      </c>
      <c r="M133" s="133">
        <v>0</v>
      </c>
      <c r="N133" s="134">
        <f>VLOOKUP($B133,Curve_Fetch,VLOOKUP(Control!$F$25,Control!$E$26:$G$37,3))</f>
        <v>-7.0000000000000007E-2</v>
      </c>
      <c r="O133" s="140">
        <f t="shared" si="74"/>
        <v>0</v>
      </c>
      <c r="P133" s="136">
        <f>IF(Control!$C$30=Control!$B$31,N133,M133)+O133</f>
        <v>-7.0000000000000007E-2</v>
      </c>
      <c r="Q133" s="133">
        <v>0</v>
      </c>
      <c r="R133" s="134">
        <f>VLOOKUP($B133,Curve_Fetch,(VLOOKUP(Control!$F$25,Control!$E$26:$H$37,4)))</f>
        <v>5.0000000000000001E-3</v>
      </c>
      <c r="S133" s="140">
        <f t="shared" si="75"/>
        <v>0</v>
      </c>
      <c r="T133" s="136">
        <f>IF($C$12="Physical",IF(Control!$C$35=Control!$B$36,R133,Q133)+S133,0)</f>
        <v>0</v>
      </c>
      <c r="U133" s="176">
        <f t="shared" si="63"/>
        <v>4.1594999999999995</v>
      </c>
      <c r="V133" s="152"/>
      <c r="W133" s="192">
        <f>VLOOKUP($B133,Curve_Fetch,VLOOKUP(Control!$F$25,Control!$E$26:$I$37,5))</f>
        <v>0.185</v>
      </c>
      <c r="X133" s="194">
        <f t="shared" si="76"/>
        <v>0</v>
      </c>
      <c r="Y133" s="194">
        <f t="shared" si="64"/>
        <v>0.185</v>
      </c>
      <c r="Z133" s="140">
        <f t="shared" ca="1" si="77"/>
        <v>0.28657937898642949</v>
      </c>
      <c r="AA133" s="140">
        <f t="shared" ca="1" si="57"/>
        <v>4.446079378986429</v>
      </c>
      <c r="AB133" s="203">
        <f ca="1">_xll.EURO($U133,AA133,VLOOKUP($B133,Curve_Fetch,2),VLOOKUP($B133,Curve_Fetch,2),Y133,VLOOKUP($B133,Model!$A$8:$H$288,8),1,0)</f>
        <v>0.51255892889855814</v>
      </c>
      <c r="AC133" s="134"/>
      <c r="AD133" s="192">
        <f>VLOOKUP($B133,Curve_Fetch,VLOOKUP(Control!$F$25,Control!$E$26:$I$37,5))</f>
        <v>0.185</v>
      </c>
      <c r="AE133" s="194">
        <f t="shared" si="58"/>
        <v>0</v>
      </c>
      <c r="AF133" s="194">
        <f t="shared" si="43"/>
        <v>0.185</v>
      </c>
      <c r="AG133" s="140">
        <f t="shared" si="65"/>
        <v>-0.20435881234430545</v>
      </c>
      <c r="AH133" s="140">
        <f t="shared" si="59"/>
        <v>3.9551411876556939</v>
      </c>
      <c r="AI133" s="203">
        <f>_xll.EURO($U133,AH133,VLOOKUP($B133,Curve_Fetch,2),VLOOKUP($B133,Curve_Fetch,2),AF133,VLOOKUP($B133,Model!$A$8:$H$288,8),0,0)</f>
        <v>0.5031217123520384</v>
      </c>
      <c r="AK133" s="137">
        <f t="shared" ca="1" si="66"/>
        <v>0</v>
      </c>
      <c r="AL133" s="138">
        <f t="shared" ca="1" si="67"/>
        <v>0</v>
      </c>
      <c r="AM133" s="138">
        <f t="shared" ca="1" si="68"/>
        <v>0</v>
      </c>
      <c r="AN133" s="138">
        <f t="shared" ca="1" si="69"/>
        <v>0</v>
      </c>
      <c r="AO133" s="138">
        <f t="shared" ca="1" si="70"/>
        <v>0</v>
      </c>
      <c r="AP133" s="138">
        <f t="shared" ca="1" si="71"/>
        <v>0</v>
      </c>
      <c r="AQ133" s="138">
        <f t="shared" si="60"/>
        <v>0</v>
      </c>
      <c r="AR133" s="139">
        <f t="shared" ca="1" si="72"/>
        <v>0</v>
      </c>
      <c r="AT133"/>
      <c r="AU133"/>
      <c r="AV133"/>
      <c r="AW133"/>
      <c r="AX133"/>
      <c r="AY133"/>
      <c r="AZ133"/>
      <c r="BA133"/>
    </row>
    <row r="134" spans="2:53">
      <c r="B134" s="131">
        <f>[1]!_xludf.edate(B133,1)</f>
        <v>40360</v>
      </c>
      <c r="C134" s="132">
        <f t="shared" si="61"/>
        <v>40391</v>
      </c>
      <c r="D134" s="159">
        <v>0</v>
      </c>
      <c r="E134" s="160">
        <f>VLOOKUP($B134,Model!$A$8:$E$289,5)</f>
        <v>0</v>
      </c>
      <c r="F134" s="160">
        <f>VLOOKUP($B134,Model!$A$8:$F$289,6)</f>
        <v>0</v>
      </c>
      <c r="G134" s="179">
        <f ca="1">VLOOKUP($B134,Model!$A$8:$G$289,7)</f>
        <v>0</v>
      </c>
      <c r="I134" s="133">
        <v>0</v>
      </c>
      <c r="J134" s="134">
        <f t="shared" si="62"/>
        <v>4.2744999999999997</v>
      </c>
      <c r="K134" s="140">
        <f t="shared" si="73"/>
        <v>0</v>
      </c>
      <c r="L134" s="136">
        <f>IF(Control!$C$25=Control!$B$26,J134,I134)+K134</f>
        <v>4.2744999999999997</v>
      </c>
      <c r="M134" s="133">
        <v>0</v>
      </c>
      <c r="N134" s="134">
        <f>VLOOKUP($B134,Curve_Fetch,VLOOKUP(Control!$F$25,Control!$E$26:$G$37,3))</f>
        <v>-7.0000000000000007E-2</v>
      </c>
      <c r="O134" s="140">
        <f t="shared" si="74"/>
        <v>0</v>
      </c>
      <c r="P134" s="136">
        <f>IF(Control!$C$30=Control!$B$31,N134,M134)+O134</f>
        <v>-7.0000000000000007E-2</v>
      </c>
      <c r="Q134" s="133">
        <v>0</v>
      </c>
      <c r="R134" s="134">
        <f>VLOOKUP($B134,Curve_Fetch,(VLOOKUP(Control!$F$25,Control!$E$26:$H$37,4)))</f>
        <v>5.0000000000000001E-3</v>
      </c>
      <c r="S134" s="140">
        <f t="shared" si="75"/>
        <v>0</v>
      </c>
      <c r="T134" s="136">
        <f>IF($C$12="Physical",IF(Control!$C$35=Control!$B$36,R134,Q134)+S134,0)</f>
        <v>0</v>
      </c>
      <c r="U134" s="176">
        <f t="shared" si="63"/>
        <v>4.2044999999999995</v>
      </c>
      <c r="V134" s="152"/>
      <c r="W134" s="192">
        <f>VLOOKUP($B134,Curve_Fetch,VLOOKUP(Control!$F$25,Control!$E$26:$I$37,5))</f>
        <v>0.185</v>
      </c>
      <c r="X134" s="194">
        <f t="shared" si="76"/>
        <v>0</v>
      </c>
      <c r="Y134" s="194">
        <f t="shared" si="64"/>
        <v>0.185</v>
      </c>
      <c r="Z134" s="140">
        <f t="shared" ca="1" si="77"/>
        <v>0.28657937898642949</v>
      </c>
      <c r="AA134" s="140">
        <f t="shared" ca="1" si="57"/>
        <v>4.4910793789864289</v>
      </c>
      <c r="AB134" s="203">
        <f ca="1">_xll.EURO($U134,AA134,VLOOKUP($B134,Curve_Fetch,2),VLOOKUP($B134,Curve_Fetch,2),Y134,VLOOKUP($B134,Model!$A$8:$H$288,8),1,0)</f>
        <v>0.51906920335607065</v>
      </c>
      <c r="AC134" s="134"/>
      <c r="AD134" s="192">
        <f>VLOOKUP($B134,Curve_Fetch,VLOOKUP(Control!$F$25,Control!$E$26:$I$37,5))</f>
        <v>0.185</v>
      </c>
      <c r="AE134" s="194">
        <f t="shared" si="58"/>
        <v>0</v>
      </c>
      <c r="AF134" s="194">
        <f t="shared" si="43"/>
        <v>0.185</v>
      </c>
      <c r="AG134" s="140">
        <f t="shared" si="65"/>
        <v>-0.20435881234430545</v>
      </c>
      <c r="AH134" s="140">
        <f t="shared" si="59"/>
        <v>4.0001411876556938</v>
      </c>
      <c r="AI134" s="203">
        <f>_xll.EURO($U134,AH134,VLOOKUP($B134,Curve_Fetch,2),VLOOKUP($B134,Curve_Fetch,2),AF134,VLOOKUP($B134,Model!$A$8:$H$288,8),0,0)</f>
        <v>0.50954855017948075</v>
      </c>
      <c r="AK134" s="137">
        <f t="shared" ca="1" si="66"/>
        <v>0</v>
      </c>
      <c r="AL134" s="138">
        <f t="shared" ca="1" si="67"/>
        <v>0</v>
      </c>
      <c r="AM134" s="138">
        <f t="shared" ca="1" si="68"/>
        <v>0</v>
      </c>
      <c r="AN134" s="138">
        <f t="shared" ca="1" si="69"/>
        <v>0</v>
      </c>
      <c r="AO134" s="138">
        <f t="shared" ca="1" si="70"/>
        <v>0</v>
      </c>
      <c r="AP134" s="138">
        <f t="shared" ca="1" si="71"/>
        <v>0</v>
      </c>
      <c r="AQ134" s="138">
        <f t="shared" si="60"/>
        <v>0</v>
      </c>
      <c r="AR134" s="139">
        <f t="shared" ca="1" si="72"/>
        <v>0</v>
      </c>
      <c r="AT134"/>
      <c r="AU134"/>
      <c r="AV134"/>
      <c r="AW134"/>
      <c r="AX134"/>
      <c r="AY134"/>
      <c r="AZ134"/>
      <c r="BA134"/>
    </row>
    <row r="135" spans="2:53">
      <c r="B135" s="131">
        <f>[1]!_xludf.edate(B134,1)</f>
        <v>40391</v>
      </c>
      <c r="C135" s="132">
        <f t="shared" si="61"/>
        <v>40422</v>
      </c>
      <c r="D135" s="159">
        <v>0</v>
      </c>
      <c r="E135" s="160">
        <f>VLOOKUP($B135,Model!$A$8:$E$289,5)</f>
        <v>0</v>
      </c>
      <c r="F135" s="160">
        <f>VLOOKUP($B135,Model!$A$8:$F$289,6)</f>
        <v>0</v>
      </c>
      <c r="G135" s="179">
        <f ca="1">VLOOKUP($B135,Model!$A$8:$G$289,7)</f>
        <v>0</v>
      </c>
      <c r="I135" s="133">
        <v>0</v>
      </c>
      <c r="J135" s="134">
        <f t="shared" si="62"/>
        <v>4.3135000000000003</v>
      </c>
      <c r="K135" s="140">
        <f t="shared" si="73"/>
        <v>0</v>
      </c>
      <c r="L135" s="136">
        <f>IF(Control!$C$25=Control!$B$26,J135,I135)+K135</f>
        <v>4.3135000000000003</v>
      </c>
      <c r="M135" s="133">
        <v>0</v>
      </c>
      <c r="N135" s="134">
        <f>VLOOKUP($B135,Curve_Fetch,VLOOKUP(Control!$F$25,Control!$E$26:$G$37,3))</f>
        <v>-7.0000000000000007E-2</v>
      </c>
      <c r="O135" s="140">
        <f t="shared" si="74"/>
        <v>0</v>
      </c>
      <c r="P135" s="136">
        <f>IF(Control!$C$30=Control!$B$31,N135,M135)+O135</f>
        <v>-7.0000000000000007E-2</v>
      </c>
      <c r="Q135" s="133">
        <v>0</v>
      </c>
      <c r="R135" s="134">
        <f>VLOOKUP($B135,Curve_Fetch,(VLOOKUP(Control!$F$25,Control!$E$26:$H$37,4)))</f>
        <v>5.0000000000000001E-3</v>
      </c>
      <c r="S135" s="140">
        <f t="shared" si="75"/>
        <v>0</v>
      </c>
      <c r="T135" s="136">
        <f>IF($C$12="Physical",IF(Control!$C$35=Control!$B$36,R135,Q135)+S135,0)</f>
        <v>0</v>
      </c>
      <c r="U135" s="176">
        <f t="shared" si="63"/>
        <v>4.2435</v>
      </c>
      <c r="V135" s="152"/>
      <c r="W135" s="192">
        <f>VLOOKUP($B135,Curve_Fetch,VLOOKUP(Control!$F$25,Control!$E$26:$I$37,5))</f>
        <v>0.185</v>
      </c>
      <c r="X135" s="194">
        <f t="shared" si="76"/>
        <v>0</v>
      </c>
      <c r="Y135" s="194">
        <f t="shared" si="64"/>
        <v>0.185</v>
      </c>
      <c r="Z135" s="140">
        <f t="shared" ca="1" si="77"/>
        <v>0.28657937898642949</v>
      </c>
      <c r="AA135" s="140">
        <f t="shared" ca="1" si="57"/>
        <v>4.5300793789864295</v>
      </c>
      <c r="AB135" s="203">
        <f ca="1">_xll.EURO($U135,AA135,VLOOKUP($B135,Curve_Fetch,2),VLOOKUP($B135,Curve_Fetch,2),Y135,VLOOKUP($B135,Model!$A$8:$H$288,8),1,0)</f>
        <v>0.52471357712442113</v>
      </c>
      <c r="AC135" s="134"/>
      <c r="AD135" s="192">
        <f>VLOOKUP($B135,Curve_Fetch,VLOOKUP(Control!$F$25,Control!$E$26:$I$37,5))</f>
        <v>0.185</v>
      </c>
      <c r="AE135" s="194">
        <f t="shared" si="58"/>
        <v>0</v>
      </c>
      <c r="AF135" s="194">
        <f t="shared" si="43"/>
        <v>0.185</v>
      </c>
      <c r="AG135" s="140">
        <f t="shared" si="65"/>
        <v>-0.20435881234430545</v>
      </c>
      <c r="AH135" s="140">
        <f t="shared" si="59"/>
        <v>4.0391411876556944</v>
      </c>
      <c r="AI135" s="203">
        <f>_xll.EURO($U135,AH135,VLOOKUP($B135,Curve_Fetch,2),VLOOKUP($B135,Curve_Fetch,2),AF135,VLOOKUP($B135,Model!$A$8:$H$288,8),0,0)</f>
        <v>0.51510496799557082</v>
      </c>
      <c r="AK135" s="137">
        <f t="shared" ca="1" si="66"/>
        <v>0</v>
      </c>
      <c r="AL135" s="138">
        <f t="shared" ca="1" si="67"/>
        <v>0</v>
      </c>
      <c r="AM135" s="138">
        <f t="shared" ca="1" si="68"/>
        <v>0</v>
      </c>
      <c r="AN135" s="138">
        <f t="shared" ca="1" si="69"/>
        <v>0</v>
      </c>
      <c r="AO135" s="138">
        <f t="shared" ca="1" si="70"/>
        <v>0</v>
      </c>
      <c r="AP135" s="138">
        <f t="shared" ca="1" si="71"/>
        <v>0</v>
      </c>
      <c r="AQ135" s="138">
        <f t="shared" si="60"/>
        <v>0</v>
      </c>
      <c r="AR135" s="139">
        <f t="shared" ca="1" si="72"/>
        <v>0</v>
      </c>
      <c r="AT135"/>
      <c r="AU135"/>
      <c r="AV135"/>
      <c r="AW135"/>
      <c r="AX135"/>
      <c r="AY135"/>
      <c r="AZ135"/>
      <c r="BA135"/>
    </row>
    <row r="136" spans="2:53">
      <c r="B136" s="131">
        <f>[1]!_xludf.edate(B135,1)</f>
        <v>40422</v>
      </c>
      <c r="C136" s="132">
        <f t="shared" si="61"/>
        <v>40452</v>
      </c>
      <c r="D136" s="159">
        <v>0</v>
      </c>
      <c r="E136" s="160">
        <f>VLOOKUP($B136,Model!$A$8:$E$289,5)</f>
        <v>0</v>
      </c>
      <c r="F136" s="160">
        <f>VLOOKUP($B136,Model!$A$8:$F$289,6)</f>
        <v>0</v>
      </c>
      <c r="G136" s="179">
        <f ca="1">VLOOKUP($B136,Model!$A$8:$G$289,7)</f>
        <v>0</v>
      </c>
      <c r="I136" s="133">
        <v>0</v>
      </c>
      <c r="J136" s="134">
        <f t="shared" si="62"/>
        <v>4.3075000000000001</v>
      </c>
      <c r="K136" s="140">
        <f t="shared" si="73"/>
        <v>0</v>
      </c>
      <c r="L136" s="136">
        <f>IF(Control!$C$25=Control!$B$26,J136,I136)+K136</f>
        <v>4.3075000000000001</v>
      </c>
      <c r="M136" s="133">
        <v>0</v>
      </c>
      <c r="N136" s="134">
        <f>VLOOKUP($B136,Curve_Fetch,VLOOKUP(Control!$F$25,Control!$E$26:$G$37,3))</f>
        <v>-7.0000000000000007E-2</v>
      </c>
      <c r="O136" s="140">
        <f t="shared" si="74"/>
        <v>0</v>
      </c>
      <c r="P136" s="136">
        <f>IF(Control!$C$30=Control!$B$31,N136,M136)+O136</f>
        <v>-7.0000000000000007E-2</v>
      </c>
      <c r="Q136" s="133">
        <v>0</v>
      </c>
      <c r="R136" s="134">
        <f>VLOOKUP($B136,Curve_Fetch,(VLOOKUP(Control!$F$25,Control!$E$26:$H$37,4)))</f>
        <v>5.0000000000000001E-3</v>
      </c>
      <c r="S136" s="140">
        <f t="shared" si="75"/>
        <v>0</v>
      </c>
      <c r="T136" s="136">
        <f>IF($C$12="Physical",IF(Control!$C$35=Control!$B$36,R136,Q136)+S136,0)</f>
        <v>0</v>
      </c>
      <c r="U136" s="176">
        <f t="shared" si="63"/>
        <v>4.2374999999999998</v>
      </c>
      <c r="V136" s="152"/>
      <c r="W136" s="192">
        <f>VLOOKUP($B136,Curve_Fetch,VLOOKUP(Control!$F$25,Control!$E$26:$I$37,5))</f>
        <v>0.185</v>
      </c>
      <c r="X136" s="194">
        <f t="shared" si="76"/>
        <v>0</v>
      </c>
      <c r="Y136" s="194">
        <f t="shared" si="64"/>
        <v>0.185</v>
      </c>
      <c r="Z136" s="140">
        <f t="shared" ca="1" si="77"/>
        <v>0.28657937898642949</v>
      </c>
      <c r="AA136" s="140">
        <f t="shared" ca="1" si="57"/>
        <v>4.5240793789864293</v>
      </c>
      <c r="AB136" s="203">
        <f ca="1">_xll.EURO($U136,AA136,VLOOKUP($B136,Curve_Fetch,2),VLOOKUP($B136,Curve_Fetch,2),Y136,VLOOKUP($B136,Model!$A$8:$H$288,8),1,0)</f>
        <v>0.52406805412775781</v>
      </c>
      <c r="AC136" s="134"/>
      <c r="AD136" s="192">
        <f>VLOOKUP($B136,Curve_Fetch,VLOOKUP(Control!$F$25,Control!$E$26:$I$37,5))</f>
        <v>0.185</v>
      </c>
      <c r="AE136" s="194">
        <f t="shared" si="58"/>
        <v>0</v>
      </c>
      <c r="AF136" s="194">
        <f t="shared" si="43"/>
        <v>0.185</v>
      </c>
      <c r="AG136" s="140">
        <f t="shared" si="65"/>
        <v>-0.20435881234430545</v>
      </c>
      <c r="AH136" s="140">
        <f t="shared" si="59"/>
        <v>4.0331411876556942</v>
      </c>
      <c r="AI136" s="203">
        <f>_xll.EURO($U136,AH136,VLOOKUP($B136,Curve_Fetch,2),VLOOKUP($B136,Curve_Fetch,2),AF136,VLOOKUP($B136,Model!$A$8:$H$288,8),0,0)</f>
        <v>0.5143546528749805</v>
      </c>
      <c r="AK136" s="137">
        <f t="shared" ca="1" si="66"/>
        <v>0</v>
      </c>
      <c r="AL136" s="138">
        <f t="shared" ca="1" si="67"/>
        <v>0</v>
      </c>
      <c r="AM136" s="138">
        <f t="shared" ca="1" si="68"/>
        <v>0</v>
      </c>
      <c r="AN136" s="138">
        <f t="shared" ca="1" si="69"/>
        <v>0</v>
      </c>
      <c r="AO136" s="138">
        <f t="shared" ca="1" si="70"/>
        <v>0</v>
      </c>
      <c r="AP136" s="138">
        <f t="shared" ca="1" si="71"/>
        <v>0</v>
      </c>
      <c r="AQ136" s="138">
        <f t="shared" si="60"/>
        <v>0</v>
      </c>
      <c r="AR136" s="139">
        <f t="shared" ca="1" si="72"/>
        <v>0</v>
      </c>
      <c r="AT136"/>
      <c r="AU136"/>
      <c r="AV136"/>
      <c r="AW136"/>
      <c r="AX136"/>
      <c r="AY136"/>
      <c r="AZ136"/>
      <c r="BA136"/>
    </row>
    <row r="137" spans="2:53">
      <c r="B137" s="131">
        <f>[1]!_xludf.edate(B136,1)</f>
        <v>40452</v>
      </c>
      <c r="C137" s="132">
        <f t="shared" si="61"/>
        <v>40483</v>
      </c>
      <c r="D137" s="159">
        <v>0</v>
      </c>
      <c r="E137" s="160">
        <f>VLOOKUP($B137,Model!$A$8:$E$289,5)</f>
        <v>0</v>
      </c>
      <c r="F137" s="160">
        <f>VLOOKUP($B137,Model!$A$8:$F$289,6)</f>
        <v>0</v>
      </c>
      <c r="G137" s="179">
        <f ca="1">VLOOKUP($B137,Model!$A$8:$G$289,7)</f>
        <v>0</v>
      </c>
      <c r="I137" s="133">
        <v>0</v>
      </c>
      <c r="J137" s="134">
        <f t="shared" si="62"/>
        <v>4.3174999999999999</v>
      </c>
      <c r="K137" s="140">
        <f t="shared" si="73"/>
        <v>0</v>
      </c>
      <c r="L137" s="136">
        <f>IF(Control!$C$25=Control!$B$26,J137,I137)+K137</f>
        <v>4.3174999999999999</v>
      </c>
      <c r="M137" s="133">
        <v>0</v>
      </c>
      <c r="N137" s="134">
        <f>VLOOKUP($B137,Curve_Fetch,VLOOKUP(Control!$F$25,Control!$E$26:$G$37,3))</f>
        <v>-7.0000000000000007E-2</v>
      </c>
      <c r="O137" s="140">
        <f t="shared" si="74"/>
        <v>0</v>
      </c>
      <c r="P137" s="136">
        <f>IF(Control!$C$30=Control!$B$31,N137,M137)+O137</f>
        <v>-7.0000000000000007E-2</v>
      </c>
      <c r="Q137" s="133">
        <v>0</v>
      </c>
      <c r="R137" s="134">
        <f>VLOOKUP($B137,Curve_Fetch,(VLOOKUP(Control!$F$25,Control!$E$26:$H$37,4)))</f>
        <v>5.0000000000000001E-3</v>
      </c>
      <c r="S137" s="140">
        <f t="shared" si="75"/>
        <v>0</v>
      </c>
      <c r="T137" s="136">
        <f>IF($C$12="Physical",IF(Control!$C$35=Control!$B$36,R137,Q137)+S137,0)</f>
        <v>0</v>
      </c>
      <c r="U137" s="176">
        <f t="shared" si="63"/>
        <v>4.2474999999999996</v>
      </c>
      <c r="V137" s="152"/>
      <c r="W137" s="192">
        <f>VLOOKUP($B137,Curve_Fetch,VLOOKUP(Control!$F$25,Control!$E$26:$I$37,5))</f>
        <v>0.185</v>
      </c>
      <c r="X137" s="194">
        <f t="shared" si="76"/>
        <v>0</v>
      </c>
      <c r="Y137" s="194">
        <f t="shared" si="64"/>
        <v>0.185</v>
      </c>
      <c r="Z137" s="140">
        <f t="shared" ca="1" si="77"/>
        <v>0.28657937898642949</v>
      </c>
      <c r="AA137" s="140">
        <f t="shared" ca="1" si="57"/>
        <v>4.5340793789864291</v>
      </c>
      <c r="AB137" s="203">
        <f ca="1">_xll.EURO($U137,AA137,VLOOKUP($B137,Curve_Fetch,2),VLOOKUP($B137,Curve_Fetch,2),Y137,VLOOKUP($B137,Model!$A$8:$H$288,8),1,0)</f>
        <v>0.52560006862883957</v>
      </c>
      <c r="AC137" s="134"/>
      <c r="AD137" s="192">
        <f>VLOOKUP($B137,Curve_Fetch,VLOOKUP(Control!$F$25,Control!$E$26:$I$37,5))</f>
        <v>0.185</v>
      </c>
      <c r="AE137" s="194">
        <f t="shared" si="58"/>
        <v>0</v>
      </c>
      <c r="AF137" s="194">
        <f t="shared" si="43"/>
        <v>0.185</v>
      </c>
      <c r="AG137" s="140">
        <f t="shared" si="65"/>
        <v>-0.20435881234430545</v>
      </c>
      <c r="AH137" s="140">
        <f t="shared" si="59"/>
        <v>4.043141187655694</v>
      </c>
      <c r="AI137" s="203">
        <f>_xll.EURO($U137,AH137,VLOOKUP($B137,Curve_Fetch,2),VLOOKUP($B137,Curve_Fetch,2),AF137,VLOOKUP($B137,Model!$A$8:$H$288,8),0,0)</f>
        <v>0.51579380874633074</v>
      </c>
      <c r="AK137" s="137">
        <f t="shared" ca="1" si="66"/>
        <v>0</v>
      </c>
      <c r="AL137" s="138">
        <f t="shared" ca="1" si="67"/>
        <v>0</v>
      </c>
      <c r="AM137" s="138">
        <f t="shared" ca="1" si="68"/>
        <v>0</v>
      </c>
      <c r="AN137" s="138">
        <f t="shared" ca="1" si="69"/>
        <v>0</v>
      </c>
      <c r="AO137" s="138">
        <f t="shared" ca="1" si="70"/>
        <v>0</v>
      </c>
      <c r="AP137" s="138">
        <f t="shared" ca="1" si="71"/>
        <v>0</v>
      </c>
      <c r="AQ137" s="138">
        <f t="shared" si="60"/>
        <v>0</v>
      </c>
      <c r="AR137" s="139">
        <f t="shared" ca="1" si="72"/>
        <v>0</v>
      </c>
      <c r="AT137"/>
      <c r="AU137"/>
      <c r="AV137"/>
      <c r="AW137"/>
      <c r="AX137"/>
      <c r="AY137"/>
      <c r="AZ137"/>
      <c r="BA137"/>
    </row>
    <row r="138" spans="2:53">
      <c r="B138" s="131">
        <f>[1]!_xludf.edate(B137,1)</f>
        <v>40483</v>
      </c>
      <c r="C138" s="132">
        <f t="shared" si="61"/>
        <v>40513</v>
      </c>
      <c r="D138" s="159">
        <v>0</v>
      </c>
      <c r="E138" s="160">
        <f>VLOOKUP($B138,Model!$A$8:$E$289,5)</f>
        <v>0</v>
      </c>
      <c r="F138" s="160">
        <f>VLOOKUP($B138,Model!$A$8:$F$289,6)</f>
        <v>0</v>
      </c>
      <c r="G138" s="179">
        <f ca="1">VLOOKUP($B138,Model!$A$8:$G$289,7)</f>
        <v>0</v>
      </c>
      <c r="I138" s="133">
        <v>0</v>
      </c>
      <c r="J138" s="134">
        <f t="shared" si="62"/>
        <v>4.4775</v>
      </c>
      <c r="K138" s="140">
        <f t="shared" si="73"/>
        <v>0</v>
      </c>
      <c r="L138" s="136">
        <f>IF(Control!$C$25=Control!$B$26,J138,I138)+K138</f>
        <v>4.4775</v>
      </c>
      <c r="M138" s="133">
        <v>0</v>
      </c>
      <c r="N138" s="134">
        <f>VLOOKUP($B138,Curve_Fetch,VLOOKUP(Control!$F$25,Control!$E$26:$G$37,3))</f>
        <v>-7.0000000000000007E-2</v>
      </c>
      <c r="O138" s="140">
        <f t="shared" si="74"/>
        <v>0</v>
      </c>
      <c r="P138" s="136">
        <f>IF(Control!$C$30=Control!$B$31,N138,M138)+O138</f>
        <v>-7.0000000000000007E-2</v>
      </c>
      <c r="Q138" s="133">
        <v>0</v>
      </c>
      <c r="R138" s="134">
        <f>VLOOKUP($B138,Curve_Fetch,(VLOOKUP(Control!$F$25,Control!$E$26:$H$37,4)))</f>
        <v>5.0000000000000001E-3</v>
      </c>
      <c r="S138" s="140">
        <f t="shared" si="75"/>
        <v>0</v>
      </c>
      <c r="T138" s="136">
        <f>IF($C$12="Physical",IF(Control!$C$35=Control!$B$36,R138,Q138)+S138,0)</f>
        <v>0</v>
      </c>
      <c r="U138" s="176">
        <f t="shared" si="63"/>
        <v>4.4074999999999998</v>
      </c>
      <c r="V138" s="152"/>
      <c r="W138" s="192">
        <f>VLOOKUP($B138,Curve_Fetch,VLOOKUP(Control!$F$25,Control!$E$26:$I$37,5))</f>
        <v>0.185</v>
      </c>
      <c r="X138" s="194">
        <f t="shared" si="76"/>
        <v>0</v>
      </c>
      <c r="Y138" s="194">
        <f t="shared" si="64"/>
        <v>0.185</v>
      </c>
      <c r="Z138" s="140">
        <f t="shared" ca="1" si="77"/>
        <v>0.28657937898642949</v>
      </c>
      <c r="AA138" s="140">
        <f t="shared" ca="1" si="57"/>
        <v>4.6940793789864292</v>
      </c>
      <c r="AB138" s="203">
        <f ca="1">_xll.EURO($U138,AA138,VLOOKUP($B138,Curve_Fetch,2),VLOOKUP($B138,Curve_Fetch,2),Y138,VLOOKUP($B138,Model!$A$8:$H$288,8),1,0)</f>
        <v>0.54790972094874513</v>
      </c>
      <c r="AC138" s="134"/>
      <c r="AD138" s="192">
        <f>VLOOKUP($B138,Curve_Fetch,VLOOKUP(Control!$F$25,Control!$E$26:$I$37,5))</f>
        <v>0.185</v>
      </c>
      <c r="AE138" s="194">
        <f t="shared" si="58"/>
        <v>0</v>
      </c>
      <c r="AF138" s="194">
        <f t="shared" si="43"/>
        <v>0.185</v>
      </c>
      <c r="AG138" s="140">
        <f t="shared" si="65"/>
        <v>-0.20435881234430545</v>
      </c>
      <c r="AH138" s="140">
        <f t="shared" si="59"/>
        <v>4.2031411876556941</v>
      </c>
      <c r="AI138" s="203">
        <f>_xll.EURO($U138,AH138,VLOOKUP($B138,Curve_Fetch,2),VLOOKUP($B138,Curve_Fetch,2),AF138,VLOOKUP($B138,Model!$A$8:$H$288,8),0,0)</f>
        <v>0.53806776817435353</v>
      </c>
      <c r="AK138" s="137">
        <f t="shared" ca="1" si="66"/>
        <v>0</v>
      </c>
      <c r="AL138" s="138">
        <f t="shared" ca="1" si="67"/>
        <v>0</v>
      </c>
      <c r="AM138" s="138">
        <f t="shared" ca="1" si="68"/>
        <v>0</v>
      </c>
      <c r="AN138" s="138">
        <f t="shared" ca="1" si="69"/>
        <v>0</v>
      </c>
      <c r="AO138" s="138">
        <f t="shared" ca="1" si="70"/>
        <v>0</v>
      </c>
      <c r="AP138" s="138">
        <f t="shared" ca="1" si="71"/>
        <v>0</v>
      </c>
      <c r="AQ138" s="138">
        <f t="shared" si="60"/>
        <v>0</v>
      </c>
      <c r="AR138" s="139">
        <f t="shared" ca="1" si="72"/>
        <v>0</v>
      </c>
      <c r="AT138"/>
      <c r="AU138"/>
      <c r="AV138"/>
      <c r="AW138"/>
      <c r="AX138"/>
      <c r="AY138"/>
      <c r="AZ138"/>
      <c r="BA138"/>
    </row>
    <row r="139" spans="2:53">
      <c r="B139" s="131">
        <f>[1]!_xludf.edate(B138,1)</f>
        <v>40513</v>
      </c>
      <c r="C139" s="132">
        <f t="shared" si="61"/>
        <v>40544</v>
      </c>
      <c r="D139" s="159">
        <v>0</v>
      </c>
      <c r="E139" s="160">
        <f>VLOOKUP($B139,Model!$A$8:$E$289,5)</f>
        <v>0</v>
      </c>
      <c r="F139" s="160">
        <f>VLOOKUP($B139,Model!$A$8:$F$289,6)</f>
        <v>0</v>
      </c>
      <c r="G139" s="179">
        <f ca="1">VLOOKUP($B139,Model!$A$8:$G$289,7)</f>
        <v>0</v>
      </c>
      <c r="I139" s="133">
        <v>0</v>
      </c>
      <c r="J139" s="134">
        <f t="shared" si="62"/>
        <v>4.6315</v>
      </c>
      <c r="K139" s="140">
        <f t="shared" si="73"/>
        <v>0</v>
      </c>
      <c r="L139" s="136">
        <f>IF(Control!$C$25=Control!$B$26,J139,I139)+K139</f>
        <v>4.6315</v>
      </c>
      <c r="M139" s="133">
        <v>0</v>
      </c>
      <c r="N139" s="134">
        <f>VLOOKUP($B139,Curve_Fetch,VLOOKUP(Control!$F$25,Control!$E$26:$G$37,3))</f>
        <v>-7.0000000000000007E-2</v>
      </c>
      <c r="O139" s="140">
        <f t="shared" si="74"/>
        <v>0</v>
      </c>
      <c r="P139" s="136">
        <f>IF(Control!$C$30=Control!$B$31,N139,M139)+O139</f>
        <v>-7.0000000000000007E-2</v>
      </c>
      <c r="Q139" s="133">
        <v>0</v>
      </c>
      <c r="R139" s="134">
        <f>VLOOKUP($B139,Curve_Fetch,(VLOOKUP(Control!$F$25,Control!$E$26:$H$37,4)))</f>
        <v>5.0000000000000001E-3</v>
      </c>
      <c r="S139" s="140">
        <f t="shared" si="75"/>
        <v>0</v>
      </c>
      <c r="T139" s="136">
        <f>IF($C$12="Physical",IF(Control!$C$35=Control!$B$36,R139,Q139)+S139,0)</f>
        <v>0</v>
      </c>
      <c r="U139" s="176">
        <f t="shared" si="63"/>
        <v>4.5614999999999997</v>
      </c>
      <c r="V139" s="152"/>
      <c r="W139" s="192">
        <f>VLOOKUP($B139,Curve_Fetch,VLOOKUP(Control!$F$25,Control!$E$26:$I$37,5))</f>
        <v>0.185</v>
      </c>
      <c r="X139" s="194">
        <f t="shared" si="76"/>
        <v>0</v>
      </c>
      <c r="Y139" s="194">
        <f t="shared" si="64"/>
        <v>0.185</v>
      </c>
      <c r="Z139" s="140">
        <f t="shared" ca="1" si="77"/>
        <v>0.28657937898642949</v>
      </c>
      <c r="AA139" s="140">
        <f t="shared" ca="1" si="57"/>
        <v>4.8480793789864292</v>
      </c>
      <c r="AB139" s="203">
        <f ca="1">_xll.EURO($U139,AA139,VLOOKUP($B139,Curve_Fetch,2),VLOOKUP($B139,Curve_Fetch,2),Y139,VLOOKUP($B139,Model!$A$8:$H$288,8),1,0)</f>
        <v>0.5693342460648092</v>
      </c>
      <c r="AC139" s="134"/>
      <c r="AD139" s="192">
        <f>VLOOKUP($B139,Curve_Fetch,VLOOKUP(Control!$F$25,Control!$E$26:$I$37,5))</f>
        <v>0.185</v>
      </c>
      <c r="AE139" s="194">
        <f t="shared" si="58"/>
        <v>0</v>
      </c>
      <c r="AF139" s="194">
        <f t="shared" si="43"/>
        <v>0.185</v>
      </c>
      <c r="AG139" s="140">
        <f t="shared" si="65"/>
        <v>-0.20435881234430545</v>
      </c>
      <c r="AH139" s="140">
        <f t="shared" si="59"/>
        <v>4.357141187655694</v>
      </c>
      <c r="AI139" s="203">
        <f>_xll.EURO($U139,AH139,VLOOKUP($B139,Curve_Fetch,2),VLOOKUP($B139,Curve_Fetch,2),AF139,VLOOKUP($B139,Model!$A$8:$H$288,8),0,0)</f>
        <v>0.55945456376970792</v>
      </c>
      <c r="AK139" s="137">
        <f t="shared" ca="1" si="66"/>
        <v>0</v>
      </c>
      <c r="AL139" s="138">
        <f t="shared" ca="1" si="67"/>
        <v>0</v>
      </c>
      <c r="AM139" s="138">
        <f t="shared" ca="1" si="68"/>
        <v>0</v>
      </c>
      <c r="AN139" s="138">
        <f t="shared" ca="1" si="69"/>
        <v>0</v>
      </c>
      <c r="AO139" s="138">
        <f t="shared" ca="1" si="70"/>
        <v>0</v>
      </c>
      <c r="AP139" s="138">
        <f t="shared" ca="1" si="71"/>
        <v>0</v>
      </c>
      <c r="AQ139" s="138">
        <f t="shared" si="60"/>
        <v>0</v>
      </c>
      <c r="AR139" s="139">
        <f t="shared" ca="1" si="72"/>
        <v>0</v>
      </c>
      <c r="AT139"/>
      <c r="AU139"/>
      <c r="AV139"/>
      <c r="AW139"/>
      <c r="AX139"/>
      <c r="AY139"/>
      <c r="AZ139"/>
      <c r="BA139"/>
    </row>
    <row r="140" spans="2:53">
      <c r="B140" s="131">
        <f>[1]!_xludf.edate(B139,1)</f>
        <v>40544</v>
      </c>
      <c r="C140" s="132">
        <f t="shared" si="61"/>
        <v>40575</v>
      </c>
      <c r="D140" s="159">
        <v>0</v>
      </c>
      <c r="E140" s="160">
        <f>VLOOKUP($B140,Model!$A$8:$E$289,5)</f>
        <v>0</v>
      </c>
      <c r="F140" s="160">
        <f>VLOOKUP($B140,Model!$A$8:$F$289,6)</f>
        <v>0</v>
      </c>
      <c r="G140" s="179">
        <f ca="1">VLOOKUP($B140,Model!$A$8:$G$289,7)</f>
        <v>0</v>
      </c>
      <c r="I140" s="133">
        <v>0</v>
      </c>
      <c r="J140" s="134">
        <f t="shared" si="62"/>
        <v>4.6814999999999998</v>
      </c>
      <c r="K140" s="140">
        <f t="shared" si="73"/>
        <v>0</v>
      </c>
      <c r="L140" s="136">
        <f>IF(Control!$C$25=Control!$B$26,J140,I140)+K140</f>
        <v>4.6814999999999998</v>
      </c>
      <c r="M140" s="133">
        <v>0</v>
      </c>
      <c r="N140" s="134">
        <f>VLOOKUP($B140,Curve_Fetch,VLOOKUP(Control!$F$25,Control!$E$26:$G$37,3))</f>
        <v>-7.0000000000000007E-2</v>
      </c>
      <c r="O140" s="140">
        <f t="shared" si="74"/>
        <v>0</v>
      </c>
      <c r="P140" s="136">
        <f>IF(Control!$C$30=Control!$B$31,N140,M140)+O140</f>
        <v>-7.0000000000000007E-2</v>
      </c>
      <c r="Q140" s="133">
        <v>0</v>
      </c>
      <c r="R140" s="134">
        <f>VLOOKUP($B140,Curve_Fetch,(VLOOKUP(Control!$F$25,Control!$E$26:$H$37,4)))</f>
        <v>5.0000000000000001E-3</v>
      </c>
      <c r="S140" s="140">
        <f t="shared" si="75"/>
        <v>0</v>
      </c>
      <c r="T140" s="136">
        <f>IF($C$12="Physical",IF(Control!$C$35=Control!$B$36,R140,Q140)+S140,0)</f>
        <v>0</v>
      </c>
      <c r="U140" s="176">
        <f t="shared" si="63"/>
        <v>4.6114999999999995</v>
      </c>
      <c r="V140" s="152"/>
      <c r="W140" s="192">
        <f>VLOOKUP($B140,Curve_Fetch,VLOOKUP(Control!$F$25,Control!$E$26:$I$37,5))</f>
        <v>0.185</v>
      </c>
      <c r="X140" s="194">
        <f t="shared" si="76"/>
        <v>0</v>
      </c>
      <c r="Y140" s="194">
        <f t="shared" si="64"/>
        <v>0.185</v>
      </c>
      <c r="Z140" s="140">
        <f t="shared" ca="1" si="77"/>
        <v>0.28657937898642949</v>
      </c>
      <c r="AA140" s="140">
        <f t="shared" ca="1" si="57"/>
        <v>4.898079378986429</v>
      </c>
      <c r="AB140" s="203">
        <f ca="1">_xll.EURO($U140,AA140,VLOOKUP($B140,Curve_Fetch,2),VLOOKUP($B140,Curve_Fetch,2),Y140,VLOOKUP($B140,Model!$A$8:$H$288,8),1,0)</f>
        <v>0.57627905594376116</v>
      </c>
      <c r="AC140" s="134"/>
      <c r="AD140" s="192">
        <f>VLOOKUP($B140,Curve_Fetch,VLOOKUP(Control!$F$25,Control!$E$26:$I$37,5))</f>
        <v>0.185</v>
      </c>
      <c r="AE140" s="194">
        <f t="shared" si="58"/>
        <v>0</v>
      </c>
      <c r="AF140" s="194">
        <f t="shared" si="43"/>
        <v>0.185</v>
      </c>
      <c r="AG140" s="140">
        <f t="shared" si="65"/>
        <v>-0.20435881234430545</v>
      </c>
      <c r="AH140" s="140">
        <f t="shared" si="59"/>
        <v>4.4071411876556938</v>
      </c>
      <c r="AI140" s="203">
        <f>_xll.EURO($U140,AH140,VLOOKUP($B140,Curve_Fetch,2),VLOOKUP($B140,Curve_Fetch,2),AF140,VLOOKUP($B140,Model!$A$8:$H$288,8),0,0)</f>
        <v>0.56632142211701186</v>
      </c>
      <c r="AK140" s="137">
        <f t="shared" ca="1" si="66"/>
        <v>0</v>
      </c>
      <c r="AL140" s="138">
        <f t="shared" ca="1" si="67"/>
        <v>0</v>
      </c>
      <c r="AM140" s="138">
        <f t="shared" ca="1" si="68"/>
        <v>0</v>
      </c>
      <c r="AN140" s="138">
        <f t="shared" ca="1" si="69"/>
        <v>0</v>
      </c>
      <c r="AO140" s="138">
        <f t="shared" ca="1" si="70"/>
        <v>0</v>
      </c>
      <c r="AP140" s="138">
        <f t="shared" ca="1" si="71"/>
        <v>0</v>
      </c>
      <c r="AQ140" s="138">
        <f t="shared" si="60"/>
        <v>0</v>
      </c>
      <c r="AR140" s="139">
        <f t="shared" ca="1" si="72"/>
        <v>0</v>
      </c>
      <c r="AT140"/>
      <c r="AU140"/>
      <c r="AV140"/>
      <c r="AW140"/>
      <c r="AX140"/>
      <c r="AY140"/>
      <c r="AZ140"/>
      <c r="BA140"/>
    </row>
    <row r="141" spans="2:53">
      <c r="B141" s="131">
        <f>[1]!_xludf.edate(B140,1)</f>
        <v>40575</v>
      </c>
      <c r="C141" s="132">
        <f t="shared" si="61"/>
        <v>40603</v>
      </c>
      <c r="D141" s="159">
        <v>0</v>
      </c>
      <c r="E141" s="160">
        <f>VLOOKUP($B141,Model!$A$8:$E$289,5)</f>
        <v>0</v>
      </c>
      <c r="F141" s="160">
        <f>VLOOKUP($B141,Model!$A$8:$F$289,6)</f>
        <v>0</v>
      </c>
      <c r="G141" s="179">
        <f ca="1">VLOOKUP($B141,Model!$A$8:$G$289,7)</f>
        <v>0</v>
      </c>
      <c r="I141" s="133">
        <v>0</v>
      </c>
      <c r="J141" s="134">
        <f t="shared" si="62"/>
        <v>4.5934999999999997</v>
      </c>
      <c r="K141" s="140">
        <f t="shared" si="73"/>
        <v>0</v>
      </c>
      <c r="L141" s="136">
        <f>IF(Control!$C$25=Control!$B$26,J141,I141)+K141</f>
        <v>4.5934999999999997</v>
      </c>
      <c r="M141" s="133">
        <v>0</v>
      </c>
      <c r="N141" s="134">
        <f>VLOOKUP($B141,Curve_Fetch,VLOOKUP(Control!$F$25,Control!$E$26:$G$37,3))</f>
        <v>-7.0000000000000007E-2</v>
      </c>
      <c r="O141" s="140">
        <f t="shared" si="74"/>
        <v>0</v>
      </c>
      <c r="P141" s="136">
        <f>IF(Control!$C$30=Control!$B$31,N141,M141)+O141</f>
        <v>-7.0000000000000007E-2</v>
      </c>
      <c r="Q141" s="133">
        <v>0</v>
      </c>
      <c r="R141" s="134">
        <f>VLOOKUP($B141,Curve_Fetch,(VLOOKUP(Control!$F$25,Control!$E$26:$H$37,4)))</f>
        <v>5.0000000000000001E-3</v>
      </c>
      <c r="S141" s="140">
        <f t="shared" si="75"/>
        <v>0</v>
      </c>
      <c r="T141" s="136">
        <f>IF($C$12="Physical",IF(Control!$C$35=Control!$B$36,R141,Q141)+S141,0)</f>
        <v>0</v>
      </c>
      <c r="U141" s="176">
        <f t="shared" si="63"/>
        <v>4.5234999999999994</v>
      </c>
      <c r="V141" s="152"/>
      <c r="W141" s="192">
        <f>VLOOKUP($B141,Curve_Fetch,VLOOKUP(Control!$F$25,Control!$E$26:$I$37,5))</f>
        <v>0.185</v>
      </c>
      <c r="X141" s="194">
        <f t="shared" si="76"/>
        <v>0</v>
      </c>
      <c r="Y141" s="194">
        <f t="shared" si="64"/>
        <v>0.185</v>
      </c>
      <c r="Z141" s="140">
        <f t="shared" ca="1" si="77"/>
        <v>0.28657937898642949</v>
      </c>
      <c r="AA141" s="140">
        <f t="shared" ca="1" si="57"/>
        <v>4.8100793789864289</v>
      </c>
      <c r="AB141" s="203">
        <f ca="1">_xll.EURO($U141,AA141,VLOOKUP($B141,Curve_Fetch,2),VLOOKUP($B141,Curve_Fetch,2),Y141,VLOOKUP($B141,Model!$A$8:$H$288,8),1,0)</f>
        <v>0.5640488702978963</v>
      </c>
      <c r="AC141" s="134"/>
      <c r="AD141" s="192">
        <f>VLOOKUP($B141,Curve_Fetch,VLOOKUP(Control!$F$25,Control!$E$26:$I$37,5))</f>
        <v>0.185</v>
      </c>
      <c r="AE141" s="194">
        <f t="shared" si="58"/>
        <v>0</v>
      </c>
      <c r="AF141" s="194">
        <f t="shared" si="43"/>
        <v>0.185</v>
      </c>
      <c r="AG141" s="140">
        <f t="shared" si="65"/>
        <v>-0.20435881234430545</v>
      </c>
      <c r="AH141" s="140">
        <f t="shared" si="59"/>
        <v>4.3191411876556938</v>
      </c>
      <c r="AI141" s="203">
        <f>_xll.EURO($U141,AH141,VLOOKUP($B141,Curve_Fetch,2),VLOOKUP($B141,Curve_Fetch,2),AF141,VLOOKUP($B141,Model!$A$8:$H$288,8),0,0)</f>
        <v>0.5539677100656315</v>
      </c>
      <c r="AK141" s="137">
        <f t="shared" ca="1" si="66"/>
        <v>0</v>
      </c>
      <c r="AL141" s="138">
        <f t="shared" ca="1" si="67"/>
        <v>0</v>
      </c>
      <c r="AM141" s="138">
        <f t="shared" ca="1" si="68"/>
        <v>0</v>
      </c>
      <c r="AN141" s="138">
        <f t="shared" ca="1" si="69"/>
        <v>0</v>
      </c>
      <c r="AO141" s="138">
        <f t="shared" ca="1" si="70"/>
        <v>0</v>
      </c>
      <c r="AP141" s="138">
        <f t="shared" ca="1" si="71"/>
        <v>0</v>
      </c>
      <c r="AQ141" s="138">
        <f t="shared" si="60"/>
        <v>0</v>
      </c>
      <c r="AR141" s="139">
        <f t="shared" ca="1" si="72"/>
        <v>0</v>
      </c>
      <c r="AT141"/>
      <c r="AU141"/>
      <c r="AV141"/>
      <c r="AW141"/>
      <c r="AX141"/>
      <c r="AY141"/>
      <c r="AZ141"/>
      <c r="BA141"/>
    </row>
    <row r="142" spans="2:53">
      <c r="B142" s="131">
        <f>[1]!_xludf.edate(B141,1)</f>
        <v>40603</v>
      </c>
      <c r="C142" s="132">
        <f t="shared" si="61"/>
        <v>40634</v>
      </c>
      <c r="D142" s="159">
        <v>0</v>
      </c>
      <c r="E142" s="160">
        <f>VLOOKUP($B142,Model!$A$8:$E$289,5)</f>
        <v>0</v>
      </c>
      <c r="F142" s="160">
        <f>VLOOKUP($B142,Model!$A$8:$F$289,6)</f>
        <v>0</v>
      </c>
      <c r="G142" s="179">
        <f ca="1">VLOOKUP($B142,Model!$A$8:$G$289,7)</f>
        <v>0</v>
      </c>
      <c r="I142" s="133">
        <v>0</v>
      </c>
      <c r="J142" s="134">
        <f t="shared" si="62"/>
        <v>4.4545000000000003</v>
      </c>
      <c r="K142" s="140">
        <f t="shared" si="73"/>
        <v>0</v>
      </c>
      <c r="L142" s="136">
        <f>IF(Control!$C$25=Control!$B$26,J142,I142)+K142</f>
        <v>4.4545000000000003</v>
      </c>
      <c r="M142" s="133">
        <v>0</v>
      </c>
      <c r="N142" s="134">
        <f>VLOOKUP($B142,Curve_Fetch,VLOOKUP(Control!$F$25,Control!$E$26:$G$37,3))</f>
        <v>-7.0000000000000007E-2</v>
      </c>
      <c r="O142" s="140">
        <f t="shared" si="74"/>
        <v>0</v>
      </c>
      <c r="P142" s="136">
        <f>IF(Control!$C$30=Control!$B$31,N142,M142)+O142</f>
        <v>-7.0000000000000007E-2</v>
      </c>
      <c r="Q142" s="133">
        <v>0</v>
      </c>
      <c r="R142" s="134">
        <f>VLOOKUP($B142,Curve_Fetch,(VLOOKUP(Control!$F$25,Control!$E$26:$H$37,4)))</f>
        <v>5.0000000000000001E-3</v>
      </c>
      <c r="S142" s="140">
        <f t="shared" si="75"/>
        <v>0</v>
      </c>
      <c r="T142" s="136">
        <f>IF($C$12="Physical",IF(Control!$C$35=Control!$B$36,R142,Q142)+S142,0)</f>
        <v>0</v>
      </c>
      <c r="U142" s="176">
        <f t="shared" si="63"/>
        <v>4.3845000000000001</v>
      </c>
      <c r="V142" s="152"/>
      <c r="W142" s="192">
        <f>VLOOKUP($B142,Curve_Fetch,VLOOKUP(Control!$F$25,Control!$E$26:$I$37,5))</f>
        <v>0.18</v>
      </c>
      <c r="X142" s="194">
        <f t="shared" si="76"/>
        <v>0</v>
      </c>
      <c r="Y142" s="194">
        <f t="shared" si="64"/>
        <v>0.18</v>
      </c>
      <c r="Z142" s="140">
        <f t="shared" ca="1" si="77"/>
        <v>0.28657937898642949</v>
      </c>
      <c r="AA142" s="140">
        <f t="shared" ca="1" si="57"/>
        <v>4.6710793789864296</v>
      </c>
      <c r="AB142" s="203">
        <f ca="1">_xll.EURO($U142,AA142,VLOOKUP($B142,Curve_Fetch,2),VLOOKUP($B142,Curve_Fetch,2),Y142,VLOOKUP($B142,Model!$A$8:$H$288,8),1,0)</f>
        <v>0.52824541717239959</v>
      </c>
      <c r="AC142" s="134"/>
      <c r="AD142" s="192">
        <f>VLOOKUP($B142,Curve_Fetch,VLOOKUP(Control!$F$25,Control!$E$26:$I$37,5))</f>
        <v>0.18</v>
      </c>
      <c r="AE142" s="194">
        <f t="shared" si="58"/>
        <v>0</v>
      </c>
      <c r="AF142" s="194">
        <f t="shared" si="43"/>
        <v>0.18</v>
      </c>
      <c r="AG142" s="140">
        <f t="shared" si="65"/>
        <v>-0.20435881234430545</v>
      </c>
      <c r="AH142" s="140">
        <f t="shared" si="59"/>
        <v>4.1801411876556944</v>
      </c>
      <c r="AI142" s="203">
        <f>_xll.EURO($U142,AH142,VLOOKUP($B142,Curve_Fetch,2),VLOOKUP($B142,Curve_Fetch,2),AF142,VLOOKUP($B142,Model!$A$8:$H$288,8),0,0)</f>
        <v>0.51888005027207429</v>
      </c>
      <c r="AK142" s="137">
        <f t="shared" ca="1" si="66"/>
        <v>0</v>
      </c>
      <c r="AL142" s="138">
        <f t="shared" ca="1" si="67"/>
        <v>0</v>
      </c>
      <c r="AM142" s="138">
        <f t="shared" ca="1" si="68"/>
        <v>0</v>
      </c>
      <c r="AN142" s="138">
        <f t="shared" ca="1" si="69"/>
        <v>0</v>
      </c>
      <c r="AO142" s="138">
        <f t="shared" ca="1" si="70"/>
        <v>0</v>
      </c>
      <c r="AP142" s="138">
        <f t="shared" ca="1" si="71"/>
        <v>0</v>
      </c>
      <c r="AQ142" s="138">
        <f t="shared" si="60"/>
        <v>0</v>
      </c>
      <c r="AR142" s="139">
        <f t="shared" ca="1" si="72"/>
        <v>0</v>
      </c>
      <c r="AT142"/>
      <c r="AU142"/>
      <c r="AV142"/>
      <c r="AW142"/>
      <c r="AX142"/>
      <c r="AY142"/>
      <c r="AZ142"/>
      <c r="BA142"/>
    </row>
    <row r="143" spans="2:53">
      <c r="B143" s="131">
        <f>[1]!_xludf.edate(B142,1)</f>
        <v>40634</v>
      </c>
      <c r="C143" s="132">
        <f t="shared" si="61"/>
        <v>40664</v>
      </c>
      <c r="D143" s="159">
        <v>0</v>
      </c>
      <c r="E143" s="160">
        <f>VLOOKUP($B143,Model!$A$8:$E$289,5)</f>
        <v>0</v>
      </c>
      <c r="F143" s="160">
        <f>VLOOKUP($B143,Model!$A$8:$F$289,6)</f>
        <v>0</v>
      </c>
      <c r="G143" s="179">
        <f ca="1">VLOOKUP($B143,Model!$A$8:$G$289,7)</f>
        <v>0</v>
      </c>
      <c r="I143" s="133">
        <v>0</v>
      </c>
      <c r="J143" s="134">
        <f t="shared" si="62"/>
        <v>4.3005000000000004</v>
      </c>
      <c r="K143" s="140">
        <f t="shared" si="73"/>
        <v>0</v>
      </c>
      <c r="L143" s="136">
        <f>IF(Control!$C$25=Control!$B$26,J143,I143)+K143</f>
        <v>4.3005000000000004</v>
      </c>
      <c r="M143" s="133">
        <v>0</v>
      </c>
      <c r="N143" s="134">
        <f>VLOOKUP($B143,Curve_Fetch,VLOOKUP(Control!$F$25,Control!$E$26:$G$37,3))</f>
        <v>-7.0000000000000007E-2</v>
      </c>
      <c r="O143" s="140">
        <f t="shared" si="74"/>
        <v>0</v>
      </c>
      <c r="P143" s="136">
        <f>IF(Control!$C$30=Control!$B$31,N143,M143)+O143</f>
        <v>-7.0000000000000007E-2</v>
      </c>
      <c r="Q143" s="133">
        <v>0</v>
      </c>
      <c r="R143" s="134">
        <f>VLOOKUP($B143,Curve_Fetch,(VLOOKUP(Control!$F$25,Control!$E$26:$H$37,4)))</f>
        <v>5.0000000000000001E-3</v>
      </c>
      <c r="S143" s="140">
        <f t="shared" si="75"/>
        <v>0</v>
      </c>
      <c r="T143" s="136">
        <f>IF($C$12="Physical",IF(Control!$C$35=Control!$B$36,R143,Q143)+S143,0)</f>
        <v>0</v>
      </c>
      <c r="U143" s="176">
        <f t="shared" si="63"/>
        <v>4.2305000000000001</v>
      </c>
      <c r="V143" s="152"/>
      <c r="W143" s="192">
        <f>VLOOKUP($B143,Curve_Fetch,VLOOKUP(Control!$F$25,Control!$E$26:$I$37,5))</f>
        <v>0.18</v>
      </c>
      <c r="X143" s="194">
        <f t="shared" si="76"/>
        <v>0</v>
      </c>
      <c r="Y143" s="194">
        <f t="shared" si="64"/>
        <v>0.18</v>
      </c>
      <c r="Z143" s="140">
        <f t="shared" ca="1" si="77"/>
        <v>0.28657937898642949</v>
      </c>
      <c r="AA143" s="140">
        <f t="shared" ca="1" si="57"/>
        <v>4.5170793789864296</v>
      </c>
      <c r="AB143" s="203">
        <f ca="1">_xll.EURO($U143,AA143,VLOOKUP($B143,Curve_Fetch,2),VLOOKUP($B143,Curve_Fetch,2),Y143,VLOOKUP($B143,Model!$A$8:$H$288,8),1,0)</f>
        <v>0.50744625963624401</v>
      </c>
      <c r="AC143" s="134"/>
      <c r="AD143" s="192">
        <f>VLOOKUP($B143,Curve_Fetch,VLOOKUP(Control!$F$25,Control!$E$26:$I$37,5))</f>
        <v>0.18</v>
      </c>
      <c r="AE143" s="194">
        <f t="shared" si="58"/>
        <v>0</v>
      </c>
      <c r="AF143" s="194">
        <f t="shared" si="43"/>
        <v>0.18</v>
      </c>
      <c r="AG143" s="140">
        <f t="shared" si="65"/>
        <v>-0.20435881234430545</v>
      </c>
      <c r="AH143" s="140">
        <f t="shared" si="59"/>
        <v>4.0261411876556945</v>
      </c>
      <c r="AI143" s="203">
        <f>_xll.EURO($U143,AH143,VLOOKUP($B143,Curve_Fetch,2),VLOOKUP($B143,Curve_Fetch,2),AF143,VLOOKUP($B143,Model!$A$8:$H$288,8),0,0)</f>
        <v>0.49793248032620607</v>
      </c>
      <c r="AK143" s="137">
        <f t="shared" ca="1" si="66"/>
        <v>0</v>
      </c>
      <c r="AL143" s="138">
        <f t="shared" ca="1" si="67"/>
        <v>0</v>
      </c>
      <c r="AM143" s="138">
        <f t="shared" ca="1" si="68"/>
        <v>0</v>
      </c>
      <c r="AN143" s="138">
        <f t="shared" ca="1" si="69"/>
        <v>0</v>
      </c>
      <c r="AO143" s="138">
        <f t="shared" ca="1" si="70"/>
        <v>0</v>
      </c>
      <c r="AP143" s="138">
        <f t="shared" ca="1" si="71"/>
        <v>0</v>
      </c>
      <c r="AQ143" s="138">
        <f t="shared" si="60"/>
        <v>0</v>
      </c>
      <c r="AR143" s="139">
        <f t="shared" ca="1" si="72"/>
        <v>0</v>
      </c>
      <c r="AT143"/>
      <c r="AU143"/>
      <c r="AV143"/>
      <c r="AW143"/>
      <c r="AX143"/>
      <c r="AY143"/>
      <c r="AZ143"/>
      <c r="BA143"/>
    </row>
    <row r="144" spans="2:53">
      <c r="B144" s="131">
        <f>[1]!_xludf.edate(B143,1)</f>
        <v>40664</v>
      </c>
      <c r="C144" s="132">
        <f t="shared" si="61"/>
        <v>40695</v>
      </c>
      <c r="D144" s="159">
        <v>0</v>
      </c>
      <c r="E144" s="160">
        <f>VLOOKUP($B144,Model!$A$8:$E$289,5)</f>
        <v>0</v>
      </c>
      <c r="F144" s="160">
        <f>VLOOKUP($B144,Model!$A$8:$F$289,6)</f>
        <v>0</v>
      </c>
      <c r="G144" s="179">
        <f ca="1">VLOOKUP($B144,Model!$A$8:$G$289,7)</f>
        <v>0</v>
      </c>
      <c r="I144" s="133">
        <v>0</v>
      </c>
      <c r="J144" s="134">
        <f t="shared" si="62"/>
        <v>4.3045</v>
      </c>
      <c r="K144" s="140">
        <f t="shared" si="73"/>
        <v>0</v>
      </c>
      <c r="L144" s="136">
        <f>IF(Control!$C$25=Control!$B$26,J144,I144)+K144</f>
        <v>4.3045</v>
      </c>
      <c r="M144" s="133">
        <v>0</v>
      </c>
      <c r="N144" s="134">
        <f>VLOOKUP($B144,Curve_Fetch,VLOOKUP(Control!$F$25,Control!$E$26:$G$37,3))</f>
        <v>-7.0000000000000007E-2</v>
      </c>
      <c r="O144" s="140">
        <f t="shared" si="74"/>
        <v>0</v>
      </c>
      <c r="P144" s="136">
        <f>IF(Control!$C$30=Control!$B$31,N144,M144)+O144</f>
        <v>-7.0000000000000007E-2</v>
      </c>
      <c r="Q144" s="133">
        <v>0</v>
      </c>
      <c r="R144" s="134">
        <f>VLOOKUP($B144,Curve_Fetch,(VLOOKUP(Control!$F$25,Control!$E$26:$H$37,4)))</f>
        <v>5.0000000000000001E-3</v>
      </c>
      <c r="S144" s="140">
        <f t="shared" si="75"/>
        <v>0</v>
      </c>
      <c r="T144" s="136">
        <f>IF($C$12="Physical",IF(Control!$C$35=Control!$B$36,R144,Q144)+S144,0)</f>
        <v>0</v>
      </c>
      <c r="U144" s="176">
        <f t="shared" si="63"/>
        <v>4.2344999999999997</v>
      </c>
      <c r="V144" s="152"/>
      <c r="W144" s="192">
        <f>VLOOKUP($B144,Curve_Fetch,VLOOKUP(Control!$F$25,Control!$E$26:$I$37,5))</f>
        <v>0.18</v>
      </c>
      <c r="X144" s="194">
        <f t="shared" si="76"/>
        <v>0</v>
      </c>
      <c r="Y144" s="194">
        <f t="shared" si="64"/>
        <v>0.18</v>
      </c>
      <c r="Z144" s="140">
        <f t="shared" ca="1" si="77"/>
        <v>0.28657937898642949</v>
      </c>
      <c r="AA144" s="140">
        <f t="shared" ca="1" si="57"/>
        <v>4.5210793789864292</v>
      </c>
      <c r="AB144" s="203">
        <f ca="1">_xll.EURO($U144,AA144,VLOOKUP($B144,Curve_Fetch,2),VLOOKUP($B144,Curve_Fetch,2),Y144,VLOOKUP($B144,Model!$A$8:$H$288,8),1,0)</f>
        <v>0.5078998880068345</v>
      </c>
      <c r="AC144" s="134"/>
      <c r="AD144" s="192">
        <f>VLOOKUP($B144,Curve_Fetch,VLOOKUP(Control!$F$25,Control!$E$26:$I$37,5))</f>
        <v>0.18</v>
      </c>
      <c r="AE144" s="194">
        <f t="shared" si="58"/>
        <v>0</v>
      </c>
      <c r="AF144" s="194">
        <f t="shared" si="43"/>
        <v>0.18</v>
      </c>
      <c r="AG144" s="140">
        <f t="shared" si="65"/>
        <v>-0.20435881234430545</v>
      </c>
      <c r="AH144" s="140">
        <f t="shared" si="59"/>
        <v>4.0301411876556941</v>
      </c>
      <c r="AI144" s="203">
        <f>_xll.EURO($U144,AH144,VLOOKUP($B144,Curve_Fetch,2),VLOOKUP($B144,Curve_Fetch,2),AF144,VLOOKUP($B144,Model!$A$8:$H$288,8),0,0)</f>
        <v>0.49830394393041522</v>
      </c>
      <c r="AK144" s="137">
        <f t="shared" ca="1" si="66"/>
        <v>0</v>
      </c>
      <c r="AL144" s="138">
        <f t="shared" ca="1" si="67"/>
        <v>0</v>
      </c>
      <c r="AM144" s="138">
        <f t="shared" ca="1" si="68"/>
        <v>0</v>
      </c>
      <c r="AN144" s="138">
        <f t="shared" ca="1" si="69"/>
        <v>0</v>
      </c>
      <c r="AO144" s="138">
        <f t="shared" ca="1" si="70"/>
        <v>0</v>
      </c>
      <c r="AP144" s="138">
        <f t="shared" ca="1" si="71"/>
        <v>0</v>
      </c>
      <c r="AQ144" s="138">
        <f t="shared" si="60"/>
        <v>0</v>
      </c>
      <c r="AR144" s="139">
        <f t="shared" ca="1" si="72"/>
        <v>0</v>
      </c>
      <c r="AT144"/>
      <c r="AU144"/>
      <c r="AV144"/>
      <c r="AW144"/>
      <c r="AX144"/>
      <c r="AY144"/>
      <c r="AZ144"/>
      <c r="BA144"/>
    </row>
    <row r="145" spans="2:53">
      <c r="B145" s="131">
        <f>[1]!_xludf.edate(B144,1)</f>
        <v>40695</v>
      </c>
      <c r="C145" s="132">
        <f t="shared" si="61"/>
        <v>40725</v>
      </c>
      <c r="D145" s="159">
        <v>0</v>
      </c>
      <c r="E145" s="160">
        <f>VLOOKUP($B145,Model!$A$8:$E$289,5)</f>
        <v>0</v>
      </c>
      <c r="F145" s="160">
        <f>VLOOKUP($B145,Model!$A$8:$F$289,6)</f>
        <v>0</v>
      </c>
      <c r="G145" s="179">
        <f ca="1">VLOOKUP($B145,Model!$A$8:$G$289,7)</f>
        <v>0</v>
      </c>
      <c r="I145" s="133">
        <v>0</v>
      </c>
      <c r="J145" s="134">
        <f t="shared" si="62"/>
        <v>4.3445</v>
      </c>
      <c r="K145" s="140">
        <f t="shared" si="73"/>
        <v>0</v>
      </c>
      <c r="L145" s="136">
        <f>IF(Control!$C$25=Control!$B$26,J145,I145)+K145</f>
        <v>4.3445</v>
      </c>
      <c r="M145" s="133">
        <v>0</v>
      </c>
      <c r="N145" s="134">
        <f>VLOOKUP($B145,Curve_Fetch,VLOOKUP(Control!$F$25,Control!$E$26:$G$37,3))</f>
        <v>-7.0000000000000007E-2</v>
      </c>
      <c r="O145" s="140">
        <f t="shared" si="74"/>
        <v>0</v>
      </c>
      <c r="P145" s="136">
        <f>IF(Control!$C$30=Control!$B$31,N145,M145)+O145</f>
        <v>-7.0000000000000007E-2</v>
      </c>
      <c r="Q145" s="133">
        <v>0</v>
      </c>
      <c r="R145" s="134">
        <f>VLOOKUP($B145,Curve_Fetch,(VLOOKUP(Control!$F$25,Control!$E$26:$H$37,4)))</f>
        <v>5.0000000000000001E-3</v>
      </c>
      <c r="S145" s="140">
        <f t="shared" si="75"/>
        <v>0</v>
      </c>
      <c r="T145" s="136">
        <f>IF($C$12="Physical",IF(Control!$C$35=Control!$B$36,R145,Q145)+S145,0)</f>
        <v>0</v>
      </c>
      <c r="U145" s="176">
        <f t="shared" si="63"/>
        <v>4.2744999999999997</v>
      </c>
      <c r="V145" s="152"/>
      <c r="W145" s="192">
        <f>VLOOKUP($B145,Curve_Fetch,VLOOKUP(Control!$F$25,Control!$E$26:$I$37,5))</f>
        <v>0.18</v>
      </c>
      <c r="X145" s="194">
        <f t="shared" si="76"/>
        <v>0</v>
      </c>
      <c r="Y145" s="194">
        <f t="shared" si="64"/>
        <v>0.18</v>
      </c>
      <c r="Z145" s="140">
        <f t="shared" ca="1" si="77"/>
        <v>0.28657937898642949</v>
      </c>
      <c r="AA145" s="140">
        <f t="shared" ca="1" si="57"/>
        <v>4.5610793789864292</v>
      </c>
      <c r="AB145" s="203">
        <f ca="1">_xll.EURO($U145,AA145,VLOOKUP($B145,Curve_Fetch,2),VLOOKUP($B145,Curve_Fetch,2),Y145,VLOOKUP($B145,Model!$A$8:$H$288,8),1,0)</f>
        <v>0.51315369565370883</v>
      </c>
      <c r="AC145" s="134"/>
      <c r="AD145" s="192">
        <f>VLOOKUP($B145,Curve_Fetch,VLOOKUP(Control!$F$25,Control!$E$26:$I$37,5))</f>
        <v>0.18</v>
      </c>
      <c r="AE145" s="194">
        <f t="shared" si="58"/>
        <v>0</v>
      </c>
      <c r="AF145" s="194">
        <f t="shared" si="43"/>
        <v>0.18</v>
      </c>
      <c r="AG145" s="140">
        <f t="shared" si="65"/>
        <v>-0.20435881234430545</v>
      </c>
      <c r="AH145" s="140">
        <f t="shared" si="59"/>
        <v>4.0701411876556941</v>
      </c>
      <c r="AI145" s="203">
        <f>_xll.EURO($U145,AH145,VLOOKUP($B145,Curve_Fetch,2),VLOOKUP($B145,Curve_Fetch,2),AF145,VLOOKUP($B145,Model!$A$8:$H$288,8),0,0)</f>
        <v>0.503488542875973</v>
      </c>
      <c r="AK145" s="137">
        <f t="shared" ca="1" si="66"/>
        <v>0</v>
      </c>
      <c r="AL145" s="138">
        <f t="shared" ca="1" si="67"/>
        <v>0</v>
      </c>
      <c r="AM145" s="138">
        <f t="shared" ca="1" si="68"/>
        <v>0</v>
      </c>
      <c r="AN145" s="138">
        <f t="shared" ca="1" si="69"/>
        <v>0</v>
      </c>
      <c r="AO145" s="138">
        <f t="shared" ca="1" si="70"/>
        <v>0</v>
      </c>
      <c r="AP145" s="138">
        <f t="shared" ca="1" si="71"/>
        <v>0</v>
      </c>
      <c r="AQ145" s="138">
        <f t="shared" si="60"/>
        <v>0</v>
      </c>
      <c r="AR145" s="139">
        <f t="shared" ca="1" si="72"/>
        <v>0</v>
      </c>
      <c r="AT145"/>
      <c r="AU145"/>
      <c r="AV145"/>
      <c r="AW145"/>
      <c r="AX145"/>
      <c r="AY145"/>
      <c r="AZ145"/>
      <c r="BA145"/>
    </row>
    <row r="146" spans="2:53">
      <c r="B146" s="131">
        <f>[1]!_xludf.edate(B145,1)</f>
        <v>40725</v>
      </c>
      <c r="C146" s="132">
        <f t="shared" si="61"/>
        <v>40756</v>
      </c>
      <c r="D146" s="159">
        <v>0</v>
      </c>
      <c r="E146" s="160">
        <f>VLOOKUP($B146,Model!$A$8:$E$289,5)</f>
        <v>0</v>
      </c>
      <c r="F146" s="160">
        <f>VLOOKUP($B146,Model!$A$8:$F$289,6)</f>
        <v>0</v>
      </c>
      <c r="G146" s="179">
        <f ca="1">VLOOKUP($B146,Model!$A$8:$G$289,7)</f>
        <v>0</v>
      </c>
      <c r="I146" s="133">
        <v>0</v>
      </c>
      <c r="J146" s="134">
        <f t="shared" si="62"/>
        <v>4.3895</v>
      </c>
      <c r="K146" s="140">
        <f t="shared" si="73"/>
        <v>0</v>
      </c>
      <c r="L146" s="136">
        <f>IF(Control!$C$25=Control!$B$26,J146,I146)+K146</f>
        <v>4.3895</v>
      </c>
      <c r="M146" s="133">
        <v>0</v>
      </c>
      <c r="N146" s="134">
        <f>VLOOKUP($B146,Curve_Fetch,VLOOKUP(Control!$F$25,Control!$E$26:$G$37,3))</f>
        <v>-7.0000000000000007E-2</v>
      </c>
      <c r="O146" s="140">
        <f t="shared" si="74"/>
        <v>0</v>
      </c>
      <c r="P146" s="136">
        <f>IF(Control!$C$30=Control!$B$31,N146,M146)+O146</f>
        <v>-7.0000000000000007E-2</v>
      </c>
      <c r="Q146" s="133">
        <v>0</v>
      </c>
      <c r="R146" s="134">
        <f>VLOOKUP($B146,Curve_Fetch,(VLOOKUP(Control!$F$25,Control!$E$26:$H$37,4)))</f>
        <v>5.0000000000000001E-3</v>
      </c>
      <c r="S146" s="140">
        <f t="shared" si="75"/>
        <v>0</v>
      </c>
      <c r="T146" s="136">
        <f>IF($C$12="Physical",IF(Control!$C$35=Control!$B$36,R146,Q146)+S146,0)</f>
        <v>0</v>
      </c>
      <c r="U146" s="176">
        <f t="shared" si="63"/>
        <v>4.3194999999999997</v>
      </c>
      <c r="V146" s="152"/>
      <c r="W146" s="192">
        <f>VLOOKUP($B146,Curve_Fetch,VLOOKUP(Control!$F$25,Control!$E$26:$I$37,5))</f>
        <v>0.18</v>
      </c>
      <c r="X146" s="194">
        <f t="shared" si="76"/>
        <v>0</v>
      </c>
      <c r="Y146" s="194">
        <f t="shared" si="64"/>
        <v>0.18</v>
      </c>
      <c r="Z146" s="140">
        <f t="shared" ca="1" si="77"/>
        <v>0.28657937898642949</v>
      </c>
      <c r="AA146" s="140">
        <f t="shared" ca="1" si="57"/>
        <v>4.6060793789864292</v>
      </c>
      <c r="AB146" s="203">
        <f ca="1">_xll.EURO($U146,AA146,VLOOKUP($B146,Curve_Fetch,2),VLOOKUP($B146,Curve_Fetch,2),Y146,VLOOKUP($B146,Model!$A$8:$H$288,8),1,0)</f>
        <v>0.51904187717710382</v>
      </c>
      <c r="AC146" s="134"/>
      <c r="AD146" s="192">
        <f>VLOOKUP($B146,Curve_Fetch,VLOOKUP(Control!$F$25,Control!$E$26:$I$37,5))</f>
        <v>0.18</v>
      </c>
      <c r="AE146" s="194">
        <f t="shared" si="58"/>
        <v>0</v>
      </c>
      <c r="AF146" s="194">
        <f t="shared" si="43"/>
        <v>0.18</v>
      </c>
      <c r="AG146" s="140">
        <f t="shared" si="65"/>
        <v>-0.20435881234430545</v>
      </c>
      <c r="AH146" s="140">
        <f t="shared" si="59"/>
        <v>4.115141187655694</v>
      </c>
      <c r="AI146" s="203">
        <f>_xll.EURO($U146,AH146,VLOOKUP($B146,Curve_Fetch,2),VLOOKUP($B146,Curve_Fetch,2),AF146,VLOOKUP($B146,Model!$A$8:$H$288,8),0,0)</f>
        <v>0.50931336586107279</v>
      </c>
      <c r="AK146" s="137">
        <f t="shared" ca="1" si="66"/>
        <v>0</v>
      </c>
      <c r="AL146" s="138">
        <f t="shared" ca="1" si="67"/>
        <v>0</v>
      </c>
      <c r="AM146" s="138">
        <f t="shared" ca="1" si="68"/>
        <v>0</v>
      </c>
      <c r="AN146" s="138">
        <f t="shared" ca="1" si="69"/>
        <v>0</v>
      </c>
      <c r="AO146" s="138">
        <f t="shared" ca="1" si="70"/>
        <v>0</v>
      </c>
      <c r="AP146" s="138">
        <f t="shared" ca="1" si="71"/>
        <v>0</v>
      </c>
      <c r="AQ146" s="138">
        <f t="shared" si="60"/>
        <v>0</v>
      </c>
      <c r="AR146" s="139">
        <f t="shared" ca="1" si="72"/>
        <v>0</v>
      </c>
      <c r="AT146"/>
      <c r="AU146"/>
      <c r="AV146"/>
      <c r="AW146"/>
      <c r="AX146"/>
      <c r="AY146"/>
      <c r="AZ146"/>
      <c r="BA146"/>
    </row>
    <row r="147" spans="2:53">
      <c r="B147" s="131">
        <f>[1]!_xludf.edate(B146,1)</f>
        <v>40756</v>
      </c>
      <c r="C147" s="132">
        <f t="shared" si="61"/>
        <v>40787</v>
      </c>
      <c r="D147" s="159">
        <v>0</v>
      </c>
      <c r="E147" s="160">
        <f>VLOOKUP($B147,Model!$A$8:$E$289,5)</f>
        <v>0</v>
      </c>
      <c r="F147" s="160">
        <f>VLOOKUP($B147,Model!$A$8:$F$289,6)</f>
        <v>0</v>
      </c>
      <c r="G147" s="179">
        <f ca="1">VLOOKUP($B147,Model!$A$8:$G$289,7)</f>
        <v>0</v>
      </c>
      <c r="I147" s="133">
        <v>0</v>
      </c>
      <c r="J147" s="134">
        <f t="shared" si="62"/>
        <v>4.4284999999999997</v>
      </c>
      <c r="K147" s="140">
        <f t="shared" si="73"/>
        <v>0</v>
      </c>
      <c r="L147" s="136">
        <f>IF(Control!$C$25=Control!$B$26,J147,I147)+K147</f>
        <v>4.4284999999999997</v>
      </c>
      <c r="M147" s="133">
        <v>0</v>
      </c>
      <c r="N147" s="134">
        <f>VLOOKUP($B147,Curve_Fetch,VLOOKUP(Control!$F$25,Control!$E$26:$G$37,3))</f>
        <v>-7.0000000000000007E-2</v>
      </c>
      <c r="O147" s="140">
        <f t="shared" si="74"/>
        <v>0</v>
      </c>
      <c r="P147" s="136">
        <f>IF(Control!$C$30=Control!$B$31,N147,M147)+O147</f>
        <v>-7.0000000000000007E-2</v>
      </c>
      <c r="Q147" s="133">
        <v>0</v>
      </c>
      <c r="R147" s="134">
        <f>VLOOKUP($B147,Curve_Fetch,(VLOOKUP(Control!$F$25,Control!$E$26:$H$37,4)))</f>
        <v>5.0000000000000001E-3</v>
      </c>
      <c r="S147" s="140">
        <f t="shared" si="75"/>
        <v>0</v>
      </c>
      <c r="T147" s="136">
        <f>IF($C$12="Physical",IF(Control!$C$35=Control!$B$36,R147,Q147)+S147,0)</f>
        <v>0</v>
      </c>
      <c r="U147" s="176">
        <f t="shared" si="63"/>
        <v>4.3584999999999994</v>
      </c>
      <c r="V147" s="152"/>
      <c r="W147" s="192">
        <f>VLOOKUP($B147,Curve_Fetch,VLOOKUP(Control!$F$25,Control!$E$26:$I$37,5))</f>
        <v>0.18</v>
      </c>
      <c r="X147" s="194">
        <f t="shared" si="76"/>
        <v>0</v>
      </c>
      <c r="Y147" s="194">
        <f t="shared" si="64"/>
        <v>0.18</v>
      </c>
      <c r="Z147" s="140">
        <f t="shared" ca="1" si="77"/>
        <v>0.28657937898642949</v>
      </c>
      <c r="AA147" s="140">
        <f t="shared" ca="1" si="57"/>
        <v>4.6450793789864289</v>
      </c>
      <c r="AB147" s="203">
        <f ca="1">_xll.EURO($U147,AA147,VLOOKUP($B147,Curve_Fetch,2),VLOOKUP($B147,Curve_Fetch,2),Y147,VLOOKUP($B147,Model!$A$8:$H$288,8),1,0)</f>
        <v>0.52407604475337122</v>
      </c>
      <c r="AC147" s="134"/>
      <c r="AD147" s="192">
        <f>VLOOKUP($B147,Curve_Fetch,VLOOKUP(Control!$F$25,Control!$E$26:$I$37,5))</f>
        <v>0.18</v>
      </c>
      <c r="AE147" s="194">
        <f t="shared" si="58"/>
        <v>0</v>
      </c>
      <c r="AF147" s="194">
        <f t="shared" si="43"/>
        <v>0.18</v>
      </c>
      <c r="AG147" s="140">
        <f t="shared" si="65"/>
        <v>-0.20435881234430545</v>
      </c>
      <c r="AH147" s="140">
        <f t="shared" si="59"/>
        <v>4.1541411876556937</v>
      </c>
      <c r="AI147" s="203">
        <f>_xll.EURO($U147,AH147,VLOOKUP($B147,Curve_Fetch,2),VLOOKUP($B147,Curve_Fetch,2),AF147,VLOOKUP($B147,Model!$A$8:$H$288,8),0,0)</f>
        <v>0.5142805275611152</v>
      </c>
      <c r="AK147" s="137">
        <f t="shared" ca="1" si="66"/>
        <v>0</v>
      </c>
      <c r="AL147" s="138">
        <f t="shared" ca="1" si="67"/>
        <v>0</v>
      </c>
      <c r="AM147" s="138">
        <f t="shared" ca="1" si="68"/>
        <v>0</v>
      </c>
      <c r="AN147" s="138">
        <f t="shared" ca="1" si="69"/>
        <v>0</v>
      </c>
      <c r="AO147" s="138">
        <f t="shared" ca="1" si="70"/>
        <v>0</v>
      </c>
      <c r="AP147" s="138">
        <f t="shared" ca="1" si="71"/>
        <v>0</v>
      </c>
      <c r="AQ147" s="138">
        <f t="shared" si="60"/>
        <v>0</v>
      </c>
      <c r="AR147" s="139">
        <f t="shared" ca="1" si="72"/>
        <v>0</v>
      </c>
      <c r="AT147"/>
      <c r="AU147"/>
      <c r="AV147"/>
      <c r="AW147"/>
      <c r="AX147"/>
      <c r="AY147"/>
      <c r="AZ147"/>
      <c r="BA147"/>
    </row>
    <row r="148" spans="2:53">
      <c r="B148" s="131">
        <f>[1]!_xludf.edate(B147,1)</f>
        <v>40787</v>
      </c>
      <c r="C148" s="132">
        <f t="shared" si="61"/>
        <v>40817</v>
      </c>
      <c r="D148" s="159">
        <v>0</v>
      </c>
      <c r="E148" s="160">
        <f>VLOOKUP($B148,Model!$A$8:$E$289,5)</f>
        <v>0</v>
      </c>
      <c r="F148" s="160">
        <f>VLOOKUP($B148,Model!$A$8:$F$289,6)</f>
        <v>0</v>
      </c>
      <c r="G148" s="179">
        <f ca="1">VLOOKUP($B148,Model!$A$8:$G$289,7)</f>
        <v>0</v>
      </c>
      <c r="I148" s="133">
        <v>0</v>
      </c>
      <c r="J148" s="134">
        <f t="shared" si="62"/>
        <v>4.4225000000000003</v>
      </c>
      <c r="K148" s="140">
        <f t="shared" si="73"/>
        <v>0</v>
      </c>
      <c r="L148" s="136">
        <f>IF(Control!$C$25=Control!$B$26,J148,I148)+K148</f>
        <v>4.4225000000000003</v>
      </c>
      <c r="M148" s="133">
        <v>0</v>
      </c>
      <c r="N148" s="134">
        <f>VLOOKUP($B148,Curve_Fetch,VLOOKUP(Control!$F$25,Control!$E$26:$G$37,3))</f>
        <v>-7.0000000000000007E-2</v>
      </c>
      <c r="O148" s="140">
        <f t="shared" si="74"/>
        <v>0</v>
      </c>
      <c r="P148" s="136">
        <f>IF(Control!$C$30=Control!$B$31,N148,M148)+O148</f>
        <v>-7.0000000000000007E-2</v>
      </c>
      <c r="Q148" s="133">
        <v>0</v>
      </c>
      <c r="R148" s="134">
        <f>VLOOKUP($B148,Curve_Fetch,(VLOOKUP(Control!$F$25,Control!$E$26:$H$37,4)))</f>
        <v>5.0000000000000001E-3</v>
      </c>
      <c r="S148" s="140">
        <f t="shared" si="75"/>
        <v>0</v>
      </c>
      <c r="T148" s="136">
        <f>IF($C$12="Physical",IF(Control!$C$35=Control!$B$36,R148,Q148)+S148,0)</f>
        <v>0</v>
      </c>
      <c r="U148" s="176">
        <f t="shared" si="63"/>
        <v>4.3525</v>
      </c>
      <c r="V148" s="152"/>
      <c r="W148" s="192">
        <f>VLOOKUP($B148,Curve_Fetch,VLOOKUP(Control!$F$25,Control!$E$26:$I$37,5))</f>
        <v>0.18</v>
      </c>
      <c r="X148" s="194">
        <f t="shared" si="76"/>
        <v>0</v>
      </c>
      <c r="Y148" s="194">
        <f t="shared" si="64"/>
        <v>0.18</v>
      </c>
      <c r="Z148" s="140">
        <f t="shared" ca="1" si="77"/>
        <v>0.28657937898642949</v>
      </c>
      <c r="AA148" s="140">
        <f t="shared" ca="1" si="57"/>
        <v>4.6390793789864295</v>
      </c>
      <c r="AB148" s="203">
        <f ca="1">_xll.EURO($U148,AA148,VLOOKUP($B148,Curve_Fetch,2),VLOOKUP($B148,Curve_Fetch,2),Y148,VLOOKUP($B148,Model!$A$8:$H$288,8),1,0)</f>
        <v>0.52303539508279151</v>
      </c>
      <c r="AC148" s="134"/>
      <c r="AD148" s="192">
        <f>VLOOKUP($B148,Curve_Fetch,VLOOKUP(Control!$F$25,Control!$E$26:$I$37,5))</f>
        <v>0.18</v>
      </c>
      <c r="AE148" s="194">
        <f t="shared" si="58"/>
        <v>0</v>
      </c>
      <c r="AF148" s="194">
        <f t="shared" si="43"/>
        <v>0.18</v>
      </c>
      <c r="AG148" s="140">
        <f t="shared" si="65"/>
        <v>-0.20435881234430545</v>
      </c>
      <c r="AH148" s="140">
        <f t="shared" si="59"/>
        <v>4.1481411876556944</v>
      </c>
      <c r="AI148" s="203">
        <f>_xll.EURO($U148,AH148,VLOOKUP($B148,Curve_Fetch,2),VLOOKUP($B148,Curve_Fetch,2),AF148,VLOOKUP($B148,Model!$A$8:$H$288,8),0,0)</f>
        <v>0.51315816453018592</v>
      </c>
      <c r="AK148" s="137">
        <f t="shared" ca="1" si="66"/>
        <v>0</v>
      </c>
      <c r="AL148" s="138">
        <f t="shared" ca="1" si="67"/>
        <v>0</v>
      </c>
      <c r="AM148" s="138">
        <f t="shared" ca="1" si="68"/>
        <v>0</v>
      </c>
      <c r="AN148" s="138">
        <f t="shared" ca="1" si="69"/>
        <v>0</v>
      </c>
      <c r="AO148" s="138">
        <f t="shared" ca="1" si="70"/>
        <v>0</v>
      </c>
      <c r="AP148" s="138">
        <f t="shared" ca="1" si="71"/>
        <v>0</v>
      </c>
      <c r="AQ148" s="138">
        <f t="shared" si="60"/>
        <v>0</v>
      </c>
      <c r="AR148" s="139">
        <f t="shared" ca="1" si="72"/>
        <v>0</v>
      </c>
      <c r="AT148"/>
      <c r="AU148"/>
      <c r="AV148"/>
      <c r="AW148"/>
      <c r="AX148"/>
      <c r="AY148"/>
      <c r="AZ148"/>
      <c r="BA148"/>
    </row>
    <row r="149" spans="2:53">
      <c r="B149" s="131">
        <f>[1]!_xludf.edate(B148,1)</f>
        <v>40817</v>
      </c>
      <c r="C149" s="132">
        <f t="shared" si="61"/>
        <v>40848</v>
      </c>
      <c r="D149" s="159">
        <v>0</v>
      </c>
      <c r="E149" s="160">
        <f>VLOOKUP($B149,Model!$A$8:$E$289,5)</f>
        <v>0</v>
      </c>
      <c r="F149" s="160">
        <f>VLOOKUP($B149,Model!$A$8:$F$289,6)</f>
        <v>0</v>
      </c>
      <c r="G149" s="179">
        <f ca="1">VLOOKUP($B149,Model!$A$8:$G$289,7)</f>
        <v>0</v>
      </c>
      <c r="I149" s="133">
        <v>0</v>
      </c>
      <c r="J149" s="134">
        <f t="shared" si="62"/>
        <v>4.4325000000000001</v>
      </c>
      <c r="K149" s="140">
        <f t="shared" si="73"/>
        <v>0</v>
      </c>
      <c r="L149" s="136">
        <f>IF(Control!$C$25=Control!$B$26,J149,I149)+K149</f>
        <v>4.4325000000000001</v>
      </c>
      <c r="M149" s="133">
        <v>0</v>
      </c>
      <c r="N149" s="134">
        <f>VLOOKUP($B149,Curve_Fetch,VLOOKUP(Control!$F$25,Control!$E$26:$G$37,3))</f>
        <v>-7.0000000000000007E-2</v>
      </c>
      <c r="O149" s="140">
        <f t="shared" si="74"/>
        <v>0</v>
      </c>
      <c r="P149" s="136">
        <f>IF(Control!$C$30=Control!$B$31,N149,M149)+O149</f>
        <v>-7.0000000000000007E-2</v>
      </c>
      <c r="Q149" s="133">
        <v>0</v>
      </c>
      <c r="R149" s="134">
        <f>VLOOKUP($B149,Curve_Fetch,(VLOOKUP(Control!$F$25,Control!$E$26:$H$37,4)))</f>
        <v>5.0000000000000001E-3</v>
      </c>
      <c r="S149" s="140">
        <f t="shared" si="75"/>
        <v>0</v>
      </c>
      <c r="T149" s="136">
        <f>IF($C$12="Physical",IF(Control!$C$35=Control!$B$36,R149,Q149)+S149,0)</f>
        <v>0</v>
      </c>
      <c r="U149" s="176">
        <f t="shared" si="63"/>
        <v>4.3624999999999998</v>
      </c>
      <c r="V149" s="152"/>
      <c r="W149" s="192">
        <f>VLOOKUP($B149,Curve_Fetch,VLOOKUP(Control!$F$25,Control!$E$26:$I$37,5))</f>
        <v>0.18</v>
      </c>
      <c r="X149" s="194">
        <f t="shared" si="76"/>
        <v>0</v>
      </c>
      <c r="Y149" s="194">
        <f t="shared" si="64"/>
        <v>0.18</v>
      </c>
      <c r="Z149" s="140">
        <f t="shared" ca="1" si="77"/>
        <v>0.28657937898642949</v>
      </c>
      <c r="AA149" s="140">
        <f t="shared" ca="1" si="57"/>
        <v>4.6490793789864293</v>
      </c>
      <c r="AB149" s="203">
        <f ca="1">_xll.EURO($U149,AA149,VLOOKUP($B149,Curve_Fetch,2),VLOOKUP($B149,Curve_Fetch,2),Y149,VLOOKUP($B149,Model!$A$8:$H$288,8),1,0)</f>
        <v>0.52411465604885588</v>
      </c>
      <c r="AC149" s="134"/>
      <c r="AD149" s="192">
        <f>VLOOKUP($B149,Curve_Fetch,VLOOKUP(Control!$F$25,Control!$E$26:$I$37,5))</f>
        <v>0.18</v>
      </c>
      <c r="AE149" s="194">
        <f t="shared" si="58"/>
        <v>0</v>
      </c>
      <c r="AF149" s="194">
        <f t="shared" si="43"/>
        <v>0.18</v>
      </c>
      <c r="AG149" s="140">
        <f t="shared" si="65"/>
        <v>-0.20435881234430545</v>
      </c>
      <c r="AH149" s="140">
        <f t="shared" si="59"/>
        <v>4.1581411876556942</v>
      </c>
      <c r="AI149" s="203">
        <f>_xll.EURO($U149,AH149,VLOOKUP($B149,Curve_Fetch,2),VLOOKUP($B149,Curve_Fetch,2),AF149,VLOOKUP($B149,Model!$A$8:$H$288,8),0,0)</f>
        <v>0.51416576926188118</v>
      </c>
      <c r="AK149" s="137">
        <f t="shared" ca="1" si="66"/>
        <v>0</v>
      </c>
      <c r="AL149" s="138">
        <f t="shared" ca="1" si="67"/>
        <v>0</v>
      </c>
      <c r="AM149" s="138">
        <f t="shared" ca="1" si="68"/>
        <v>0</v>
      </c>
      <c r="AN149" s="138">
        <f t="shared" ca="1" si="69"/>
        <v>0</v>
      </c>
      <c r="AO149" s="138">
        <f t="shared" ca="1" si="70"/>
        <v>0</v>
      </c>
      <c r="AP149" s="138">
        <f t="shared" ca="1" si="71"/>
        <v>0</v>
      </c>
      <c r="AQ149" s="138">
        <f t="shared" si="60"/>
        <v>0</v>
      </c>
      <c r="AR149" s="139">
        <f t="shared" ca="1" si="72"/>
        <v>0</v>
      </c>
      <c r="AT149"/>
      <c r="AU149"/>
      <c r="AV149"/>
      <c r="AW149"/>
      <c r="AX149"/>
      <c r="AY149"/>
      <c r="AZ149"/>
      <c r="BA149"/>
    </row>
    <row r="150" spans="2:53">
      <c r="B150" s="131">
        <f>[1]!_xludf.edate(B149,1)</f>
        <v>40848</v>
      </c>
      <c r="C150" s="132">
        <f t="shared" si="61"/>
        <v>40878</v>
      </c>
      <c r="D150" s="159">
        <v>0</v>
      </c>
      <c r="E150" s="160">
        <f>VLOOKUP($B150,Model!$A$8:$E$289,5)</f>
        <v>0</v>
      </c>
      <c r="F150" s="160">
        <f>VLOOKUP($B150,Model!$A$8:$F$289,6)</f>
        <v>0</v>
      </c>
      <c r="G150" s="179">
        <f ca="1">VLOOKUP($B150,Model!$A$8:$G$289,7)</f>
        <v>0</v>
      </c>
      <c r="I150" s="133">
        <v>0</v>
      </c>
      <c r="J150" s="134">
        <f t="shared" si="62"/>
        <v>4.5925000000000002</v>
      </c>
      <c r="K150" s="140">
        <f t="shared" si="73"/>
        <v>0</v>
      </c>
      <c r="L150" s="136">
        <f>IF(Control!$C$25=Control!$B$26,J150,I150)+K150</f>
        <v>4.5925000000000002</v>
      </c>
      <c r="M150" s="133">
        <v>0</v>
      </c>
      <c r="N150" s="134">
        <f>VLOOKUP($B150,Curve_Fetch,VLOOKUP(Control!$F$25,Control!$E$26:$G$37,3))</f>
        <v>-7.0000000000000007E-2</v>
      </c>
      <c r="O150" s="140">
        <f t="shared" si="74"/>
        <v>0</v>
      </c>
      <c r="P150" s="136">
        <f>IF(Control!$C$30=Control!$B$31,N150,M150)+O150</f>
        <v>-7.0000000000000007E-2</v>
      </c>
      <c r="Q150" s="133">
        <v>0</v>
      </c>
      <c r="R150" s="134">
        <f>VLOOKUP($B150,Curve_Fetch,(VLOOKUP(Control!$F$25,Control!$E$26:$H$37,4)))</f>
        <v>5.0000000000000001E-3</v>
      </c>
      <c r="S150" s="140">
        <f t="shared" si="75"/>
        <v>0</v>
      </c>
      <c r="T150" s="136">
        <f>IF($C$12="Physical",IF(Control!$C$35=Control!$B$36,R150,Q150)+S150,0)</f>
        <v>0</v>
      </c>
      <c r="U150" s="176">
        <f t="shared" si="63"/>
        <v>4.5225</v>
      </c>
      <c r="V150" s="152"/>
      <c r="W150" s="192">
        <f>VLOOKUP($B150,Curve_Fetch,VLOOKUP(Control!$F$25,Control!$E$26:$I$37,5))</f>
        <v>0.18</v>
      </c>
      <c r="X150" s="194">
        <f t="shared" si="76"/>
        <v>0</v>
      </c>
      <c r="Y150" s="194">
        <f t="shared" si="64"/>
        <v>0.18</v>
      </c>
      <c r="Z150" s="140">
        <f t="shared" ca="1" si="77"/>
        <v>0.28657937898642949</v>
      </c>
      <c r="AA150" s="140">
        <f t="shared" ca="1" si="57"/>
        <v>4.8090793789864295</v>
      </c>
      <c r="AB150" s="203">
        <f ca="1">_xll.EURO($U150,AA150,VLOOKUP($B150,Curve_Fetch,2),VLOOKUP($B150,Curve_Fetch,2),Y150,VLOOKUP($B150,Model!$A$8:$H$288,8),1,0)</f>
        <v>0.54521403557432402</v>
      </c>
      <c r="AC150" s="134"/>
      <c r="AD150" s="192">
        <f>VLOOKUP($B150,Curve_Fetch,VLOOKUP(Control!$F$25,Control!$E$26:$I$37,5))</f>
        <v>0.18</v>
      </c>
      <c r="AE150" s="194">
        <f t="shared" si="58"/>
        <v>0</v>
      </c>
      <c r="AF150" s="194">
        <f t="shared" si="43"/>
        <v>0.18</v>
      </c>
      <c r="AG150" s="140">
        <f t="shared" si="65"/>
        <v>-0.20435881234430545</v>
      </c>
      <c r="AH150" s="140">
        <f t="shared" si="59"/>
        <v>4.3181411876556943</v>
      </c>
      <c r="AI150" s="203">
        <f>_xll.EURO($U150,AH150,VLOOKUP($B150,Curve_Fetch,2),VLOOKUP($B150,Curve_Fetch,2),AF150,VLOOKUP($B150,Model!$A$8:$H$288,8),0,0)</f>
        <v>0.53524368051015858</v>
      </c>
      <c r="AK150" s="137">
        <f t="shared" ca="1" si="66"/>
        <v>0</v>
      </c>
      <c r="AL150" s="138">
        <f t="shared" ca="1" si="67"/>
        <v>0</v>
      </c>
      <c r="AM150" s="138">
        <f t="shared" ca="1" si="68"/>
        <v>0</v>
      </c>
      <c r="AN150" s="138">
        <f t="shared" ca="1" si="69"/>
        <v>0</v>
      </c>
      <c r="AO150" s="138">
        <f t="shared" ca="1" si="70"/>
        <v>0</v>
      </c>
      <c r="AP150" s="138">
        <f t="shared" ca="1" si="71"/>
        <v>0</v>
      </c>
      <c r="AQ150" s="138">
        <f t="shared" si="60"/>
        <v>0</v>
      </c>
      <c r="AR150" s="139">
        <f t="shared" ca="1" si="72"/>
        <v>0</v>
      </c>
      <c r="AT150"/>
      <c r="AU150"/>
      <c r="AV150"/>
      <c r="AW150"/>
      <c r="AX150"/>
      <c r="AY150"/>
      <c r="AZ150"/>
      <c r="BA150"/>
    </row>
    <row r="151" spans="2:53">
      <c r="B151" s="131">
        <f>[1]!_xludf.edate(B150,1)</f>
        <v>40878</v>
      </c>
      <c r="C151" s="132">
        <f t="shared" si="61"/>
        <v>40909</v>
      </c>
      <c r="D151" s="159">
        <v>0</v>
      </c>
      <c r="E151" s="160">
        <f>VLOOKUP($B151,Model!$A$8:$E$289,5)</f>
        <v>0</v>
      </c>
      <c r="F151" s="160">
        <f>VLOOKUP($B151,Model!$A$8:$F$289,6)</f>
        <v>0</v>
      </c>
      <c r="G151" s="179">
        <f ca="1">VLOOKUP($B151,Model!$A$8:$G$289,7)</f>
        <v>0</v>
      </c>
      <c r="I151" s="133">
        <v>0</v>
      </c>
      <c r="J151" s="134">
        <f t="shared" si="62"/>
        <v>4.7465000000000002</v>
      </c>
      <c r="K151" s="140">
        <f t="shared" si="73"/>
        <v>0</v>
      </c>
      <c r="L151" s="136">
        <f>IF(Control!$C$25=Control!$B$26,J151,I151)+K151</f>
        <v>4.7465000000000002</v>
      </c>
      <c r="M151" s="133">
        <v>0</v>
      </c>
      <c r="N151" s="134">
        <f>VLOOKUP($B151,Curve_Fetch,VLOOKUP(Control!$F$25,Control!$E$26:$G$37,3))</f>
        <v>-7.0000000000000007E-2</v>
      </c>
      <c r="O151" s="140">
        <f t="shared" si="74"/>
        <v>0</v>
      </c>
      <c r="P151" s="136">
        <f>IF(Control!$C$30=Control!$B$31,N151,M151)+O151</f>
        <v>-7.0000000000000007E-2</v>
      </c>
      <c r="Q151" s="133">
        <v>0</v>
      </c>
      <c r="R151" s="134">
        <f>VLOOKUP($B151,Curve_Fetch,(VLOOKUP(Control!$F$25,Control!$E$26:$H$37,4)))</f>
        <v>5.0000000000000001E-3</v>
      </c>
      <c r="S151" s="140">
        <f t="shared" si="75"/>
        <v>0</v>
      </c>
      <c r="T151" s="136">
        <f>IF($C$12="Physical",IF(Control!$C$35=Control!$B$36,R151,Q151)+S151,0)</f>
        <v>0</v>
      </c>
      <c r="U151" s="176">
        <f t="shared" si="63"/>
        <v>4.6764999999999999</v>
      </c>
      <c r="V151" s="152"/>
      <c r="W151" s="192">
        <f>VLOOKUP($B151,Curve_Fetch,VLOOKUP(Control!$F$25,Control!$E$26:$I$37,5))</f>
        <v>0.18</v>
      </c>
      <c r="X151" s="194">
        <f t="shared" si="76"/>
        <v>0</v>
      </c>
      <c r="Y151" s="194">
        <f t="shared" si="64"/>
        <v>0.18</v>
      </c>
      <c r="Z151" s="140">
        <f t="shared" ca="1" si="77"/>
        <v>0.28657937898642949</v>
      </c>
      <c r="AA151" s="140">
        <f t="shared" ca="1" si="57"/>
        <v>4.9630793789864294</v>
      </c>
      <c r="AB151" s="203">
        <f ca="1">_xll.EURO($U151,AA151,VLOOKUP($B151,Curve_Fetch,2),VLOOKUP($B151,Curve_Fetch,2),Y151,VLOOKUP($B151,Model!$A$8:$H$288,8),1,0)</f>
        <v>0.56566317462086135</v>
      </c>
      <c r="AC151" s="134"/>
      <c r="AD151" s="192">
        <f>VLOOKUP($B151,Curve_Fetch,VLOOKUP(Control!$F$25,Control!$E$26:$I$37,5))</f>
        <v>0.18</v>
      </c>
      <c r="AE151" s="194">
        <f t="shared" si="58"/>
        <v>0</v>
      </c>
      <c r="AF151" s="194">
        <f t="shared" si="43"/>
        <v>0.18</v>
      </c>
      <c r="AG151" s="140">
        <f t="shared" si="65"/>
        <v>-0.20435881234430545</v>
      </c>
      <c r="AH151" s="140">
        <f t="shared" si="59"/>
        <v>4.4721411876556942</v>
      </c>
      <c r="AI151" s="203">
        <f>_xll.EURO($U151,AH151,VLOOKUP($B151,Curve_Fetch,2),VLOOKUP($B151,Curve_Fetch,2),AF151,VLOOKUP($B151,Model!$A$8:$H$288,8),0,0)</f>
        <v>0.55566553227331661</v>
      </c>
      <c r="AK151" s="137">
        <f t="shared" ca="1" si="66"/>
        <v>0</v>
      </c>
      <c r="AL151" s="138">
        <f t="shared" ca="1" si="67"/>
        <v>0</v>
      </c>
      <c r="AM151" s="138">
        <f t="shared" ca="1" si="68"/>
        <v>0</v>
      </c>
      <c r="AN151" s="138">
        <f t="shared" ca="1" si="69"/>
        <v>0</v>
      </c>
      <c r="AO151" s="138">
        <f t="shared" ca="1" si="70"/>
        <v>0</v>
      </c>
      <c r="AP151" s="138">
        <f t="shared" ca="1" si="71"/>
        <v>0</v>
      </c>
      <c r="AQ151" s="138">
        <f t="shared" si="60"/>
        <v>0</v>
      </c>
      <c r="AR151" s="139">
        <f t="shared" ca="1" si="72"/>
        <v>0</v>
      </c>
      <c r="AT151"/>
      <c r="AU151"/>
      <c r="AV151"/>
      <c r="AW151"/>
      <c r="AX151"/>
      <c r="AY151"/>
      <c r="AZ151"/>
      <c r="BA151"/>
    </row>
    <row r="152" spans="2:53">
      <c r="B152" s="131">
        <f>[1]!_xludf.edate(B151,1)</f>
        <v>40909</v>
      </c>
      <c r="C152" s="132">
        <f t="shared" si="61"/>
        <v>40940</v>
      </c>
      <c r="D152" s="159">
        <v>0</v>
      </c>
      <c r="E152" s="160">
        <f>VLOOKUP($B152,Model!$A$8:$E$289,5)</f>
        <v>0</v>
      </c>
      <c r="F152" s="160">
        <f>VLOOKUP($B152,Model!$A$8:$F$289,6)</f>
        <v>0</v>
      </c>
      <c r="G152" s="179">
        <f ca="1">VLOOKUP($B152,Model!$A$8:$G$289,7)</f>
        <v>0</v>
      </c>
      <c r="I152" s="133">
        <v>0</v>
      </c>
      <c r="J152" s="134">
        <f t="shared" si="62"/>
        <v>4.7990000000000004</v>
      </c>
      <c r="K152" s="140">
        <f t="shared" si="73"/>
        <v>0</v>
      </c>
      <c r="L152" s="136">
        <f>IF(Control!$C$25=Control!$B$26,J152,I152)+K152</f>
        <v>4.7990000000000004</v>
      </c>
      <c r="M152" s="133">
        <v>0</v>
      </c>
      <c r="N152" s="134">
        <f>VLOOKUP($B152,Curve_Fetch,VLOOKUP(Control!$F$25,Control!$E$26:$G$37,3))</f>
        <v>-7.0000000000000007E-2</v>
      </c>
      <c r="O152" s="140">
        <f t="shared" si="74"/>
        <v>0</v>
      </c>
      <c r="P152" s="136">
        <f>IF(Control!$C$30=Control!$B$31,N152,M152)+O152</f>
        <v>-7.0000000000000007E-2</v>
      </c>
      <c r="Q152" s="133">
        <v>0</v>
      </c>
      <c r="R152" s="134">
        <f>VLOOKUP($B152,Curve_Fetch,(VLOOKUP(Control!$F$25,Control!$E$26:$H$37,4)))</f>
        <v>5.0000000000000001E-3</v>
      </c>
      <c r="S152" s="140">
        <f t="shared" si="75"/>
        <v>0</v>
      </c>
      <c r="T152" s="136">
        <f>IF($C$12="Physical",IF(Control!$C$35=Control!$B$36,R152,Q152)+S152,0)</f>
        <v>0</v>
      </c>
      <c r="U152" s="176">
        <f t="shared" si="63"/>
        <v>4.7290000000000001</v>
      </c>
      <c r="V152" s="152"/>
      <c r="W152" s="192">
        <f>VLOOKUP($B152,Curve_Fetch,VLOOKUP(Control!$F$25,Control!$E$26:$I$37,5))</f>
        <v>0.18</v>
      </c>
      <c r="X152" s="194">
        <f t="shared" si="76"/>
        <v>0</v>
      </c>
      <c r="Y152" s="194">
        <f t="shared" si="64"/>
        <v>0.18</v>
      </c>
      <c r="Z152" s="140">
        <f t="shared" ca="1" si="77"/>
        <v>0.28657937898642949</v>
      </c>
      <c r="AA152" s="140">
        <f t="shared" ca="1" si="57"/>
        <v>5.0155793789864296</v>
      </c>
      <c r="AB152" s="203">
        <f ca="1">_xll.EURO($U152,AA152,VLOOKUP($B152,Curve_Fetch,2),VLOOKUP($B152,Curve_Fetch,2),Y152,VLOOKUP($B152,Model!$A$8:$H$288,8),1,0)</f>
        <v>0.57254211314913661</v>
      </c>
      <c r="AC152" s="134"/>
      <c r="AD152" s="192">
        <f>VLOOKUP($B152,Curve_Fetch,VLOOKUP(Control!$F$25,Control!$E$26:$I$37,5))</f>
        <v>0.18</v>
      </c>
      <c r="AE152" s="194">
        <f t="shared" si="58"/>
        <v>0</v>
      </c>
      <c r="AF152" s="194">
        <f t="shared" si="43"/>
        <v>0.18</v>
      </c>
      <c r="AG152" s="140">
        <f t="shared" si="65"/>
        <v>-0.20435881234430545</v>
      </c>
      <c r="AH152" s="140">
        <f t="shared" si="59"/>
        <v>4.5246411876556945</v>
      </c>
      <c r="AI152" s="203">
        <f>_xll.EURO($U152,AH152,VLOOKUP($B152,Curve_Fetch,2),VLOOKUP($B152,Curve_Fetch,2),AF152,VLOOKUP($B152,Model!$A$8:$H$288,8),0,0)</f>
        <v>0.56248183147316277</v>
      </c>
      <c r="AK152" s="137">
        <f t="shared" ca="1" si="66"/>
        <v>0</v>
      </c>
      <c r="AL152" s="138">
        <f t="shared" ca="1" si="67"/>
        <v>0</v>
      </c>
      <c r="AM152" s="138">
        <f t="shared" ca="1" si="68"/>
        <v>0</v>
      </c>
      <c r="AN152" s="138">
        <f t="shared" ca="1" si="69"/>
        <v>0</v>
      </c>
      <c r="AO152" s="138">
        <f t="shared" ca="1" si="70"/>
        <v>0</v>
      </c>
      <c r="AP152" s="138">
        <f t="shared" ca="1" si="71"/>
        <v>0</v>
      </c>
      <c r="AQ152" s="138">
        <f t="shared" si="60"/>
        <v>0</v>
      </c>
      <c r="AR152" s="139">
        <f t="shared" ca="1" si="72"/>
        <v>0</v>
      </c>
      <c r="AT152"/>
      <c r="AU152"/>
      <c r="AV152"/>
      <c r="AW152"/>
      <c r="AX152"/>
      <c r="AY152"/>
      <c r="AZ152"/>
      <c r="BA152"/>
    </row>
    <row r="153" spans="2:53">
      <c r="B153" s="131">
        <f>[1]!_xludf.edate(B152,1)</f>
        <v>40940</v>
      </c>
      <c r="C153" s="132">
        <f t="shared" si="61"/>
        <v>40969</v>
      </c>
      <c r="D153" s="159">
        <v>0</v>
      </c>
      <c r="E153" s="160">
        <f>VLOOKUP($B153,Model!$A$8:$E$289,5)</f>
        <v>0</v>
      </c>
      <c r="F153" s="160">
        <f>VLOOKUP($B153,Model!$A$8:$F$289,6)</f>
        <v>0</v>
      </c>
      <c r="G153" s="179">
        <f ca="1">VLOOKUP($B153,Model!$A$8:$G$289,7)</f>
        <v>0</v>
      </c>
      <c r="I153" s="133">
        <v>0</v>
      </c>
      <c r="J153" s="134">
        <f t="shared" si="62"/>
        <v>4.7110000000000003</v>
      </c>
      <c r="K153" s="140">
        <f t="shared" si="73"/>
        <v>0</v>
      </c>
      <c r="L153" s="136">
        <f>IF(Control!$C$25=Control!$B$26,J153,I153)+K153</f>
        <v>4.7110000000000003</v>
      </c>
      <c r="M153" s="133">
        <v>0</v>
      </c>
      <c r="N153" s="134">
        <f>VLOOKUP($B153,Curve_Fetch,VLOOKUP(Control!$F$25,Control!$E$26:$G$37,3))</f>
        <v>-7.0000000000000007E-2</v>
      </c>
      <c r="O153" s="140">
        <f t="shared" si="74"/>
        <v>0</v>
      </c>
      <c r="P153" s="136">
        <f>IF(Control!$C$30=Control!$B$31,N153,M153)+O153</f>
        <v>-7.0000000000000007E-2</v>
      </c>
      <c r="Q153" s="133">
        <v>0</v>
      </c>
      <c r="R153" s="134">
        <f>VLOOKUP($B153,Curve_Fetch,(VLOOKUP(Control!$F$25,Control!$E$26:$H$37,4)))</f>
        <v>5.0000000000000001E-3</v>
      </c>
      <c r="S153" s="140">
        <f t="shared" si="75"/>
        <v>0</v>
      </c>
      <c r="T153" s="136">
        <f>IF($C$12="Physical",IF(Control!$C$35=Control!$B$36,R153,Q153)+S153,0)</f>
        <v>0</v>
      </c>
      <c r="U153" s="176">
        <f t="shared" si="63"/>
        <v>4.641</v>
      </c>
      <c r="V153" s="152"/>
      <c r="W153" s="192">
        <f>VLOOKUP($B153,Curve_Fetch,VLOOKUP(Control!$F$25,Control!$E$26:$I$37,5))</f>
        <v>0.17499999999999999</v>
      </c>
      <c r="X153" s="194">
        <f t="shared" si="76"/>
        <v>0</v>
      </c>
      <c r="Y153" s="194">
        <f t="shared" si="64"/>
        <v>0.17499999999999999</v>
      </c>
      <c r="Z153" s="140">
        <f t="shared" ca="1" si="77"/>
        <v>0.28657937898642949</v>
      </c>
      <c r="AA153" s="140">
        <f t="shared" ca="1" si="57"/>
        <v>4.9275793789864295</v>
      </c>
      <c r="AB153" s="203">
        <f ca="1">_xll.EURO($U153,AA153,VLOOKUP($B153,Curve_Fetch,2),VLOOKUP($B153,Curve_Fetch,2),Y153,VLOOKUP($B153,Model!$A$8:$H$288,8),1,0)</f>
        <v>0.54335657452944197</v>
      </c>
      <c r="AC153" s="134"/>
      <c r="AD153" s="192">
        <f>VLOOKUP($B153,Curve_Fetch,VLOOKUP(Control!$F$25,Control!$E$26:$I$37,5))</f>
        <v>0.17499999999999999</v>
      </c>
      <c r="AE153" s="194">
        <f t="shared" si="58"/>
        <v>0</v>
      </c>
      <c r="AF153" s="194">
        <f t="shared" si="43"/>
        <v>0.17499999999999999</v>
      </c>
      <c r="AG153" s="140">
        <f t="shared" si="65"/>
        <v>-0.20435881234430545</v>
      </c>
      <c r="AH153" s="140">
        <f t="shared" si="59"/>
        <v>4.4366411876556944</v>
      </c>
      <c r="AI153" s="203">
        <f>_xll.EURO($U153,AH153,VLOOKUP($B153,Curve_Fetch,2),VLOOKUP($B153,Curve_Fetch,2),AF153,VLOOKUP($B153,Model!$A$8:$H$288,8),0,0)</f>
        <v>0.53403563695042078</v>
      </c>
      <c r="AK153" s="137">
        <f t="shared" ca="1" si="66"/>
        <v>0</v>
      </c>
      <c r="AL153" s="138">
        <f t="shared" ca="1" si="67"/>
        <v>0</v>
      </c>
      <c r="AM153" s="138">
        <f t="shared" ca="1" si="68"/>
        <v>0</v>
      </c>
      <c r="AN153" s="138">
        <f t="shared" ca="1" si="69"/>
        <v>0</v>
      </c>
      <c r="AO153" s="138">
        <f t="shared" ca="1" si="70"/>
        <v>0</v>
      </c>
      <c r="AP153" s="138">
        <f t="shared" ca="1" si="71"/>
        <v>0</v>
      </c>
      <c r="AQ153" s="138">
        <f t="shared" si="60"/>
        <v>0</v>
      </c>
      <c r="AR153" s="139">
        <f t="shared" ca="1" si="72"/>
        <v>0</v>
      </c>
      <c r="AT153"/>
      <c r="AU153"/>
      <c r="AV153"/>
      <c r="AW153"/>
      <c r="AX153"/>
      <c r="AY153"/>
      <c r="AZ153"/>
      <c r="BA153"/>
    </row>
    <row r="154" spans="2:53">
      <c r="B154" s="131">
        <f>[1]!_xludf.edate(B153,1)</f>
        <v>40969</v>
      </c>
      <c r="C154" s="132">
        <f t="shared" si="61"/>
        <v>41000</v>
      </c>
      <c r="D154" s="159">
        <v>0</v>
      </c>
      <c r="E154" s="160">
        <f>VLOOKUP($B154,Model!$A$8:$E$289,5)</f>
        <v>0</v>
      </c>
      <c r="F154" s="160">
        <f>VLOOKUP($B154,Model!$A$8:$F$289,6)</f>
        <v>0</v>
      </c>
      <c r="G154" s="179">
        <f ca="1">VLOOKUP($B154,Model!$A$8:$G$289,7)</f>
        <v>0</v>
      </c>
      <c r="I154" s="133">
        <v>0</v>
      </c>
      <c r="J154" s="134">
        <f t="shared" si="62"/>
        <v>4.5720000000000001</v>
      </c>
      <c r="K154" s="140">
        <f t="shared" si="73"/>
        <v>0</v>
      </c>
      <c r="L154" s="136">
        <f>IF(Control!$C$25=Control!$B$26,J154,I154)+K154</f>
        <v>4.5720000000000001</v>
      </c>
      <c r="M154" s="133">
        <v>0</v>
      </c>
      <c r="N154" s="134">
        <f>VLOOKUP($B154,Curve_Fetch,VLOOKUP(Control!$F$25,Control!$E$26:$G$37,3))</f>
        <v>-7.0000000000000007E-2</v>
      </c>
      <c r="O154" s="140">
        <f t="shared" si="74"/>
        <v>0</v>
      </c>
      <c r="P154" s="136">
        <f>IF(Control!$C$30=Control!$B$31,N154,M154)+O154</f>
        <v>-7.0000000000000007E-2</v>
      </c>
      <c r="Q154" s="133">
        <v>0</v>
      </c>
      <c r="R154" s="134">
        <f>VLOOKUP($B154,Curve_Fetch,(VLOOKUP(Control!$F$25,Control!$E$26:$H$37,4)))</f>
        <v>5.0000000000000001E-3</v>
      </c>
      <c r="S154" s="140">
        <f t="shared" si="75"/>
        <v>0</v>
      </c>
      <c r="T154" s="136">
        <f>IF($C$12="Physical",IF(Control!$C$35=Control!$B$36,R154,Q154)+S154,0)</f>
        <v>0</v>
      </c>
      <c r="U154" s="176">
        <f t="shared" si="63"/>
        <v>4.5019999999999998</v>
      </c>
      <c r="V154" s="152"/>
      <c r="W154" s="192">
        <f>VLOOKUP($B154,Curve_Fetch,VLOOKUP(Control!$F$25,Control!$E$26:$I$37,5))</f>
        <v>0.17</v>
      </c>
      <c r="X154" s="194">
        <f t="shared" si="76"/>
        <v>0</v>
      </c>
      <c r="Y154" s="194">
        <f t="shared" si="64"/>
        <v>0.17</v>
      </c>
      <c r="Z154" s="140">
        <f t="shared" ca="1" si="77"/>
        <v>0.28657937898642949</v>
      </c>
      <c r="AA154" s="140">
        <f t="shared" ca="1" si="57"/>
        <v>4.7885793789864293</v>
      </c>
      <c r="AB154" s="203">
        <f ca="1">_xll.EURO($U154,AA154,VLOOKUP($B154,Curve_Fetch,2),VLOOKUP($B154,Curve_Fetch,2),Y154,VLOOKUP($B154,Model!$A$8:$H$288,8),1,0)</f>
        <v>0.50839195774996027</v>
      </c>
      <c r="AC154" s="134"/>
      <c r="AD154" s="192">
        <f>VLOOKUP($B154,Curve_Fetch,VLOOKUP(Control!$F$25,Control!$E$26:$I$37,5))</f>
        <v>0.17</v>
      </c>
      <c r="AE154" s="194">
        <f t="shared" si="58"/>
        <v>0</v>
      </c>
      <c r="AF154" s="194">
        <f t="shared" si="43"/>
        <v>0.17</v>
      </c>
      <c r="AG154" s="140">
        <f t="shared" si="65"/>
        <v>-0.20435881234430545</v>
      </c>
      <c r="AH154" s="140">
        <f t="shared" si="59"/>
        <v>4.2976411876556941</v>
      </c>
      <c r="AI154" s="203">
        <f>_xll.EURO($U154,AH154,VLOOKUP($B154,Curve_Fetch,2),VLOOKUP($B154,Curve_Fetch,2),AF154,VLOOKUP($B154,Model!$A$8:$H$288,8),0,0)</f>
        <v>0.4997956460724251</v>
      </c>
      <c r="AK154" s="137">
        <f t="shared" ca="1" si="66"/>
        <v>0</v>
      </c>
      <c r="AL154" s="138">
        <f t="shared" ca="1" si="67"/>
        <v>0</v>
      </c>
      <c r="AM154" s="138">
        <f t="shared" ca="1" si="68"/>
        <v>0</v>
      </c>
      <c r="AN154" s="138">
        <f t="shared" ca="1" si="69"/>
        <v>0</v>
      </c>
      <c r="AO154" s="138">
        <f t="shared" ca="1" si="70"/>
        <v>0</v>
      </c>
      <c r="AP154" s="138">
        <f t="shared" ca="1" si="71"/>
        <v>0</v>
      </c>
      <c r="AQ154" s="138">
        <f t="shared" si="60"/>
        <v>0</v>
      </c>
      <c r="AR154" s="139">
        <f t="shared" ca="1" si="72"/>
        <v>0</v>
      </c>
      <c r="AT154"/>
      <c r="AU154"/>
      <c r="AV154"/>
      <c r="AW154"/>
      <c r="AX154"/>
      <c r="AY154"/>
      <c r="AZ154"/>
      <c r="BA154"/>
    </row>
    <row r="155" spans="2:53">
      <c r="B155" s="131">
        <f>[1]!_xludf.edate(B154,1)</f>
        <v>41000</v>
      </c>
      <c r="C155" s="132">
        <f t="shared" si="61"/>
        <v>41030</v>
      </c>
      <c r="D155" s="159">
        <v>0</v>
      </c>
      <c r="E155" s="160">
        <f>VLOOKUP($B155,Model!$A$8:$E$289,5)</f>
        <v>0</v>
      </c>
      <c r="F155" s="160">
        <f>VLOOKUP($B155,Model!$A$8:$F$289,6)</f>
        <v>0</v>
      </c>
      <c r="G155" s="179">
        <f ca="1">VLOOKUP($B155,Model!$A$8:$G$289,7)</f>
        <v>0</v>
      </c>
      <c r="I155" s="133">
        <v>0</v>
      </c>
      <c r="J155" s="134">
        <f t="shared" si="62"/>
        <v>4.4180000000000001</v>
      </c>
      <c r="K155" s="140">
        <f t="shared" si="73"/>
        <v>0</v>
      </c>
      <c r="L155" s="136">
        <f>IF(Control!$C$25=Control!$B$26,J155,I155)+K155</f>
        <v>4.4180000000000001</v>
      </c>
      <c r="M155" s="133">
        <v>0</v>
      </c>
      <c r="N155" s="134">
        <f>VLOOKUP($B155,Curve_Fetch,VLOOKUP(Control!$F$25,Control!$E$26:$G$37,3))</f>
        <v>-7.0000000000000007E-2</v>
      </c>
      <c r="O155" s="140">
        <f t="shared" si="74"/>
        <v>0</v>
      </c>
      <c r="P155" s="136">
        <f>IF(Control!$C$30=Control!$B$31,N155,M155)+O155</f>
        <v>-7.0000000000000007E-2</v>
      </c>
      <c r="Q155" s="133">
        <v>0</v>
      </c>
      <c r="R155" s="134">
        <f>VLOOKUP($B155,Curve_Fetch,(VLOOKUP(Control!$F$25,Control!$E$26:$H$37,4)))</f>
        <v>5.0000000000000001E-3</v>
      </c>
      <c r="S155" s="140">
        <f t="shared" si="75"/>
        <v>0</v>
      </c>
      <c r="T155" s="136">
        <f>IF($C$12="Physical",IF(Control!$C$35=Control!$B$36,R155,Q155)+S155,0)</f>
        <v>0</v>
      </c>
      <c r="U155" s="176">
        <f t="shared" si="63"/>
        <v>4.3479999999999999</v>
      </c>
      <c r="V155" s="152"/>
      <c r="W155" s="192">
        <f>VLOOKUP($B155,Curve_Fetch,VLOOKUP(Control!$F$25,Control!$E$26:$I$37,5))</f>
        <v>0.17</v>
      </c>
      <c r="X155" s="194">
        <f t="shared" si="76"/>
        <v>0</v>
      </c>
      <c r="Y155" s="194">
        <f t="shared" si="64"/>
        <v>0.17</v>
      </c>
      <c r="Z155" s="140">
        <f t="shared" ca="1" si="77"/>
        <v>0.28657937898642949</v>
      </c>
      <c r="AA155" s="140">
        <f t="shared" ca="1" si="57"/>
        <v>4.6345793789864294</v>
      </c>
      <c r="AB155" s="203">
        <f ca="1">_xll.EURO($U155,AA155,VLOOKUP($B155,Curve_Fetch,2),VLOOKUP($B155,Curve_Fetch,2),Y155,VLOOKUP($B155,Model!$A$8:$H$288,8),1,0)</f>
        <v>0.48883789796398081</v>
      </c>
      <c r="AC155" s="134"/>
      <c r="AD155" s="192">
        <f>VLOOKUP($B155,Curve_Fetch,VLOOKUP(Control!$F$25,Control!$E$26:$I$37,5))</f>
        <v>0.17</v>
      </c>
      <c r="AE155" s="194">
        <f t="shared" si="58"/>
        <v>0</v>
      </c>
      <c r="AF155" s="194">
        <f t="shared" si="43"/>
        <v>0.17</v>
      </c>
      <c r="AG155" s="140">
        <f t="shared" si="65"/>
        <v>-0.20435881234430545</v>
      </c>
      <c r="AH155" s="140">
        <f t="shared" si="59"/>
        <v>4.1436411876556942</v>
      </c>
      <c r="AI155" s="203">
        <f>_xll.EURO($U155,AH155,VLOOKUP($B155,Curve_Fetch,2),VLOOKUP($B155,Curve_Fetch,2),AF155,VLOOKUP($B155,Model!$A$8:$H$288,8),0,0)</f>
        <v>0.48011349615511589</v>
      </c>
      <c r="AK155" s="137">
        <f t="shared" ca="1" si="66"/>
        <v>0</v>
      </c>
      <c r="AL155" s="138">
        <f t="shared" ca="1" si="67"/>
        <v>0</v>
      </c>
      <c r="AM155" s="138">
        <f t="shared" ca="1" si="68"/>
        <v>0</v>
      </c>
      <c r="AN155" s="138">
        <f t="shared" ca="1" si="69"/>
        <v>0</v>
      </c>
      <c r="AO155" s="138">
        <f t="shared" ca="1" si="70"/>
        <v>0</v>
      </c>
      <c r="AP155" s="138">
        <f t="shared" ca="1" si="71"/>
        <v>0</v>
      </c>
      <c r="AQ155" s="138">
        <f t="shared" si="60"/>
        <v>0</v>
      </c>
      <c r="AR155" s="139">
        <f t="shared" ca="1" si="72"/>
        <v>0</v>
      </c>
      <c r="AT155"/>
      <c r="AU155"/>
      <c r="AV155"/>
      <c r="AW155"/>
      <c r="AX155"/>
      <c r="AY155"/>
      <c r="AZ155"/>
      <c r="BA155"/>
    </row>
    <row r="156" spans="2:53">
      <c r="B156" s="131">
        <f>[1]!_xludf.edate(B155,1)</f>
        <v>41030</v>
      </c>
      <c r="C156" s="132">
        <f t="shared" si="61"/>
        <v>41061</v>
      </c>
      <c r="D156" s="159">
        <v>0</v>
      </c>
      <c r="E156" s="160">
        <f>VLOOKUP($B156,Model!$A$8:$E$289,5)</f>
        <v>0</v>
      </c>
      <c r="F156" s="160">
        <f>VLOOKUP($B156,Model!$A$8:$F$289,6)</f>
        <v>0</v>
      </c>
      <c r="G156" s="179">
        <f ca="1">VLOOKUP($B156,Model!$A$8:$G$289,7)</f>
        <v>0</v>
      </c>
      <c r="I156" s="133">
        <v>0</v>
      </c>
      <c r="J156" s="134">
        <f t="shared" si="62"/>
        <v>4.4219999999999997</v>
      </c>
      <c r="K156" s="140">
        <f t="shared" si="73"/>
        <v>0</v>
      </c>
      <c r="L156" s="136">
        <f>IF(Control!$C$25=Control!$B$26,J156,I156)+K156</f>
        <v>4.4219999999999997</v>
      </c>
      <c r="M156" s="133">
        <v>0</v>
      </c>
      <c r="N156" s="134">
        <f>VLOOKUP($B156,Curve_Fetch,VLOOKUP(Control!$F$25,Control!$E$26:$G$37,3))</f>
        <v>-7.0000000000000007E-2</v>
      </c>
      <c r="O156" s="140">
        <f t="shared" si="74"/>
        <v>0</v>
      </c>
      <c r="P156" s="136">
        <f>IF(Control!$C$30=Control!$B$31,N156,M156)+O156</f>
        <v>-7.0000000000000007E-2</v>
      </c>
      <c r="Q156" s="133">
        <v>0</v>
      </c>
      <c r="R156" s="134">
        <f>VLOOKUP($B156,Curve_Fetch,(VLOOKUP(Control!$F$25,Control!$E$26:$H$37,4)))</f>
        <v>5.0000000000000001E-3</v>
      </c>
      <c r="S156" s="140">
        <f t="shared" si="75"/>
        <v>0</v>
      </c>
      <c r="T156" s="136">
        <f>IF($C$12="Physical",IF(Control!$C$35=Control!$B$36,R156,Q156)+S156,0)</f>
        <v>0</v>
      </c>
      <c r="U156" s="176">
        <f t="shared" si="63"/>
        <v>4.3519999999999994</v>
      </c>
      <c r="V156" s="152"/>
      <c r="W156" s="192">
        <f>VLOOKUP($B156,Curve_Fetch,VLOOKUP(Control!$F$25,Control!$E$26:$I$37,5))</f>
        <v>0.17</v>
      </c>
      <c r="X156" s="194">
        <f t="shared" si="76"/>
        <v>0</v>
      </c>
      <c r="Y156" s="194">
        <f t="shared" si="64"/>
        <v>0.17</v>
      </c>
      <c r="Z156" s="140">
        <f t="shared" ca="1" si="77"/>
        <v>0.28657937898642949</v>
      </c>
      <c r="AA156" s="140">
        <f t="shared" ca="1" si="57"/>
        <v>4.6385793789864289</v>
      </c>
      <c r="AB156" s="203">
        <f ca="1">_xll.EURO($U156,AA156,VLOOKUP($B156,Curve_Fetch,2),VLOOKUP($B156,Curve_Fetch,2),Y156,VLOOKUP($B156,Model!$A$8:$H$288,8),1,0)</f>
        <v>0.48917582208964572</v>
      </c>
      <c r="AC156" s="134"/>
      <c r="AD156" s="192">
        <f>VLOOKUP($B156,Curve_Fetch,VLOOKUP(Control!$F$25,Control!$E$26:$I$37,5))</f>
        <v>0.17</v>
      </c>
      <c r="AE156" s="194">
        <f t="shared" si="58"/>
        <v>0</v>
      </c>
      <c r="AF156" s="194">
        <f t="shared" si="43"/>
        <v>0.17</v>
      </c>
      <c r="AG156" s="140">
        <f t="shared" si="65"/>
        <v>-0.20435881234430545</v>
      </c>
      <c r="AH156" s="140">
        <f t="shared" si="59"/>
        <v>4.1476411876556938</v>
      </c>
      <c r="AI156" s="203">
        <f>_xll.EURO($U156,AH156,VLOOKUP($B156,Curve_Fetch,2),VLOOKUP($B156,Curve_Fetch,2),AF156,VLOOKUP($B156,Model!$A$8:$H$288,8),0,0)</f>
        <v>0.48038266614639169</v>
      </c>
      <c r="AK156" s="137">
        <f t="shared" ca="1" si="66"/>
        <v>0</v>
      </c>
      <c r="AL156" s="138">
        <f t="shared" ca="1" si="67"/>
        <v>0</v>
      </c>
      <c r="AM156" s="138">
        <f t="shared" ca="1" si="68"/>
        <v>0</v>
      </c>
      <c r="AN156" s="138">
        <f t="shared" ca="1" si="69"/>
        <v>0</v>
      </c>
      <c r="AO156" s="138">
        <f t="shared" ca="1" si="70"/>
        <v>0</v>
      </c>
      <c r="AP156" s="138">
        <f t="shared" ca="1" si="71"/>
        <v>0</v>
      </c>
      <c r="AQ156" s="138">
        <f t="shared" si="60"/>
        <v>0</v>
      </c>
      <c r="AR156" s="139">
        <f t="shared" ca="1" si="72"/>
        <v>0</v>
      </c>
      <c r="AT156"/>
      <c r="AU156"/>
      <c r="AV156"/>
      <c r="AW156"/>
      <c r="AX156"/>
      <c r="AY156"/>
      <c r="AZ156"/>
      <c r="BA156"/>
    </row>
    <row r="157" spans="2:53">
      <c r="B157" s="131">
        <f>[1]!_xludf.edate(B156,1)</f>
        <v>41061</v>
      </c>
      <c r="C157" s="132">
        <f t="shared" si="61"/>
        <v>41091</v>
      </c>
      <c r="D157" s="159">
        <v>0</v>
      </c>
      <c r="E157" s="160">
        <f>VLOOKUP($B157,Model!$A$8:$E$289,5)</f>
        <v>0</v>
      </c>
      <c r="F157" s="160">
        <f>VLOOKUP($B157,Model!$A$8:$F$289,6)</f>
        <v>0</v>
      </c>
      <c r="G157" s="179">
        <f ca="1">VLOOKUP($B157,Model!$A$8:$G$289,7)</f>
        <v>0</v>
      </c>
      <c r="I157" s="133">
        <v>0</v>
      </c>
      <c r="J157" s="134">
        <f t="shared" si="62"/>
        <v>4.4619999999999997</v>
      </c>
      <c r="K157" s="140">
        <f t="shared" si="73"/>
        <v>0</v>
      </c>
      <c r="L157" s="136">
        <f>IF(Control!$C$25=Control!$B$26,J157,I157)+K157</f>
        <v>4.4619999999999997</v>
      </c>
      <c r="M157" s="133">
        <v>0</v>
      </c>
      <c r="N157" s="134">
        <f>VLOOKUP($B157,Curve_Fetch,VLOOKUP(Control!$F$25,Control!$E$26:$G$37,3))</f>
        <v>-7.0000000000000007E-2</v>
      </c>
      <c r="O157" s="140">
        <f t="shared" si="74"/>
        <v>0</v>
      </c>
      <c r="P157" s="136">
        <f>IF(Control!$C$30=Control!$B$31,N157,M157)+O157</f>
        <v>-7.0000000000000007E-2</v>
      </c>
      <c r="Q157" s="133">
        <v>0</v>
      </c>
      <c r="R157" s="134">
        <f>VLOOKUP($B157,Curve_Fetch,(VLOOKUP(Control!$F$25,Control!$E$26:$H$37,4)))</f>
        <v>5.0000000000000001E-3</v>
      </c>
      <c r="S157" s="140">
        <f t="shared" si="75"/>
        <v>0</v>
      </c>
      <c r="T157" s="136">
        <f>IF($C$12="Physical",IF(Control!$C$35=Control!$B$36,R157,Q157)+S157,0)</f>
        <v>0</v>
      </c>
      <c r="U157" s="176">
        <f t="shared" si="63"/>
        <v>4.3919999999999995</v>
      </c>
      <c r="V157" s="152"/>
      <c r="W157" s="192">
        <f>VLOOKUP($B157,Curve_Fetch,VLOOKUP(Control!$F$25,Control!$E$26:$I$37,5))</f>
        <v>0.17</v>
      </c>
      <c r="X157" s="194">
        <f t="shared" si="76"/>
        <v>0</v>
      </c>
      <c r="Y157" s="194">
        <f t="shared" si="64"/>
        <v>0.17</v>
      </c>
      <c r="Z157" s="140">
        <f t="shared" ca="1" si="77"/>
        <v>0.28657937898642949</v>
      </c>
      <c r="AA157" s="140">
        <f t="shared" ca="1" si="57"/>
        <v>4.6785793789864289</v>
      </c>
      <c r="AB157" s="203">
        <f ca="1">_xll.EURO($U157,AA157,VLOOKUP($B157,Curve_Fetch,2),VLOOKUP($B157,Curve_Fetch,2),Y157,VLOOKUP($B157,Model!$A$8:$H$288,8),1,0)</f>
        <v>0.49400738185569126</v>
      </c>
      <c r="AC157" s="134"/>
      <c r="AD157" s="192">
        <f>VLOOKUP($B157,Curve_Fetch,VLOOKUP(Control!$F$25,Control!$E$26:$I$37,5))</f>
        <v>0.17</v>
      </c>
      <c r="AE157" s="194">
        <f t="shared" si="58"/>
        <v>0</v>
      </c>
      <c r="AF157" s="194">
        <f t="shared" si="43"/>
        <v>0.17</v>
      </c>
      <c r="AG157" s="140">
        <f t="shared" si="65"/>
        <v>-0.20435881234430545</v>
      </c>
      <c r="AH157" s="140">
        <f t="shared" si="59"/>
        <v>4.1876411876556938</v>
      </c>
      <c r="AI157" s="203">
        <f>_xll.EURO($U157,AH157,VLOOKUP($B157,Curve_Fetch,2),VLOOKUP($B157,Curve_Fetch,2),AF157,VLOOKUP($B157,Model!$A$8:$H$288,8),0,0)</f>
        <v>0.4851570962173346</v>
      </c>
      <c r="AK157" s="137">
        <f t="shared" ca="1" si="66"/>
        <v>0</v>
      </c>
      <c r="AL157" s="138">
        <f t="shared" ca="1" si="67"/>
        <v>0</v>
      </c>
      <c r="AM157" s="138">
        <f t="shared" ca="1" si="68"/>
        <v>0</v>
      </c>
      <c r="AN157" s="138">
        <f t="shared" ca="1" si="69"/>
        <v>0</v>
      </c>
      <c r="AO157" s="138">
        <f t="shared" ca="1" si="70"/>
        <v>0</v>
      </c>
      <c r="AP157" s="138">
        <f t="shared" ca="1" si="71"/>
        <v>0</v>
      </c>
      <c r="AQ157" s="138">
        <f t="shared" si="60"/>
        <v>0</v>
      </c>
      <c r="AR157" s="139">
        <f t="shared" ca="1" si="72"/>
        <v>0</v>
      </c>
      <c r="AT157"/>
      <c r="AU157"/>
      <c r="AV157"/>
      <c r="AW157"/>
      <c r="AX157"/>
      <c r="AY157"/>
      <c r="AZ157"/>
      <c r="BA157"/>
    </row>
    <row r="158" spans="2:53">
      <c r="B158" s="131">
        <f>[1]!_xludf.edate(B157,1)</f>
        <v>41091</v>
      </c>
      <c r="C158" s="132">
        <f t="shared" si="61"/>
        <v>41122</v>
      </c>
      <c r="D158" s="159">
        <v>0</v>
      </c>
      <c r="E158" s="160">
        <f>VLOOKUP($B158,Model!$A$8:$E$289,5)</f>
        <v>0</v>
      </c>
      <c r="F158" s="160">
        <f>VLOOKUP($B158,Model!$A$8:$F$289,6)</f>
        <v>0</v>
      </c>
      <c r="G158" s="179">
        <f ca="1">VLOOKUP($B158,Model!$A$8:$G$289,7)</f>
        <v>0</v>
      </c>
      <c r="I158" s="133">
        <v>0</v>
      </c>
      <c r="J158" s="134">
        <f t="shared" si="62"/>
        <v>4.5069999999999997</v>
      </c>
      <c r="K158" s="140">
        <f t="shared" si="73"/>
        <v>0</v>
      </c>
      <c r="L158" s="136">
        <f>IF(Control!$C$25=Control!$B$26,J158,I158)+K158</f>
        <v>4.5069999999999997</v>
      </c>
      <c r="M158" s="133">
        <v>0</v>
      </c>
      <c r="N158" s="134">
        <f>VLOOKUP($B158,Curve_Fetch,VLOOKUP(Control!$F$25,Control!$E$26:$G$37,3))</f>
        <v>-7.0000000000000007E-2</v>
      </c>
      <c r="O158" s="140">
        <f t="shared" si="74"/>
        <v>0</v>
      </c>
      <c r="P158" s="136">
        <f>IF(Control!$C$30=Control!$B$31,N158,M158)+O158</f>
        <v>-7.0000000000000007E-2</v>
      </c>
      <c r="Q158" s="133">
        <v>0</v>
      </c>
      <c r="R158" s="134">
        <f>VLOOKUP($B158,Curve_Fetch,(VLOOKUP(Control!$F$25,Control!$E$26:$H$37,4)))</f>
        <v>5.0000000000000001E-3</v>
      </c>
      <c r="S158" s="140">
        <f t="shared" si="75"/>
        <v>0</v>
      </c>
      <c r="T158" s="136">
        <f>IF($C$12="Physical",IF(Control!$C$35=Control!$B$36,R158,Q158)+S158,0)</f>
        <v>0</v>
      </c>
      <c r="U158" s="176">
        <f t="shared" si="63"/>
        <v>4.4369999999999994</v>
      </c>
      <c r="V158" s="152"/>
      <c r="W158" s="192">
        <f>VLOOKUP($B158,Curve_Fetch,VLOOKUP(Control!$F$25,Control!$E$26:$I$37,5))</f>
        <v>0.17</v>
      </c>
      <c r="X158" s="194">
        <f t="shared" si="76"/>
        <v>0</v>
      </c>
      <c r="Y158" s="194">
        <f t="shared" si="64"/>
        <v>0.17</v>
      </c>
      <c r="Z158" s="140">
        <f t="shared" ca="1" si="77"/>
        <v>0.28657937898642949</v>
      </c>
      <c r="AA158" s="140">
        <f t="shared" ca="1" si="57"/>
        <v>4.7235793789864289</v>
      </c>
      <c r="AB158" s="203">
        <f ca="1">_xll.EURO($U158,AA158,VLOOKUP($B158,Curve_Fetch,2),VLOOKUP($B158,Curve_Fetch,2),Y158,VLOOKUP($B158,Model!$A$8:$H$288,8),1,0)</f>
        <v>0.49944118915712588</v>
      </c>
      <c r="AC158" s="134"/>
      <c r="AD158" s="192">
        <f>VLOOKUP($B158,Curve_Fetch,VLOOKUP(Control!$F$25,Control!$E$26:$I$37,5))</f>
        <v>0.17</v>
      </c>
      <c r="AE158" s="194">
        <f t="shared" si="58"/>
        <v>0</v>
      </c>
      <c r="AF158" s="194">
        <f t="shared" si="43"/>
        <v>0.17</v>
      </c>
      <c r="AG158" s="140">
        <f t="shared" si="65"/>
        <v>-0.20435881234430545</v>
      </c>
      <c r="AH158" s="140">
        <f t="shared" si="59"/>
        <v>4.2326411876556937</v>
      </c>
      <c r="AI158" s="203">
        <f>_xll.EURO($U158,AH158,VLOOKUP($B158,Curve_Fetch,2),VLOOKUP($B158,Curve_Fetch,2),AF158,VLOOKUP($B158,Model!$A$8:$H$288,8),0,0)</f>
        <v>0.49053864972061623</v>
      </c>
      <c r="AK158" s="137">
        <f t="shared" ca="1" si="66"/>
        <v>0</v>
      </c>
      <c r="AL158" s="138">
        <f t="shared" ca="1" si="67"/>
        <v>0</v>
      </c>
      <c r="AM158" s="138">
        <f t="shared" ca="1" si="68"/>
        <v>0</v>
      </c>
      <c r="AN158" s="138">
        <f t="shared" ca="1" si="69"/>
        <v>0</v>
      </c>
      <c r="AO158" s="138">
        <f t="shared" ca="1" si="70"/>
        <v>0</v>
      </c>
      <c r="AP158" s="138">
        <f t="shared" ca="1" si="71"/>
        <v>0</v>
      </c>
      <c r="AQ158" s="138">
        <f t="shared" si="60"/>
        <v>0</v>
      </c>
      <c r="AR158" s="139">
        <f t="shared" ca="1" si="72"/>
        <v>0</v>
      </c>
      <c r="AT158"/>
      <c r="AU158"/>
      <c r="AV158"/>
      <c r="AW158"/>
      <c r="AX158"/>
      <c r="AY158"/>
      <c r="AZ158"/>
      <c r="BA158"/>
    </row>
    <row r="159" spans="2:53">
      <c r="B159" s="131">
        <f>[1]!_xludf.edate(B158,1)</f>
        <v>41122</v>
      </c>
      <c r="C159" s="132">
        <f t="shared" ref="C159:C184" si="78">IF($C$12="Physical",B160+24,B160)</f>
        <v>41153</v>
      </c>
      <c r="D159" s="159">
        <v>0</v>
      </c>
      <c r="E159" s="160">
        <f>VLOOKUP($B159,Model!$A$8:$E$289,5)</f>
        <v>0</v>
      </c>
      <c r="F159" s="160">
        <f>VLOOKUP($B159,Model!$A$8:$F$289,6)</f>
        <v>0</v>
      </c>
      <c r="G159" s="179">
        <f ca="1">VLOOKUP($B159,Model!$A$8:$G$289,7)</f>
        <v>0</v>
      </c>
      <c r="I159" s="133">
        <v>0</v>
      </c>
      <c r="J159" s="134">
        <f t="shared" ref="J159:J184" si="79">VLOOKUP($B159,Curve_Fetch,3)</f>
        <v>4.5460000000000003</v>
      </c>
      <c r="K159" s="140">
        <f t="shared" si="73"/>
        <v>0</v>
      </c>
      <c r="L159" s="136">
        <f>IF(Control!$C$25=Control!$B$26,J159,I159)+K159</f>
        <v>4.5460000000000003</v>
      </c>
      <c r="M159" s="133">
        <v>0</v>
      </c>
      <c r="N159" s="134">
        <f>VLOOKUP($B159,Curve_Fetch,VLOOKUP(Control!$F$25,Control!$E$26:$G$37,3))</f>
        <v>-7.0000000000000007E-2</v>
      </c>
      <c r="O159" s="140">
        <f t="shared" si="74"/>
        <v>0</v>
      </c>
      <c r="P159" s="136">
        <f>IF(Control!$C$30=Control!$B$31,N159,M159)+O159</f>
        <v>-7.0000000000000007E-2</v>
      </c>
      <c r="Q159" s="133">
        <v>0</v>
      </c>
      <c r="R159" s="134">
        <f>VLOOKUP($B159,Curve_Fetch,(VLOOKUP(Control!$F$25,Control!$E$26:$H$37,4)))</f>
        <v>5.0000000000000001E-3</v>
      </c>
      <c r="S159" s="140">
        <f t="shared" si="75"/>
        <v>0</v>
      </c>
      <c r="T159" s="136">
        <f>IF($C$12="Physical",IF(Control!$C$35=Control!$B$36,R159,Q159)+S159,0)</f>
        <v>0</v>
      </c>
      <c r="U159" s="176">
        <f t="shared" ref="U159:U184" si="80">IF($C$12="Financial",L159+P159,L159+P159+T159)</f>
        <v>4.476</v>
      </c>
      <c r="V159" s="152"/>
      <c r="W159" s="192">
        <f>VLOOKUP($B159,Curve_Fetch,VLOOKUP(Control!$F$25,Control!$E$26:$I$37,5))</f>
        <v>0.17</v>
      </c>
      <c r="X159" s="194">
        <f t="shared" si="76"/>
        <v>0</v>
      </c>
      <c r="Y159" s="194">
        <f t="shared" ref="Y159:Y184" si="81">W159+X159</f>
        <v>0.17</v>
      </c>
      <c r="Z159" s="140">
        <f t="shared" ca="1" si="77"/>
        <v>0.28657937898642949</v>
      </c>
      <c r="AA159" s="140">
        <f t="shared" ca="1" si="57"/>
        <v>4.7625793789864295</v>
      </c>
      <c r="AB159" s="203">
        <f ca="1">_xll.EURO($U159,AA159,VLOOKUP($B159,Curve_Fetch,2),VLOOKUP($B159,Curve_Fetch,2),Y159,VLOOKUP($B159,Model!$A$8:$H$288,8),1,0)</f>
        <v>0.50408069269257905</v>
      </c>
      <c r="AC159" s="134"/>
      <c r="AD159" s="192">
        <f>VLOOKUP($B159,Curve_Fetch,VLOOKUP(Control!$F$25,Control!$E$26:$I$37,5))</f>
        <v>0.17</v>
      </c>
      <c r="AE159" s="194">
        <f t="shared" si="58"/>
        <v>0</v>
      </c>
      <c r="AF159" s="194">
        <f t="shared" ref="AF159:AF184" si="82">AD159+AE159</f>
        <v>0.17</v>
      </c>
      <c r="AG159" s="140">
        <f t="shared" ref="AG159:AG184" si="83">$C$15</f>
        <v>-0.20435881234430545</v>
      </c>
      <c r="AH159" s="140">
        <f t="shared" si="59"/>
        <v>4.2716411876556943</v>
      </c>
      <c r="AI159" s="203">
        <f>_xll.EURO($U159,AH159,VLOOKUP($B159,Curve_Fetch,2),VLOOKUP($B159,Curve_Fetch,2),AF159,VLOOKUP($B159,Model!$A$8:$H$288,8),0,0)</f>
        <v>0.4951225200169862</v>
      </c>
      <c r="AK159" s="137">
        <f t="shared" ref="AK159:AK184" ca="1" si="84">$G159*L159</f>
        <v>0</v>
      </c>
      <c r="AL159" s="138">
        <f t="shared" ref="AL159:AL184" ca="1" si="85">$G159*P159</f>
        <v>0</v>
      </c>
      <c r="AM159" s="138">
        <f t="shared" ref="AM159:AM184" ca="1" si="86">$G159*T159</f>
        <v>0</v>
      </c>
      <c r="AN159" s="138">
        <f t="shared" ref="AN159:AN184" ca="1" si="87">$G159*U159</f>
        <v>0</v>
      </c>
      <c r="AO159" s="138">
        <f t="shared" ref="AO159:AO184" ca="1" si="88">$G159*AA159</f>
        <v>0</v>
      </c>
      <c r="AP159" s="138">
        <f t="shared" ref="AP159:AP184" ca="1" si="89">$G159*AH159</f>
        <v>0</v>
      </c>
      <c r="AQ159" s="138">
        <f t="shared" si="60"/>
        <v>0</v>
      </c>
      <c r="AR159" s="139">
        <f t="shared" ref="AR159:AR184" ca="1" si="90">$F159*AB159</f>
        <v>0</v>
      </c>
      <c r="AT159"/>
      <c r="AU159"/>
      <c r="AV159"/>
      <c r="AW159"/>
      <c r="AX159"/>
      <c r="AY159"/>
      <c r="AZ159"/>
      <c r="BA159"/>
    </row>
    <row r="160" spans="2:53">
      <c r="B160" s="131">
        <f>[1]!_xludf.edate(B159,1)</f>
        <v>41153</v>
      </c>
      <c r="C160" s="132">
        <f t="shared" si="78"/>
        <v>41183</v>
      </c>
      <c r="D160" s="159">
        <v>0</v>
      </c>
      <c r="E160" s="160">
        <f>VLOOKUP($B160,Model!$A$8:$E$289,5)</f>
        <v>0</v>
      </c>
      <c r="F160" s="160">
        <f>VLOOKUP($B160,Model!$A$8:$F$289,6)</f>
        <v>0</v>
      </c>
      <c r="G160" s="179">
        <f ca="1">VLOOKUP($B160,Model!$A$8:$G$289,7)</f>
        <v>0</v>
      </c>
      <c r="I160" s="133">
        <v>0</v>
      </c>
      <c r="J160" s="134">
        <f t="shared" si="79"/>
        <v>4.54</v>
      </c>
      <c r="K160" s="140">
        <f t="shared" ref="K160:K184" si="91">K159</f>
        <v>0</v>
      </c>
      <c r="L160" s="136">
        <f>IF(Control!$C$25=Control!$B$26,J160,I160)+K160</f>
        <v>4.54</v>
      </c>
      <c r="M160" s="133">
        <v>0</v>
      </c>
      <c r="N160" s="134">
        <f>VLOOKUP($B160,Curve_Fetch,VLOOKUP(Control!$F$25,Control!$E$26:$G$37,3))</f>
        <v>-7.0000000000000007E-2</v>
      </c>
      <c r="O160" s="140">
        <f t="shared" ref="O160:O184" si="92">O159</f>
        <v>0</v>
      </c>
      <c r="P160" s="136">
        <f>IF(Control!$C$30=Control!$B$31,N160,M160)+O160</f>
        <v>-7.0000000000000007E-2</v>
      </c>
      <c r="Q160" s="133">
        <v>0</v>
      </c>
      <c r="R160" s="134">
        <f>VLOOKUP($B160,Curve_Fetch,(VLOOKUP(Control!$F$25,Control!$E$26:$H$37,4)))</f>
        <v>5.0000000000000001E-3</v>
      </c>
      <c r="S160" s="140">
        <f t="shared" ref="S160:S184" si="93">S159</f>
        <v>0</v>
      </c>
      <c r="T160" s="136">
        <f>IF($C$12="Physical",IF(Control!$C$35=Control!$B$36,R160,Q160)+S160,0)</f>
        <v>0</v>
      </c>
      <c r="U160" s="176">
        <f t="shared" si="80"/>
        <v>4.47</v>
      </c>
      <c r="V160" s="152"/>
      <c r="W160" s="192">
        <f>VLOOKUP($B160,Curve_Fetch,VLOOKUP(Control!$F$25,Control!$E$26:$I$37,5))</f>
        <v>0.17</v>
      </c>
      <c r="X160" s="194">
        <f t="shared" ref="X160:X184" si="94">X159</f>
        <v>0</v>
      </c>
      <c r="Y160" s="194">
        <f t="shared" si="81"/>
        <v>0.17</v>
      </c>
      <c r="Z160" s="140">
        <f t="shared" ref="Z160:Z184" ca="1" si="95">Z159</f>
        <v>0.28657937898642949</v>
      </c>
      <c r="AA160" s="140">
        <f t="shared" ref="AA160:AA184" ca="1" si="96">$U160+$Z160</f>
        <v>4.7565793789864292</v>
      </c>
      <c r="AB160" s="203">
        <f ca="1">_xll.EURO($U160,AA160,VLOOKUP($B160,Curve_Fetch,2),VLOOKUP($B160,Curve_Fetch,2),Y160,VLOOKUP($B160,Model!$A$8:$H$288,8),1,0)</f>
        <v>0.50304718736579013</v>
      </c>
      <c r="AC160" s="134"/>
      <c r="AD160" s="192">
        <f>VLOOKUP($B160,Curve_Fetch,VLOOKUP(Control!$F$25,Control!$E$26:$I$37,5))</f>
        <v>0.17</v>
      </c>
      <c r="AE160" s="194">
        <f t="shared" ref="AE160:AE184" si="97">AE159</f>
        <v>0</v>
      </c>
      <c r="AF160" s="194">
        <f t="shared" si="82"/>
        <v>0.17</v>
      </c>
      <c r="AG160" s="140">
        <f t="shared" si="83"/>
        <v>-0.20435881234430545</v>
      </c>
      <c r="AH160" s="140">
        <f t="shared" ref="AH160:AH184" si="98">$U160+$AG160</f>
        <v>4.2656411876556941</v>
      </c>
      <c r="AI160" s="203">
        <f>_xll.EURO($U160,AH160,VLOOKUP($B160,Curve_Fetch,2),VLOOKUP($B160,Curve_Fetch,2),AF160,VLOOKUP($B160,Model!$A$8:$H$288,8),0,0)</f>
        <v>0.49401978078875286</v>
      </c>
      <c r="AK160" s="137">
        <f t="shared" ca="1" si="84"/>
        <v>0</v>
      </c>
      <c r="AL160" s="138">
        <f t="shared" ca="1" si="85"/>
        <v>0</v>
      </c>
      <c r="AM160" s="138">
        <f t="shared" ca="1" si="86"/>
        <v>0</v>
      </c>
      <c r="AN160" s="138">
        <f t="shared" ca="1" si="87"/>
        <v>0</v>
      </c>
      <c r="AO160" s="138">
        <f t="shared" ca="1" si="88"/>
        <v>0</v>
      </c>
      <c r="AP160" s="138">
        <f t="shared" ca="1" si="89"/>
        <v>0</v>
      </c>
      <c r="AQ160" s="138">
        <f t="shared" ref="AQ160:AQ184" si="99">$F160*AI160</f>
        <v>0</v>
      </c>
      <c r="AR160" s="139">
        <f t="shared" ca="1" si="90"/>
        <v>0</v>
      </c>
      <c r="AT160"/>
      <c r="AU160"/>
      <c r="AV160"/>
      <c r="AW160"/>
      <c r="AX160"/>
      <c r="AY160"/>
      <c r="AZ160"/>
      <c r="BA160"/>
    </row>
    <row r="161" spans="2:53">
      <c r="B161" s="131">
        <f>[1]!_xludf.edate(B160,1)</f>
        <v>41183</v>
      </c>
      <c r="C161" s="132">
        <f t="shared" si="78"/>
        <v>41214</v>
      </c>
      <c r="D161" s="159">
        <v>0</v>
      </c>
      <c r="E161" s="160">
        <f>VLOOKUP($B161,Model!$A$8:$E$289,5)</f>
        <v>0</v>
      </c>
      <c r="F161" s="160">
        <f>VLOOKUP($B161,Model!$A$8:$F$289,6)</f>
        <v>0</v>
      </c>
      <c r="G161" s="179">
        <f ca="1">VLOOKUP($B161,Model!$A$8:$G$289,7)</f>
        <v>0</v>
      </c>
      <c r="I161" s="133">
        <v>0</v>
      </c>
      <c r="J161" s="134">
        <f t="shared" si="79"/>
        <v>4.55</v>
      </c>
      <c r="K161" s="140">
        <f t="shared" si="91"/>
        <v>0</v>
      </c>
      <c r="L161" s="136">
        <f>IF(Control!$C$25=Control!$B$26,J161,I161)+K161</f>
        <v>4.55</v>
      </c>
      <c r="M161" s="133">
        <v>0</v>
      </c>
      <c r="N161" s="134">
        <f>VLOOKUP($B161,Curve_Fetch,VLOOKUP(Control!$F$25,Control!$E$26:$G$37,3))</f>
        <v>-7.0000000000000007E-2</v>
      </c>
      <c r="O161" s="140">
        <f t="shared" si="92"/>
        <v>0</v>
      </c>
      <c r="P161" s="136">
        <f>IF(Control!$C$30=Control!$B$31,N161,M161)+O161</f>
        <v>-7.0000000000000007E-2</v>
      </c>
      <c r="Q161" s="133">
        <v>0</v>
      </c>
      <c r="R161" s="134">
        <f>VLOOKUP($B161,Curve_Fetch,(VLOOKUP(Control!$F$25,Control!$E$26:$H$37,4)))</f>
        <v>5.0000000000000001E-3</v>
      </c>
      <c r="S161" s="140">
        <f t="shared" si="93"/>
        <v>0</v>
      </c>
      <c r="T161" s="136">
        <f>IF($C$12="Physical",IF(Control!$C$35=Control!$B$36,R161,Q161)+S161,0)</f>
        <v>0</v>
      </c>
      <c r="U161" s="176">
        <f t="shared" si="80"/>
        <v>4.4799999999999995</v>
      </c>
      <c r="V161" s="152"/>
      <c r="W161" s="192">
        <f>VLOOKUP($B161,Curve_Fetch,VLOOKUP(Control!$F$25,Control!$E$26:$I$37,5))</f>
        <v>0.17</v>
      </c>
      <c r="X161" s="194">
        <f t="shared" si="94"/>
        <v>0</v>
      </c>
      <c r="Y161" s="194">
        <f t="shared" si="81"/>
        <v>0.17</v>
      </c>
      <c r="Z161" s="140">
        <f t="shared" ca="1" si="95"/>
        <v>0.28657937898642949</v>
      </c>
      <c r="AA161" s="140">
        <f t="shared" ca="1" si="96"/>
        <v>4.766579378986429</v>
      </c>
      <c r="AB161" s="203">
        <f ca="1">_xll.EURO($U161,AA161,VLOOKUP($B161,Curve_Fetch,2),VLOOKUP($B161,Curve_Fetch,2),Y161,VLOOKUP($B161,Model!$A$8:$H$288,8),1,0)</f>
        <v>0.50400487545523276</v>
      </c>
      <c r="AC161" s="134"/>
      <c r="AD161" s="192">
        <f>VLOOKUP($B161,Curve_Fetch,VLOOKUP(Control!$F$25,Control!$E$26:$I$37,5))</f>
        <v>0.17</v>
      </c>
      <c r="AE161" s="194">
        <f t="shared" si="97"/>
        <v>0</v>
      </c>
      <c r="AF161" s="194">
        <f t="shared" si="82"/>
        <v>0.17</v>
      </c>
      <c r="AG161" s="140">
        <f t="shared" si="83"/>
        <v>-0.20435881234430545</v>
      </c>
      <c r="AH161" s="140">
        <f t="shared" si="98"/>
        <v>4.2756411876556939</v>
      </c>
      <c r="AI161" s="203">
        <f>_xll.EURO($U161,AH161,VLOOKUP($B161,Curve_Fetch,2),VLOOKUP($B161,Curve_Fetch,2),AF161,VLOOKUP($B161,Model!$A$8:$H$288,8),0,0)</f>
        <v>0.49491693694365113</v>
      </c>
      <c r="AK161" s="137">
        <f t="shared" ca="1" si="84"/>
        <v>0</v>
      </c>
      <c r="AL161" s="138">
        <f t="shared" ca="1" si="85"/>
        <v>0</v>
      </c>
      <c r="AM161" s="138">
        <f t="shared" ca="1" si="86"/>
        <v>0</v>
      </c>
      <c r="AN161" s="138">
        <f t="shared" ca="1" si="87"/>
        <v>0</v>
      </c>
      <c r="AO161" s="138">
        <f t="shared" ca="1" si="88"/>
        <v>0</v>
      </c>
      <c r="AP161" s="138">
        <f t="shared" ca="1" si="89"/>
        <v>0</v>
      </c>
      <c r="AQ161" s="138">
        <f t="shared" si="99"/>
        <v>0</v>
      </c>
      <c r="AR161" s="139">
        <f t="shared" ca="1" si="90"/>
        <v>0</v>
      </c>
      <c r="AT161"/>
      <c r="AU161"/>
      <c r="AV161"/>
      <c r="AW161"/>
      <c r="AX161"/>
      <c r="AY161"/>
      <c r="AZ161"/>
      <c r="BA161"/>
    </row>
    <row r="162" spans="2:53">
      <c r="B162" s="131">
        <f>[1]!_xludf.edate(B161,1)</f>
        <v>41214</v>
      </c>
      <c r="C162" s="132">
        <f t="shared" si="78"/>
        <v>41244</v>
      </c>
      <c r="D162" s="159">
        <v>0</v>
      </c>
      <c r="E162" s="160">
        <f>VLOOKUP($B162,Model!$A$8:$E$289,5)</f>
        <v>0</v>
      </c>
      <c r="F162" s="160">
        <f>VLOOKUP($B162,Model!$A$8:$F$289,6)</f>
        <v>0</v>
      </c>
      <c r="G162" s="179">
        <f ca="1">VLOOKUP($B162,Model!$A$8:$G$289,7)</f>
        <v>0</v>
      </c>
      <c r="I162" s="133">
        <v>0</v>
      </c>
      <c r="J162" s="134">
        <f t="shared" si="79"/>
        <v>4.71</v>
      </c>
      <c r="K162" s="140">
        <f t="shared" si="91"/>
        <v>0</v>
      </c>
      <c r="L162" s="136">
        <f>IF(Control!$C$25=Control!$B$26,J162,I162)+K162</f>
        <v>4.71</v>
      </c>
      <c r="M162" s="133">
        <v>0</v>
      </c>
      <c r="N162" s="134">
        <f>VLOOKUP($B162,Curve_Fetch,VLOOKUP(Control!$F$25,Control!$E$26:$G$37,3))</f>
        <v>-7.0000000000000007E-2</v>
      </c>
      <c r="O162" s="140">
        <f t="shared" si="92"/>
        <v>0</v>
      </c>
      <c r="P162" s="136">
        <f>IF(Control!$C$30=Control!$B$31,N162,M162)+O162</f>
        <v>-7.0000000000000007E-2</v>
      </c>
      <c r="Q162" s="133">
        <v>0</v>
      </c>
      <c r="R162" s="134">
        <f>VLOOKUP($B162,Curve_Fetch,(VLOOKUP(Control!$F$25,Control!$E$26:$H$37,4)))</f>
        <v>5.0000000000000001E-3</v>
      </c>
      <c r="S162" s="140">
        <f t="shared" si="93"/>
        <v>0</v>
      </c>
      <c r="T162" s="136">
        <f>IF($C$12="Physical",IF(Control!$C$35=Control!$B$36,R162,Q162)+S162,0)</f>
        <v>0</v>
      </c>
      <c r="U162" s="176">
        <f t="shared" si="80"/>
        <v>4.6399999999999997</v>
      </c>
      <c r="V162" s="152"/>
      <c r="W162" s="192">
        <f>VLOOKUP($B162,Curve_Fetch,VLOOKUP(Control!$F$25,Control!$E$26:$I$37,5))</f>
        <v>0.17</v>
      </c>
      <c r="X162" s="194">
        <f t="shared" si="94"/>
        <v>0</v>
      </c>
      <c r="Y162" s="194">
        <f t="shared" si="81"/>
        <v>0.17</v>
      </c>
      <c r="Z162" s="140">
        <f t="shared" ca="1" si="95"/>
        <v>0.28657937898642949</v>
      </c>
      <c r="AA162" s="140">
        <f t="shared" ca="1" si="96"/>
        <v>4.9265793789864292</v>
      </c>
      <c r="AB162" s="203">
        <f ca="1">_xll.EURO($U162,AA162,VLOOKUP($B162,Curve_Fetch,2),VLOOKUP($B162,Curve_Fetch,2),Y162,VLOOKUP($B162,Model!$A$8:$H$288,8),1,0)</f>
        <v>0.52368609883752137</v>
      </c>
      <c r="AC162" s="134"/>
      <c r="AD162" s="192">
        <f>VLOOKUP($B162,Curve_Fetch,VLOOKUP(Control!$F$25,Control!$E$26:$I$37,5))</f>
        <v>0.17</v>
      </c>
      <c r="AE162" s="194">
        <f t="shared" si="97"/>
        <v>0</v>
      </c>
      <c r="AF162" s="194">
        <f t="shared" si="82"/>
        <v>0.17</v>
      </c>
      <c r="AG162" s="140">
        <f t="shared" si="83"/>
        <v>-0.20435881234430545</v>
      </c>
      <c r="AH162" s="140">
        <f t="shared" si="98"/>
        <v>4.435641187655694</v>
      </c>
      <c r="AI162" s="203">
        <f>_xll.EURO($U162,AH162,VLOOKUP($B162,Curve_Fetch,2),VLOOKUP($B162,Curve_Fetch,2),AF162,VLOOKUP($B162,Model!$A$8:$H$288,8),0,0)</f>
        <v>0.51458315206574634</v>
      </c>
      <c r="AK162" s="137">
        <f t="shared" ca="1" si="84"/>
        <v>0</v>
      </c>
      <c r="AL162" s="138">
        <f t="shared" ca="1" si="85"/>
        <v>0</v>
      </c>
      <c r="AM162" s="138">
        <f t="shared" ca="1" si="86"/>
        <v>0</v>
      </c>
      <c r="AN162" s="138">
        <f t="shared" ca="1" si="87"/>
        <v>0</v>
      </c>
      <c r="AO162" s="138">
        <f t="shared" ca="1" si="88"/>
        <v>0</v>
      </c>
      <c r="AP162" s="138">
        <f t="shared" ca="1" si="89"/>
        <v>0</v>
      </c>
      <c r="AQ162" s="138">
        <f t="shared" si="99"/>
        <v>0</v>
      </c>
      <c r="AR162" s="139">
        <f t="shared" ca="1" si="90"/>
        <v>0</v>
      </c>
      <c r="AT162"/>
      <c r="AU162"/>
      <c r="AV162"/>
      <c r="AW162"/>
      <c r="AX162"/>
      <c r="AY162"/>
      <c r="AZ162"/>
      <c r="BA162"/>
    </row>
    <row r="163" spans="2:53">
      <c r="B163" s="131">
        <f>[1]!_xludf.edate(B162,1)</f>
        <v>41244</v>
      </c>
      <c r="C163" s="132">
        <f t="shared" si="78"/>
        <v>41275</v>
      </c>
      <c r="D163" s="159">
        <v>0</v>
      </c>
      <c r="E163" s="160">
        <f>VLOOKUP($B163,Model!$A$8:$E$289,5)</f>
        <v>0</v>
      </c>
      <c r="F163" s="160">
        <f>VLOOKUP($B163,Model!$A$8:$F$289,6)</f>
        <v>0</v>
      </c>
      <c r="G163" s="179">
        <f ca="1">VLOOKUP($B163,Model!$A$8:$G$289,7)</f>
        <v>0</v>
      </c>
      <c r="I163" s="133">
        <v>0</v>
      </c>
      <c r="J163" s="134">
        <f t="shared" si="79"/>
        <v>4.8639999999999999</v>
      </c>
      <c r="K163" s="140">
        <f t="shared" si="91"/>
        <v>0</v>
      </c>
      <c r="L163" s="136">
        <f>IF(Control!$C$25=Control!$B$26,J163,I163)+K163</f>
        <v>4.8639999999999999</v>
      </c>
      <c r="M163" s="133">
        <v>0</v>
      </c>
      <c r="N163" s="134">
        <f>VLOOKUP($B163,Curve_Fetch,VLOOKUP(Control!$F$25,Control!$E$26:$G$37,3))</f>
        <v>-7.0000000000000007E-2</v>
      </c>
      <c r="O163" s="140">
        <f t="shared" si="92"/>
        <v>0</v>
      </c>
      <c r="P163" s="136">
        <f>IF(Control!$C$30=Control!$B$31,N163,M163)+O163</f>
        <v>-7.0000000000000007E-2</v>
      </c>
      <c r="Q163" s="133">
        <v>0</v>
      </c>
      <c r="R163" s="134">
        <f>VLOOKUP($B163,Curve_Fetch,(VLOOKUP(Control!$F$25,Control!$E$26:$H$37,4)))</f>
        <v>5.0000000000000001E-3</v>
      </c>
      <c r="S163" s="140">
        <f t="shared" si="93"/>
        <v>0</v>
      </c>
      <c r="T163" s="136">
        <f>IF($C$12="Physical",IF(Control!$C$35=Control!$B$36,R163,Q163)+S163,0)</f>
        <v>0</v>
      </c>
      <c r="U163" s="176">
        <f t="shared" si="80"/>
        <v>4.7939999999999996</v>
      </c>
      <c r="V163" s="152"/>
      <c r="W163" s="192">
        <f>VLOOKUP($B163,Curve_Fetch,VLOOKUP(Control!$F$25,Control!$E$26:$I$37,5))</f>
        <v>0.17</v>
      </c>
      <c r="X163" s="194">
        <f t="shared" si="94"/>
        <v>0</v>
      </c>
      <c r="Y163" s="194">
        <f t="shared" si="81"/>
        <v>0.17</v>
      </c>
      <c r="Z163" s="140">
        <f t="shared" ca="1" si="95"/>
        <v>0.28657937898642949</v>
      </c>
      <c r="AA163" s="140">
        <f t="shared" ca="1" si="96"/>
        <v>5.0805793789864291</v>
      </c>
      <c r="AB163" s="203">
        <f ca="1">_xll.EURO($U163,AA163,VLOOKUP($B163,Curve_Fetch,2),VLOOKUP($B163,Curve_Fetch,2),Y163,VLOOKUP($B163,Model!$A$8:$H$288,8),1,0)</f>
        <v>0.54256716077000977</v>
      </c>
      <c r="AC163" s="134"/>
      <c r="AD163" s="192">
        <f>VLOOKUP($B163,Curve_Fetch,VLOOKUP(Control!$F$25,Control!$E$26:$I$37,5))</f>
        <v>0.17</v>
      </c>
      <c r="AE163" s="194">
        <f t="shared" si="97"/>
        <v>0</v>
      </c>
      <c r="AF163" s="194">
        <f t="shared" si="82"/>
        <v>0.17</v>
      </c>
      <c r="AG163" s="140">
        <f t="shared" si="83"/>
        <v>-0.20435881234430545</v>
      </c>
      <c r="AH163" s="140">
        <f t="shared" si="98"/>
        <v>4.589641187655694</v>
      </c>
      <c r="AI163" s="203">
        <f>_xll.EURO($U163,AH163,VLOOKUP($B163,Curve_Fetch,2),VLOOKUP($B163,Curve_Fetch,2),AF163,VLOOKUP($B163,Model!$A$8:$H$288,8),0,0)</f>
        <v>0.53344707985913664</v>
      </c>
      <c r="AK163" s="137">
        <f t="shared" ca="1" si="84"/>
        <v>0</v>
      </c>
      <c r="AL163" s="138">
        <f t="shared" ca="1" si="85"/>
        <v>0</v>
      </c>
      <c r="AM163" s="138">
        <f t="shared" ca="1" si="86"/>
        <v>0</v>
      </c>
      <c r="AN163" s="138">
        <f t="shared" ca="1" si="87"/>
        <v>0</v>
      </c>
      <c r="AO163" s="138">
        <f t="shared" ca="1" si="88"/>
        <v>0</v>
      </c>
      <c r="AP163" s="138">
        <f t="shared" ca="1" si="89"/>
        <v>0</v>
      </c>
      <c r="AQ163" s="138">
        <f t="shared" si="99"/>
        <v>0</v>
      </c>
      <c r="AR163" s="139">
        <f t="shared" ca="1" si="90"/>
        <v>0</v>
      </c>
      <c r="AT163"/>
      <c r="AU163"/>
      <c r="AV163"/>
      <c r="AW163"/>
      <c r="AX163"/>
      <c r="AY163"/>
      <c r="AZ163"/>
      <c r="BA163"/>
    </row>
    <row r="164" spans="2:53">
      <c r="B164" s="131">
        <f>[1]!_xludf.edate(B163,1)</f>
        <v>41275</v>
      </c>
      <c r="C164" s="132">
        <f t="shared" si="78"/>
        <v>41306</v>
      </c>
      <c r="D164" s="159">
        <v>0</v>
      </c>
      <c r="E164" s="160">
        <f>VLOOKUP($B164,Model!$A$8:$E$289,5)</f>
        <v>0</v>
      </c>
      <c r="F164" s="160">
        <f>VLOOKUP($B164,Model!$A$8:$F$289,6)</f>
        <v>0</v>
      </c>
      <c r="G164" s="179">
        <f ca="1">VLOOKUP($B164,Model!$A$8:$G$289,7)</f>
        <v>0</v>
      </c>
      <c r="I164" s="133">
        <v>0</v>
      </c>
      <c r="J164" s="134">
        <f t="shared" si="79"/>
        <v>4.9165000000000001</v>
      </c>
      <c r="K164" s="140">
        <f t="shared" si="91"/>
        <v>0</v>
      </c>
      <c r="L164" s="136">
        <f>IF(Control!$C$25=Control!$B$26,J164,I164)+K164</f>
        <v>4.9165000000000001</v>
      </c>
      <c r="M164" s="133">
        <v>0</v>
      </c>
      <c r="N164" s="134">
        <f>VLOOKUP($B164,Curve_Fetch,VLOOKUP(Control!$F$25,Control!$E$26:$G$37,3))</f>
        <v>-7.0000000000000007E-2</v>
      </c>
      <c r="O164" s="140">
        <f t="shared" si="92"/>
        <v>0</v>
      </c>
      <c r="P164" s="136">
        <f>IF(Control!$C$30=Control!$B$31,N164,M164)+O164</f>
        <v>-7.0000000000000007E-2</v>
      </c>
      <c r="Q164" s="133">
        <v>0</v>
      </c>
      <c r="R164" s="134">
        <f>VLOOKUP($B164,Curve_Fetch,(VLOOKUP(Control!$F$25,Control!$E$26:$H$37,4)))</f>
        <v>5.0000000000000001E-3</v>
      </c>
      <c r="S164" s="140">
        <f t="shared" si="93"/>
        <v>0</v>
      </c>
      <c r="T164" s="136">
        <f>IF($C$12="Physical",IF(Control!$C$35=Control!$B$36,R164,Q164)+S164,0)</f>
        <v>0</v>
      </c>
      <c r="U164" s="176">
        <f t="shared" si="80"/>
        <v>4.8464999999999998</v>
      </c>
      <c r="V164" s="152"/>
      <c r="W164" s="192">
        <f>VLOOKUP($B164,Curve_Fetch,VLOOKUP(Control!$F$25,Control!$E$26:$I$37,5))</f>
        <v>0.17</v>
      </c>
      <c r="X164" s="194">
        <f t="shared" si="94"/>
        <v>0</v>
      </c>
      <c r="Y164" s="194">
        <f t="shared" si="81"/>
        <v>0.17</v>
      </c>
      <c r="Z164" s="140">
        <f t="shared" ca="1" si="95"/>
        <v>0.28657937898642949</v>
      </c>
      <c r="AA164" s="140">
        <f t="shared" ca="1" si="96"/>
        <v>5.1330793789864293</v>
      </c>
      <c r="AB164" s="203">
        <f ca="1">_xll.EURO($U164,AA164,VLOOKUP($B164,Curve_Fetch,2),VLOOKUP($B164,Curve_Fetch,2),Y164,VLOOKUP($B164,Model!$A$8:$H$288,8),1,0)</f>
        <v>0.54869947197149016</v>
      </c>
      <c r="AC164" s="134"/>
      <c r="AD164" s="192">
        <f>VLOOKUP($B164,Curve_Fetch,VLOOKUP(Control!$F$25,Control!$E$26:$I$37,5))</f>
        <v>0.17</v>
      </c>
      <c r="AE164" s="194">
        <f t="shared" si="97"/>
        <v>0</v>
      </c>
      <c r="AF164" s="194">
        <f t="shared" si="82"/>
        <v>0.17</v>
      </c>
      <c r="AG164" s="140">
        <f t="shared" si="83"/>
        <v>-0.20435881234430545</v>
      </c>
      <c r="AH164" s="140">
        <f t="shared" si="98"/>
        <v>4.6421411876556942</v>
      </c>
      <c r="AI164" s="203">
        <f>_xll.EURO($U164,AH164,VLOOKUP($B164,Curve_Fetch,2),VLOOKUP($B164,Curve_Fetch,2),AF164,VLOOKUP($B164,Model!$A$8:$H$288,8),0,0)</f>
        <v>0.53953109064201354</v>
      </c>
      <c r="AK164" s="137">
        <f t="shared" ca="1" si="84"/>
        <v>0</v>
      </c>
      <c r="AL164" s="138">
        <f t="shared" ca="1" si="85"/>
        <v>0</v>
      </c>
      <c r="AM164" s="138">
        <f t="shared" ca="1" si="86"/>
        <v>0</v>
      </c>
      <c r="AN164" s="138">
        <f t="shared" ca="1" si="87"/>
        <v>0</v>
      </c>
      <c r="AO164" s="138">
        <f t="shared" ca="1" si="88"/>
        <v>0</v>
      </c>
      <c r="AP164" s="138">
        <f t="shared" ca="1" si="89"/>
        <v>0</v>
      </c>
      <c r="AQ164" s="138">
        <f t="shared" si="99"/>
        <v>0</v>
      </c>
      <c r="AR164" s="139">
        <f t="shared" ca="1" si="90"/>
        <v>0</v>
      </c>
      <c r="AT164"/>
      <c r="AU164"/>
      <c r="AV164"/>
      <c r="AW164"/>
      <c r="AX164"/>
      <c r="AY164"/>
      <c r="AZ164"/>
      <c r="BA164"/>
    </row>
    <row r="165" spans="2:53">
      <c r="B165" s="131">
        <f>[1]!_xludf.edate(B164,1)</f>
        <v>41306</v>
      </c>
      <c r="C165" s="132">
        <f t="shared" si="78"/>
        <v>41334</v>
      </c>
      <c r="D165" s="159">
        <v>0</v>
      </c>
      <c r="E165" s="160">
        <f>VLOOKUP($B165,Model!$A$8:$E$289,5)</f>
        <v>0</v>
      </c>
      <c r="F165" s="160">
        <f>VLOOKUP($B165,Model!$A$8:$F$289,6)</f>
        <v>0</v>
      </c>
      <c r="G165" s="179">
        <f ca="1">VLOOKUP($B165,Model!$A$8:$G$289,7)</f>
        <v>0</v>
      </c>
      <c r="I165" s="133">
        <v>0</v>
      </c>
      <c r="J165" s="134">
        <f t="shared" si="79"/>
        <v>4.8285</v>
      </c>
      <c r="K165" s="140">
        <f t="shared" si="91"/>
        <v>0</v>
      </c>
      <c r="L165" s="136">
        <f>IF(Control!$C$25=Control!$B$26,J165,I165)+K165</f>
        <v>4.8285</v>
      </c>
      <c r="M165" s="133">
        <v>0</v>
      </c>
      <c r="N165" s="134">
        <f>VLOOKUP($B165,Curve_Fetch,VLOOKUP(Control!$F$25,Control!$E$26:$G$37,3))</f>
        <v>-7.0000000000000007E-2</v>
      </c>
      <c r="O165" s="140">
        <f t="shared" si="92"/>
        <v>0</v>
      </c>
      <c r="P165" s="136">
        <f>IF(Control!$C$30=Control!$B$31,N165,M165)+O165</f>
        <v>-7.0000000000000007E-2</v>
      </c>
      <c r="Q165" s="133">
        <v>0</v>
      </c>
      <c r="R165" s="134">
        <f>VLOOKUP($B165,Curve_Fetch,(VLOOKUP(Control!$F$25,Control!$E$26:$H$37,4)))</f>
        <v>5.0000000000000001E-3</v>
      </c>
      <c r="S165" s="140">
        <f t="shared" si="93"/>
        <v>0</v>
      </c>
      <c r="T165" s="136">
        <f>IF($C$12="Physical",IF(Control!$C$35=Control!$B$36,R165,Q165)+S165,0)</f>
        <v>0</v>
      </c>
      <c r="U165" s="176">
        <f t="shared" si="80"/>
        <v>4.7584999999999997</v>
      </c>
      <c r="V165" s="152"/>
      <c r="W165" s="192">
        <f>VLOOKUP($B165,Curve_Fetch,VLOOKUP(Control!$F$25,Control!$E$26:$I$37,5))</f>
        <v>0.17</v>
      </c>
      <c r="X165" s="194">
        <f t="shared" si="94"/>
        <v>0</v>
      </c>
      <c r="Y165" s="194">
        <f t="shared" si="81"/>
        <v>0.17</v>
      </c>
      <c r="Z165" s="140">
        <f t="shared" ca="1" si="95"/>
        <v>0.28657937898642949</v>
      </c>
      <c r="AA165" s="140">
        <f t="shared" ca="1" si="96"/>
        <v>5.0450793789864292</v>
      </c>
      <c r="AB165" s="203">
        <f ca="1">_xll.EURO($U165,AA165,VLOOKUP($B165,Curve_Fetch,2),VLOOKUP($B165,Curve_Fetch,2),Y165,VLOOKUP($B165,Model!$A$8:$H$288,8),1,0)</f>
        <v>0.53727569224251459</v>
      </c>
      <c r="AC165" s="134"/>
      <c r="AD165" s="192">
        <f>VLOOKUP($B165,Curve_Fetch,VLOOKUP(Control!$F$25,Control!$E$26:$I$37,5))</f>
        <v>0.17</v>
      </c>
      <c r="AE165" s="194">
        <f t="shared" si="97"/>
        <v>0</v>
      </c>
      <c r="AF165" s="194">
        <f t="shared" si="82"/>
        <v>0.17</v>
      </c>
      <c r="AG165" s="140">
        <f t="shared" si="83"/>
        <v>-0.20435881234430545</v>
      </c>
      <c r="AH165" s="140">
        <f t="shared" si="98"/>
        <v>4.5541411876556941</v>
      </c>
      <c r="AI165" s="203">
        <f>_xll.EURO($U165,AH165,VLOOKUP($B165,Curve_Fetch,2),VLOOKUP($B165,Curve_Fetch,2),AF165,VLOOKUP($B165,Model!$A$8:$H$288,8),0,0)</f>
        <v>0.52802160340471316</v>
      </c>
      <c r="AK165" s="137">
        <f t="shared" ca="1" si="84"/>
        <v>0</v>
      </c>
      <c r="AL165" s="138">
        <f t="shared" ca="1" si="85"/>
        <v>0</v>
      </c>
      <c r="AM165" s="138">
        <f t="shared" ca="1" si="86"/>
        <v>0</v>
      </c>
      <c r="AN165" s="138">
        <f t="shared" ca="1" si="87"/>
        <v>0</v>
      </c>
      <c r="AO165" s="138">
        <f t="shared" ca="1" si="88"/>
        <v>0</v>
      </c>
      <c r="AP165" s="138">
        <f t="shared" ca="1" si="89"/>
        <v>0</v>
      </c>
      <c r="AQ165" s="138">
        <f t="shared" si="99"/>
        <v>0</v>
      </c>
      <c r="AR165" s="139">
        <f t="shared" ca="1" si="90"/>
        <v>0</v>
      </c>
      <c r="AT165"/>
      <c r="AU165"/>
      <c r="AV165"/>
      <c r="AW165"/>
      <c r="AX165"/>
      <c r="AY165"/>
      <c r="AZ165"/>
      <c r="BA165"/>
    </row>
    <row r="166" spans="2:53">
      <c r="B166" s="131">
        <f>[1]!_xludf.edate(B165,1)</f>
        <v>41334</v>
      </c>
      <c r="C166" s="132">
        <f t="shared" si="78"/>
        <v>41365</v>
      </c>
      <c r="D166" s="159">
        <v>0</v>
      </c>
      <c r="E166" s="160">
        <f>VLOOKUP($B166,Model!$A$8:$E$289,5)</f>
        <v>0</v>
      </c>
      <c r="F166" s="160">
        <f>VLOOKUP($B166,Model!$A$8:$F$289,6)</f>
        <v>0</v>
      </c>
      <c r="G166" s="179">
        <f ca="1">VLOOKUP($B166,Model!$A$8:$G$289,7)</f>
        <v>0</v>
      </c>
      <c r="I166" s="133">
        <v>0</v>
      </c>
      <c r="J166" s="134">
        <f t="shared" si="79"/>
        <v>4.6894999999999998</v>
      </c>
      <c r="K166" s="140">
        <f t="shared" si="91"/>
        <v>0</v>
      </c>
      <c r="L166" s="136">
        <f>IF(Control!$C$25=Control!$B$26,J166,I166)+K166</f>
        <v>4.6894999999999998</v>
      </c>
      <c r="M166" s="133">
        <v>0</v>
      </c>
      <c r="N166" s="134">
        <f>VLOOKUP($B166,Curve_Fetch,VLOOKUP(Control!$F$25,Control!$E$26:$G$37,3))</f>
        <v>-7.0000000000000007E-2</v>
      </c>
      <c r="O166" s="140">
        <f t="shared" si="92"/>
        <v>0</v>
      </c>
      <c r="P166" s="136">
        <f>IF(Control!$C$30=Control!$B$31,N166,M166)+O166</f>
        <v>-7.0000000000000007E-2</v>
      </c>
      <c r="Q166" s="133">
        <v>0</v>
      </c>
      <c r="R166" s="134">
        <f>VLOOKUP($B166,Curve_Fetch,(VLOOKUP(Control!$F$25,Control!$E$26:$H$37,4)))</f>
        <v>5.0000000000000001E-3</v>
      </c>
      <c r="S166" s="140">
        <f t="shared" si="93"/>
        <v>0</v>
      </c>
      <c r="T166" s="136">
        <f>IF($C$12="Physical",IF(Control!$C$35=Control!$B$36,R166,Q166)+S166,0)</f>
        <v>0</v>
      </c>
      <c r="U166" s="176">
        <f t="shared" si="80"/>
        <v>4.6194999999999995</v>
      </c>
      <c r="V166" s="152"/>
      <c r="W166" s="192">
        <f>VLOOKUP($B166,Curve_Fetch,VLOOKUP(Control!$F$25,Control!$E$26:$I$37,5))</f>
        <v>0.17</v>
      </c>
      <c r="X166" s="194">
        <f t="shared" si="94"/>
        <v>0</v>
      </c>
      <c r="Y166" s="194">
        <f t="shared" si="81"/>
        <v>0.17</v>
      </c>
      <c r="Z166" s="140">
        <f t="shared" ca="1" si="95"/>
        <v>0.28657937898642949</v>
      </c>
      <c r="AA166" s="140">
        <f t="shared" ca="1" si="96"/>
        <v>4.906079378986429</v>
      </c>
      <c r="AB166" s="203">
        <f ca="1">_xll.EURO($U166,AA166,VLOOKUP($B166,Curve_Fetch,2),VLOOKUP($B166,Curve_Fetch,2),Y166,VLOOKUP($B166,Model!$A$8:$H$288,8),1,0)</f>
        <v>0.51955548680931984</v>
      </c>
      <c r="AC166" s="134"/>
      <c r="AD166" s="192">
        <f>VLOOKUP($B166,Curve_Fetch,VLOOKUP(Control!$F$25,Control!$E$26:$I$37,5))</f>
        <v>0.17</v>
      </c>
      <c r="AE166" s="194">
        <f t="shared" si="97"/>
        <v>0</v>
      </c>
      <c r="AF166" s="194">
        <f t="shared" si="82"/>
        <v>0.17</v>
      </c>
      <c r="AG166" s="140">
        <f t="shared" si="83"/>
        <v>-0.20435881234430545</v>
      </c>
      <c r="AH166" s="140">
        <f t="shared" si="98"/>
        <v>4.4151411876556939</v>
      </c>
      <c r="AI166" s="203">
        <f>_xll.EURO($U166,AH166,VLOOKUP($B166,Curve_Fetch,2),VLOOKUP($B166,Curve_Fetch,2),AF166,VLOOKUP($B166,Model!$A$8:$H$288,8),0,0)</f>
        <v>0.51020761719215024</v>
      </c>
      <c r="AK166" s="137">
        <f t="shared" ca="1" si="84"/>
        <v>0</v>
      </c>
      <c r="AL166" s="138">
        <f t="shared" ca="1" si="85"/>
        <v>0</v>
      </c>
      <c r="AM166" s="138">
        <f t="shared" ca="1" si="86"/>
        <v>0</v>
      </c>
      <c r="AN166" s="138">
        <f t="shared" ca="1" si="87"/>
        <v>0</v>
      </c>
      <c r="AO166" s="138">
        <f t="shared" ca="1" si="88"/>
        <v>0</v>
      </c>
      <c r="AP166" s="138">
        <f t="shared" ca="1" si="89"/>
        <v>0</v>
      </c>
      <c r="AQ166" s="138">
        <f t="shared" si="99"/>
        <v>0</v>
      </c>
      <c r="AR166" s="139">
        <f t="shared" ca="1" si="90"/>
        <v>0</v>
      </c>
      <c r="AT166"/>
      <c r="AU166"/>
      <c r="AV166"/>
      <c r="AW166"/>
      <c r="AX166"/>
      <c r="AY166"/>
      <c r="AZ166"/>
      <c r="BA166"/>
    </row>
    <row r="167" spans="2:53">
      <c r="B167" s="131">
        <f>[1]!_xludf.edate(B166,1)</f>
        <v>41365</v>
      </c>
      <c r="C167" s="132">
        <f t="shared" si="78"/>
        <v>41395</v>
      </c>
      <c r="D167" s="159">
        <v>0</v>
      </c>
      <c r="E167" s="160">
        <f>VLOOKUP($B167,Model!$A$8:$E$289,5)</f>
        <v>0</v>
      </c>
      <c r="F167" s="160">
        <f>VLOOKUP($B167,Model!$A$8:$F$289,6)</f>
        <v>0</v>
      </c>
      <c r="G167" s="179">
        <f ca="1">VLOOKUP($B167,Model!$A$8:$G$289,7)</f>
        <v>0</v>
      </c>
      <c r="I167" s="133">
        <v>0</v>
      </c>
      <c r="J167" s="134">
        <f t="shared" si="79"/>
        <v>4.5354999999999999</v>
      </c>
      <c r="K167" s="140">
        <f t="shared" si="91"/>
        <v>0</v>
      </c>
      <c r="L167" s="136">
        <f>IF(Control!$C$25=Control!$B$26,J167,I167)+K167</f>
        <v>4.5354999999999999</v>
      </c>
      <c r="M167" s="133">
        <v>0</v>
      </c>
      <c r="N167" s="134">
        <f>VLOOKUP($B167,Curve_Fetch,VLOOKUP(Control!$F$25,Control!$E$26:$G$37,3))</f>
        <v>-7.0000000000000007E-2</v>
      </c>
      <c r="O167" s="140">
        <f t="shared" si="92"/>
        <v>0</v>
      </c>
      <c r="P167" s="136">
        <f>IF(Control!$C$30=Control!$B$31,N167,M167)+O167</f>
        <v>-7.0000000000000007E-2</v>
      </c>
      <c r="Q167" s="133">
        <v>0</v>
      </c>
      <c r="R167" s="134">
        <f>VLOOKUP($B167,Curve_Fetch,(VLOOKUP(Control!$F$25,Control!$E$26:$H$37,4)))</f>
        <v>5.0000000000000001E-3</v>
      </c>
      <c r="S167" s="140">
        <f t="shared" si="93"/>
        <v>0</v>
      </c>
      <c r="T167" s="136">
        <f>IF($C$12="Physical",IF(Control!$C$35=Control!$B$36,R167,Q167)+S167,0)</f>
        <v>0</v>
      </c>
      <c r="U167" s="176">
        <f t="shared" si="80"/>
        <v>4.4654999999999996</v>
      </c>
      <c r="V167" s="152"/>
      <c r="W167" s="192">
        <f>VLOOKUP($B167,Curve_Fetch,VLOOKUP(Control!$F$25,Control!$E$26:$I$37,5))</f>
        <v>0.17</v>
      </c>
      <c r="X167" s="194">
        <f t="shared" si="94"/>
        <v>0</v>
      </c>
      <c r="Y167" s="194">
        <f t="shared" si="81"/>
        <v>0.17</v>
      </c>
      <c r="Z167" s="140">
        <f t="shared" ca="1" si="95"/>
        <v>0.28657937898642949</v>
      </c>
      <c r="AA167" s="140">
        <f t="shared" ca="1" si="96"/>
        <v>4.7520793789864291</v>
      </c>
      <c r="AB167" s="203">
        <f ca="1">_xll.EURO($U167,AA167,VLOOKUP($B167,Curve_Fetch,2),VLOOKUP($B167,Curve_Fetch,2),Y167,VLOOKUP($B167,Model!$A$8:$H$288,8),1,0)</f>
        <v>0.49995736576868899</v>
      </c>
      <c r="AC167" s="134"/>
      <c r="AD167" s="192">
        <f>VLOOKUP($B167,Curve_Fetch,VLOOKUP(Control!$F$25,Control!$E$26:$I$37,5))</f>
        <v>0.17</v>
      </c>
      <c r="AE167" s="194">
        <f t="shared" si="97"/>
        <v>0</v>
      </c>
      <c r="AF167" s="194">
        <f t="shared" si="82"/>
        <v>0.17</v>
      </c>
      <c r="AG167" s="140">
        <f t="shared" si="83"/>
        <v>-0.20435881234430545</v>
      </c>
      <c r="AH167" s="140">
        <f t="shared" si="98"/>
        <v>4.2611411876556939</v>
      </c>
      <c r="AI167" s="203">
        <f>_xll.EURO($U167,AH167,VLOOKUP($B167,Curve_Fetch,2),VLOOKUP($B167,Curve_Fetch,2),AF167,VLOOKUP($B167,Model!$A$8:$H$288,8),0,0)</f>
        <v>0.49050508422957806</v>
      </c>
      <c r="AK167" s="137">
        <f t="shared" ca="1" si="84"/>
        <v>0</v>
      </c>
      <c r="AL167" s="138">
        <f t="shared" ca="1" si="85"/>
        <v>0</v>
      </c>
      <c r="AM167" s="138">
        <f t="shared" ca="1" si="86"/>
        <v>0</v>
      </c>
      <c r="AN167" s="138">
        <f t="shared" ca="1" si="87"/>
        <v>0</v>
      </c>
      <c r="AO167" s="138">
        <f t="shared" ca="1" si="88"/>
        <v>0</v>
      </c>
      <c r="AP167" s="138">
        <f t="shared" ca="1" si="89"/>
        <v>0</v>
      </c>
      <c r="AQ167" s="138">
        <f t="shared" si="99"/>
        <v>0</v>
      </c>
      <c r="AR167" s="139">
        <f t="shared" ca="1" si="90"/>
        <v>0</v>
      </c>
      <c r="AT167"/>
      <c r="AU167"/>
      <c r="AV167"/>
      <c r="AW167"/>
      <c r="AX167"/>
      <c r="AY167"/>
      <c r="AZ167"/>
      <c r="BA167"/>
    </row>
    <row r="168" spans="2:53">
      <c r="B168" s="131">
        <f>[1]!_xludf.edate(B167,1)</f>
        <v>41395</v>
      </c>
      <c r="C168" s="132">
        <f t="shared" si="78"/>
        <v>41426</v>
      </c>
      <c r="D168" s="159">
        <v>0</v>
      </c>
      <c r="E168" s="160">
        <f>VLOOKUP($B168,Model!$A$8:$E$289,5)</f>
        <v>0</v>
      </c>
      <c r="F168" s="160">
        <f>VLOOKUP($B168,Model!$A$8:$F$289,6)</f>
        <v>0</v>
      </c>
      <c r="G168" s="179">
        <f ca="1">VLOOKUP($B168,Model!$A$8:$G$289,7)</f>
        <v>0</v>
      </c>
      <c r="I168" s="133">
        <v>0</v>
      </c>
      <c r="J168" s="134">
        <f t="shared" si="79"/>
        <v>4.5395000000000003</v>
      </c>
      <c r="K168" s="140">
        <f t="shared" si="91"/>
        <v>0</v>
      </c>
      <c r="L168" s="136">
        <f>IF(Control!$C$25=Control!$B$26,J168,I168)+K168</f>
        <v>4.5395000000000003</v>
      </c>
      <c r="M168" s="133">
        <v>0</v>
      </c>
      <c r="N168" s="134">
        <f>VLOOKUP($B168,Curve_Fetch,VLOOKUP(Control!$F$25,Control!$E$26:$G$37,3))</f>
        <v>-7.0000000000000007E-2</v>
      </c>
      <c r="O168" s="140">
        <f t="shared" si="92"/>
        <v>0</v>
      </c>
      <c r="P168" s="136">
        <f>IF(Control!$C$30=Control!$B$31,N168,M168)+O168</f>
        <v>-7.0000000000000007E-2</v>
      </c>
      <c r="Q168" s="133">
        <v>0</v>
      </c>
      <c r="R168" s="134">
        <f>VLOOKUP($B168,Curve_Fetch,(VLOOKUP(Control!$F$25,Control!$E$26:$H$37,4)))</f>
        <v>5.0000000000000001E-3</v>
      </c>
      <c r="S168" s="140">
        <f t="shared" si="93"/>
        <v>0</v>
      </c>
      <c r="T168" s="136">
        <f>IF($C$12="Physical",IF(Control!$C$35=Control!$B$36,R168,Q168)+S168,0)</f>
        <v>0</v>
      </c>
      <c r="U168" s="176">
        <f t="shared" si="80"/>
        <v>4.4695</v>
      </c>
      <c r="V168" s="152"/>
      <c r="W168" s="192">
        <f>VLOOKUP($B168,Curve_Fetch,VLOOKUP(Control!$F$25,Control!$E$26:$I$37,5))</f>
        <v>0.17</v>
      </c>
      <c r="X168" s="194">
        <f t="shared" si="94"/>
        <v>0</v>
      </c>
      <c r="Y168" s="194">
        <f t="shared" si="81"/>
        <v>0.17</v>
      </c>
      <c r="Z168" s="140">
        <f t="shared" ca="1" si="95"/>
        <v>0.28657937898642949</v>
      </c>
      <c r="AA168" s="140">
        <f t="shared" ca="1" si="96"/>
        <v>4.7560793789864295</v>
      </c>
      <c r="AB168" s="203">
        <f ca="1">_xll.EURO($U168,AA168,VLOOKUP($B168,Curve_Fetch,2),VLOOKUP($B168,Curve_Fetch,2),Y168,VLOOKUP($B168,Model!$A$8:$H$288,8),1,0)</f>
        <v>0.5000140839178796</v>
      </c>
      <c r="AC168" s="134"/>
      <c r="AD168" s="192">
        <f>VLOOKUP($B168,Curve_Fetch,VLOOKUP(Control!$F$25,Control!$E$26:$I$37,5))</f>
        <v>0.17</v>
      </c>
      <c r="AE168" s="194">
        <f t="shared" si="97"/>
        <v>0</v>
      </c>
      <c r="AF168" s="194">
        <f t="shared" si="82"/>
        <v>0.17</v>
      </c>
      <c r="AG168" s="140">
        <f t="shared" si="83"/>
        <v>-0.20435881234430545</v>
      </c>
      <c r="AH168" s="140">
        <f t="shared" si="98"/>
        <v>4.2651411876556944</v>
      </c>
      <c r="AI168" s="203">
        <f>_xll.EURO($U168,AH168,VLOOKUP($B168,Curve_Fetch,2),VLOOKUP($B168,Curve_Fetch,2),AF168,VLOOKUP($B168,Model!$A$8:$H$288,8),0,0)</f>
        <v>0.49050807546400266</v>
      </c>
      <c r="AK168" s="137">
        <f t="shared" ca="1" si="84"/>
        <v>0</v>
      </c>
      <c r="AL168" s="138">
        <f t="shared" ca="1" si="85"/>
        <v>0</v>
      </c>
      <c r="AM168" s="138">
        <f t="shared" ca="1" si="86"/>
        <v>0</v>
      </c>
      <c r="AN168" s="138">
        <f t="shared" ca="1" si="87"/>
        <v>0</v>
      </c>
      <c r="AO168" s="138">
        <f t="shared" ca="1" si="88"/>
        <v>0</v>
      </c>
      <c r="AP168" s="138">
        <f t="shared" ca="1" si="89"/>
        <v>0</v>
      </c>
      <c r="AQ168" s="138">
        <f t="shared" si="99"/>
        <v>0</v>
      </c>
      <c r="AR168" s="139">
        <f t="shared" ca="1" si="90"/>
        <v>0</v>
      </c>
      <c r="AT168"/>
      <c r="AU168"/>
      <c r="AV168"/>
      <c r="AW168"/>
      <c r="AX168"/>
      <c r="AY168"/>
      <c r="AZ168"/>
      <c r="BA168"/>
    </row>
    <row r="169" spans="2:53">
      <c r="B169" s="131">
        <f>[1]!_xludf.edate(B168,1)</f>
        <v>41426</v>
      </c>
      <c r="C169" s="132">
        <f t="shared" si="78"/>
        <v>41456</v>
      </c>
      <c r="D169" s="159">
        <v>0</v>
      </c>
      <c r="E169" s="160">
        <f>VLOOKUP($B169,Model!$A$8:$E$289,5)</f>
        <v>0</v>
      </c>
      <c r="F169" s="160">
        <f>VLOOKUP($B169,Model!$A$8:$F$289,6)</f>
        <v>0</v>
      </c>
      <c r="G169" s="179">
        <f ca="1">VLOOKUP($B169,Model!$A$8:$G$289,7)</f>
        <v>0</v>
      </c>
      <c r="I169" s="133">
        <v>0</v>
      </c>
      <c r="J169" s="134">
        <f t="shared" si="79"/>
        <v>4.5795000000000003</v>
      </c>
      <c r="K169" s="140">
        <f t="shared" si="91"/>
        <v>0</v>
      </c>
      <c r="L169" s="136">
        <f>IF(Control!$C$25=Control!$B$26,J169,I169)+K169</f>
        <v>4.5795000000000003</v>
      </c>
      <c r="M169" s="133">
        <v>0</v>
      </c>
      <c r="N169" s="134">
        <f>VLOOKUP($B169,Curve_Fetch,VLOOKUP(Control!$F$25,Control!$E$26:$G$37,3))</f>
        <v>-7.0000000000000007E-2</v>
      </c>
      <c r="O169" s="140">
        <f t="shared" si="92"/>
        <v>0</v>
      </c>
      <c r="P169" s="136">
        <f>IF(Control!$C$30=Control!$B$31,N169,M169)+O169</f>
        <v>-7.0000000000000007E-2</v>
      </c>
      <c r="Q169" s="133">
        <v>0</v>
      </c>
      <c r="R169" s="134">
        <f>VLOOKUP($B169,Curve_Fetch,(VLOOKUP(Control!$F$25,Control!$E$26:$H$37,4)))</f>
        <v>5.0000000000000001E-3</v>
      </c>
      <c r="S169" s="140">
        <f t="shared" si="93"/>
        <v>0</v>
      </c>
      <c r="T169" s="136">
        <f>IF($C$12="Physical",IF(Control!$C$35=Control!$B$36,R169,Q169)+S169,0)</f>
        <v>0</v>
      </c>
      <c r="U169" s="176">
        <f t="shared" si="80"/>
        <v>4.5095000000000001</v>
      </c>
      <c r="V169" s="152"/>
      <c r="W169" s="192">
        <f>VLOOKUP($B169,Curve_Fetch,VLOOKUP(Control!$F$25,Control!$E$26:$I$37,5))</f>
        <v>0.17</v>
      </c>
      <c r="X169" s="194">
        <f t="shared" si="94"/>
        <v>0</v>
      </c>
      <c r="Y169" s="194">
        <f t="shared" si="81"/>
        <v>0.17</v>
      </c>
      <c r="Z169" s="140">
        <f t="shared" ca="1" si="95"/>
        <v>0.28657937898642949</v>
      </c>
      <c r="AA169" s="140">
        <f t="shared" ca="1" si="96"/>
        <v>4.7960793789864296</v>
      </c>
      <c r="AB169" s="203">
        <f ca="1">_xll.EURO($U169,AA169,VLOOKUP($B169,Curve_Fetch,2),VLOOKUP($B169,Curve_Fetch,2),Y169,VLOOKUP($B169,Model!$A$8:$H$288,8),1,0)</f>
        <v>0.50449535932938105</v>
      </c>
      <c r="AC169" s="134"/>
      <c r="AD169" s="192">
        <f>VLOOKUP($B169,Curve_Fetch,VLOOKUP(Control!$F$25,Control!$E$26:$I$37,5))</f>
        <v>0.17</v>
      </c>
      <c r="AE169" s="194">
        <f t="shared" si="97"/>
        <v>0</v>
      </c>
      <c r="AF169" s="194">
        <f t="shared" si="82"/>
        <v>0.17</v>
      </c>
      <c r="AG169" s="140">
        <f t="shared" si="83"/>
        <v>-0.20435881234430545</v>
      </c>
      <c r="AH169" s="140">
        <f t="shared" si="98"/>
        <v>4.3051411876556944</v>
      </c>
      <c r="AI169" s="203">
        <f>_xll.EURO($U169,AH169,VLOOKUP($B169,Curve_Fetch,2),VLOOKUP($B169,Curve_Fetch,2),AF169,VLOOKUP($B169,Model!$A$8:$H$288,8),0,0)</f>
        <v>0.49494578695370017</v>
      </c>
      <c r="AK169" s="137">
        <f t="shared" ca="1" si="84"/>
        <v>0</v>
      </c>
      <c r="AL169" s="138">
        <f t="shared" ca="1" si="85"/>
        <v>0</v>
      </c>
      <c r="AM169" s="138">
        <f t="shared" ca="1" si="86"/>
        <v>0</v>
      </c>
      <c r="AN169" s="138">
        <f t="shared" ca="1" si="87"/>
        <v>0</v>
      </c>
      <c r="AO169" s="138">
        <f t="shared" ca="1" si="88"/>
        <v>0</v>
      </c>
      <c r="AP169" s="138">
        <f t="shared" ca="1" si="89"/>
        <v>0</v>
      </c>
      <c r="AQ169" s="138">
        <f t="shared" si="99"/>
        <v>0</v>
      </c>
      <c r="AR169" s="139">
        <f t="shared" ca="1" si="90"/>
        <v>0</v>
      </c>
      <c r="AT169"/>
      <c r="AU169"/>
      <c r="AV169"/>
      <c r="AW169"/>
      <c r="AX169"/>
      <c r="AY169"/>
      <c r="AZ169"/>
      <c r="BA169"/>
    </row>
    <row r="170" spans="2:53">
      <c r="B170" s="131">
        <f>[1]!_xludf.edate(B169,1)</f>
        <v>41456</v>
      </c>
      <c r="C170" s="132">
        <f t="shared" si="78"/>
        <v>41487</v>
      </c>
      <c r="D170" s="159">
        <v>0</v>
      </c>
      <c r="E170" s="160">
        <f>VLOOKUP($B170,Model!$A$8:$E$289,5)</f>
        <v>0</v>
      </c>
      <c r="F170" s="160">
        <f>VLOOKUP($B170,Model!$A$8:$F$289,6)</f>
        <v>0</v>
      </c>
      <c r="G170" s="179">
        <f ca="1">VLOOKUP($B170,Model!$A$8:$G$289,7)</f>
        <v>0</v>
      </c>
      <c r="I170" s="133">
        <v>0</v>
      </c>
      <c r="J170" s="134">
        <f t="shared" si="79"/>
        <v>4.6245000000000003</v>
      </c>
      <c r="K170" s="140">
        <f t="shared" si="91"/>
        <v>0</v>
      </c>
      <c r="L170" s="136">
        <f>IF(Control!$C$25=Control!$B$26,J170,I170)+K170</f>
        <v>4.6245000000000003</v>
      </c>
      <c r="M170" s="133">
        <v>0</v>
      </c>
      <c r="N170" s="134">
        <f>VLOOKUP($B170,Curve_Fetch,VLOOKUP(Control!$F$25,Control!$E$26:$G$37,3))</f>
        <v>-7.0000000000000007E-2</v>
      </c>
      <c r="O170" s="140">
        <f t="shared" si="92"/>
        <v>0</v>
      </c>
      <c r="P170" s="136">
        <f>IF(Control!$C$30=Control!$B$31,N170,M170)+O170</f>
        <v>-7.0000000000000007E-2</v>
      </c>
      <c r="Q170" s="133">
        <v>0</v>
      </c>
      <c r="R170" s="134">
        <f>VLOOKUP($B170,Curve_Fetch,(VLOOKUP(Control!$F$25,Control!$E$26:$H$37,4)))</f>
        <v>5.0000000000000001E-3</v>
      </c>
      <c r="S170" s="140">
        <f t="shared" si="93"/>
        <v>0</v>
      </c>
      <c r="T170" s="136">
        <f>IF($C$12="Physical",IF(Control!$C$35=Control!$B$36,R170,Q170)+S170,0)</f>
        <v>0</v>
      </c>
      <c r="U170" s="176">
        <f t="shared" si="80"/>
        <v>4.5545</v>
      </c>
      <c r="V170" s="152"/>
      <c r="W170" s="192">
        <f>VLOOKUP($B170,Curve_Fetch,VLOOKUP(Control!$F$25,Control!$E$26:$I$37,5))</f>
        <v>0.17</v>
      </c>
      <c r="X170" s="194">
        <f t="shared" si="94"/>
        <v>0</v>
      </c>
      <c r="Y170" s="194">
        <f t="shared" si="81"/>
        <v>0.17</v>
      </c>
      <c r="Z170" s="140">
        <f t="shared" ca="1" si="95"/>
        <v>0.28657937898642949</v>
      </c>
      <c r="AA170" s="140">
        <f t="shared" ca="1" si="96"/>
        <v>4.8410793789864295</v>
      </c>
      <c r="AB170" s="203">
        <f ca="1">_xll.EURO($U170,AA170,VLOOKUP($B170,Curve_Fetch,2),VLOOKUP($B170,Curve_Fetch,2),Y170,VLOOKUP($B170,Model!$A$8:$H$288,8),1,0)</f>
        <v>0.50957771405301422</v>
      </c>
      <c r="AC170" s="134"/>
      <c r="AD170" s="192">
        <f>VLOOKUP($B170,Curve_Fetch,VLOOKUP(Control!$F$25,Control!$E$26:$I$37,5))</f>
        <v>0.17</v>
      </c>
      <c r="AE170" s="194">
        <f t="shared" si="97"/>
        <v>0</v>
      </c>
      <c r="AF170" s="194">
        <f t="shared" si="82"/>
        <v>0.17</v>
      </c>
      <c r="AG170" s="140">
        <f t="shared" si="83"/>
        <v>-0.20435881234430545</v>
      </c>
      <c r="AH170" s="140">
        <f t="shared" si="98"/>
        <v>4.3501411876556944</v>
      </c>
      <c r="AI170" s="203">
        <f>_xll.EURO($U170,AH170,VLOOKUP($B170,Curve_Fetch,2),VLOOKUP($B170,Curve_Fetch,2),AF170,VLOOKUP($B170,Model!$A$8:$H$288,8),0,0)</f>
        <v>0.49998862045156711</v>
      </c>
      <c r="AK170" s="137">
        <f t="shared" ca="1" si="84"/>
        <v>0</v>
      </c>
      <c r="AL170" s="138">
        <f t="shared" ca="1" si="85"/>
        <v>0</v>
      </c>
      <c r="AM170" s="138">
        <f t="shared" ca="1" si="86"/>
        <v>0</v>
      </c>
      <c r="AN170" s="138">
        <f t="shared" ca="1" si="87"/>
        <v>0</v>
      </c>
      <c r="AO170" s="138">
        <f t="shared" ca="1" si="88"/>
        <v>0</v>
      </c>
      <c r="AP170" s="138">
        <f t="shared" ca="1" si="89"/>
        <v>0</v>
      </c>
      <c r="AQ170" s="138">
        <f t="shared" si="99"/>
        <v>0</v>
      </c>
      <c r="AR170" s="139">
        <f t="shared" ca="1" si="90"/>
        <v>0</v>
      </c>
      <c r="AT170"/>
      <c r="AU170"/>
      <c r="AV170"/>
      <c r="AW170"/>
      <c r="AX170"/>
      <c r="AY170"/>
      <c r="AZ170"/>
      <c r="BA170"/>
    </row>
    <row r="171" spans="2:53">
      <c r="B171" s="131">
        <f>[1]!_xludf.edate(B170,1)</f>
        <v>41487</v>
      </c>
      <c r="C171" s="132">
        <f t="shared" si="78"/>
        <v>41518</v>
      </c>
      <c r="D171" s="159">
        <v>0</v>
      </c>
      <c r="E171" s="160">
        <f>VLOOKUP($B171,Model!$A$8:$E$289,5)</f>
        <v>0</v>
      </c>
      <c r="F171" s="160">
        <f>VLOOKUP($B171,Model!$A$8:$F$289,6)</f>
        <v>0</v>
      </c>
      <c r="G171" s="179">
        <f ca="1">VLOOKUP($B171,Model!$A$8:$G$289,7)</f>
        <v>0</v>
      </c>
      <c r="I171" s="133">
        <v>0</v>
      </c>
      <c r="J171" s="134">
        <f t="shared" si="79"/>
        <v>4.6635</v>
      </c>
      <c r="K171" s="140">
        <f t="shared" si="91"/>
        <v>0</v>
      </c>
      <c r="L171" s="136">
        <f>IF(Control!$C$25=Control!$B$26,J171,I171)+K171</f>
        <v>4.6635</v>
      </c>
      <c r="M171" s="133">
        <v>0</v>
      </c>
      <c r="N171" s="134">
        <f>VLOOKUP($B171,Curve_Fetch,VLOOKUP(Control!$F$25,Control!$E$26:$G$37,3))</f>
        <v>-7.0000000000000007E-2</v>
      </c>
      <c r="O171" s="140">
        <f t="shared" si="92"/>
        <v>0</v>
      </c>
      <c r="P171" s="136">
        <f>IF(Control!$C$30=Control!$B$31,N171,M171)+O171</f>
        <v>-7.0000000000000007E-2</v>
      </c>
      <c r="Q171" s="133">
        <v>0</v>
      </c>
      <c r="R171" s="134">
        <f>VLOOKUP($B171,Curve_Fetch,(VLOOKUP(Control!$F$25,Control!$E$26:$H$37,4)))</f>
        <v>5.0000000000000001E-3</v>
      </c>
      <c r="S171" s="140">
        <f t="shared" si="93"/>
        <v>0</v>
      </c>
      <c r="T171" s="136">
        <f>IF($C$12="Physical",IF(Control!$C$35=Control!$B$36,R171,Q171)+S171,0)</f>
        <v>0</v>
      </c>
      <c r="U171" s="176">
        <f t="shared" si="80"/>
        <v>4.5934999999999997</v>
      </c>
      <c r="V171" s="152"/>
      <c r="W171" s="192">
        <f>VLOOKUP($B171,Curve_Fetch,VLOOKUP(Control!$F$25,Control!$E$26:$I$37,5))</f>
        <v>0.17</v>
      </c>
      <c r="X171" s="194">
        <f t="shared" si="94"/>
        <v>0</v>
      </c>
      <c r="Y171" s="194">
        <f t="shared" si="81"/>
        <v>0.17</v>
      </c>
      <c r="Z171" s="140">
        <f t="shared" ca="1" si="95"/>
        <v>0.28657937898642949</v>
      </c>
      <c r="AA171" s="140">
        <f t="shared" ca="1" si="96"/>
        <v>4.8800793789864292</v>
      </c>
      <c r="AB171" s="203">
        <f ca="1">_xll.EURO($U171,AA171,VLOOKUP($B171,Curve_Fetch,2),VLOOKUP($B171,Curve_Fetch,2),Y171,VLOOKUP($B171,Model!$A$8:$H$288,8),1,0)</f>
        <v>0.51386617116664279</v>
      </c>
      <c r="AC171" s="134"/>
      <c r="AD171" s="192">
        <f>VLOOKUP($B171,Curve_Fetch,VLOOKUP(Control!$F$25,Control!$E$26:$I$37,5))</f>
        <v>0.17</v>
      </c>
      <c r="AE171" s="194">
        <f t="shared" si="97"/>
        <v>0</v>
      </c>
      <c r="AF171" s="194">
        <f t="shared" si="82"/>
        <v>0.17</v>
      </c>
      <c r="AG171" s="140">
        <f t="shared" si="83"/>
        <v>-0.20435881234430545</v>
      </c>
      <c r="AH171" s="140">
        <f t="shared" si="98"/>
        <v>4.3891411876556941</v>
      </c>
      <c r="AI171" s="203">
        <f>_xll.EURO($U171,AH171,VLOOKUP($B171,Curve_Fetch,2),VLOOKUP($B171,Curve_Fetch,2),AF171,VLOOKUP($B171,Model!$A$8:$H$288,8),0,0)</f>
        <v>0.50423487251630217</v>
      </c>
      <c r="AK171" s="137">
        <f t="shared" ca="1" si="84"/>
        <v>0</v>
      </c>
      <c r="AL171" s="138">
        <f t="shared" ca="1" si="85"/>
        <v>0</v>
      </c>
      <c r="AM171" s="138">
        <f t="shared" ca="1" si="86"/>
        <v>0</v>
      </c>
      <c r="AN171" s="138">
        <f t="shared" ca="1" si="87"/>
        <v>0</v>
      </c>
      <c r="AO171" s="138">
        <f t="shared" ca="1" si="88"/>
        <v>0</v>
      </c>
      <c r="AP171" s="138">
        <f t="shared" ca="1" si="89"/>
        <v>0</v>
      </c>
      <c r="AQ171" s="138">
        <f t="shared" si="99"/>
        <v>0</v>
      </c>
      <c r="AR171" s="139">
        <f t="shared" ca="1" si="90"/>
        <v>0</v>
      </c>
      <c r="AT171"/>
      <c r="AU171"/>
      <c r="AV171"/>
      <c r="AW171"/>
      <c r="AX171"/>
      <c r="AY171"/>
      <c r="AZ171"/>
      <c r="BA171"/>
    </row>
    <row r="172" spans="2:53">
      <c r="B172" s="131">
        <f>[1]!_xludf.edate(B171,1)</f>
        <v>41518</v>
      </c>
      <c r="C172" s="132">
        <f t="shared" si="78"/>
        <v>41548</v>
      </c>
      <c r="D172" s="159">
        <v>0</v>
      </c>
      <c r="E172" s="160">
        <f>VLOOKUP($B172,Model!$A$8:$E$289,5)</f>
        <v>0</v>
      </c>
      <c r="F172" s="160">
        <f>VLOOKUP($B172,Model!$A$8:$F$289,6)</f>
        <v>0</v>
      </c>
      <c r="G172" s="179">
        <f ca="1">VLOOKUP($B172,Model!$A$8:$G$289,7)</f>
        <v>0</v>
      </c>
      <c r="I172" s="133">
        <v>0</v>
      </c>
      <c r="J172" s="134">
        <f t="shared" si="79"/>
        <v>4.6574999999999998</v>
      </c>
      <c r="K172" s="140">
        <f t="shared" si="91"/>
        <v>0</v>
      </c>
      <c r="L172" s="136">
        <f>IF(Control!$C$25=Control!$B$26,J172,I172)+K172</f>
        <v>4.6574999999999998</v>
      </c>
      <c r="M172" s="133">
        <v>0</v>
      </c>
      <c r="N172" s="134">
        <f>VLOOKUP($B172,Curve_Fetch,VLOOKUP(Control!$F$25,Control!$E$26:$G$37,3))</f>
        <v>-7.0000000000000007E-2</v>
      </c>
      <c r="O172" s="140">
        <f t="shared" si="92"/>
        <v>0</v>
      </c>
      <c r="P172" s="136">
        <f>IF(Control!$C$30=Control!$B$31,N172,M172)+O172</f>
        <v>-7.0000000000000007E-2</v>
      </c>
      <c r="Q172" s="133">
        <v>0</v>
      </c>
      <c r="R172" s="134">
        <f>VLOOKUP($B172,Curve_Fetch,(VLOOKUP(Control!$F$25,Control!$E$26:$H$37,4)))</f>
        <v>5.0000000000000001E-3</v>
      </c>
      <c r="S172" s="140">
        <f t="shared" si="93"/>
        <v>0</v>
      </c>
      <c r="T172" s="136">
        <f>IF($C$12="Physical",IF(Control!$C$35=Control!$B$36,R172,Q172)+S172,0)</f>
        <v>0</v>
      </c>
      <c r="U172" s="176">
        <f t="shared" si="80"/>
        <v>4.5874999999999995</v>
      </c>
      <c r="V172" s="152"/>
      <c r="W172" s="192">
        <f>VLOOKUP($B172,Curve_Fetch,VLOOKUP(Control!$F$25,Control!$E$26:$I$37,5))</f>
        <v>0.17</v>
      </c>
      <c r="X172" s="194">
        <f t="shared" si="94"/>
        <v>0</v>
      </c>
      <c r="Y172" s="194">
        <f t="shared" si="81"/>
        <v>0.17</v>
      </c>
      <c r="Z172" s="140">
        <f t="shared" ca="1" si="95"/>
        <v>0.28657937898642949</v>
      </c>
      <c r="AA172" s="140">
        <f t="shared" ca="1" si="96"/>
        <v>4.874079378986429</v>
      </c>
      <c r="AB172" s="203">
        <f ca="1">_xll.EURO($U172,AA172,VLOOKUP($B172,Curve_Fetch,2),VLOOKUP($B172,Curve_Fetch,2),Y172,VLOOKUP($B172,Model!$A$8:$H$288,8),1,0)</f>
        <v>0.51256686484091796</v>
      </c>
      <c r="AC172" s="134"/>
      <c r="AD172" s="192">
        <f>VLOOKUP($B172,Curve_Fetch,VLOOKUP(Control!$F$25,Control!$E$26:$I$37,5))</f>
        <v>0.17</v>
      </c>
      <c r="AE172" s="194">
        <f t="shared" si="97"/>
        <v>0</v>
      </c>
      <c r="AF172" s="194">
        <f t="shared" si="82"/>
        <v>0.17</v>
      </c>
      <c r="AG172" s="140">
        <f t="shared" si="83"/>
        <v>-0.20435881234430545</v>
      </c>
      <c r="AH172" s="140">
        <f t="shared" si="98"/>
        <v>4.3831411876556938</v>
      </c>
      <c r="AI172" s="203">
        <f>_xll.EURO($U172,AH172,VLOOKUP($B172,Curve_Fetch,2),VLOOKUP($B172,Curve_Fetch,2),AF172,VLOOKUP($B172,Model!$A$8:$H$288,8),0,0)</f>
        <v>0.50288172339164006</v>
      </c>
      <c r="AK172" s="137">
        <f t="shared" ca="1" si="84"/>
        <v>0</v>
      </c>
      <c r="AL172" s="138">
        <f t="shared" ca="1" si="85"/>
        <v>0</v>
      </c>
      <c r="AM172" s="138">
        <f t="shared" ca="1" si="86"/>
        <v>0</v>
      </c>
      <c r="AN172" s="138">
        <f t="shared" ca="1" si="87"/>
        <v>0</v>
      </c>
      <c r="AO172" s="138">
        <f t="shared" ca="1" si="88"/>
        <v>0</v>
      </c>
      <c r="AP172" s="138">
        <f t="shared" ca="1" si="89"/>
        <v>0</v>
      </c>
      <c r="AQ172" s="138">
        <f t="shared" si="99"/>
        <v>0</v>
      </c>
      <c r="AR172" s="139">
        <f t="shared" ca="1" si="90"/>
        <v>0</v>
      </c>
      <c r="AT172"/>
      <c r="AU172"/>
      <c r="AV172"/>
      <c r="AW172"/>
      <c r="AX172"/>
      <c r="AY172"/>
      <c r="AZ172"/>
      <c r="BA172"/>
    </row>
    <row r="173" spans="2:53">
      <c r="B173" s="131">
        <f>[1]!_xludf.edate(B172,1)</f>
        <v>41548</v>
      </c>
      <c r="C173" s="132">
        <f t="shared" si="78"/>
        <v>41579</v>
      </c>
      <c r="D173" s="159">
        <v>0</v>
      </c>
      <c r="E173" s="160">
        <f>VLOOKUP($B173,Model!$A$8:$E$289,5)</f>
        <v>0</v>
      </c>
      <c r="F173" s="160">
        <f>VLOOKUP($B173,Model!$A$8:$F$289,6)</f>
        <v>0</v>
      </c>
      <c r="G173" s="179">
        <f ca="1">VLOOKUP($B173,Model!$A$8:$G$289,7)</f>
        <v>0</v>
      </c>
      <c r="I173" s="133">
        <v>0</v>
      </c>
      <c r="J173" s="134">
        <f t="shared" si="79"/>
        <v>4.6675000000000004</v>
      </c>
      <c r="K173" s="140">
        <f t="shared" si="91"/>
        <v>0</v>
      </c>
      <c r="L173" s="136">
        <f>IF(Control!$C$25=Control!$B$26,J173,I173)+K173</f>
        <v>4.6675000000000004</v>
      </c>
      <c r="M173" s="133">
        <v>0</v>
      </c>
      <c r="N173" s="134">
        <f>VLOOKUP($B173,Curve_Fetch,VLOOKUP(Control!$F$25,Control!$E$26:$G$37,3))</f>
        <v>-7.0000000000000007E-2</v>
      </c>
      <c r="O173" s="140">
        <f t="shared" si="92"/>
        <v>0</v>
      </c>
      <c r="P173" s="136">
        <f>IF(Control!$C$30=Control!$B$31,N173,M173)+O173</f>
        <v>-7.0000000000000007E-2</v>
      </c>
      <c r="Q173" s="133">
        <v>0</v>
      </c>
      <c r="R173" s="134">
        <f>VLOOKUP($B173,Curve_Fetch,(VLOOKUP(Control!$F$25,Control!$E$26:$H$37,4)))</f>
        <v>5.0000000000000001E-3</v>
      </c>
      <c r="S173" s="140">
        <f t="shared" si="93"/>
        <v>0</v>
      </c>
      <c r="T173" s="136">
        <f>IF($C$12="Physical",IF(Control!$C$35=Control!$B$36,R173,Q173)+S173,0)</f>
        <v>0</v>
      </c>
      <c r="U173" s="176">
        <f t="shared" si="80"/>
        <v>4.5975000000000001</v>
      </c>
      <c r="V173" s="152"/>
      <c r="W173" s="192">
        <f>VLOOKUP($B173,Curve_Fetch,VLOOKUP(Control!$F$25,Control!$E$26:$I$37,5))</f>
        <v>0.17</v>
      </c>
      <c r="X173" s="194">
        <f t="shared" si="94"/>
        <v>0</v>
      </c>
      <c r="Y173" s="194">
        <f t="shared" si="81"/>
        <v>0.17</v>
      </c>
      <c r="Z173" s="140">
        <f t="shared" ca="1" si="95"/>
        <v>0.28657937898642949</v>
      </c>
      <c r="AA173" s="140">
        <f t="shared" ca="1" si="96"/>
        <v>4.8840793789864296</v>
      </c>
      <c r="AB173" s="203">
        <f ca="1">_xll.EURO($U173,AA173,VLOOKUP($B173,Curve_Fetch,2),VLOOKUP($B173,Curve_Fetch,2),Y173,VLOOKUP($B173,Model!$A$8:$H$288,8),1,0)</f>
        <v>0.51324005439260301</v>
      </c>
      <c r="AC173" s="134"/>
      <c r="AD173" s="192">
        <f>VLOOKUP($B173,Curve_Fetch,VLOOKUP(Control!$F$25,Control!$E$26:$I$37,5))</f>
        <v>0.17</v>
      </c>
      <c r="AE173" s="194">
        <f t="shared" si="97"/>
        <v>0</v>
      </c>
      <c r="AF173" s="194">
        <f t="shared" si="82"/>
        <v>0.17</v>
      </c>
      <c r="AG173" s="140">
        <f t="shared" si="83"/>
        <v>-0.20435881234430545</v>
      </c>
      <c r="AH173" s="140">
        <f t="shared" si="98"/>
        <v>4.3931411876556945</v>
      </c>
      <c r="AI173" s="203">
        <f>_xll.EURO($U173,AH173,VLOOKUP($B173,Curve_Fetch,2),VLOOKUP($B173,Curve_Fetch,2),AF173,VLOOKUP($B173,Model!$A$8:$H$288,8),0,0)</f>
        <v>0.50350838364269923</v>
      </c>
      <c r="AK173" s="137">
        <f t="shared" ca="1" si="84"/>
        <v>0</v>
      </c>
      <c r="AL173" s="138">
        <f t="shared" ca="1" si="85"/>
        <v>0</v>
      </c>
      <c r="AM173" s="138">
        <f t="shared" ca="1" si="86"/>
        <v>0</v>
      </c>
      <c r="AN173" s="138">
        <f t="shared" ca="1" si="87"/>
        <v>0</v>
      </c>
      <c r="AO173" s="138">
        <f t="shared" ca="1" si="88"/>
        <v>0</v>
      </c>
      <c r="AP173" s="138">
        <f t="shared" ca="1" si="89"/>
        <v>0</v>
      </c>
      <c r="AQ173" s="138">
        <f t="shared" si="99"/>
        <v>0</v>
      </c>
      <c r="AR173" s="139">
        <f t="shared" ca="1" si="90"/>
        <v>0</v>
      </c>
      <c r="AT173"/>
      <c r="AU173"/>
      <c r="AV173"/>
      <c r="AW173"/>
      <c r="AX173"/>
      <c r="AY173"/>
      <c r="AZ173"/>
      <c r="BA173"/>
    </row>
    <row r="174" spans="2:53">
      <c r="B174" s="131">
        <f>[1]!_xludf.edate(B173,1)</f>
        <v>41579</v>
      </c>
      <c r="C174" s="132">
        <f t="shared" si="78"/>
        <v>41609</v>
      </c>
      <c r="D174" s="159">
        <v>0</v>
      </c>
      <c r="E174" s="160">
        <f>VLOOKUP($B174,Model!$A$8:$E$289,5)</f>
        <v>0</v>
      </c>
      <c r="F174" s="160">
        <f>VLOOKUP($B174,Model!$A$8:$F$289,6)</f>
        <v>0</v>
      </c>
      <c r="G174" s="179">
        <f ca="1">VLOOKUP($B174,Model!$A$8:$G$289,7)</f>
        <v>0</v>
      </c>
      <c r="I174" s="133">
        <v>0</v>
      </c>
      <c r="J174" s="134">
        <f t="shared" si="79"/>
        <v>4.8274999999999997</v>
      </c>
      <c r="K174" s="140">
        <f t="shared" si="91"/>
        <v>0</v>
      </c>
      <c r="L174" s="136">
        <f>IF(Control!$C$25=Control!$B$26,J174,I174)+K174</f>
        <v>4.8274999999999997</v>
      </c>
      <c r="M174" s="133">
        <v>0</v>
      </c>
      <c r="N174" s="134">
        <f>VLOOKUP($B174,Curve_Fetch,VLOOKUP(Control!$F$25,Control!$E$26:$G$37,3))</f>
        <v>-7.0000000000000007E-2</v>
      </c>
      <c r="O174" s="140">
        <f t="shared" si="92"/>
        <v>0</v>
      </c>
      <c r="P174" s="136">
        <f>IF(Control!$C$30=Control!$B$31,N174,M174)+O174</f>
        <v>-7.0000000000000007E-2</v>
      </c>
      <c r="Q174" s="133">
        <v>0</v>
      </c>
      <c r="R174" s="134">
        <f>VLOOKUP($B174,Curve_Fetch,(VLOOKUP(Control!$F$25,Control!$E$26:$H$37,4)))</f>
        <v>5.0000000000000001E-3</v>
      </c>
      <c r="S174" s="140">
        <f t="shared" si="93"/>
        <v>0</v>
      </c>
      <c r="T174" s="136">
        <f>IF($C$12="Physical",IF(Control!$C$35=Control!$B$36,R174,Q174)+S174,0)</f>
        <v>0</v>
      </c>
      <c r="U174" s="176">
        <f t="shared" si="80"/>
        <v>4.7574999999999994</v>
      </c>
      <c r="V174" s="152"/>
      <c r="W174" s="192">
        <f>VLOOKUP($B174,Curve_Fetch,VLOOKUP(Control!$F$25,Control!$E$26:$I$37,5))</f>
        <v>0.17</v>
      </c>
      <c r="X174" s="194">
        <f t="shared" si="94"/>
        <v>0</v>
      </c>
      <c r="Y174" s="194">
        <f t="shared" si="81"/>
        <v>0.17</v>
      </c>
      <c r="Z174" s="140">
        <f t="shared" ca="1" si="95"/>
        <v>0.28657937898642949</v>
      </c>
      <c r="AA174" s="140">
        <f t="shared" ca="1" si="96"/>
        <v>5.0440793789864289</v>
      </c>
      <c r="AB174" s="203">
        <f ca="1">_xll.EURO($U174,AA174,VLOOKUP($B174,Curve_Fetch,2),VLOOKUP($B174,Curve_Fetch,2),Y174,VLOOKUP($B174,Model!$A$8:$H$288,8),1,0)</f>
        <v>0.532326772941911</v>
      </c>
      <c r="AC174" s="134"/>
      <c r="AD174" s="192">
        <f>VLOOKUP($B174,Curve_Fetch,VLOOKUP(Control!$F$25,Control!$E$26:$I$37,5))</f>
        <v>0.17</v>
      </c>
      <c r="AE174" s="194">
        <f t="shared" si="97"/>
        <v>0</v>
      </c>
      <c r="AF174" s="194">
        <f t="shared" si="82"/>
        <v>0.17</v>
      </c>
      <c r="AG174" s="140">
        <f t="shared" si="83"/>
        <v>-0.20435881234430545</v>
      </c>
      <c r="AH174" s="140">
        <f t="shared" si="98"/>
        <v>4.5531411876556938</v>
      </c>
      <c r="AI174" s="203">
        <f>_xll.EURO($U174,AH174,VLOOKUP($B174,Curve_Fetch,2),VLOOKUP($B174,Curve_Fetch,2),AF174,VLOOKUP($B174,Model!$A$8:$H$288,8),0,0)</f>
        <v>0.52258789350059454</v>
      </c>
      <c r="AK174" s="137">
        <f t="shared" ca="1" si="84"/>
        <v>0</v>
      </c>
      <c r="AL174" s="138">
        <f t="shared" ca="1" si="85"/>
        <v>0</v>
      </c>
      <c r="AM174" s="138">
        <f t="shared" ca="1" si="86"/>
        <v>0</v>
      </c>
      <c r="AN174" s="138">
        <f t="shared" ca="1" si="87"/>
        <v>0</v>
      </c>
      <c r="AO174" s="138">
        <f t="shared" ca="1" si="88"/>
        <v>0</v>
      </c>
      <c r="AP174" s="138">
        <f t="shared" ca="1" si="89"/>
        <v>0</v>
      </c>
      <c r="AQ174" s="138">
        <f t="shared" si="99"/>
        <v>0</v>
      </c>
      <c r="AR174" s="139">
        <f t="shared" ca="1" si="90"/>
        <v>0</v>
      </c>
      <c r="AT174"/>
      <c r="AU174"/>
      <c r="AV174"/>
      <c r="AW174"/>
      <c r="AX174"/>
      <c r="AY174"/>
      <c r="AZ174"/>
      <c r="BA174"/>
    </row>
    <row r="175" spans="2:53">
      <c r="B175" s="131">
        <f>[1]!_xludf.edate(B174,1)</f>
        <v>41609</v>
      </c>
      <c r="C175" s="132">
        <f t="shared" si="78"/>
        <v>41640</v>
      </c>
      <c r="D175" s="159">
        <v>0</v>
      </c>
      <c r="E175" s="160">
        <f>VLOOKUP($B175,Model!$A$8:$E$289,5)</f>
        <v>0</v>
      </c>
      <c r="F175" s="160">
        <f>VLOOKUP($B175,Model!$A$8:$F$289,6)</f>
        <v>0</v>
      </c>
      <c r="G175" s="179">
        <f ca="1">VLOOKUP($B175,Model!$A$8:$G$289,7)</f>
        <v>0</v>
      </c>
      <c r="I175" s="133">
        <v>0</v>
      </c>
      <c r="J175" s="134">
        <f t="shared" si="79"/>
        <v>4.9814999999999996</v>
      </c>
      <c r="K175" s="140">
        <f t="shared" si="91"/>
        <v>0</v>
      </c>
      <c r="L175" s="136">
        <f>IF(Control!$C$25=Control!$B$26,J175,I175)+K175</f>
        <v>4.9814999999999996</v>
      </c>
      <c r="M175" s="133">
        <v>0</v>
      </c>
      <c r="N175" s="134">
        <f>VLOOKUP($B175,Curve_Fetch,VLOOKUP(Control!$F$25,Control!$E$26:$G$37,3))</f>
        <v>-7.0000000000000007E-2</v>
      </c>
      <c r="O175" s="140">
        <f t="shared" si="92"/>
        <v>0</v>
      </c>
      <c r="P175" s="136">
        <f>IF(Control!$C$30=Control!$B$31,N175,M175)+O175</f>
        <v>-7.0000000000000007E-2</v>
      </c>
      <c r="Q175" s="133">
        <v>0</v>
      </c>
      <c r="R175" s="134">
        <f>VLOOKUP($B175,Curve_Fetch,(VLOOKUP(Control!$F$25,Control!$E$26:$H$37,4)))</f>
        <v>5.0000000000000001E-3</v>
      </c>
      <c r="S175" s="140">
        <f t="shared" si="93"/>
        <v>0</v>
      </c>
      <c r="T175" s="136">
        <f>IF($C$12="Physical",IF(Control!$C$35=Control!$B$36,R175,Q175)+S175,0)</f>
        <v>0</v>
      </c>
      <c r="U175" s="176">
        <f t="shared" si="80"/>
        <v>4.9114999999999993</v>
      </c>
      <c r="V175" s="152"/>
      <c r="W175" s="192">
        <f>VLOOKUP($B175,Curve_Fetch,VLOOKUP(Control!$F$25,Control!$E$26:$I$37,5))</f>
        <v>0.17</v>
      </c>
      <c r="X175" s="194">
        <f t="shared" si="94"/>
        <v>0</v>
      </c>
      <c r="Y175" s="194">
        <f t="shared" si="81"/>
        <v>0.17</v>
      </c>
      <c r="Z175" s="140">
        <f t="shared" ca="1" si="95"/>
        <v>0.28657937898642949</v>
      </c>
      <c r="AA175" s="140">
        <f t="shared" ca="1" si="96"/>
        <v>5.1980793789864288</v>
      </c>
      <c r="AB175" s="203">
        <f ca="1">_xll.EURO($U175,AA175,VLOOKUP($B175,Curve_Fetch,2),VLOOKUP($B175,Curve_Fetch,2),Y175,VLOOKUP($B175,Model!$A$8:$H$288,8),1,0)</f>
        <v>0.55062055157631751</v>
      </c>
      <c r="AC175" s="134"/>
      <c r="AD175" s="192">
        <f>VLOOKUP($B175,Curve_Fetch,VLOOKUP(Control!$F$25,Control!$E$26:$I$37,5))</f>
        <v>0.17</v>
      </c>
      <c r="AE175" s="194">
        <f t="shared" si="97"/>
        <v>0</v>
      </c>
      <c r="AF175" s="194">
        <f t="shared" si="82"/>
        <v>0.17</v>
      </c>
      <c r="AG175" s="140">
        <f t="shared" si="83"/>
        <v>-0.20435881234430545</v>
      </c>
      <c r="AH175" s="140">
        <f t="shared" si="98"/>
        <v>4.7071411876556937</v>
      </c>
      <c r="AI175" s="203">
        <f>_xll.EURO($U175,AH175,VLOOKUP($B175,Curve_Fetch,2),VLOOKUP($B175,Curve_Fetch,2),AF175,VLOOKUP($B175,Model!$A$8:$H$288,8),0,0)</f>
        <v>0.54087254227391723</v>
      </c>
      <c r="AK175" s="137">
        <f t="shared" ca="1" si="84"/>
        <v>0</v>
      </c>
      <c r="AL175" s="138">
        <f t="shared" ca="1" si="85"/>
        <v>0</v>
      </c>
      <c r="AM175" s="138">
        <f t="shared" ca="1" si="86"/>
        <v>0</v>
      </c>
      <c r="AN175" s="138">
        <f t="shared" ca="1" si="87"/>
        <v>0</v>
      </c>
      <c r="AO175" s="138">
        <f t="shared" ca="1" si="88"/>
        <v>0</v>
      </c>
      <c r="AP175" s="138">
        <f t="shared" ca="1" si="89"/>
        <v>0</v>
      </c>
      <c r="AQ175" s="138">
        <f t="shared" si="99"/>
        <v>0</v>
      </c>
      <c r="AR175" s="139">
        <f t="shared" ca="1" si="90"/>
        <v>0</v>
      </c>
      <c r="AT175"/>
      <c r="AU175"/>
      <c r="AV175"/>
      <c r="AW175"/>
      <c r="AX175"/>
      <c r="AY175"/>
      <c r="AZ175"/>
      <c r="BA175"/>
    </row>
    <row r="176" spans="2:53">
      <c r="B176" s="131">
        <f>[1]!_xludf.edate(B175,1)</f>
        <v>41640</v>
      </c>
      <c r="C176" s="132">
        <f t="shared" si="78"/>
        <v>41671</v>
      </c>
      <c r="D176" s="159">
        <v>0</v>
      </c>
      <c r="E176" s="160">
        <f>VLOOKUP($B176,Model!$A$8:$E$289,5)</f>
        <v>0</v>
      </c>
      <c r="F176" s="160">
        <f>VLOOKUP($B176,Model!$A$8:$F$289,6)</f>
        <v>0</v>
      </c>
      <c r="G176" s="179">
        <f ca="1">VLOOKUP($B176,Model!$A$8:$G$289,7)</f>
        <v>0</v>
      </c>
      <c r="I176" s="133">
        <v>0</v>
      </c>
      <c r="J176" s="134">
        <f t="shared" si="79"/>
        <v>5.0339999999999998</v>
      </c>
      <c r="K176" s="140">
        <f t="shared" si="91"/>
        <v>0</v>
      </c>
      <c r="L176" s="136">
        <f>IF(Control!$C$25=Control!$B$26,J176,I176)+K176</f>
        <v>5.0339999999999998</v>
      </c>
      <c r="M176" s="133">
        <v>0</v>
      </c>
      <c r="N176" s="134">
        <f>VLOOKUP($B176,Curve_Fetch,VLOOKUP(Control!$F$25,Control!$E$26:$G$37,3))</f>
        <v>-7.0000000000000007E-2</v>
      </c>
      <c r="O176" s="140">
        <f t="shared" si="92"/>
        <v>0</v>
      </c>
      <c r="P176" s="136">
        <f>IF(Control!$C$30=Control!$B$31,N176,M176)+O176</f>
        <v>-7.0000000000000007E-2</v>
      </c>
      <c r="Q176" s="133">
        <v>0</v>
      </c>
      <c r="R176" s="134">
        <f>VLOOKUP($B176,Curve_Fetch,(VLOOKUP(Control!$F$25,Control!$E$26:$H$37,4)))</f>
        <v>5.0000000000000001E-3</v>
      </c>
      <c r="S176" s="140">
        <f t="shared" si="93"/>
        <v>0</v>
      </c>
      <c r="T176" s="136">
        <f>IF($C$12="Physical",IF(Control!$C$35=Control!$B$36,R176,Q176)+S176,0)</f>
        <v>0</v>
      </c>
      <c r="U176" s="176">
        <f t="shared" si="80"/>
        <v>4.9639999999999995</v>
      </c>
      <c r="V176" s="152"/>
      <c r="W176" s="192">
        <f>VLOOKUP($B176,Curve_Fetch,VLOOKUP(Control!$F$25,Control!$E$26:$I$37,5))</f>
        <v>0.17</v>
      </c>
      <c r="X176" s="194">
        <f t="shared" si="94"/>
        <v>0</v>
      </c>
      <c r="Y176" s="194">
        <f t="shared" si="81"/>
        <v>0.17</v>
      </c>
      <c r="Z176" s="140">
        <f t="shared" ca="1" si="95"/>
        <v>0.28657937898642949</v>
      </c>
      <c r="AA176" s="140">
        <f t="shared" ca="1" si="96"/>
        <v>5.250579378986429</v>
      </c>
      <c r="AB176" s="203">
        <f ca="1">_xll.EURO($U176,AA176,VLOOKUP($B176,Curve_Fetch,2),VLOOKUP($B176,Curve_Fetch,2),Y176,VLOOKUP($B176,Model!$A$8:$H$288,8),1,0)</f>
        <v>0.55636036781529952</v>
      </c>
      <c r="AC176" s="134"/>
      <c r="AD176" s="192">
        <f>VLOOKUP($B176,Curve_Fetch,VLOOKUP(Control!$F$25,Control!$E$26:$I$37,5))</f>
        <v>0.17</v>
      </c>
      <c r="AE176" s="194">
        <f t="shared" si="97"/>
        <v>0</v>
      </c>
      <c r="AF176" s="194">
        <f t="shared" si="82"/>
        <v>0.17</v>
      </c>
      <c r="AG176" s="140">
        <f t="shared" si="83"/>
        <v>-0.20435881234430545</v>
      </c>
      <c r="AH176" s="140">
        <f t="shared" si="98"/>
        <v>4.7596411876556939</v>
      </c>
      <c r="AI176" s="203">
        <f>_xll.EURO($U176,AH176,VLOOKUP($B176,Curve_Fetch,2),VLOOKUP($B176,Curve_Fetch,2),AF176,VLOOKUP($B176,Model!$A$8:$H$288,8),0,0)</f>
        <v>0.54657664273513917</v>
      </c>
      <c r="AK176" s="137">
        <f t="shared" ca="1" si="84"/>
        <v>0</v>
      </c>
      <c r="AL176" s="138">
        <f t="shared" ca="1" si="85"/>
        <v>0</v>
      </c>
      <c r="AM176" s="138">
        <f t="shared" ca="1" si="86"/>
        <v>0</v>
      </c>
      <c r="AN176" s="138">
        <f t="shared" ca="1" si="87"/>
        <v>0</v>
      </c>
      <c r="AO176" s="138">
        <f t="shared" ca="1" si="88"/>
        <v>0</v>
      </c>
      <c r="AP176" s="138">
        <f t="shared" ca="1" si="89"/>
        <v>0</v>
      </c>
      <c r="AQ176" s="138">
        <f t="shared" si="99"/>
        <v>0</v>
      </c>
      <c r="AR176" s="139">
        <f t="shared" ca="1" si="90"/>
        <v>0</v>
      </c>
      <c r="AT176"/>
      <c r="AU176"/>
      <c r="AV176"/>
      <c r="AW176"/>
      <c r="AX176"/>
      <c r="AY176"/>
      <c r="AZ176"/>
      <c r="BA176"/>
    </row>
    <row r="177" spans="2:53">
      <c r="B177" s="131">
        <f>[1]!_xludf.edate(B176,1)</f>
        <v>41671</v>
      </c>
      <c r="C177" s="132">
        <f t="shared" si="78"/>
        <v>41699</v>
      </c>
      <c r="D177" s="159">
        <v>0</v>
      </c>
      <c r="E177" s="160">
        <f>VLOOKUP($B177,Model!$A$8:$E$289,5)</f>
        <v>0</v>
      </c>
      <c r="F177" s="160">
        <f>VLOOKUP($B177,Model!$A$8:$F$289,6)</f>
        <v>0</v>
      </c>
      <c r="G177" s="179">
        <f ca="1">VLOOKUP($B177,Model!$A$8:$G$289,7)</f>
        <v>0</v>
      </c>
      <c r="I177" s="133">
        <v>0</v>
      </c>
      <c r="J177" s="134">
        <f t="shared" si="79"/>
        <v>4.9459999999999997</v>
      </c>
      <c r="K177" s="140">
        <f t="shared" si="91"/>
        <v>0</v>
      </c>
      <c r="L177" s="136">
        <f>IF(Control!$C$25=Control!$B$26,J177,I177)+K177</f>
        <v>4.9459999999999997</v>
      </c>
      <c r="M177" s="133">
        <v>0</v>
      </c>
      <c r="N177" s="134">
        <f>VLOOKUP($B177,Curve_Fetch,VLOOKUP(Control!$F$25,Control!$E$26:$G$37,3))</f>
        <v>-7.0000000000000007E-2</v>
      </c>
      <c r="O177" s="140">
        <f t="shared" si="92"/>
        <v>0</v>
      </c>
      <c r="P177" s="136">
        <f>IF(Control!$C$30=Control!$B$31,N177,M177)+O177</f>
        <v>-7.0000000000000007E-2</v>
      </c>
      <c r="Q177" s="133">
        <v>0</v>
      </c>
      <c r="R177" s="134">
        <f>VLOOKUP($B177,Curve_Fetch,(VLOOKUP(Control!$F$25,Control!$E$26:$H$37,4)))</f>
        <v>5.0000000000000001E-3</v>
      </c>
      <c r="S177" s="140">
        <f t="shared" si="93"/>
        <v>0</v>
      </c>
      <c r="T177" s="136">
        <f>IF($C$12="Physical",IF(Control!$C$35=Control!$B$36,R177,Q177)+S177,0)</f>
        <v>0</v>
      </c>
      <c r="U177" s="176">
        <f t="shared" si="80"/>
        <v>4.8759999999999994</v>
      </c>
      <c r="V177" s="152"/>
      <c r="W177" s="192">
        <f>VLOOKUP($B177,Curve_Fetch,VLOOKUP(Control!$F$25,Control!$E$26:$I$37,5))</f>
        <v>0.17</v>
      </c>
      <c r="X177" s="194">
        <f t="shared" si="94"/>
        <v>0</v>
      </c>
      <c r="Y177" s="194">
        <f t="shared" si="81"/>
        <v>0.17</v>
      </c>
      <c r="Z177" s="140">
        <f t="shared" ca="1" si="95"/>
        <v>0.28657937898642949</v>
      </c>
      <c r="AA177" s="140">
        <f t="shared" ca="1" si="96"/>
        <v>5.1625793789864289</v>
      </c>
      <c r="AB177" s="203">
        <f ca="1">_xll.EURO($U177,AA177,VLOOKUP($B177,Curve_Fetch,2),VLOOKUP($B177,Curve_Fetch,2),Y177,VLOOKUP($B177,Model!$A$8:$H$288,8),1,0)</f>
        <v>0.54484910474806481</v>
      </c>
      <c r="AC177" s="134"/>
      <c r="AD177" s="192">
        <f>VLOOKUP($B177,Curve_Fetch,VLOOKUP(Control!$F$25,Control!$E$26:$I$37,5))</f>
        <v>0.17</v>
      </c>
      <c r="AE177" s="194">
        <f t="shared" si="97"/>
        <v>0</v>
      </c>
      <c r="AF177" s="194">
        <f t="shared" si="82"/>
        <v>0.17</v>
      </c>
      <c r="AG177" s="140">
        <f t="shared" si="83"/>
        <v>-0.20435881234430545</v>
      </c>
      <c r="AH177" s="140">
        <f t="shared" si="98"/>
        <v>4.6716411876556938</v>
      </c>
      <c r="AI177" s="203">
        <f>_xll.EURO($U177,AH177,VLOOKUP($B177,Curve_Fetch,2),VLOOKUP($B177,Curve_Fetch,2),AF177,VLOOKUP($B177,Model!$A$8:$H$288,8),0,0)</f>
        <v>0.53499746837634909</v>
      </c>
      <c r="AK177" s="137">
        <f t="shared" ca="1" si="84"/>
        <v>0</v>
      </c>
      <c r="AL177" s="138">
        <f t="shared" ca="1" si="85"/>
        <v>0</v>
      </c>
      <c r="AM177" s="138">
        <f t="shared" ca="1" si="86"/>
        <v>0</v>
      </c>
      <c r="AN177" s="138">
        <f t="shared" ca="1" si="87"/>
        <v>0</v>
      </c>
      <c r="AO177" s="138">
        <f t="shared" ca="1" si="88"/>
        <v>0</v>
      </c>
      <c r="AP177" s="138">
        <f t="shared" ca="1" si="89"/>
        <v>0</v>
      </c>
      <c r="AQ177" s="138">
        <f t="shared" si="99"/>
        <v>0</v>
      </c>
      <c r="AR177" s="139">
        <f t="shared" ca="1" si="90"/>
        <v>0</v>
      </c>
      <c r="AT177"/>
      <c r="AU177"/>
      <c r="AV177"/>
      <c r="AW177"/>
      <c r="AX177"/>
      <c r="AY177"/>
      <c r="AZ177"/>
      <c r="BA177"/>
    </row>
    <row r="178" spans="2:53">
      <c r="B178" s="131">
        <f>[1]!_xludf.edate(B177,1)</f>
        <v>41699</v>
      </c>
      <c r="C178" s="132">
        <f t="shared" si="78"/>
        <v>41730</v>
      </c>
      <c r="D178" s="159">
        <v>0</v>
      </c>
      <c r="E178" s="160">
        <f>VLOOKUP($B178,Model!$A$8:$E$289,5)</f>
        <v>0</v>
      </c>
      <c r="F178" s="160">
        <f>VLOOKUP($B178,Model!$A$8:$F$289,6)</f>
        <v>0</v>
      </c>
      <c r="G178" s="179">
        <f ca="1">VLOOKUP($B178,Model!$A$8:$G$289,7)</f>
        <v>0</v>
      </c>
      <c r="I178" s="133">
        <v>0</v>
      </c>
      <c r="J178" s="134">
        <f t="shared" si="79"/>
        <v>4.8070000000000004</v>
      </c>
      <c r="K178" s="140">
        <f t="shared" si="91"/>
        <v>0</v>
      </c>
      <c r="L178" s="136">
        <f>IF(Control!$C$25=Control!$B$26,J178,I178)+K178</f>
        <v>4.8070000000000004</v>
      </c>
      <c r="M178" s="133">
        <v>0</v>
      </c>
      <c r="N178" s="134">
        <f>VLOOKUP($B178,Curve_Fetch,VLOOKUP(Control!$F$25,Control!$E$26:$G$37,3))</f>
        <v>-7.0000000000000007E-2</v>
      </c>
      <c r="O178" s="140">
        <f t="shared" si="92"/>
        <v>0</v>
      </c>
      <c r="P178" s="136">
        <f>IF(Control!$C$30=Control!$B$31,N178,M178)+O178</f>
        <v>-7.0000000000000007E-2</v>
      </c>
      <c r="Q178" s="133">
        <v>0</v>
      </c>
      <c r="R178" s="134">
        <f>VLOOKUP($B178,Curve_Fetch,(VLOOKUP(Control!$F$25,Control!$E$26:$H$37,4)))</f>
        <v>5.0000000000000001E-3</v>
      </c>
      <c r="S178" s="140">
        <f t="shared" si="93"/>
        <v>0</v>
      </c>
      <c r="T178" s="136">
        <f>IF($C$12="Physical",IF(Control!$C$35=Control!$B$36,R178,Q178)+S178,0)</f>
        <v>0</v>
      </c>
      <c r="U178" s="176">
        <f t="shared" si="80"/>
        <v>4.7370000000000001</v>
      </c>
      <c r="V178" s="152"/>
      <c r="W178" s="192">
        <f>VLOOKUP($B178,Curve_Fetch,VLOOKUP(Control!$F$25,Control!$E$26:$I$37,5))</f>
        <v>0.17</v>
      </c>
      <c r="X178" s="194">
        <f t="shared" si="94"/>
        <v>0</v>
      </c>
      <c r="Y178" s="194">
        <f t="shared" si="81"/>
        <v>0.17</v>
      </c>
      <c r="Z178" s="140">
        <f t="shared" ca="1" si="95"/>
        <v>0.28657937898642949</v>
      </c>
      <c r="AA178" s="140">
        <f t="shared" ca="1" si="96"/>
        <v>5.0235793789864296</v>
      </c>
      <c r="AB178" s="203">
        <f ca="1">_xll.EURO($U178,AA178,VLOOKUP($B178,Curve_Fetch,2),VLOOKUP($B178,Curve_Fetch,2),Y178,VLOOKUP($B178,Model!$A$8:$H$288,8),1,0)</f>
        <v>0.5271921440862164</v>
      </c>
      <c r="AC178" s="134"/>
      <c r="AD178" s="192">
        <f>VLOOKUP($B178,Curve_Fetch,VLOOKUP(Control!$F$25,Control!$E$26:$I$37,5))</f>
        <v>0.17</v>
      </c>
      <c r="AE178" s="194">
        <f t="shared" si="97"/>
        <v>0</v>
      </c>
      <c r="AF178" s="194">
        <f t="shared" si="82"/>
        <v>0.17</v>
      </c>
      <c r="AG178" s="140">
        <f t="shared" si="83"/>
        <v>-0.20435881234430545</v>
      </c>
      <c r="AH178" s="140">
        <f t="shared" si="98"/>
        <v>4.5326411876556945</v>
      </c>
      <c r="AI178" s="203">
        <f>_xll.EURO($U178,AH178,VLOOKUP($B178,Curve_Fetch,2),VLOOKUP($B178,Curve_Fetch,2),AF178,VLOOKUP($B178,Model!$A$8:$H$288,8),0,0)</f>
        <v>0.51726510961844729</v>
      </c>
      <c r="AK178" s="137">
        <f t="shared" ca="1" si="84"/>
        <v>0</v>
      </c>
      <c r="AL178" s="138">
        <f t="shared" ca="1" si="85"/>
        <v>0</v>
      </c>
      <c r="AM178" s="138">
        <f t="shared" ca="1" si="86"/>
        <v>0</v>
      </c>
      <c r="AN178" s="138">
        <f t="shared" ca="1" si="87"/>
        <v>0</v>
      </c>
      <c r="AO178" s="138">
        <f t="shared" ca="1" si="88"/>
        <v>0</v>
      </c>
      <c r="AP178" s="138">
        <f t="shared" ca="1" si="89"/>
        <v>0</v>
      </c>
      <c r="AQ178" s="138">
        <f t="shared" si="99"/>
        <v>0</v>
      </c>
      <c r="AR178" s="139">
        <f t="shared" ca="1" si="90"/>
        <v>0</v>
      </c>
      <c r="AT178"/>
      <c r="AU178"/>
      <c r="AV178"/>
      <c r="AW178"/>
      <c r="AX178"/>
      <c r="AY178"/>
      <c r="AZ178"/>
      <c r="BA178"/>
    </row>
    <row r="179" spans="2:53">
      <c r="B179" s="131">
        <f>[1]!_xludf.edate(B178,1)</f>
        <v>41730</v>
      </c>
      <c r="C179" s="132">
        <f t="shared" si="78"/>
        <v>41760</v>
      </c>
      <c r="D179" s="159">
        <v>0</v>
      </c>
      <c r="E179" s="160">
        <f>VLOOKUP($B179,Model!$A$8:$E$289,5)</f>
        <v>0</v>
      </c>
      <c r="F179" s="160">
        <f>VLOOKUP($B179,Model!$A$8:$F$289,6)</f>
        <v>0</v>
      </c>
      <c r="G179" s="179">
        <f ca="1">VLOOKUP($B179,Model!$A$8:$G$289,7)</f>
        <v>0</v>
      </c>
      <c r="I179" s="133">
        <v>0</v>
      </c>
      <c r="J179" s="134">
        <f t="shared" si="79"/>
        <v>4.6529999999999996</v>
      </c>
      <c r="K179" s="140">
        <f t="shared" si="91"/>
        <v>0</v>
      </c>
      <c r="L179" s="136">
        <f>IF(Control!$C$25=Control!$B$26,J179,I179)+K179</f>
        <v>4.6529999999999996</v>
      </c>
      <c r="M179" s="133">
        <v>0</v>
      </c>
      <c r="N179" s="134">
        <f>VLOOKUP($B179,Curve_Fetch,VLOOKUP(Control!$F$25,Control!$E$26:$G$37,3))</f>
        <v>-7.0000000000000007E-2</v>
      </c>
      <c r="O179" s="140">
        <f t="shared" si="92"/>
        <v>0</v>
      </c>
      <c r="P179" s="136">
        <f>IF(Control!$C$30=Control!$B$31,N179,M179)+O179</f>
        <v>-7.0000000000000007E-2</v>
      </c>
      <c r="Q179" s="133">
        <v>0</v>
      </c>
      <c r="R179" s="134">
        <f>VLOOKUP($B179,Curve_Fetch,(VLOOKUP(Control!$F$25,Control!$E$26:$H$37,4)))</f>
        <v>5.0000000000000001E-3</v>
      </c>
      <c r="S179" s="140">
        <f t="shared" si="93"/>
        <v>0</v>
      </c>
      <c r="T179" s="136">
        <f>IF($C$12="Physical",IF(Control!$C$35=Control!$B$36,R179,Q179)+S179,0)</f>
        <v>0</v>
      </c>
      <c r="U179" s="176">
        <f t="shared" si="80"/>
        <v>4.5829999999999993</v>
      </c>
      <c r="V179" s="152"/>
      <c r="W179" s="192">
        <f>VLOOKUP($B179,Curve_Fetch,VLOOKUP(Control!$F$25,Control!$E$26:$I$37,5))</f>
        <v>0.17</v>
      </c>
      <c r="X179" s="194">
        <f t="shared" si="94"/>
        <v>0</v>
      </c>
      <c r="Y179" s="194">
        <f t="shared" si="81"/>
        <v>0.17</v>
      </c>
      <c r="Z179" s="140">
        <f t="shared" ca="1" si="95"/>
        <v>0.28657937898642949</v>
      </c>
      <c r="AA179" s="140">
        <f t="shared" ca="1" si="96"/>
        <v>4.8695793789864288</v>
      </c>
      <c r="AB179" s="203">
        <f ca="1">_xll.EURO($U179,AA179,VLOOKUP($B179,Curve_Fetch,2),VLOOKUP($B179,Curve_Fetch,2),Y179,VLOOKUP($B179,Model!$A$8:$H$288,8),1,0)</f>
        <v>0.50768054552089947</v>
      </c>
      <c r="AC179" s="134"/>
      <c r="AD179" s="192">
        <f>VLOOKUP($B179,Curve_Fetch,VLOOKUP(Control!$F$25,Control!$E$26:$I$37,5))</f>
        <v>0.17</v>
      </c>
      <c r="AE179" s="194">
        <f t="shared" si="97"/>
        <v>0</v>
      </c>
      <c r="AF179" s="194">
        <f t="shared" si="82"/>
        <v>0.17</v>
      </c>
      <c r="AG179" s="140">
        <f t="shared" si="83"/>
        <v>-0.20435881234430545</v>
      </c>
      <c r="AH179" s="140">
        <f t="shared" si="98"/>
        <v>4.3786411876556937</v>
      </c>
      <c r="AI179" s="203">
        <f>_xll.EURO($U179,AH179,VLOOKUP($B179,Curve_Fetch,2),VLOOKUP($B179,Curve_Fetch,2),AF179,VLOOKUP($B179,Model!$A$8:$H$288,8),0,0)</f>
        <v>0.49766958702202269</v>
      </c>
      <c r="AK179" s="137">
        <f t="shared" ca="1" si="84"/>
        <v>0</v>
      </c>
      <c r="AL179" s="138">
        <f t="shared" ca="1" si="85"/>
        <v>0</v>
      </c>
      <c r="AM179" s="138">
        <f t="shared" ca="1" si="86"/>
        <v>0</v>
      </c>
      <c r="AN179" s="138">
        <f t="shared" ca="1" si="87"/>
        <v>0</v>
      </c>
      <c r="AO179" s="138">
        <f t="shared" ca="1" si="88"/>
        <v>0</v>
      </c>
      <c r="AP179" s="138">
        <f t="shared" ca="1" si="89"/>
        <v>0</v>
      </c>
      <c r="AQ179" s="138">
        <f t="shared" si="99"/>
        <v>0</v>
      </c>
      <c r="AR179" s="139">
        <f t="shared" ca="1" si="90"/>
        <v>0</v>
      </c>
      <c r="AT179"/>
      <c r="AU179"/>
      <c r="AV179"/>
      <c r="AW179"/>
      <c r="AX179"/>
      <c r="AY179"/>
      <c r="AZ179"/>
      <c r="BA179"/>
    </row>
    <row r="180" spans="2:53">
      <c r="B180" s="131">
        <f>[1]!_xludf.edate(B179,1)</f>
        <v>41760</v>
      </c>
      <c r="C180" s="132">
        <f t="shared" si="78"/>
        <v>41791</v>
      </c>
      <c r="D180" s="159">
        <v>0</v>
      </c>
      <c r="E180" s="160">
        <f>VLOOKUP($B180,Model!$A$8:$E$289,5)</f>
        <v>0</v>
      </c>
      <c r="F180" s="160">
        <f>VLOOKUP($B180,Model!$A$8:$F$289,6)</f>
        <v>0</v>
      </c>
      <c r="G180" s="179">
        <f ca="1">VLOOKUP($B180,Model!$A$8:$G$289,7)</f>
        <v>0</v>
      </c>
      <c r="I180" s="133">
        <v>0</v>
      </c>
      <c r="J180" s="134">
        <f t="shared" si="79"/>
        <v>4.657</v>
      </c>
      <c r="K180" s="140">
        <f t="shared" si="91"/>
        <v>0</v>
      </c>
      <c r="L180" s="136">
        <f>IF(Control!$C$25=Control!$B$26,J180,I180)+K180</f>
        <v>4.657</v>
      </c>
      <c r="M180" s="133">
        <v>0</v>
      </c>
      <c r="N180" s="134">
        <f>VLOOKUP($B180,Curve_Fetch,VLOOKUP(Control!$F$25,Control!$E$26:$G$37,3))</f>
        <v>-7.0000000000000007E-2</v>
      </c>
      <c r="O180" s="140">
        <f t="shared" si="92"/>
        <v>0</v>
      </c>
      <c r="P180" s="136">
        <f>IF(Control!$C$30=Control!$B$31,N180,M180)+O180</f>
        <v>-7.0000000000000007E-2</v>
      </c>
      <c r="Q180" s="133">
        <v>0</v>
      </c>
      <c r="R180" s="134">
        <f>VLOOKUP($B180,Curve_Fetch,(VLOOKUP(Control!$F$25,Control!$E$26:$H$37,4)))</f>
        <v>5.0000000000000001E-3</v>
      </c>
      <c r="S180" s="140">
        <f t="shared" si="93"/>
        <v>0</v>
      </c>
      <c r="T180" s="136">
        <f>IF($C$12="Physical",IF(Control!$C$35=Control!$B$36,R180,Q180)+S180,0)</f>
        <v>0</v>
      </c>
      <c r="U180" s="176">
        <f t="shared" si="80"/>
        <v>4.5869999999999997</v>
      </c>
      <c r="V180" s="152"/>
      <c r="W180" s="192">
        <f>VLOOKUP($B180,Curve_Fetch,VLOOKUP(Control!$F$25,Control!$E$26:$I$37,5))</f>
        <v>0.17</v>
      </c>
      <c r="X180" s="194">
        <f t="shared" si="94"/>
        <v>0</v>
      </c>
      <c r="Y180" s="194">
        <f t="shared" si="81"/>
        <v>0.17</v>
      </c>
      <c r="Z180" s="140">
        <f t="shared" ca="1" si="95"/>
        <v>0.28657937898642949</v>
      </c>
      <c r="AA180" s="140">
        <f t="shared" ca="1" si="96"/>
        <v>4.8735793789864292</v>
      </c>
      <c r="AB180" s="203">
        <f ca="1">_xll.EURO($U180,AA180,VLOOKUP($B180,Curve_Fetch,2),VLOOKUP($B180,Curve_Fetch,2),Y180,VLOOKUP($B180,Model!$A$8:$H$288,8),1,0)</f>
        <v>0.50748443884619931</v>
      </c>
      <c r="AC180" s="134"/>
      <c r="AD180" s="192">
        <f>VLOOKUP($B180,Curve_Fetch,VLOOKUP(Control!$F$25,Control!$E$26:$I$37,5))</f>
        <v>0.17</v>
      </c>
      <c r="AE180" s="194">
        <f t="shared" si="97"/>
        <v>0</v>
      </c>
      <c r="AF180" s="194">
        <f t="shared" si="82"/>
        <v>0.17</v>
      </c>
      <c r="AG180" s="140">
        <f t="shared" si="83"/>
        <v>-0.20435881234430545</v>
      </c>
      <c r="AH180" s="140">
        <f t="shared" si="98"/>
        <v>4.3826411876556941</v>
      </c>
      <c r="AI180" s="203">
        <f>_xll.EURO($U180,AH180,VLOOKUP($B180,Curve_Fetch,2),VLOOKUP($B180,Curve_Fetch,2),AF180,VLOOKUP($B180,Model!$A$8:$H$288,8),0,0)</f>
        <v>0.49743296056996389</v>
      </c>
      <c r="AK180" s="137">
        <f t="shared" ca="1" si="84"/>
        <v>0</v>
      </c>
      <c r="AL180" s="138">
        <f t="shared" ca="1" si="85"/>
        <v>0</v>
      </c>
      <c r="AM180" s="138">
        <f t="shared" ca="1" si="86"/>
        <v>0</v>
      </c>
      <c r="AN180" s="138">
        <f t="shared" ca="1" si="87"/>
        <v>0</v>
      </c>
      <c r="AO180" s="138">
        <f t="shared" ca="1" si="88"/>
        <v>0</v>
      </c>
      <c r="AP180" s="138">
        <f t="shared" ca="1" si="89"/>
        <v>0</v>
      </c>
      <c r="AQ180" s="138">
        <f t="shared" si="99"/>
        <v>0</v>
      </c>
      <c r="AR180" s="139">
        <f t="shared" ca="1" si="90"/>
        <v>0</v>
      </c>
      <c r="AT180"/>
      <c r="AU180"/>
      <c r="AV180"/>
      <c r="AW180"/>
      <c r="AX180"/>
      <c r="AY180"/>
      <c r="AZ180"/>
      <c r="BA180"/>
    </row>
    <row r="181" spans="2:53">
      <c r="B181" s="131">
        <f>[1]!_xludf.edate(B180,1)</f>
        <v>41791</v>
      </c>
      <c r="C181" s="132">
        <f t="shared" si="78"/>
        <v>41821</v>
      </c>
      <c r="D181" s="159">
        <v>0</v>
      </c>
      <c r="E181" s="160">
        <f>VLOOKUP($B181,Model!$A$8:$E$289,5)</f>
        <v>0</v>
      </c>
      <c r="F181" s="160">
        <f>VLOOKUP($B181,Model!$A$8:$F$289,6)</f>
        <v>0</v>
      </c>
      <c r="G181" s="179">
        <f ca="1">VLOOKUP($B181,Model!$A$8:$G$289,7)</f>
        <v>0</v>
      </c>
      <c r="I181" s="133">
        <v>0</v>
      </c>
      <c r="J181" s="134">
        <f t="shared" si="79"/>
        <v>4.6970000000000001</v>
      </c>
      <c r="K181" s="140">
        <f t="shared" si="91"/>
        <v>0</v>
      </c>
      <c r="L181" s="136">
        <f>IF(Control!$C$25=Control!$B$26,J181,I181)+K181</f>
        <v>4.6970000000000001</v>
      </c>
      <c r="M181" s="133">
        <v>0</v>
      </c>
      <c r="N181" s="134">
        <f>VLOOKUP($B181,Curve_Fetch,VLOOKUP(Control!$F$25,Control!$E$26:$G$37,3))</f>
        <v>-7.0000000000000007E-2</v>
      </c>
      <c r="O181" s="140">
        <f t="shared" si="92"/>
        <v>0</v>
      </c>
      <c r="P181" s="136">
        <f>IF(Control!$C$30=Control!$B$31,N181,M181)+O181</f>
        <v>-7.0000000000000007E-2</v>
      </c>
      <c r="Q181" s="133">
        <v>0</v>
      </c>
      <c r="R181" s="134">
        <f>VLOOKUP($B181,Curve_Fetch,(VLOOKUP(Control!$F$25,Control!$E$26:$H$37,4)))</f>
        <v>5.0000000000000001E-3</v>
      </c>
      <c r="S181" s="140">
        <f t="shared" si="93"/>
        <v>0</v>
      </c>
      <c r="T181" s="136">
        <f>IF($C$12="Physical",IF(Control!$C$35=Control!$B$36,R181,Q181)+S181,0)</f>
        <v>0</v>
      </c>
      <c r="U181" s="176">
        <f t="shared" si="80"/>
        <v>4.6269999999999998</v>
      </c>
      <c r="V181" s="152"/>
      <c r="W181" s="192">
        <f>VLOOKUP($B181,Curve_Fetch,VLOOKUP(Control!$F$25,Control!$E$26:$I$37,5))</f>
        <v>0.17</v>
      </c>
      <c r="X181" s="194">
        <f t="shared" si="94"/>
        <v>0</v>
      </c>
      <c r="Y181" s="194">
        <f t="shared" si="81"/>
        <v>0.17</v>
      </c>
      <c r="Z181" s="140">
        <f t="shared" ca="1" si="95"/>
        <v>0.28657937898642949</v>
      </c>
      <c r="AA181" s="140">
        <f t="shared" ca="1" si="96"/>
        <v>4.9135793789864293</v>
      </c>
      <c r="AB181" s="203">
        <f ca="1">_xll.EURO($U181,AA181,VLOOKUP($B181,Curve_Fetch,2),VLOOKUP($B181,Curve_Fetch,2),Y181,VLOOKUP($B181,Model!$A$8:$H$288,8),1,0)</f>
        <v>0.51162260255213432</v>
      </c>
      <c r="AC181" s="134"/>
      <c r="AD181" s="192">
        <f>VLOOKUP($B181,Curve_Fetch,VLOOKUP(Control!$F$25,Control!$E$26:$I$37,5))</f>
        <v>0.17</v>
      </c>
      <c r="AE181" s="194">
        <f t="shared" si="97"/>
        <v>0</v>
      </c>
      <c r="AF181" s="194">
        <f t="shared" si="82"/>
        <v>0.17</v>
      </c>
      <c r="AG181" s="140">
        <f t="shared" si="83"/>
        <v>-0.20435881234430545</v>
      </c>
      <c r="AH181" s="140">
        <f t="shared" si="98"/>
        <v>4.4226411876556941</v>
      </c>
      <c r="AI181" s="203">
        <f>_xll.EURO($U181,AH181,VLOOKUP($B181,Curve_Fetch,2),VLOOKUP($B181,Curve_Fetch,2),AF181,VLOOKUP($B181,Model!$A$8:$H$288,8),0,0)</f>
        <v>0.50153955343851175</v>
      </c>
      <c r="AK181" s="137">
        <f t="shared" ca="1" si="84"/>
        <v>0</v>
      </c>
      <c r="AL181" s="138">
        <f t="shared" ca="1" si="85"/>
        <v>0</v>
      </c>
      <c r="AM181" s="138">
        <f t="shared" ca="1" si="86"/>
        <v>0</v>
      </c>
      <c r="AN181" s="138">
        <f t="shared" ca="1" si="87"/>
        <v>0</v>
      </c>
      <c r="AO181" s="138">
        <f t="shared" ca="1" si="88"/>
        <v>0</v>
      </c>
      <c r="AP181" s="138">
        <f t="shared" ca="1" si="89"/>
        <v>0</v>
      </c>
      <c r="AQ181" s="138">
        <f t="shared" si="99"/>
        <v>0</v>
      </c>
      <c r="AR181" s="139">
        <f t="shared" ca="1" si="90"/>
        <v>0</v>
      </c>
      <c r="AT181"/>
      <c r="AU181"/>
      <c r="AV181"/>
      <c r="AW181"/>
      <c r="AX181"/>
      <c r="AY181"/>
      <c r="AZ181"/>
      <c r="BA181"/>
    </row>
    <row r="182" spans="2:53">
      <c r="B182" s="131">
        <f>[1]!_xludf.edate(B181,1)</f>
        <v>41821</v>
      </c>
      <c r="C182" s="132">
        <f t="shared" si="78"/>
        <v>41852</v>
      </c>
      <c r="D182" s="159">
        <v>0</v>
      </c>
      <c r="E182" s="160">
        <f>VLOOKUP($B182,Model!$A$8:$E$289,5)</f>
        <v>0</v>
      </c>
      <c r="F182" s="160">
        <f>VLOOKUP($B182,Model!$A$8:$F$289,6)</f>
        <v>0</v>
      </c>
      <c r="G182" s="179">
        <f ca="1">VLOOKUP($B182,Model!$A$8:$G$289,7)</f>
        <v>0</v>
      </c>
      <c r="I182" s="133">
        <v>0</v>
      </c>
      <c r="J182" s="134">
        <f t="shared" si="79"/>
        <v>4.742</v>
      </c>
      <c r="K182" s="140">
        <f t="shared" si="91"/>
        <v>0</v>
      </c>
      <c r="L182" s="136">
        <f>IF(Control!$C$25=Control!$B$26,J182,I182)+K182</f>
        <v>4.742</v>
      </c>
      <c r="M182" s="133">
        <v>0</v>
      </c>
      <c r="N182" s="134">
        <f>VLOOKUP($B182,Curve_Fetch,VLOOKUP(Control!$F$25,Control!$E$26:$G$37,3))</f>
        <v>-7.0000000000000007E-2</v>
      </c>
      <c r="O182" s="140">
        <f t="shared" si="92"/>
        <v>0</v>
      </c>
      <c r="P182" s="136">
        <f>IF(Control!$C$30=Control!$B$31,N182,M182)+O182</f>
        <v>-7.0000000000000007E-2</v>
      </c>
      <c r="Q182" s="133">
        <v>0</v>
      </c>
      <c r="R182" s="134">
        <f>VLOOKUP($B182,Curve_Fetch,(VLOOKUP(Control!$F$25,Control!$E$26:$H$37,4)))</f>
        <v>5.0000000000000001E-3</v>
      </c>
      <c r="S182" s="140">
        <f t="shared" si="93"/>
        <v>0</v>
      </c>
      <c r="T182" s="136">
        <f>IF($C$12="Physical",IF(Control!$C$35=Control!$B$36,R182,Q182)+S182,0)</f>
        <v>0</v>
      </c>
      <c r="U182" s="176">
        <f t="shared" si="80"/>
        <v>4.6719999999999997</v>
      </c>
      <c r="V182" s="152"/>
      <c r="W182" s="192">
        <f>VLOOKUP($B182,Curve_Fetch,VLOOKUP(Control!$F$25,Control!$E$26:$I$37,5))</f>
        <v>0.17</v>
      </c>
      <c r="X182" s="194">
        <f t="shared" si="94"/>
        <v>0</v>
      </c>
      <c r="Y182" s="194">
        <f t="shared" si="81"/>
        <v>0.17</v>
      </c>
      <c r="Z182" s="140">
        <f t="shared" ca="1" si="95"/>
        <v>0.28657937898642949</v>
      </c>
      <c r="AA182" s="140">
        <f t="shared" ca="1" si="96"/>
        <v>4.9585793789864292</v>
      </c>
      <c r="AB182" s="203">
        <f ca="1">_xll.EURO($U182,AA182,VLOOKUP($B182,Curve_Fetch,2),VLOOKUP($B182,Curve_Fetch,2),Y182,VLOOKUP($B182,Model!$A$8:$H$288,8),1,0)</f>
        <v>0.51635706907857226</v>
      </c>
      <c r="AC182" s="134"/>
      <c r="AD182" s="192">
        <f>VLOOKUP($B182,Curve_Fetch,VLOOKUP(Control!$F$25,Control!$E$26:$I$37,5))</f>
        <v>0.17</v>
      </c>
      <c r="AE182" s="194">
        <f t="shared" si="97"/>
        <v>0</v>
      </c>
      <c r="AF182" s="194">
        <f t="shared" si="82"/>
        <v>0.17</v>
      </c>
      <c r="AG182" s="140">
        <f t="shared" si="83"/>
        <v>-0.20435881234430545</v>
      </c>
      <c r="AH182" s="140">
        <f t="shared" si="98"/>
        <v>4.4676411876556941</v>
      </c>
      <c r="AI182" s="203">
        <f>_xll.EURO($U182,AH182,VLOOKUP($B182,Curve_Fetch,2),VLOOKUP($B182,Curve_Fetch,2),AF182,VLOOKUP($B182,Model!$A$8:$H$288,8),0,0)</f>
        <v>0.50624576366557783</v>
      </c>
      <c r="AK182" s="137">
        <f t="shared" ca="1" si="84"/>
        <v>0</v>
      </c>
      <c r="AL182" s="138">
        <f t="shared" ca="1" si="85"/>
        <v>0</v>
      </c>
      <c r="AM182" s="138">
        <f t="shared" ca="1" si="86"/>
        <v>0</v>
      </c>
      <c r="AN182" s="138">
        <f t="shared" ca="1" si="87"/>
        <v>0</v>
      </c>
      <c r="AO182" s="138">
        <f t="shared" ca="1" si="88"/>
        <v>0</v>
      </c>
      <c r="AP182" s="138">
        <f t="shared" ca="1" si="89"/>
        <v>0</v>
      </c>
      <c r="AQ182" s="138">
        <f t="shared" si="99"/>
        <v>0</v>
      </c>
      <c r="AR182" s="139">
        <f t="shared" ca="1" si="90"/>
        <v>0</v>
      </c>
      <c r="AT182"/>
      <c r="AU182"/>
      <c r="AV182"/>
      <c r="AW182"/>
      <c r="AX182"/>
      <c r="AY182"/>
      <c r="AZ182"/>
      <c r="BA182"/>
    </row>
    <row r="183" spans="2:53">
      <c r="B183" s="131">
        <f>[1]!_xludf.edate(B182,1)</f>
        <v>41852</v>
      </c>
      <c r="C183" s="132">
        <f t="shared" si="78"/>
        <v>41883</v>
      </c>
      <c r="D183" s="159">
        <v>0</v>
      </c>
      <c r="E183" s="160">
        <f>VLOOKUP($B183,Model!$A$8:$E$289,5)</f>
        <v>0</v>
      </c>
      <c r="F183" s="160">
        <f>VLOOKUP($B183,Model!$A$8:$F$289,6)</f>
        <v>0</v>
      </c>
      <c r="G183" s="179">
        <f ca="1">VLOOKUP($B183,Model!$A$8:$G$289,7)</f>
        <v>0</v>
      </c>
      <c r="I183" s="133">
        <v>0</v>
      </c>
      <c r="J183" s="134">
        <f t="shared" si="79"/>
        <v>4.7809999999999997</v>
      </c>
      <c r="K183" s="140">
        <f t="shared" si="91"/>
        <v>0</v>
      </c>
      <c r="L183" s="136">
        <f>IF(Control!$C$25=Control!$B$26,J183,I183)+K183</f>
        <v>4.7809999999999997</v>
      </c>
      <c r="M183" s="133">
        <v>0</v>
      </c>
      <c r="N183" s="134">
        <f>VLOOKUP($B183,Curve_Fetch,VLOOKUP(Control!$F$25,Control!$E$26:$G$37,3))</f>
        <v>-7.0000000000000007E-2</v>
      </c>
      <c r="O183" s="140">
        <f t="shared" si="92"/>
        <v>0</v>
      </c>
      <c r="P183" s="136">
        <f>IF(Control!$C$30=Control!$B$31,N183,M183)+O183</f>
        <v>-7.0000000000000007E-2</v>
      </c>
      <c r="Q183" s="133">
        <v>0</v>
      </c>
      <c r="R183" s="134">
        <f>VLOOKUP($B183,Curve_Fetch,(VLOOKUP(Control!$F$25,Control!$E$26:$H$37,4)))</f>
        <v>5.0000000000000001E-3</v>
      </c>
      <c r="S183" s="140">
        <f t="shared" si="93"/>
        <v>0</v>
      </c>
      <c r="T183" s="136">
        <f>IF($C$12="Physical",IF(Control!$C$35=Control!$B$36,R183,Q183)+S183,0)</f>
        <v>0</v>
      </c>
      <c r="U183" s="176">
        <f t="shared" si="80"/>
        <v>4.7109999999999994</v>
      </c>
      <c r="V183" s="152"/>
      <c r="W183" s="192">
        <f>VLOOKUP($B183,Curve_Fetch,VLOOKUP(Control!$F$25,Control!$E$26:$I$37,5))</f>
        <v>0.17</v>
      </c>
      <c r="X183" s="194">
        <f t="shared" si="94"/>
        <v>0</v>
      </c>
      <c r="Y183" s="194">
        <f t="shared" si="81"/>
        <v>0.17</v>
      </c>
      <c r="Z183" s="140">
        <f t="shared" ca="1" si="95"/>
        <v>0.28657937898642949</v>
      </c>
      <c r="AA183" s="140">
        <f t="shared" ca="1" si="96"/>
        <v>4.9975793789864289</v>
      </c>
      <c r="AB183" s="203">
        <f ca="1">_xll.EURO($U183,AA183,VLOOKUP($B183,Curve_Fetch,2),VLOOKUP($B183,Curve_Fetch,2),Y183,VLOOKUP($B183,Model!$A$8:$H$288,8),1,0)</f>
        <v>0.52030310351134523</v>
      </c>
      <c r="AC183" s="134"/>
      <c r="AD183" s="192">
        <f>VLOOKUP($B183,Curve_Fetch,VLOOKUP(Control!$F$25,Control!$E$26:$I$37,5))</f>
        <v>0.17</v>
      </c>
      <c r="AE183" s="194">
        <f t="shared" si="97"/>
        <v>0</v>
      </c>
      <c r="AF183" s="194">
        <f t="shared" si="82"/>
        <v>0.17</v>
      </c>
      <c r="AG183" s="140">
        <f t="shared" si="83"/>
        <v>-0.20435881234430545</v>
      </c>
      <c r="AH183" s="140">
        <f t="shared" si="98"/>
        <v>4.5066411876556938</v>
      </c>
      <c r="AI183" s="203">
        <f>_xll.EURO($U183,AH183,VLOOKUP($B183,Curve_Fetch,2),VLOOKUP($B183,Curve_Fetch,2),AF183,VLOOKUP($B183,Model!$A$8:$H$288,8),0,0)</f>
        <v>0.51016145215616882</v>
      </c>
      <c r="AK183" s="137">
        <f t="shared" ca="1" si="84"/>
        <v>0</v>
      </c>
      <c r="AL183" s="138">
        <f t="shared" ca="1" si="85"/>
        <v>0</v>
      </c>
      <c r="AM183" s="138">
        <f t="shared" ca="1" si="86"/>
        <v>0</v>
      </c>
      <c r="AN183" s="138">
        <f t="shared" ca="1" si="87"/>
        <v>0</v>
      </c>
      <c r="AO183" s="138">
        <f t="shared" ca="1" si="88"/>
        <v>0</v>
      </c>
      <c r="AP183" s="138">
        <f t="shared" ca="1" si="89"/>
        <v>0</v>
      </c>
      <c r="AQ183" s="138">
        <f t="shared" si="99"/>
        <v>0</v>
      </c>
      <c r="AR183" s="139">
        <f t="shared" ca="1" si="90"/>
        <v>0</v>
      </c>
      <c r="AT183"/>
      <c r="AU183"/>
      <c r="AV183"/>
      <c r="AW183"/>
      <c r="AX183"/>
      <c r="AY183"/>
      <c r="AZ183"/>
      <c r="BA183"/>
    </row>
    <row r="184" spans="2:53">
      <c r="B184" s="131">
        <f>[1]!_xludf.edate(B183,1)</f>
        <v>41883</v>
      </c>
      <c r="C184" s="132">
        <f t="shared" si="78"/>
        <v>41913</v>
      </c>
      <c r="D184" s="213">
        <v>0</v>
      </c>
      <c r="E184" s="214">
        <f>VLOOKUP($B184,Model!$A$8:$E$289,5)</f>
        <v>0</v>
      </c>
      <c r="F184" s="214">
        <f>VLOOKUP($B184,Model!$A$8:$F$289,6)</f>
        <v>0</v>
      </c>
      <c r="G184" s="215">
        <f ca="1">VLOOKUP($B184,Model!$A$8:$G$289,7)</f>
        <v>0</v>
      </c>
      <c r="I184" s="211">
        <v>0</v>
      </c>
      <c r="J184" s="212">
        <f t="shared" si="79"/>
        <v>4.7750000000000004</v>
      </c>
      <c r="K184" s="141">
        <f t="shared" si="91"/>
        <v>0</v>
      </c>
      <c r="L184" s="142">
        <f>IF(Control!$C$25=Control!$B$26,J184,I184)+K184</f>
        <v>4.7750000000000004</v>
      </c>
      <c r="M184" s="211">
        <v>0</v>
      </c>
      <c r="N184" s="212">
        <f>VLOOKUP($B184,Curve_Fetch,VLOOKUP(Control!$F$25,Control!$E$26:$G$37,3))</f>
        <v>-7.0000000000000007E-2</v>
      </c>
      <c r="O184" s="141">
        <f t="shared" si="92"/>
        <v>0</v>
      </c>
      <c r="P184" s="142">
        <f>IF(Control!$C$30=Control!$B$31,N184,M184)+O184</f>
        <v>-7.0000000000000007E-2</v>
      </c>
      <c r="Q184" s="211">
        <v>0</v>
      </c>
      <c r="R184" s="212">
        <f>VLOOKUP($B184,Curve_Fetch,(VLOOKUP(Control!$F$25,Control!$E$26:$H$37,4)))</f>
        <v>5.0000000000000001E-3</v>
      </c>
      <c r="S184" s="141">
        <f t="shared" si="93"/>
        <v>0</v>
      </c>
      <c r="T184" s="142">
        <f>IF($C$12="Physical",IF(Control!$C$35=Control!$B$36,R184,Q184)+S184,0)</f>
        <v>0</v>
      </c>
      <c r="U184" s="177">
        <f t="shared" si="80"/>
        <v>4.7050000000000001</v>
      </c>
      <c r="V184" s="152"/>
      <c r="W184" s="193">
        <f>VLOOKUP($B184,Curve_Fetch,VLOOKUP(Control!$F$25,Control!$E$26:$I$37,5))</f>
        <v>0.17</v>
      </c>
      <c r="X184" s="195">
        <f t="shared" si="94"/>
        <v>0</v>
      </c>
      <c r="Y184" s="195">
        <f t="shared" si="81"/>
        <v>0.17</v>
      </c>
      <c r="Z184" s="141">
        <f t="shared" ca="1" si="95"/>
        <v>0.28657937898642949</v>
      </c>
      <c r="AA184" s="141">
        <f t="shared" ca="1" si="96"/>
        <v>4.9915793789864296</v>
      </c>
      <c r="AB184" s="216">
        <f ca="1">_xll.EURO($U184,AA184,VLOOKUP($B184,Curve_Fetch,2),VLOOKUP($B184,Curve_Fetch,2),Y184,VLOOKUP($B184,Model!$A$8:$H$288,8),1,0)</f>
        <v>0.51877305651470484</v>
      </c>
      <c r="AC184" s="134"/>
      <c r="AD184" s="193">
        <f>VLOOKUP($B184,Curve_Fetch,VLOOKUP(Control!$F$25,Control!$E$26:$I$37,5))</f>
        <v>0.17</v>
      </c>
      <c r="AE184" s="195">
        <f t="shared" si="97"/>
        <v>0</v>
      </c>
      <c r="AF184" s="195">
        <f t="shared" si="82"/>
        <v>0.17</v>
      </c>
      <c r="AG184" s="141">
        <f t="shared" si="83"/>
        <v>-0.20435881234430545</v>
      </c>
      <c r="AH184" s="141">
        <f t="shared" si="98"/>
        <v>4.5006411876556944</v>
      </c>
      <c r="AI184" s="216">
        <f>_xll.EURO($U184,AH184,VLOOKUP($B184,Curve_Fetch,2),VLOOKUP($B184,Curve_Fetch,2),AF184,VLOOKUP($B184,Model!$A$8:$H$288,8),0,0)</f>
        <v>0.50859106461712256</v>
      </c>
      <c r="AK184" s="217">
        <f t="shared" ca="1" si="84"/>
        <v>0</v>
      </c>
      <c r="AL184" s="218">
        <f t="shared" ca="1" si="85"/>
        <v>0</v>
      </c>
      <c r="AM184" s="218">
        <f t="shared" ca="1" si="86"/>
        <v>0</v>
      </c>
      <c r="AN184" s="218">
        <f t="shared" ca="1" si="87"/>
        <v>0</v>
      </c>
      <c r="AO184" s="218">
        <f t="shared" ca="1" si="88"/>
        <v>0</v>
      </c>
      <c r="AP184" s="218">
        <f t="shared" ca="1" si="89"/>
        <v>0</v>
      </c>
      <c r="AQ184" s="218">
        <f t="shared" si="99"/>
        <v>0</v>
      </c>
      <c r="AR184" s="154">
        <f t="shared" ca="1" si="90"/>
        <v>0</v>
      </c>
      <c r="AT184"/>
      <c r="AU184"/>
      <c r="AV184"/>
      <c r="AW184"/>
      <c r="AX184"/>
      <c r="AY184"/>
      <c r="AZ184"/>
      <c r="BA184"/>
    </row>
    <row r="185" spans="2:53">
      <c r="B185" s="131">
        <f>[1]!_xludf.edate(B184,1)</f>
        <v>41913</v>
      </c>
      <c r="C185" s="132"/>
      <c r="D185" s="132"/>
      <c r="E185" s="143"/>
      <c r="F185" s="143"/>
    </row>
    <row r="186" spans="2:53">
      <c r="B186" s="131"/>
      <c r="C186" s="132"/>
      <c r="D186" s="132"/>
      <c r="E186" s="143"/>
      <c r="F186" s="143"/>
    </row>
    <row r="187" spans="2:53">
      <c r="B187" s="131"/>
      <c r="C187" s="132"/>
      <c r="D187" s="132"/>
      <c r="E187" s="143"/>
      <c r="F187" s="143"/>
    </row>
    <row r="188" spans="2:53">
      <c r="B188" s="131"/>
      <c r="C188" s="132"/>
      <c r="D188" s="132"/>
      <c r="E188" s="143"/>
      <c r="F188" s="143"/>
    </row>
    <row r="189" spans="2:53">
      <c r="B189" s="131"/>
      <c r="C189" s="132"/>
      <c r="D189" s="132"/>
      <c r="E189" s="143"/>
      <c r="F189" s="143"/>
    </row>
  </sheetData>
  <mergeCells count="6">
    <mergeCell ref="U6:AK7"/>
    <mergeCell ref="D25:G25"/>
    <mergeCell ref="I25:U25"/>
    <mergeCell ref="AK25:AR25"/>
    <mergeCell ref="W25:AB25"/>
    <mergeCell ref="AD25:AI25"/>
  </mergeCells>
  <phoneticPr fontId="26" type="noConversion"/>
  <conditionalFormatting sqref="D31:D184">
    <cfRule type="expression" dxfId="23" priority="1" stopIfTrue="1">
      <formula>$F$26="Flat"</formula>
    </cfRule>
    <cfRule type="expression" dxfId="22" priority="2" stopIfTrue="1">
      <formula>$F$26=Custom</formula>
    </cfRule>
  </conditionalFormatting>
  <conditionalFormatting sqref="D30">
    <cfRule type="expression" dxfId="21" priority="3" stopIfTrue="1">
      <formula>$F$26="Flat"</formula>
    </cfRule>
  </conditionalFormatting>
  <conditionalFormatting sqref="D27:E27 G27">
    <cfRule type="expression" dxfId="20" priority="4" stopIfTrue="1">
      <formula>$F$26="Custom"</formula>
    </cfRule>
    <cfRule type="expression" dxfId="19" priority="5" stopIfTrue="1">
      <formula>$F$26="Custom"</formula>
    </cfRule>
  </conditionalFormatting>
  <conditionalFormatting sqref="C10">
    <cfRule type="expression" dxfId="18" priority="6" stopIfTrue="1">
      <formula>$F$26="Custom"</formula>
    </cfRule>
    <cfRule type="expression" dxfId="17" priority="7" stopIfTrue="1">
      <formula>$F$26="Flat"</formula>
    </cfRule>
  </conditionalFormatting>
  <conditionalFormatting sqref="I31:I184">
    <cfRule type="expression" dxfId="16" priority="8" stopIfTrue="1">
      <formula>$I$29=2</formula>
    </cfRule>
    <cfRule type="expression" dxfId="15" priority="9" stopIfTrue="1">
      <formula>I$29=1</formula>
    </cfRule>
  </conditionalFormatting>
  <conditionalFormatting sqref="I30 M30 Q30">
    <cfRule type="expression" dxfId="14" priority="10" stopIfTrue="1">
      <formula>I$29=1</formula>
    </cfRule>
  </conditionalFormatting>
  <conditionalFormatting sqref="J30 N30 R30">
    <cfRule type="expression" dxfId="13" priority="11" stopIfTrue="1">
      <formula>I$29=2</formula>
    </cfRule>
  </conditionalFormatting>
  <conditionalFormatting sqref="J31:J184 N31:N184">
    <cfRule type="expression" dxfId="12" priority="12" stopIfTrue="1">
      <formula>I$29=2</formula>
    </cfRule>
  </conditionalFormatting>
  <conditionalFormatting sqref="M31:M184">
    <cfRule type="expression" dxfId="11" priority="13" stopIfTrue="1">
      <formula>M$29=2</formula>
    </cfRule>
    <cfRule type="expression" dxfId="10" priority="14" stopIfTrue="1">
      <formula>M$29=1</formula>
    </cfRule>
  </conditionalFormatting>
  <conditionalFormatting sqref="R31:R184">
    <cfRule type="expression" dxfId="9" priority="15" stopIfTrue="1">
      <formula>$C$11="Financial"</formula>
    </cfRule>
    <cfRule type="expression" dxfId="8" priority="16" stopIfTrue="1">
      <formula>$Q$26=2</formula>
    </cfRule>
  </conditionalFormatting>
  <conditionalFormatting sqref="Q31:Q184">
    <cfRule type="expression" dxfId="7" priority="17" stopIfTrue="1">
      <formula>$C$11="Financial"</formula>
    </cfRule>
    <cfRule type="expression" dxfId="6" priority="18" stopIfTrue="1">
      <formula>$Q$26=1</formula>
    </cfRule>
  </conditionalFormatting>
  <conditionalFormatting sqref="I17">
    <cfRule type="expression" dxfId="5" priority="19" stopIfTrue="1">
      <formula>$I$17="WARNING FLAGS:"</formula>
    </cfRule>
  </conditionalFormatting>
  <conditionalFormatting sqref="S31:T184">
    <cfRule type="expression" dxfId="4" priority="20" stopIfTrue="1">
      <formula>$C$12="Financial"</formula>
    </cfRule>
  </conditionalFormatting>
  <conditionalFormatting sqref="T28:T29">
    <cfRule type="expression" dxfId="3" priority="21" stopIfTrue="1">
      <formula>$C$12="Financial"</formula>
    </cfRule>
    <cfRule type="expression" dxfId="2" priority="22" stopIfTrue="1">
      <formula>$C$12="Physical"</formula>
    </cfRule>
  </conditionalFormatting>
  <dataValidations count="3">
    <dataValidation type="list" allowBlank="1" showInputMessage="1" showErrorMessage="1" sqref="C12">
      <formula1>$AW$28:$AW$29</formula1>
    </dataValidation>
    <dataValidation type="list" allowBlank="1" showInputMessage="1" showErrorMessage="1" sqref="F26">
      <formula1>$AW$35:$AW$36</formula1>
    </dataValidation>
    <dataValidation type="list" allowBlank="1" showInputMessage="1" showErrorMessage="1" sqref="C11">
      <formula1>$AW$39:$AW$40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11</xdr:col>
                    <xdr:colOff>0</xdr:colOff>
                    <xdr:row>25</xdr:row>
                    <xdr:rowOff>38100</xdr:rowOff>
                  </from>
                  <to>
                    <xdr:col>13</xdr:col>
                    <xdr:colOff>400050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8</xdr:col>
                    <xdr:colOff>47625</xdr:colOff>
                    <xdr:row>28</xdr:row>
                    <xdr:rowOff>28575</xdr:rowOff>
                  </from>
                  <to>
                    <xdr:col>9</xdr:col>
                    <xdr:colOff>304800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12</xdr:col>
                    <xdr:colOff>66675</xdr:colOff>
                    <xdr:row>28</xdr:row>
                    <xdr:rowOff>28575</xdr:rowOff>
                  </from>
                  <to>
                    <xdr:col>13</xdr:col>
                    <xdr:colOff>123825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Drop Down 4">
              <controlPr defaultSize="0" autoLine="0" autoPict="0">
                <anchor moveWithCells="1">
                  <from>
                    <xdr:col>16</xdr:col>
                    <xdr:colOff>66675</xdr:colOff>
                    <xdr:row>28</xdr:row>
                    <xdr:rowOff>28575</xdr:rowOff>
                  </from>
                  <to>
                    <xdr:col>17</xdr:col>
                    <xdr:colOff>314325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Button 5">
              <controlPr defaultSize="0" autoFill="0" autoPict="0" macro="[0]!CurveFetch">
                <anchor moveWithCells="1" sizeWithCells="1">
                  <from>
                    <xdr:col>1</xdr:col>
                    <xdr:colOff>76200</xdr:colOff>
                    <xdr:row>16</xdr:row>
                    <xdr:rowOff>66675</xdr:rowOff>
                  </from>
                  <to>
                    <xdr:col>3</xdr:col>
                    <xdr:colOff>476250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9" name="Button 237">
              <controlPr defaultSize="0" print="0" autoFill="0" autoPict="0" macro="[0]!Set_Call">
                <anchor moveWithCells="1" sizeWithCells="1">
                  <from>
                    <xdr:col>1</xdr:col>
                    <xdr:colOff>104775</xdr:colOff>
                    <xdr:row>20</xdr:row>
                    <xdr:rowOff>28575</xdr:rowOff>
                  </from>
                  <to>
                    <xdr:col>2</xdr:col>
                    <xdr:colOff>733425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0" name="Button 239">
              <controlPr defaultSize="0" print="0" autoFill="0" autoPict="0" macro="[0]!Set_Put">
                <anchor moveWithCells="1" sizeWithCells="1">
                  <from>
                    <xdr:col>1</xdr:col>
                    <xdr:colOff>104775</xdr:colOff>
                    <xdr:row>24</xdr:row>
                    <xdr:rowOff>28575</xdr:rowOff>
                  </from>
                  <to>
                    <xdr:col>2</xdr:col>
                    <xdr:colOff>733425</xdr:colOff>
                    <xdr:row>26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97"/>
  <sheetViews>
    <sheetView showGridLines="0" zoomScaleNormal="100" workbookViewId="0">
      <selection activeCell="K12" sqref="K12"/>
    </sheetView>
  </sheetViews>
  <sheetFormatPr defaultRowHeight="12.75"/>
  <cols>
    <col min="1" max="1" width="18.28515625" style="71" bestFit="1" customWidth="1"/>
    <col min="2" max="2" width="11.7109375" style="71" bestFit="1" customWidth="1"/>
    <col min="3" max="3" width="12.28515625" style="71" bestFit="1" customWidth="1"/>
    <col min="4" max="4" width="8.5703125" style="71" bestFit="1" customWidth="1"/>
    <col min="5" max="5" width="8.85546875" style="71" bestFit="1" customWidth="1"/>
    <col min="6" max="7" width="9.42578125" style="71" bestFit="1" customWidth="1"/>
    <col min="8" max="8" width="10.85546875" style="71" bestFit="1" customWidth="1"/>
    <col min="9" max="10" width="9.140625" style="71"/>
    <col min="11" max="11" width="12.28515625" style="71" bestFit="1" customWidth="1"/>
    <col min="12" max="12" width="9.42578125" style="71" bestFit="1" customWidth="1"/>
    <col min="13" max="25" width="9.140625" style="71"/>
    <col min="26" max="26" width="11.5703125" style="71" bestFit="1" customWidth="1"/>
    <col min="27" max="16384" width="9.140625" style="71"/>
  </cols>
  <sheetData>
    <row r="1" spans="1:26" ht="20.25">
      <c r="A1" s="271" t="str">
        <f>CONCATENATE("Collar Payout Diagram for Deal With ",Collar!$C$11)</f>
        <v>Collar Payout Diagram for Deal With Consumer</v>
      </c>
      <c r="B1" s="271"/>
      <c r="C1" s="271"/>
      <c r="D1" s="271"/>
      <c r="E1" s="271"/>
      <c r="F1" s="271"/>
      <c r="G1" s="271"/>
      <c r="H1" s="271"/>
    </row>
    <row r="2" spans="1:26" ht="13.5" customHeight="1">
      <c r="A2" s="238"/>
      <c r="B2" s="238"/>
      <c r="C2" s="238"/>
      <c r="D2" s="238"/>
      <c r="E2" s="238"/>
      <c r="F2" s="238"/>
      <c r="G2" s="238"/>
      <c r="H2" s="238"/>
      <c r="J2" s="239" t="str">
        <f>CONCATENATE(Collar!$C$11," Deal Positions")</f>
        <v>Consumer Deal Positions</v>
      </c>
    </row>
    <row r="3" spans="1:26">
      <c r="A3" s="239"/>
      <c r="B3" s="240" t="s">
        <v>83</v>
      </c>
      <c r="K3" s="240" t="s">
        <v>149</v>
      </c>
      <c r="L3" s="240" t="s">
        <v>162</v>
      </c>
    </row>
    <row r="4" spans="1:26">
      <c r="A4" s="239" t="s">
        <v>144</v>
      </c>
      <c r="B4" s="241">
        <v>0.3</v>
      </c>
      <c r="J4" s="246" t="s">
        <v>73</v>
      </c>
      <c r="K4" s="235" t="str">
        <f>IF(Collar!$C$11="Producer","Long","Short")</f>
        <v>Short</v>
      </c>
      <c r="L4" s="235" t="str">
        <f>IF(Collar!$C$11="Producer","Short","Long")</f>
        <v>Long</v>
      </c>
    </row>
    <row r="5" spans="1:26">
      <c r="A5" s="242" t="s">
        <v>167</v>
      </c>
      <c r="B5" s="243" t="s">
        <v>168</v>
      </c>
      <c r="J5" s="239"/>
      <c r="Z5" s="239" t="s">
        <v>146</v>
      </c>
    </row>
    <row r="6" spans="1:26" ht="15.75">
      <c r="A6" s="254" t="str">
        <f ca="1">IF(Payout_Diagram!$B$5="Counterparty",CONCATENATE(Collar!C11," Goes ",Payout_Diagram!$K$4," ",Payout_Diagram!$E$32,"s"," and Goes ",Payout_Diagram!$K$6," ",Payout_Diagram!$B$32,"s"),CONCATENATE("Enron Goes ",Payout_Diagram!$L$4," ",Payout_Diagram!$E$32,"s"," and Goes ",Payout_Diagram!$L$6," ",Payout_Diagram!$B$32,"s"))</f>
        <v>Consumer Goes Short $2.71 Puts and Goes Long $3.20 Calls</v>
      </c>
      <c r="J6" s="246" t="s">
        <v>72</v>
      </c>
      <c r="K6" s="235" t="str">
        <f>IF(Collar!$C$11="Producer","Short","Long")</f>
        <v>Long</v>
      </c>
      <c r="L6" s="235" t="str">
        <f>IF(Collar!$C$11="Producer","Long","Short")</f>
        <v>Short</v>
      </c>
    </row>
    <row r="7" spans="1:26">
      <c r="Z7" s="71" t="s">
        <v>166</v>
      </c>
    </row>
    <row r="8" spans="1:26">
      <c r="Z8" s="71" t="s">
        <v>168</v>
      </c>
    </row>
    <row r="10" spans="1:26">
      <c r="J10" s="239" t="s">
        <v>175</v>
      </c>
    </row>
    <row r="11" spans="1:26">
      <c r="J11" s="71" t="s">
        <v>174</v>
      </c>
      <c r="K11" s="244">
        <f ca="1">IF(Collar!$C$11="Producer",IF($B$5="Counterparty",MAX(($K$12-Collar!$E$12),0)*-1,MAX(($K$12-Collar!$E$12),0)),IF($B$5="Counterparty",MAX(($K$12-Collar!$E$12),0),MAX(($K$12-Collar!$E$12),0)*-1))+IF(Collar!$C$11="Producer",IF($B$5="Counterparty",Collar!$E$8,Collar!$E$8*-1),IF($B$5="Counterparty",Collar!$E$8*-1,Collar!$E$8))+IF(Collar!$C$11="Producer",IF($B$5="Counterparty",MAX((Collar!$G$12-$K$12),0),MAX((Collar!$G$12-$K$12),0)*-1),IF($B$5="Counterparty",MAX((Collar!$G$12-$K$12),0)*-1,MAX((Collar!$G$12-$K$12),0)))+IF(Collar!$C$11="Producer",IF($B$5="Counterparty",-Collar!$G$8,Collar!$G$8),IF($B$5="Counterparty",Collar!$G$8,-Collar!$G$8))</f>
        <v>8.1393742079605147E-8</v>
      </c>
    </row>
    <row r="12" spans="1:26">
      <c r="J12" s="71" t="s">
        <v>74</v>
      </c>
      <c r="K12" s="245">
        <v>2.7841849371475607</v>
      </c>
    </row>
    <row r="32" spans="1:8" ht="25.5">
      <c r="A32" s="242" t="s">
        <v>145</v>
      </c>
      <c r="B32" s="242" t="str">
        <f ca="1">CONCATENATE(TEXT(Collar!$E$12,"$0.00")," Call")</f>
        <v>$3.20 Call</v>
      </c>
      <c r="C32" s="242" t="s">
        <v>169</v>
      </c>
      <c r="D32" s="242" t="s">
        <v>170</v>
      </c>
      <c r="E32" s="242" t="str">
        <f ca="1">CONCATENATE((TEXT(Collar!$G$12,"$0.00"))," Put")</f>
        <v>$2.71 Put</v>
      </c>
      <c r="F32" s="242" t="s">
        <v>171</v>
      </c>
      <c r="G32" s="242" t="s">
        <v>172</v>
      </c>
      <c r="H32" s="242" t="s">
        <v>173</v>
      </c>
    </row>
    <row r="33" spans="1:11">
      <c r="A33" s="244">
        <v>0</v>
      </c>
      <c r="B33" s="244">
        <f ca="1">IF(Collar!$C$11="Producer",IF($B$5="Counterparty",MAX((Payout_Diagram!$A33-Collar!$E$12),0)*-1,MAX((Payout_Diagram!$A33-Collar!$E$12),0)),IF($B$5="Counterparty",MAX((Payout_Diagram!$A33-Collar!$E$12),0),MAX((Payout_Diagram!$A33-Collar!$E$12),0)*-1))</f>
        <v>0</v>
      </c>
      <c r="C33" s="244">
        <f ca="1">IF(Collar!$C$11="Producer",IF($B$5="Counterparty",Collar!$E$8,Collar!$E$8*-1),IF($B$5="Counterparty",Collar!$E$8*-1,Collar!$E$8))</f>
        <v>-0.29708345101805717</v>
      </c>
      <c r="D33" s="244">
        <f t="shared" ref="D33:D55" ca="1" si="0">SUM(B33:C33)</f>
        <v>-0.29708345101805717</v>
      </c>
      <c r="E33" s="244">
        <f ca="1">IF(Collar!$C$11="Producer",IF($B$5="Counterparty",MAX((Collar!$G$12-$A33),0),MAX((Collar!$G$12-$A33),0)*-1),IF($B$5="Counterparty",MAX((Collar!$G$12-$A33),0)*-1,MAX((Collar!$G$12-$A33),0)))</f>
        <v>-2.7090618086692646</v>
      </c>
      <c r="F33" s="244">
        <f>IF(Collar!$C$11="Producer",IF($B$5="Counterparty",-Collar!$G$8,Collar!$G$8),IF($B$5="Counterparty",Collar!$G$8,-Collar!$G$8))</f>
        <v>0.29708353241179924</v>
      </c>
      <c r="G33" s="244">
        <f t="shared" ref="G33:G55" ca="1" si="1">SUM(E33:F33)</f>
        <v>-2.4119782762574653</v>
      </c>
      <c r="H33" s="244">
        <f t="shared" ref="H33:H55" ca="1" si="2">D33+G33</f>
        <v>-2.7090617272755226</v>
      </c>
    </row>
    <row r="34" spans="1:11">
      <c r="A34" s="244">
        <f>A33+$B$4</f>
        <v>0.3</v>
      </c>
      <c r="B34" s="244">
        <f ca="1">IF(Collar!$C$11="Producer",IF($B$5="Counterparty",MAX((Payout_Diagram!$A34-Collar!$E$12),0)*-1,MAX((Payout_Diagram!$A34-Collar!$E$12),0)),IF($B$5="Counterparty",MAX((Payout_Diagram!$A34-Collar!$E$12),0),MAX((Payout_Diagram!$A34-Collar!$E$12),0)*-1))</f>
        <v>0</v>
      </c>
      <c r="C34" s="244">
        <f ca="1">IF(Collar!$C$11="Producer",IF($B$5="Counterparty",Collar!$E$8,Collar!$E$8*-1),IF($B$5="Counterparty",Collar!$E$8*-1,Collar!$E$8))</f>
        <v>-0.29708345101805717</v>
      </c>
      <c r="D34" s="244">
        <f t="shared" ca="1" si="0"/>
        <v>-0.29708345101805717</v>
      </c>
      <c r="E34" s="244">
        <f ca="1">IF(Collar!$C$11="Producer",IF($B$5="Counterparty",MAX((Collar!$G$12-$A34),0),MAX((Collar!$G$12-$A34),0)*-1),IF($B$5="Counterparty",MAX((Collar!$G$12-$A34),0)*-1,MAX((Collar!$G$12-$A34),0)))</f>
        <v>-2.4090618086692648</v>
      </c>
      <c r="F34" s="244">
        <f>IF(Collar!$C$11="Producer",IF($B$5="Counterparty",-Collar!$G$8,Collar!$G$8),IF($B$5="Counterparty",Collar!$G$8,-Collar!$G$8))</f>
        <v>0.29708353241179924</v>
      </c>
      <c r="G34" s="244">
        <f t="shared" ca="1" si="1"/>
        <v>-2.1119782762574655</v>
      </c>
      <c r="H34" s="244">
        <f t="shared" ca="1" si="2"/>
        <v>-2.4090617272755228</v>
      </c>
    </row>
    <row r="35" spans="1:11">
      <c r="A35" s="244">
        <f t="shared" ref="A35:A55" si="3">A34+$B$4</f>
        <v>0.6</v>
      </c>
      <c r="B35" s="244">
        <f ca="1">IF(Collar!$C$11="Producer",IF($B$5="Counterparty",MAX((Payout_Diagram!$A35-Collar!$E$12),0)*-1,MAX((Payout_Diagram!$A35-Collar!$E$12),0)),IF($B$5="Counterparty",MAX((Payout_Diagram!$A35-Collar!$E$12),0),MAX((Payout_Diagram!$A35-Collar!$E$12),0)*-1))</f>
        <v>0</v>
      </c>
      <c r="C35" s="244">
        <f ca="1">IF(Collar!$C$11="Producer",IF($B$5="Counterparty",Collar!$E$8,Collar!$E$8*-1),IF($B$5="Counterparty",Collar!$E$8*-1,Collar!$E$8))</f>
        <v>-0.29708345101805717</v>
      </c>
      <c r="D35" s="244">
        <f t="shared" ca="1" si="0"/>
        <v>-0.29708345101805717</v>
      </c>
      <c r="E35" s="244">
        <f ca="1">IF(Collar!$C$11="Producer",IF($B$5="Counterparty",MAX((Collar!$G$12-$A35),0),MAX((Collar!$G$12-$A35),0)*-1),IF($B$5="Counterparty",MAX((Collar!$G$12-$A35),0)*-1,MAX((Collar!$G$12-$A35),0)))</f>
        <v>-2.1090618086692645</v>
      </c>
      <c r="F35" s="244">
        <f>IF(Collar!$C$11="Producer",IF($B$5="Counterparty",-Collar!$G$8,Collar!$G$8),IF($B$5="Counterparty",Collar!$G$8,-Collar!$G$8))</f>
        <v>0.29708353241179924</v>
      </c>
      <c r="G35" s="244">
        <f t="shared" ca="1" si="1"/>
        <v>-1.8119782762574652</v>
      </c>
      <c r="H35" s="244">
        <f t="shared" ca="1" si="2"/>
        <v>-2.1090617272755225</v>
      </c>
    </row>
    <row r="36" spans="1:11">
      <c r="A36" s="244">
        <f t="shared" si="3"/>
        <v>0.89999999999999991</v>
      </c>
      <c r="B36" s="244">
        <f ca="1">IF(Collar!$C$11="Producer",IF($B$5="Counterparty",MAX((Payout_Diagram!$A36-Collar!$E$12),0)*-1,MAX((Payout_Diagram!$A36-Collar!$E$12),0)),IF($B$5="Counterparty",MAX((Payout_Diagram!$A36-Collar!$E$12),0),MAX((Payout_Diagram!$A36-Collar!$E$12),0)*-1))</f>
        <v>0</v>
      </c>
      <c r="C36" s="244">
        <f ca="1">IF(Collar!$C$11="Producer",IF($B$5="Counterparty",Collar!$E$8,Collar!$E$8*-1),IF($B$5="Counterparty",Collar!$E$8*-1,Collar!$E$8))</f>
        <v>-0.29708345101805717</v>
      </c>
      <c r="D36" s="244">
        <f t="shared" ca="1" si="0"/>
        <v>-0.29708345101805717</v>
      </c>
      <c r="E36" s="244">
        <f ca="1">IF(Collar!$C$11="Producer",IF($B$5="Counterparty",MAX((Collar!$G$12-$A36),0),MAX((Collar!$G$12-$A36),0)*-1),IF($B$5="Counterparty",MAX((Collar!$G$12-$A36),0)*-1,MAX((Collar!$G$12-$A36),0)))</f>
        <v>-1.8090618086692647</v>
      </c>
      <c r="F36" s="244">
        <f>IF(Collar!$C$11="Producer",IF($B$5="Counterparty",-Collar!$G$8,Collar!$G$8),IF($B$5="Counterparty",Collar!$G$8,-Collar!$G$8))</f>
        <v>0.29708353241179924</v>
      </c>
      <c r="G36" s="244">
        <f t="shared" ca="1" si="1"/>
        <v>-1.5119782762574654</v>
      </c>
      <c r="H36" s="244">
        <f t="shared" ca="1" si="2"/>
        <v>-1.8090617272755225</v>
      </c>
    </row>
    <row r="37" spans="1:11">
      <c r="A37" s="244">
        <f t="shared" si="3"/>
        <v>1.2</v>
      </c>
      <c r="B37" s="244">
        <f ca="1">IF(Collar!$C$11="Producer",IF($B$5="Counterparty",MAX((Payout_Diagram!$A37-Collar!$E$12),0)*-1,MAX((Payout_Diagram!$A37-Collar!$E$12),0)),IF($B$5="Counterparty",MAX((Payout_Diagram!$A37-Collar!$E$12),0),MAX((Payout_Diagram!$A37-Collar!$E$12),0)*-1))</f>
        <v>0</v>
      </c>
      <c r="C37" s="244">
        <f ca="1">IF(Collar!$C$11="Producer",IF($B$5="Counterparty",Collar!$E$8,Collar!$E$8*-1),IF($B$5="Counterparty",Collar!$E$8*-1,Collar!$E$8))</f>
        <v>-0.29708345101805717</v>
      </c>
      <c r="D37" s="244">
        <f t="shared" ca="1" si="0"/>
        <v>-0.29708345101805717</v>
      </c>
      <c r="E37" s="244">
        <f ca="1">IF(Collar!$C$11="Producer",IF($B$5="Counterparty",MAX((Collar!$G$12-$A37),0),MAX((Collar!$G$12-$A37),0)*-1),IF($B$5="Counterparty",MAX((Collar!$G$12-$A37),0)*-1,MAX((Collar!$G$12-$A37),0)))</f>
        <v>-1.5090618086692646</v>
      </c>
      <c r="F37" s="244">
        <f>IF(Collar!$C$11="Producer",IF($B$5="Counterparty",-Collar!$G$8,Collar!$G$8),IF($B$5="Counterparty",Collar!$G$8,-Collar!$G$8))</f>
        <v>0.29708353241179924</v>
      </c>
      <c r="G37" s="244">
        <f t="shared" ca="1" si="1"/>
        <v>-1.2119782762574653</v>
      </c>
      <c r="H37" s="244">
        <f t="shared" ca="1" si="2"/>
        <v>-1.5090617272755225</v>
      </c>
    </row>
    <row r="38" spans="1:11">
      <c r="A38" s="244">
        <f t="shared" si="3"/>
        <v>1.5</v>
      </c>
      <c r="B38" s="244">
        <f ca="1">IF(Collar!$C$11="Producer",IF($B$5="Counterparty",MAX((Payout_Diagram!$A38-Collar!$E$12),0)*-1,MAX((Payout_Diagram!$A38-Collar!$E$12),0)),IF($B$5="Counterparty",MAX((Payout_Diagram!$A38-Collar!$E$12),0),MAX((Payout_Diagram!$A38-Collar!$E$12),0)*-1))</f>
        <v>0</v>
      </c>
      <c r="C38" s="244">
        <f ca="1">IF(Collar!$C$11="Producer",IF($B$5="Counterparty",Collar!$E$8,Collar!$E$8*-1),IF($B$5="Counterparty",Collar!$E$8*-1,Collar!$E$8))</f>
        <v>-0.29708345101805717</v>
      </c>
      <c r="D38" s="244">
        <f t="shared" ca="1" si="0"/>
        <v>-0.29708345101805717</v>
      </c>
      <c r="E38" s="244">
        <f ca="1">IF(Collar!$C$11="Producer",IF($B$5="Counterparty",MAX((Collar!$G$12-$A38),0),MAX((Collar!$G$12-$A38),0)*-1),IF($B$5="Counterparty",MAX((Collar!$G$12-$A38),0)*-1,MAX((Collar!$G$12-$A38),0)))</f>
        <v>-1.2090618086692646</v>
      </c>
      <c r="F38" s="244">
        <f>IF(Collar!$C$11="Producer",IF($B$5="Counterparty",-Collar!$G$8,Collar!$G$8),IF($B$5="Counterparty",Collar!$G$8,-Collar!$G$8))</f>
        <v>0.29708353241179924</v>
      </c>
      <c r="G38" s="244">
        <f t="shared" ca="1" si="1"/>
        <v>-0.9119782762574653</v>
      </c>
      <c r="H38" s="244">
        <f t="shared" ca="1" si="2"/>
        <v>-1.2090617272755224</v>
      </c>
    </row>
    <row r="39" spans="1:11">
      <c r="A39" s="244">
        <f t="shared" si="3"/>
        <v>1.8</v>
      </c>
      <c r="B39" s="244">
        <f ca="1">IF(Collar!$C$11="Producer",IF($B$5="Counterparty",MAX((Payout_Diagram!$A39-Collar!$E$12),0)*-1,MAX((Payout_Diagram!$A39-Collar!$E$12),0)),IF($B$5="Counterparty",MAX((Payout_Diagram!$A39-Collar!$E$12),0),MAX((Payout_Diagram!$A39-Collar!$E$12),0)*-1))</f>
        <v>0</v>
      </c>
      <c r="C39" s="244">
        <f ca="1">IF(Collar!$C$11="Producer",IF($B$5="Counterparty",Collar!$E$8,Collar!$E$8*-1),IF($B$5="Counterparty",Collar!$E$8*-1,Collar!$E$8))</f>
        <v>-0.29708345101805717</v>
      </c>
      <c r="D39" s="244">
        <f t="shared" ca="1" si="0"/>
        <v>-0.29708345101805717</v>
      </c>
      <c r="E39" s="244">
        <f ca="1">IF(Collar!$C$11="Producer",IF($B$5="Counterparty",MAX((Collar!$G$12-$A39),0),MAX((Collar!$G$12-$A39),0)*-1),IF($B$5="Counterparty",MAX((Collar!$G$12-$A39),0)*-1,MAX((Collar!$G$12-$A39),0)))</f>
        <v>-0.90906180866926456</v>
      </c>
      <c r="F39" s="244">
        <f>IF(Collar!$C$11="Producer",IF($B$5="Counterparty",-Collar!$G$8,Collar!$G$8),IF($B$5="Counterparty",Collar!$G$8,-Collar!$G$8))</f>
        <v>0.29708353241179924</v>
      </c>
      <c r="G39" s="244">
        <f t="shared" ca="1" si="1"/>
        <v>-0.61197827625746526</v>
      </c>
      <c r="H39" s="244">
        <f t="shared" ca="1" si="2"/>
        <v>-0.90906172727552237</v>
      </c>
    </row>
    <row r="40" spans="1:11">
      <c r="A40" s="244">
        <f t="shared" si="3"/>
        <v>2.1</v>
      </c>
      <c r="B40" s="244">
        <f ca="1">IF(Collar!$C$11="Producer",IF($B$5="Counterparty",MAX((Payout_Diagram!$A40-Collar!$E$12),0)*-1,MAX((Payout_Diagram!$A40-Collar!$E$12),0)),IF($B$5="Counterparty",MAX((Payout_Diagram!$A40-Collar!$E$12),0),MAX((Payout_Diagram!$A40-Collar!$E$12),0)*-1))</f>
        <v>0</v>
      </c>
      <c r="C40" s="244">
        <f ca="1">IF(Collar!$C$11="Producer",IF($B$5="Counterparty",Collar!$E$8,Collar!$E$8*-1),IF($B$5="Counterparty",Collar!$E$8*-1,Collar!$E$8))</f>
        <v>-0.29708345101805717</v>
      </c>
      <c r="D40" s="244">
        <f t="shared" ca="1" si="0"/>
        <v>-0.29708345101805717</v>
      </c>
      <c r="E40" s="244">
        <f ca="1">IF(Collar!$C$11="Producer",IF($B$5="Counterparty",MAX((Collar!$G$12-$A40),0),MAX((Collar!$G$12-$A40),0)*-1),IF($B$5="Counterparty",MAX((Collar!$G$12-$A40),0)*-1,MAX((Collar!$G$12-$A40),0)))</f>
        <v>-0.60906180866926452</v>
      </c>
      <c r="F40" s="244">
        <f>IF(Collar!$C$11="Producer",IF($B$5="Counterparty",-Collar!$G$8,Collar!$G$8),IF($B$5="Counterparty",Collar!$G$8,-Collar!$G$8))</f>
        <v>0.29708353241179924</v>
      </c>
      <c r="G40" s="244">
        <f t="shared" ca="1" si="1"/>
        <v>-0.31197827625746527</v>
      </c>
      <c r="H40" s="244">
        <f t="shared" ca="1" si="2"/>
        <v>-0.60906172727552244</v>
      </c>
    </row>
    <row r="41" spans="1:11">
      <c r="A41" s="244">
        <f t="shared" si="3"/>
        <v>2.4</v>
      </c>
      <c r="B41" s="244">
        <f ca="1">IF(Collar!$C$11="Producer",IF($B$5="Counterparty",MAX((Payout_Diagram!$A41-Collar!$E$12),0)*-1,MAX((Payout_Diagram!$A41-Collar!$E$12),0)),IF($B$5="Counterparty",MAX((Payout_Diagram!$A41-Collar!$E$12),0),MAX((Payout_Diagram!$A41-Collar!$E$12),0)*-1))</f>
        <v>0</v>
      </c>
      <c r="C41" s="244">
        <f ca="1">IF(Collar!$C$11="Producer",IF($B$5="Counterparty",Collar!$E$8,Collar!$E$8*-1),IF($B$5="Counterparty",Collar!$E$8*-1,Collar!$E$8))</f>
        <v>-0.29708345101805717</v>
      </c>
      <c r="D41" s="244">
        <f t="shared" ca="1" si="0"/>
        <v>-0.29708345101805717</v>
      </c>
      <c r="E41" s="244">
        <f ca="1">IF(Collar!$C$11="Producer",IF($B$5="Counterparty",MAX((Collar!$G$12-$A41),0),MAX((Collar!$G$12-$A41),0)*-1),IF($B$5="Counterparty",MAX((Collar!$G$12-$A41),0)*-1,MAX((Collar!$G$12-$A41),0)))</f>
        <v>-0.30906180866926469</v>
      </c>
      <c r="F41" s="244">
        <f>IF(Collar!$C$11="Producer",IF($B$5="Counterparty",-Collar!$G$8,Collar!$G$8),IF($B$5="Counterparty",Collar!$G$8,-Collar!$G$8))</f>
        <v>0.29708353241179924</v>
      </c>
      <c r="G41" s="244">
        <f t="shared" ca="1" si="1"/>
        <v>-1.1978276257465448E-2</v>
      </c>
      <c r="H41" s="244">
        <f t="shared" ca="1" si="2"/>
        <v>-0.30906172727552261</v>
      </c>
    </row>
    <row r="42" spans="1:11">
      <c r="A42" s="252">
        <f t="shared" si="3"/>
        <v>2.6999999999999997</v>
      </c>
      <c r="B42" s="244">
        <f ca="1">IF(Collar!$C$11="Producer",IF($B$5="Counterparty",MAX((Payout_Diagram!$A42-Collar!$E$12),0)*-1,MAX((Payout_Diagram!$A42-Collar!$E$12),0)),IF($B$5="Counterparty",MAX((Payout_Diagram!$A42-Collar!$E$12),0),MAX((Payout_Diagram!$A42-Collar!$E$12),0)*-1))</f>
        <v>0</v>
      </c>
      <c r="C42" s="244">
        <f ca="1">IF(Collar!$C$11="Producer",IF($B$5="Counterparty",Collar!$E$8,Collar!$E$8*-1),IF($B$5="Counterparty",Collar!$E$8*-1,Collar!$E$8))</f>
        <v>-0.29708345101805717</v>
      </c>
      <c r="D42" s="244">
        <f t="shared" ca="1" si="0"/>
        <v>-0.29708345101805717</v>
      </c>
      <c r="E42" s="244">
        <f ca="1">IF(Collar!$C$11="Producer",IF($B$5="Counterparty",MAX((Collar!$G$12-$A42),0),MAX((Collar!$G$12-$A42),0)*-1),IF($B$5="Counterparty",MAX((Collar!$G$12-$A42),0)*-1,MAX((Collar!$G$12-$A42),0)))</f>
        <v>-9.0618086692648703E-3</v>
      </c>
      <c r="F42" s="244">
        <f>IF(Collar!$C$11="Producer",IF($B$5="Counterparty",-Collar!$G$8,Collar!$G$8),IF($B$5="Counterparty",Collar!$G$8,-Collar!$G$8))</f>
        <v>0.29708353241179924</v>
      </c>
      <c r="G42" s="244">
        <f t="shared" ca="1" si="1"/>
        <v>0.28802172374253437</v>
      </c>
      <c r="H42" s="252">
        <f t="shared" ca="1" si="2"/>
        <v>-9.0617272755227907E-3</v>
      </c>
    </row>
    <row r="43" spans="1:11">
      <c r="A43" s="252">
        <f t="shared" si="3"/>
        <v>2.9999999999999996</v>
      </c>
      <c r="B43" s="244">
        <f ca="1">IF(Collar!$C$11="Producer",IF($B$5="Counterparty",MAX((Payout_Diagram!$A43-Collar!$E$12),0)*-1,MAX((Payout_Diagram!$A43-Collar!$E$12),0)),IF($B$5="Counterparty",MAX((Payout_Diagram!$A43-Collar!$E$12),0),MAX((Payout_Diagram!$A43-Collar!$E$12),0)*-1))</f>
        <v>0</v>
      </c>
      <c r="C43" s="244">
        <f ca="1">IF(Collar!$C$11="Producer",IF($B$5="Counterparty",Collar!$E$8,Collar!$E$8*-1),IF($B$5="Counterparty",Collar!$E$8*-1,Collar!$E$8))</f>
        <v>-0.29708345101805717</v>
      </c>
      <c r="D43" s="244">
        <f t="shared" ca="1" si="0"/>
        <v>-0.29708345101805717</v>
      </c>
      <c r="E43" s="244">
        <f ca="1">IF(Collar!$C$11="Producer",IF($B$5="Counterparty",MAX((Collar!$G$12-$A43),0),MAX((Collar!$G$12-$A43),0)*-1),IF($B$5="Counterparty",MAX((Collar!$G$12-$A43),0)*-1,MAX((Collar!$G$12-$A43),0)))</f>
        <v>0</v>
      </c>
      <c r="F43" s="244">
        <f>IF(Collar!$C$11="Producer",IF($B$5="Counterparty",-Collar!$G$8,Collar!$G$8),IF($B$5="Counterparty",Collar!$G$8,-Collar!$G$8))</f>
        <v>0.29708353241179924</v>
      </c>
      <c r="G43" s="244">
        <f t="shared" ca="1" si="1"/>
        <v>0.29708353241179924</v>
      </c>
      <c r="H43" s="252">
        <f t="shared" ca="1" si="2"/>
        <v>8.1393742079605147E-8</v>
      </c>
    </row>
    <row r="44" spans="1:11">
      <c r="A44" s="252">
        <f t="shared" si="3"/>
        <v>3.2999999999999994</v>
      </c>
      <c r="B44" s="244">
        <f ca="1">IF(Collar!$C$11="Producer",IF($B$5="Counterparty",MAX((Payout_Diagram!$A44-Collar!$E$12),0)*-1,MAX((Payout_Diagram!$A44-Collar!$E$12),0)),IF($B$5="Counterparty",MAX((Payout_Diagram!$A44-Collar!$E$12),0),MAX((Payout_Diagram!$A44-Collar!$E$12),0)*-1))</f>
        <v>9.9999999999999645E-2</v>
      </c>
      <c r="C44" s="244">
        <f ca="1">IF(Collar!$C$11="Producer",IF($B$5="Counterparty",Collar!$E$8,Collar!$E$8*-1),IF($B$5="Counterparty",Collar!$E$8*-1,Collar!$E$8))</f>
        <v>-0.29708345101805717</v>
      </c>
      <c r="D44" s="244">
        <f t="shared" ca="1" si="0"/>
        <v>-0.19708345101805752</v>
      </c>
      <c r="E44" s="244">
        <f ca="1">IF(Collar!$C$11="Producer",IF($B$5="Counterparty",MAX((Collar!$G$12-$A44),0),MAX((Collar!$G$12-$A44),0)*-1),IF($B$5="Counterparty",MAX((Collar!$G$12-$A44),0)*-1,MAX((Collar!$G$12-$A44),0)))</f>
        <v>0</v>
      </c>
      <c r="F44" s="244">
        <f>IF(Collar!$C$11="Producer",IF($B$5="Counterparty",-Collar!$G$8,Collar!$G$8),IF($B$5="Counterparty",Collar!$G$8,-Collar!$G$8))</f>
        <v>0.29708353241179924</v>
      </c>
      <c r="G44" s="244">
        <f t="shared" ca="1" si="1"/>
        <v>0.29708353241179924</v>
      </c>
      <c r="H44" s="252">
        <f t="shared" ca="1" si="2"/>
        <v>0.10000008139374172</v>
      </c>
    </row>
    <row r="45" spans="1:11">
      <c r="A45" s="244">
        <f t="shared" si="3"/>
        <v>3.5999999999999992</v>
      </c>
      <c r="B45" s="244">
        <f ca="1">IF(Collar!$C$11="Producer",IF($B$5="Counterparty",MAX((Payout_Diagram!$A45-Collar!$E$12),0)*-1,MAX((Payout_Diagram!$A45-Collar!$E$12),0)),IF($B$5="Counterparty",MAX((Payout_Diagram!$A45-Collar!$E$12),0),MAX((Payout_Diagram!$A45-Collar!$E$12),0)*-1))</f>
        <v>0.39999999999999947</v>
      </c>
      <c r="C45" s="244">
        <f ca="1">IF(Collar!$C$11="Producer",IF($B$5="Counterparty",Collar!$E$8,Collar!$E$8*-1),IF($B$5="Counterparty",Collar!$E$8*-1,Collar!$E$8))</f>
        <v>-0.29708345101805717</v>
      </c>
      <c r="D45" s="244">
        <f t="shared" ca="1" si="0"/>
        <v>0.1029165489819423</v>
      </c>
      <c r="E45" s="244">
        <f ca="1">IF(Collar!$C$11="Producer",IF($B$5="Counterparty",MAX((Collar!$G$12-$A45),0),MAX((Collar!$G$12-$A45),0)*-1),IF($B$5="Counterparty",MAX((Collar!$G$12-$A45),0)*-1,MAX((Collar!$G$12-$A45),0)))</f>
        <v>0</v>
      </c>
      <c r="F45" s="244">
        <f>IF(Collar!$C$11="Producer",IF($B$5="Counterparty",-Collar!$G$8,Collar!$G$8),IF($B$5="Counterparty",Collar!$G$8,-Collar!$G$8))</f>
        <v>0.29708353241179924</v>
      </c>
      <c r="G45" s="244">
        <f t="shared" ca="1" si="1"/>
        <v>0.29708353241179924</v>
      </c>
      <c r="H45" s="244">
        <f t="shared" ca="1" si="2"/>
        <v>0.40000008139374155</v>
      </c>
      <c r="K45" s="244"/>
    </row>
    <row r="46" spans="1:11">
      <c r="A46" s="244">
        <f t="shared" si="3"/>
        <v>3.899999999999999</v>
      </c>
      <c r="B46" s="244">
        <f ca="1">IF(Collar!$C$11="Producer",IF($B$5="Counterparty",MAX((Payout_Diagram!$A46-Collar!$E$12),0)*-1,MAX((Payout_Diagram!$A46-Collar!$E$12),0)),IF($B$5="Counterparty",MAX((Payout_Diagram!$A46-Collar!$E$12),0),MAX((Payout_Diagram!$A46-Collar!$E$12),0)*-1))</f>
        <v>0.69999999999999929</v>
      </c>
      <c r="C46" s="244">
        <f ca="1">IF(Collar!$C$11="Producer",IF($B$5="Counterparty",Collar!$E$8,Collar!$E$8*-1),IF($B$5="Counterparty",Collar!$E$8*-1,Collar!$E$8))</f>
        <v>-0.29708345101805717</v>
      </c>
      <c r="D46" s="244">
        <f t="shared" ca="1" si="0"/>
        <v>0.40291654898194212</v>
      </c>
      <c r="E46" s="244">
        <f ca="1">IF(Collar!$C$11="Producer",IF($B$5="Counterparty",MAX((Collar!$G$12-$A46),0),MAX((Collar!$G$12-$A46),0)*-1),IF($B$5="Counterparty",MAX((Collar!$G$12-$A46),0)*-1,MAX((Collar!$G$12-$A46),0)))</f>
        <v>0</v>
      </c>
      <c r="F46" s="244">
        <f>IF(Collar!$C$11="Producer",IF($B$5="Counterparty",-Collar!$G$8,Collar!$G$8),IF($B$5="Counterparty",Collar!$G$8,-Collar!$G$8))</f>
        <v>0.29708353241179924</v>
      </c>
      <c r="G46" s="244">
        <f t="shared" ca="1" si="1"/>
        <v>0.29708353241179924</v>
      </c>
      <c r="H46" s="244">
        <f t="shared" ca="1" si="2"/>
        <v>0.70000008139374137</v>
      </c>
      <c r="K46" s="251"/>
    </row>
    <row r="47" spans="1:11">
      <c r="A47" s="244">
        <f t="shared" si="3"/>
        <v>4.1999999999999993</v>
      </c>
      <c r="B47" s="244">
        <f ca="1">IF(Collar!$C$11="Producer",IF($B$5="Counterparty",MAX((Payout_Diagram!$A47-Collar!$E$12),0)*-1,MAX((Payout_Diagram!$A47-Collar!$E$12),0)),IF($B$5="Counterparty",MAX((Payout_Diagram!$A47-Collar!$E$12),0),MAX((Payout_Diagram!$A47-Collar!$E$12),0)*-1))</f>
        <v>0.99999999999999956</v>
      </c>
      <c r="C47" s="244">
        <f ca="1">IF(Collar!$C$11="Producer",IF($B$5="Counterparty",Collar!$E$8,Collar!$E$8*-1),IF($B$5="Counterparty",Collar!$E$8*-1,Collar!$E$8))</f>
        <v>-0.29708345101805717</v>
      </c>
      <c r="D47" s="244">
        <f t="shared" ca="1" si="0"/>
        <v>0.70291654898194245</v>
      </c>
      <c r="E47" s="244">
        <f ca="1">IF(Collar!$C$11="Producer",IF($B$5="Counterparty",MAX((Collar!$G$12-$A47),0),MAX((Collar!$G$12-$A47),0)*-1),IF($B$5="Counterparty",MAX((Collar!$G$12-$A47),0)*-1,MAX((Collar!$G$12-$A47),0)))</f>
        <v>0</v>
      </c>
      <c r="F47" s="244">
        <f>IF(Collar!$C$11="Producer",IF($B$5="Counterparty",-Collar!$G$8,Collar!$G$8),IF($B$5="Counterparty",Collar!$G$8,-Collar!$G$8))</f>
        <v>0.29708353241179924</v>
      </c>
      <c r="G47" s="244">
        <f t="shared" ca="1" si="1"/>
        <v>0.29708353241179924</v>
      </c>
      <c r="H47" s="244">
        <f t="shared" ca="1" si="2"/>
        <v>1.0000000813937417</v>
      </c>
      <c r="K47" s="251"/>
    </row>
    <row r="48" spans="1:11">
      <c r="A48" s="244">
        <f t="shared" si="3"/>
        <v>4.4999999999999991</v>
      </c>
      <c r="B48" s="244">
        <f ca="1">IF(Collar!$C$11="Producer",IF($B$5="Counterparty",MAX((Payout_Diagram!$A48-Collar!$E$12),0)*-1,MAX((Payout_Diagram!$A48-Collar!$E$12),0)),IF($B$5="Counterparty",MAX((Payout_Diagram!$A48-Collar!$E$12),0),MAX((Payout_Diagram!$A48-Collar!$E$12),0)*-1))</f>
        <v>1.2999999999999994</v>
      </c>
      <c r="C48" s="244">
        <f ca="1">IF(Collar!$C$11="Producer",IF($B$5="Counterparty",Collar!$E$8,Collar!$E$8*-1),IF($B$5="Counterparty",Collar!$E$8*-1,Collar!$E$8))</f>
        <v>-0.29708345101805717</v>
      </c>
      <c r="D48" s="244">
        <f t="shared" ca="1" si="0"/>
        <v>1.0029165489819423</v>
      </c>
      <c r="E48" s="244">
        <f ca="1">IF(Collar!$C$11="Producer",IF($B$5="Counterparty",MAX((Collar!$G$12-$A48),0),MAX((Collar!$G$12-$A48),0)*-1),IF($B$5="Counterparty",MAX((Collar!$G$12-$A48),0)*-1,MAX((Collar!$G$12-$A48),0)))</f>
        <v>0</v>
      </c>
      <c r="F48" s="244">
        <f>IF(Collar!$C$11="Producer",IF($B$5="Counterparty",-Collar!$G$8,Collar!$G$8),IF($B$5="Counterparty",Collar!$G$8,-Collar!$G$8))</f>
        <v>0.29708353241179924</v>
      </c>
      <c r="G48" s="244">
        <f t="shared" ca="1" si="1"/>
        <v>0.29708353241179924</v>
      </c>
      <c r="H48" s="244">
        <f t="shared" ca="1" si="2"/>
        <v>1.3000000813937416</v>
      </c>
      <c r="K48" s="251"/>
    </row>
    <row r="49" spans="1:11">
      <c r="A49" s="244">
        <f t="shared" si="3"/>
        <v>4.7999999999999989</v>
      </c>
      <c r="B49" s="244">
        <f ca="1">IF(Collar!$C$11="Producer",IF($B$5="Counterparty",MAX((Payout_Diagram!$A49-Collar!$E$12),0)*-1,MAX((Payout_Diagram!$A49-Collar!$E$12),0)),IF($B$5="Counterparty",MAX((Payout_Diagram!$A49-Collar!$E$12),0),MAX((Payout_Diagram!$A49-Collar!$E$12),0)*-1))</f>
        <v>1.5999999999999992</v>
      </c>
      <c r="C49" s="244">
        <f ca="1">IF(Collar!$C$11="Producer",IF($B$5="Counterparty",Collar!$E$8,Collar!$E$8*-1),IF($B$5="Counterparty",Collar!$E$8*-1,Collar!$E$8))</f>
        <v>-0.29708345101805717</v>
      </c>
      <c r="D49" s="244">
        <f t="shared" ca="1" si="0"/>
        <v>1.3029165489819421</v>
      </c>
      <c r="E49" s="244">
        <f ca="1">IF(Collar!$C$11="Producer",IF($B$5="Counterparty",MAX((Collar!$G$12-$A49),0),MAX((Collar!$G$12-$A49),0)*-1),IF($B$5="Counterparty",MAX((Collar!$G$12-$A49),0)*-1,MAX((Collar!$G$12-$A49),0)))</f>
        <v>0</v>
      </c>
      <c r="F49" s="244">
        <f>IF(Collar!$C$11="Producer",IF($B$5="Counterparty",-Collar!$G$8,Collar!$G$8),IF($B$5="Counterparty",Collar!$G$8,-Collar!$G$8))</f>
        <v>0.29708353241179924</v>
      </c>
      <c r="G49" s="244">
        <f t="shared" ca="1" si="1"/>
        <v>0.29708353241179924</v>
      </c>
      <c r="H49" s="244">
        <f t="shared" ca="1" si="2"/>
        <v>1.6000000813937414</v>
      </c>
      <c r="K49" s="251"/>
    </row>
    <row r="50" spans="1:11">
      <c r="A50" s="244">
        <f t="shared" si="3"/>
        <v>5.0999999999999988</v>
      </c>
      <c r="B50" s="244">
        <f ca="1">IF(Collar!$C$11="Producer",IF($B$5="Counterparty",MAX((Payout_Diagram!$A50-Collar!$E$12),0)*-1,MAX((Payout_Diagram!$A50-Collar!$E$12),0)),IF($B$5="Counterparty",MAX((Payout_Diagram!$A50-Collar!$E$12),0),MAX((Payout_Diagram!$A50-Collar!$E$12),0)*-1))</f>
        <v>1.899999999999999</v>
      </c>
      <c r="C50" s="244">
        <f ca="1">IF(Collar!$C$11="Producer",IF($B$5="Counterparty",Collar!$E$8,Collar!$E$8*-1),IF($B$5="Counterparty",Collar!$E$8*-1,Collar!$E$8))</f>
        <v>-0.29708345101805717</v>
      </c>
      <c r="D50" s="244">
        <f t="shared" ca="1" si="0"/>
        <v>1.6029165489819419</v>
      </c>
      <c r="E50" s="244">
        <f ca="1">IF(Collar!$C$11="Producer",IF($B$5="Counterparty",MAX((Collar!$G$12-$A50),0),MAX((Collar!$G$12-$A50),0)*-1),IF($B$5="Counterparty",MAX((Collar!$G$12-$A50),0)*-1,MAX((Collar!$G$12-$A50),0)))</f>
        <v>0</v>
      </c>
      <c r="F50" s="244">
        <f>IF(Collar!$C$11="Producer",IF($B$5="Counterparty",-Collar!$G$8,Collar!$G$8),IF($B$5="Counterparty",Collar!$G$8,-Collar!$G$8))</f>
        <v>0.29708353241179924</v>
      </c>
      <c r="G50" s="244">
        <f t="shared" ca="1" si="1"/>
        <v>0.29708353241179924</v>
      </c>
      <c r="H50" s="244">
        <f t="shared" ca="1" si="2"/>
        <v>1.9000000813937412</v>
      </c>
      <c r="K50" s="251"/>
    </row>
    <row r="51" spans="1:11">
      <c r="A51" s="244">
        <f t="shared" si="3"/>
        <v>5.3999999999999986</v>
      </c>
      <c r="B51" s="244">
        <f ca="1">IF(Collar!$C$11="Producer",IF($B$5="Counterparty",MAX((Payout_Diagram!$A51-Collar!$E$12),0)*-1,MAX((Payout_Diagram!$A51-Collar!$E$12),0)),IF($B$5="Counterparty",MAX((Payout_Diagram!$A51-Collar!$E$12),0),MAX((Payout_Diagram!$A51-Collar!$E$12),0)*-1))</f>
        <v>2.1999999999999988</v>
      </c>
      <c r="C51" s="244">
        <f ca="1">IF(Collar!$C$11="Producer",IF($B$5="Counterparty",Collar!$E$8,Collar!$E$8*-1),IF($B$5="Counterparty",Collar!$E$8*-1,Collar!$E$8))</f>
        <v>-0.29708345101805717</v>
      </c>
      <c r="D51" s="244">
        <f t="shared" ca="1" si="0"/>
        <v>1.9029165489819417</v>
      </c>
      <c r="E51" s="244">
        <f ca="1">IF(Collar!$C$11="Producer",IF($B$5="Counterparty",MAX((Collar!$G$12-$A51),0),MAX((Collar!$G$12-$A51),0)*-1),IF($B$5="Counterparty",MAX((Collar!$G$12-$A51),0)*-1,MAX((Collar!$G$12-$A51),0)))</f>
        <v>0</v>
      </c>
      <c r="F51" s="244">
        <f>IF(Collar!$C$11="Producer",IF($B$5="Counterparty",-Collar!$G$8,Collar!$G$8),IF($B$5="Counterparty",Collar!$G$8,-Collar!$G$8))</f>
        <v>0.29708353241179924</v>
      </c>
      <c r="G51" s="244">
        <f t="shared" ca="1" si="1"/>
        <v>0.29708353241179924</v>
      </c>
      <c r="H51" s="244">
        <f t="shared" ca="1" si="2"/>
        <v>2.2000000813937408</v>
      </c>
      <c r="K51" s="251"/>
    </row>
    <row r="52" spans="1:11">
      <c r="A52" s="244">
        <f t="shared" si="3"/>
        <v>5.6999999999999984</v>
      </c>
      <c r="B52" s="244">
        <f ca="1">IF(Collar!$C$11="Producer",IF($B$5="Counterparty",MAX((Payout_Diagram!$A52-Collar!$E$12),0)*-1,MAX((Payout_Diagram!$A52-Collar!$E$12),0)),IF($B$5="Counterparty",MAX((Payout_Diagram!$A52-Collar!$E$12),0),MAX((Payout_Diagram!$A52-Collar!$E$12),0)*-1))</f>
        <v>2.4999999999999987</v>
      </c>
      <c r="C52" s="244">
        <f ca="1">IF(Collar!$C$11="Producer",IF($B$5="Counterparty",Collar!$E$8,Collar!$E$8*-1),IF($B$5="Counterparty",Collar!$E$8*-1,Collar!$E$8))</f>
        <v>-0.29708345101805717</v>
      </c>
      <c r="D52" s="244">
        <f t="shared" ca="1" si="0"/>
        <v>2.2029165489819413</v>
      </c>
      <c r="E52" s="244">
        <f ca="1">IF(Collar!$C$11="Producer",IF($B$5="Counterparty",MAX((Collar!$G$12-$A52),0),MAX((Collar!$G$12-$A52),0)*-1),IF($B$5="Counterparty",MAX((Collar!$G$12-$A52),0)*-1,MAX((Collar!$G$12-$A52),0)))</f>
        <v>0</v>
      </c>
      <c r="F52" s="244">
        <f>IF(Collar!$C$11="Producer",IF($B$5="Counterparty",-Collar!$G$8,Collar!$G$8),IF($B$5="Counterparty",Collar!$G$8,-Collar!$G$8))</f>
        <v>0.29708353241179924</v>
      </c>
      <c r="G52" s="244">
        <f t="shared" ca="1" si="1"/>
        <v>0.29708353241179924</v>
      </c>
      <c r="H52" s="244">
        <f t="shared" ca="1" si="2"/>
        <v>2.5000000813937406</v>
      </c>
      <c r="K52" s="251"/>
    </row>
    <row r="53" spans="1:11">
      <c r="A53" s="244">
        <f t="shared" si="3"/>
        <v>5.9999999999999982</v>
      </c>
      <c r="B53" s="244">
        <f ca="1">IF(Collar!$C$11="Producer",IF($B$5="Counterparty",MAX((Payout_Diagram!$A53-Collar!$E$12),0)*-1,MAX((Payout_Diagram!$A53-Collar!$E$12),0)),IF($B$5="Counterparty",MAX((Payout_Diagram!$A53-Collar!$E$12),0),MAX((Payout_Diagram!$A53-Collar!$E$12),0)*-1))</f>
        <v>2.7999999999999985</v>
      </c>
      <c r="C53" s="244">
        <f ca="1">IF(Collar!$C$11="Producer",IF($B$5="Counterparty",Collar!$E$8,Collar!$E$8*-1),IF($B$5="Counterparty",Collar!$E$8*-1,Collar!$E$8))</f>
        <v>-0.29708345101805717</v>
      </c>
      <c r="D53" s="244">
        <f t="shared" ca="1" si="0"/>
        <v>2.5029165489819412</v>
      </c>
      <c r="E53" s="244">
        <f ca="1">IF(Collar!$C$11="Producer",IF($B$5="Counterparty",MAX((Collar!$G$12-$A53),0),MAX((Collar!$G$12-$A53),0)*-1),IF($B$5="Counterparty",MAX((Collar!$G$12-$A53),0)*-1,MAX((Collar!$G$12-$A53),0)))</f>
        <v>0</v>
      </c>
      <c r="F53" s="244">
        <f>IF(Collar!$C$11="Producer",IF($B$5="Counterparty",-Collar!$G$8,Collar!$G$8),IF($B$5="Counterparty",Collar!$G$8,-Collar!$G$8))</f>
        <v>0.29708353241179924</v>
      </c>
      <c r="G53" s="244">
        <f t="shared" ca="1" si="1"/>
        <v>0.29708353241179924</v>
      </c>
      <c r="H53" s="244">
        <f t="shared" ca="1" si="2"/>
        <v>2.8000000813937405</v>
      </c>
      <c r="K53" s="251"/>
    </row>
    <row r="54" spans="1:11">
      <c r="A54" s="244">
        <f t="shared" si="3"/>
        <v>6.299999999999998</v>
      </c>
      <c r="B54" s="244">
        <f ca="1">IF(Collar!$C$11="Producer",IF($B$5="Counterparty",MAX((Payout_Diagram!$A54-Collar!$E$12),0)*-1,MAX((Payout_Diagram!$A54-Collar!$E$12),0)),IF($B$5="Counterparty",MAX((Payout_Diagram!$A54-Collar!$E$12),0),MAX((Payout_Diagram!$A54-Collar!$E$12),0)*-1))</f>
        <v>3.0999999999999983</v>
      </c>
      <c r="C54" s="244">
        <f ca="1">IF(Collar!$C$11="Producer",IF($B$5="Counterparty",Collar!$E$8,Collar!$E$8*-1),IF($B$5="Counterparty",Collar!$E$8*-1,Collar!$E$8))</f>
        <v>-0.29708345101805717</v>
      </c>
      <c r="D54" s="244">
        <f t="shared" ca="1" si="0"/>
        <v>2.802916548981941</v>
      </c>
      <c r="E54" s="244">
        <f ca="1">IF(Collar!$C$11="Producer",IF($B$5="Counterparty",MAX((Collar!$G$12-$A54),0),MAX((Collar!$G$12-$A54),0)*-1),IF($B$5="Counterparty",MAX((Collar!$G$12-$A54),0)*-1,MAX((Collar!$G$12-$A54),0)))</f>
        <v>0</v>
      </c>
      <c r="F54" s="244">
        <f>IF(Collar!$C$11="Producer",IF($B$5="Counterparty",-Collar!$G$8,Collar!$G$8),IF($B$5="Counterparty",Collar!$G$8,-Collar!$G$8))</f>
        <v>0.29708353241179924</v>
      </c>
      <c r="G54" s="244">
        <f t="shared" ca="1" si="1"/>
        <v>0.29708353241179924</v>
      </c>
      <c r="H54" s="244">
        <f t="shared" ca="1" si="2"/>
        <v>3.1000000813937403</v>
      </c>
      <c r="K54" s="251"/>
    </row>
    <row r="55" spans="1:11">
      <c r="A55" s="244">
        <f t="shared" si="3"/>
        <v>6.5999999999999979</v>
      </c>
      <c r="B55" s="244">
        <f ca="1">IF(Collar!$C$11="Producer",IF($B$5="Counterparty",MAX((Payout_Diagram!$A55-Collar!$E$12),0)*-1,MAX((Payout_Diagram!$A55-Collar!$E$12),0)),IF($B$5="Counterparty",MAX((Payout_Diagram!$A55-Collar!$E$12),0),MAX((Payout_Diagram!$A55-Collar!$E$12),0)*-1))</f>
        <v>3.3999999999999981</v>
      </c>
      <c r="C55" s="244">
        <f ca="1">IF(Collar!$C$11="Producer",IF($B$5="Counterparty",Collar!$E$8,Collar!$E$8*-1),IF($B$5="Counterparty",Collar!$E$8*-1,Collar!$E$8))</f>
        <v>-0.29708345101805717</v>
      </c>
      <c r="D55" s="244">
        <f t="shared" ca="1" si="0"/>
        <v>3.1029165489819408</v>
      </c>
      <c r="E55" s="244">
        <f ca="1">IF(Collar!$C$11="Producer",IF($B$5="Counterparty",MAX((Collar!$G$12-$A55),0),MAX((Collar!$G$12-$A55),0)*-1),IF($B$5="Counterparty",MAX((Collar!$G$12-$A55),0)*-1,MAX((Collar!$G$12-$A55),0)))</f>
        <v>0</v>
      </c>
      <c r="F55" s="244">
        <f>IF(Collar!$C$11="Producer",IF($B$5="Counterparty",-Collar!$G$8,Collar!$G$8),IF($B$5="Counterparty",Collar!$G$8,-Collar!$G$8))</f>
        <v>0.29708353241179924</v>
      </c>
      <c r="G55" s="244">
        <f t="shared" ca="1" si="1"/>
        <v>0.29708353241179924</v>
      </c>
      <c r="H55" s="244">
        <f t="shared" ca="1" si="2"/>
        <v>3.4000000813937401</v>
      </c>
      <c r="K55" s="251"/>
    </row>
    <row r="56" spans="1:11">
      <c r="K56" s="251"/>
    </row>
    <row r="57" spans="1:11">
      <c r="K57" s="251"/>
    </row>
    <row r="58" spans="1:11">
      <c r="K58" s="251"/>
    </row>
    <row r="59" spans="1:11">
      <c r="K59" s="251"/>
    </row>
    <row r="60" spans="1:11">
      <c r="K60" s="251"/>
    </row>
    <row r="61" spans="1:11">
      <c r="K61" s="251"/>
    </row>
    <row r="62" spans="1:11">
      <c r="K62" s="251"/>
    </row>
    <row r="63" spans="1:11">
      <c r="K63" s="251"/>
    </row>
    <row r="64" spans="1:11">
      <c r="K64" s="251"/>
    </row>
    <row r="65" spans="11:11">
      <c r="K65" s="251"/>
    </row>
    <row r="66" spans="11:11">
      <c r="K66" s="251"/>
    </row>
    <row r="67" spans="11:11">
      <c r="K67" s="251"/>
    </row>
    <row r="68" spans="11:11">
      <c r="K68" s="251"/>
    </row>
    <row r="69" spans="11:11">
      <c r="K69" s="251"/>
    </row>
    <row r="70" spans="11:11">
      <c r="K70" s="251"/>
    </row>
    <row r="71" spans="11:11">
      <c r="K71" s="251"/>
    </row>
    <row r="72" spans="11:11">
      <c r="K72" s="251"/>
    </row>
    <row r="73" spans="11:11">
      <c r="K73" s="251"/>
    </row>
    <row r="74" spans="11:11">
      <c r="K74" s="251"/>
    </row>
    <row r="75" spans="11:11">
      <c r="K75" s="251"/>
    </row>
    <row r="76" spans="11:11">
      <c r="K76" s="251"/>
    </row>
    <row r="77" spans="11:11">
      <c r="K77" s="251"/>
    </row>
    <row r="78" spans="11:11">
      <c r="K78" s="251"/>
    </row>
    <row r="79" spans="11:11">
      <c r="K79" s="251"/>
    </row>
    <row r="80" spans="11:11">
      <c r="K80" s="251"/>
    </row>
    <row r="81" spans="11:11">
      <c r="K81" s="251"/>
    </row>
    <row r="82" spans="11:11">
      <c r="K82" s="251"/>
    </row>
    <row r="83" spans="11:11">
      <c r="K83" s="251"/>
    </row>
    <row r="84" spans="11:11">
      <c r="K84" s="251"/>
    </row>
    <row r="85" spans="11:11">
      <c r="K85" s="251"/>
    </row>
    <row r="86" spans="11:11">
      <c r="K86" s="251"/>
    </row>
    <row r="87" spans="11:11">
      <c r="K87" s="251"/>
    </row>
    <row r="88" spans="11:11">
      <c r="K88" s="251"/>
    </row>
    <row r="89" spans="11:11">
      <c r="K89" s="251"/>
    </row>
    <row r="90" spans="11:11">
      <c r="K90" s="251"/>
    </row>
    <row r="91" spans="11:11">
      <c r="K91" s="251"/>
    </row>
    <row r="92" spans="11:11">
      <c r="K92" s="251"/>
    </row>
    <row r="93" spans="11:11">
      <c r="K93" s="251"/>
    </row>
    <row r="94" spans="11:11">
      <c r="K94" s="251"/>
    </row>
    <row r="95" spans="11:11">
      <c r="K95" s="251"/>
    </row>
    <row r="96" spans="11:11">
      <c r="K96" s="251"/>
    </row>
    <row r="97" spans="11:11">
      <c r="K97" s="251"/>
    </row>
  </sheetData>
  <mergeCells count="1">
    <mergeCell ref="A1:H1"/>
  </mergeCells>
  <phoneticPr fontId="26" type="noConversion"/>
  <conditionalFormatting sqref="H33:H55">
    <cfRule type="cellIs" dxfId="1" priority="1" stopIfTrue="1" operator="equal">
      <formula>0</formula>
    </cfRule>
  </conditionalFormatting>
  <dataValidations disablePrompts="1" count="1">
    <dataValidation type="list" allowBlank="1" showInputMessage="1" showErrorMessage="1" sqref="B5">
      <formula1>$Z$7:$Z$8</formula1>
    </dataValidation>
  </dataValidations>
  <pageMargins left="0.75" right="0.75" top="1" bottom="1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Z67"/>
  <sheetViews>
    <sheetView showGridLines="0" zoomScale="90" zoomScaleNormal="95" zoomScaleSheetLayoutView="200" workbookViewId="0">
      <selection activeCell="B20" sqref="B20"/>
    </sheetView>
  </sheetViews>
  <sheetFormatPr defaultRowHeight="12.75"/>
  <cols>
    <col min="1" max="1" width="4" customWidth="1"/>
    <col min="2" max="2" width="22.7109375" customWidth="1"/>
    <col min="3" max="3" width="18.5703125" customWidth="1"/>
    <col min="5" max="5" width="22.7109375" customWidth="1"/>
    <col min="6" max="6" width="18.5703125" customWidth="1"/>
    <col min="7" max="7" width="4" customWidth="1"/>
    <col min="8" max="8" width="3" customWidth="1"/>
    <col min="9" max="9" width="23.5703125" bestFit="1" customWidth="1"/>
    <col min="10" max="10" width="13.28515625" bestFit="1" customWidth="1"/>
    <col min="13" max="13" width="16.85546875" bestFit="1" customWidth="1"/>
    <col min="25" max="25" width="10.7109375" customWidth="1"/>
  </cols>
  <sheetData>
    <row r="2" spans="2:23">
      <c r="B2" s="273" t="s">
        <v>148</v>
      </c>
      <c r="C2" s="273"/>
      <c r="D2" s="226"/>
      <c r="E2" s="272" t="s">
        <v>67</v>
      </c>
      <c r="F2" s="272"/>
    </row>
    <row r="3" spans="2:23">
      <c r="B3" s="32" t="s">
        <v>64</v>
      </c>
      <c r="C3" s="225">
        <f ca="1">Model!G7</f>
        <v>331059.02605367382</v>
      </c>
      <c r="D3" s="33"/>
      <c r="E3" s="51" t="s">
        <v>32</v>
      </c>
      <c r="F3" s="43">
        <f>Collar!C8</f>
        <v>37226</v>
      </c>
      <c r="K3" s="40"/>
      <c r="L3" s="40"/>
      <c r="M3" s="40"/>
      <c r="N3" s="40"/>
      <c r="O3" s="40"/>
      <c r="P3" s="40"/>
      <c r="Q3" s="40"/>
      <c r="R3" s="40"/>
      <c r="U3" s="18" t="s">
        <v>40</v>
      </c>
    </row>
    <row r="4" spans="2:23">
      <c r="B4" s="32" t="s">
        <v>63</v>
      </c>
      <c r="C4" s="45">
        <f>Collar!C13</f>
        <v>37200</v>
      </c>
      <c r="D4" s="33"/>
      <c r="E4" s="51" t="s">
        <v>66</v>
      </c>
      <c r="F4" s="59">
        <v>29</v>
      </c>
      <c r="K4" s="43"/>
      <c r="L4" s="40"/>
      <c r="M4" s="40"/>
      <c r="N4" s="40"/>
      <c r="O4" s="40"/>
      <c r="P4" s="40"/>
      <c r="Q4" s="40"/>
      <c r="R4" s="40"/>
    </row>
    <row r="5" spans="2:23">
      <c r="B5" s="32" t="s">
        <v>62</v>
      </c>
      <c r="C5" s="45">
        <v>37200</v>
      </c>
      <c r="D5" s="33"/>
      <c r="E5" s="52" t="s">
        <v>33</v>
      </c>
      <c r="F5" s="53">
        <f>[1]!_xludf.eomonth([1]!_xludf.edate(F3,(F4-1)),0)</f>
        <v>38107</v>
      </c>
      <c r="K5" s="40"/>
      <c r="L5" s="40"/>
      <c r="M5" s="40"/>
      <c r="N5" s="40"/>
      <c r="O5" s="40"/>
      <c r="P5" s="40"/>
      <c r="Q5" s="40"/>
      <c r="R5" s="40"/>
      <c r="T5" s="72"/>
      <c r="U5" s="72"/>
    </row>
    <row r="6" spans="2:23">
      <c r="B6" s="18" t="s">
        <v>68</v>
      </c>
      <c r="C6" s="54" t="str">
        <f>CONCATENATE(DATEDIF(Collar!$C$8,[1]!_xludf.edate(Collar!$C$9,1),"y")," Y ",DATEDIF(Collar!$C$8,[1]!_xludf.edate(Collar!$C$9,1),"YM"), " M ")</f>
        <v xml:space="preserve">0 Y 11 M </v>
      </c>
      <c r="D6" s="33"/>
      <c r="E6" s="223"/>
      <c r="F6" s="223"/>
      <c r="K6" s="40"/>
      <c r="L6" s="40"/>
      <c r="M6" s="40"/>
      <c r="N6" s="40"/>
      <c r="O6" s="40"/>
      <c r="P6" s="40"/>
      <c r="Q6" s="40"/>
      <c r="R6" s="40"/>
      <c r="T6" s="72"/>
      <c r="U6" s="229"/>
    </row>
    <row r="7" spans="2:23">
      <c r="B7" s="52"/>
      <c r="C7" s="220"/>
      <c r="D7" s="33"/>
      <c r="E7" s="52"/>
      <c r="F7" s="68"/>
      <c r="I7" s="40"/>
      <c r="J7" s="40"/>
      <c r="K7" s="40"/>
      <c r="L7" s="40"/>
      <c r="M7" s="40"/>
      <c r="N7" s="40"/>
      <c r="O7" s="40"/>
      <c r="P7" s="40"/>
      <c r="Q7" s="40"/>
      <c r="R7" s="40"/>
      <c r="T7" s="72"/>
      <c r="U7" s="229"/>
    </row>
    <row r="8" spans="2:23" ht="13.5" thickBot="1">
      <c r="B8" s="273" t="s">
        <v>65</v>
      </c>
      <c r="C8" s="273"/>
      <c r="D8" s="33"/>
      <c r="E8" s="272" t="s">
        <v>69</v>
      </c>
      <c r="F8" s="272"/>
      <c r="I8" s="18" t="s">
        <v>28</v>
      </c>
      <c r="K8" s="40"/>
      <c r="L8" s="40"/>
      <c r="M8" s="40"/>
      <c r="N8" s="40"/>
      <c r="O8" s="40"/>
      <c r="P8" s="40"/>
      <c r="Q8" s="40"/>
      <c r="R8" s="40"/>
    </row>
    <row r="9" spans="2:23">
      <c r="B9" s="32" t="s">
        <v>34</v>
      </c>
      <c r="C9" s="47">
        <f ca="1">[1]!_xludf.WORKDAY(TODAY(),-1,Holidays)</f>
        <v>37209</v>
      </c>
      <c r="D9" s="33"/>
      <c r="E9" s="52" t="s">
        <v>70</v>
      </c>
      <c r="F9" s="55">
        <v>0</v>
      </c>
      <c r="I9" s="34">
        <v>37137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52"/>
      <c r="V9" s="40"/>
      <c r="W9" s="40"/>
    </row>
    <row r="10" spans="2:23">
      <c r="B10" s="32" t="s">
        <v>38</v>
      </c>
      <c r="C10" s="46" t="str">
        <f>Collar!C12</f>
        <v>Financial</v>
      </c>
      <c r="D10" s="33"/>
      <c r="E10" s="52" t="s">
        <v>71</v>
      </c>
      <c r="F10" s="58">
        <f ca="1">F9*$C$3</f>
        <v>0</v>
      </c>
      <c r="I10" s="35">
        <v>37217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51"/>
      <c r="V10" s="40"/>
      <c r="W10" s="40"/>
    </row>
    <row r="11" spans="2:23">
      <c r="B11" s="32" t="s">
        <v>56</v>
      </c>
      <c r="C11" s="48">
        <v>0</v>
      </c>
      <c r="D11" s="33"/>
      <c r="E11" s="221"/>
      <c r="F11" s="68"/>
      <c r="I11" s="35">
        <v>37218</v>
      </c>
      <c r="J11" s="6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2:23">
      <c r="B12" s="32" t="s">
        <v>58</v>
      </c>
      <c r="C12" s="49">
        <v>2</v>
      </c>
      <c r="D12" s="33"/>
      <c r="E12" s="221"/>
      <c r="F12" s="68"/>
      <c r="I12" s="35">
        <v>37249</v>
      </c>
      <c r="J12" s="6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2:23">
      <c r="B13" s="32" t="s">
        <v>59</v>
      </c>
      <c r="C13" s="49">
        <v>365.25</v>
      </c>
      <c r="D13" s="33"/>
      <c r="E13" s="221"/>
      <c r="F13" s="222"/>
      <c r="I13" s="35">
        <v>37250</v>
      </c>
      <c r="J13" s="6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2:23">
      <c r="I14" s="36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2:23" ht="14.25" customHeight="1">
      <c r="B15" s="50"/>
      <c r="E15" s="18"/>
      <c r="I15" s="36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2:23">
      <c r="B16" s="227" t="str">
        <f ca="1">IF(AND($B$17="",$B$18="",$B$19="",$B$20="",$B$21=""),"NO WARNING FLAGS","WARNING FLAGS:")</f>
        <v>WARNING FLAGS:</v>
      </c>
      <c r="C16" s="40"/>
      <c r="D16" s="40"/>
      <c r="E16" s="40"/>
      <c r="F16" s="40"/>
      <c r="I16" s="36"/>
      <c r="R16" s="40"/>
      <c r="S16" s="40"/>
      <c r="T16" s="40"/>
      <c r="U16" s="40"/>
      <c r="V16" s="40"/>
      <c r="W16" s="40"/>
    </row>
    <row r="17" spans="2:23">
      <c r="B17" s="228" t="str">
        <f>IF(date=$C$4,"","Current Curve Date Does Not Equal Desired Curve Date.  Press Update Curves")</f>
        <v/>
      </c>
      <c r="C17" s="40"/>
      <c r="D17" s="40"/>
      <c r="E17" s="40"/>
      <c r="F17" s="40"/>
      <c r="I17" s="36"/>
      <c r="R17" s="40"/>
      <c r="S17" s="40"/>
      <c r="T17" s="40"/>
      <c r="U17" s="40"/>
      <c r="V17" s="40"/>
      <c r="W17" s="40"/>
    </row>
    <row r="18" spans="2:23">
      <c r="B18" s="228" t="str">
        <f>IF(OR((TEXT($C$4,"dddd")="Saturday"),(TEXT($C$4,"dddd")="Sunday")),"You may have chosen a curve date that falls on a weekend or holiday.  Choose another date.","")</f>
        <v/>
      </c>
      <c r="C18" s="40"/>
      <c r="D18" s="40"/>
      <c r="E18" s="40"/>
      <c r="F18" s="40"/>
      <c r="I18" s="36"/>
      <c r="R18" s="40"/>
      <c r="S18" s="40"/>
      <c r="T18" s="40"/>
      <c r="U18" s="40"/>
      <c r="V18" s="40"/>
      <c r="W18" s="40"/>
    </row>
    <row r="19" spans="2:23">
      <c r="B19" s="228"/>
      <c r="C19" s="40"/>
      <c r="D19" s="40"/>
      <c r="E19" s="40"/>
      <c r="F19" s="40"/>
      <c r="I19" s="36"/>
      <c r="M19" s="28"/>
      <c r="R19" s="40"/>
      <c r="S19" s="40"/>
      <c r="T19" s="40"/>
      <c r="U19" s="40"/>
      <c r="V19" s="40"/>
      <c r="W19" s="40"/>
    </row>
    <row r="20" spans="2:23" ht="13.5" thickBot="1">
      <c r="B20" s="228"/>
      <c r="C20" s="40"/>
      <c r="D20" s="40"/>
      <c r="E20" s="40"/>
      <c r="F20" s="40"/>
      <c r="I20" s="37"/>
      <c r="M20" s="27"/>
      <c r="R20" s="40"/>
      <c r="S20" s="40"/>
      <c r="T20" s="40"/>
      <c r="U20" s="40"/>
      <c r="V20" s="40"/>
      <c r="W20" s="40"/>
    </row>
    <row r="21" spans="2:23" ht="13.5" customHeight="1">
      <c r="B21" s="228" t="str">
        <f ca="1">IF(OR(Val_Date=$C$4,Val_Date&lt;$C$4),"","Current curve date may not correspond to latest available curves.")</f>
        <v>Current curve date may not correspond to latest available curves.</v>
      </c>
      <c r="C21" s="40"/>
      <c r="D21" s="40"/>
      <c r="E21" s="40"/>
      <c r="F21" s="40"/>
      <c r="I21" s="19"/>
      <c r="R21" s="40"/>
      <c r="S21" s="40"/>
      <c r="T21" s="40"/>
      <c r="U21" s="40"/>
      <c r="V21" s="40"/>
      <c r="W21" s="40"/>
    </row>
    <row r="22" spans="2:23">
      <c r="I22" s="19"/>
      <c r="R22" s="40"/>
      <c r="S22" s="40"/>
      <c r="T22" s="40"/>
      <c r="U22" s="40"/>
      <c r="V22" s="40"/>
      <c r="W22" s="40"/>
    </row>
    <row r="23" spans="2:23">
      <c r="I23" s="19"/>
      <c r="U23" s="33"/>
    </row>
    <row r="24" spans="2:23">
      <c r="B24" s="97"/>
      <c r="C24" s="166" t="s">
        <v>54</v>
      </c>
      <c r="D24" s="226"/>
      <c r="F24" s="18" t="s">
        <v>140</v>
      </c>
      <c r="U24" s="33"/>
    </row>
    <row r="25" spans="2:23">
      <c r="B25" s="98"/>
      <c r="C25" s="167">
        <v>1</v>
      </c>
      <c r="D25" s="33"/>
      <c r="F25" s="198">
        <v>2</v>
      </c>
      <c r="G25" t="s">
        <v>137</v>
      </c>
      <c r="H25" t="s">
        <v>138</v>
      </c>
      <c r="I25" t="s">
        <v>139</v>
      </c>
      <c r="U25" s="33"/>
    </row>
    <row r="26" spans="2:23">
      <c r="B26" s="98">
        <v>1</v>
      </c>
      <c r="C26" s="41" t="s">
        <v>53</v>
      </c>
      <c r="D26" s="33"/>
      <c r="E26">
        <v>1</v>
      </c>
      <c r="F26" t="str">
        <f>CONCATENATE(CurveFetch!$H$4)</f>
        <v>IF-ELPO/SJ</v>
      </c>
      <c r="G26" s="199">
        <v>5</v>
      </c>
      <c r="H26" s="199">
        <v>6</v>
      </c>
      <c r="I26" s="199">
        <v>7</v>
      </c>
      <c r="U26" s="33"/>
    </row>
    <row r="27" spans="2:23">
      <c r="B27" s="165">
        <v>2</v>
      </c>
      <c r="C27" s="42" t="s">
        <v>43</v>
      </c>
      <c r="D27" s="33"/>
      <c r="E27">
        <v>2</v>
      </c>
      <c r="F27" t="str">
        <f>CONCATENATE(CurveFetch!$K$4)</f>
        <v>IF-ELPO/PERMIAN</v>
      </c>
      <c r="G27" s="199">
        <v>8</v>
      </c>
      <c r="H27" s="199">
        <v>9</v>
      </c>
      <c r="I27" s="199">
        <v>10</v>
      </c>
      <c r="U27" s="33"/>
    </row>
    <row r="28" spans="2:23">
      <c r="D28" s="33"/>
      <c r="E28">
        <v>3</v>
      </c>
      <c r="F28" t="str">
        <f>CONCATENATE(CurveFetch!$P$4)</f>
        <v>IF-NWPL_ROCKY_M</v>
      </c>
      <c r="G28" s="199">
        <v>11</v>
      </c>
      <c r="H28" s="199">
        <v>12</v>
      </c>
      <c r="I28" s="199">
        <v>13</v>
      </c>
      <c r="U28" s="33"/>
    </row>
    <row r="29" spans="2:23">
      <c r="B29" s="97"/>
      <c r="C29" s="166" t="s">
        <v>44</v>
      </c>
      <c r="D29" s="33"/>
      <c r="E29">
        <v>4</v>
      </c>
      <c r="F29" t="str">
        <f>CONCATENATE(CurveFetch!$Q$4)</f>
        <v>IF-KERN/RIVER</v>
      </c>
      <c r="G29" s="199">
        <v>14</v>
      </c>
      <c r="H29" s="199">
        <v>15</v>
      </c>
      <c r="I29" s="199">
        <v>4</v>
      </c>
      <c r="U29" s="33"/>
    </row>
    <row r="30" spans="2:23">
      <c r="B30" s="98"/>
      <c r="C30" s="167">
        <v>1</v>
      </c>
      <c r="D30" s="33"/>
      <c r="E30">
        <v>5</v>
      </c>
      <c r="F30" t="str">
        <f>CONCATENATE(CurveFetch!$S$4)</f>
        <v>IF-QUESTAR</v>
      </c>
      <c r="G30" s="199">
        <v>16</v>
      </c>
      <c r="H30" s="199">
        <v>17</v>
      </c>
      <c r="I30" s="199">
        <v>4</v>
      </c>
      <c r="U30" s="33"/>
    </row>
    <row r="31" spans="2:23">
      <c r="B31" s="98">
        <v>1</v>
      </c>
      <c r="C31" s="41" t="s">
        <v>53</v>
      </c>
      <c r="D31" s="33"/>
      <c r="E31">
        <v>6</v>
      </c>
      <c r="F31" t="str">
        <f>CONCATENATE(CurveFetch!$U$4)</f>
        <v>IF-CIG/RKYMTN</v>
      </c>
      <c r="G31" s="199">
        <v>18</v>
      </c>
      <c r="H31" s="199">
        <v>19</v>
      </c>
      <c r="I31" s="199">
        <v>4</v>
      </c>
    </row>
    <row r="32" spans="2:23">
      <c r="B32" s="165">
        <v>2</v>
      </c>
      <c r="C32" s="42" t="s">
        <v>43</v>
      </c>
      <c r="D32" s="33"/>
      <c r="E32">
        <v>7</v>
      </c>
      <c r="F32" t="str">
        <f>CONCATENATE(CurveFetch!$W$4)</f>
        <v>CGPR-AECO/BASIS</v>
      </c>
      <c r="G32" s="199">
        <v>20</v>
      </c>
      <c r="H32" s="199">
        <v>21</v>
      </c>
      <c r="I32" s="199">
        <v>4</v>
      </c>
    </row>
    <row r="33" spans="2:26">
      <c r="B33" s="32"/>
      <c r="C33" s="162"/>
      <c r="D33" s="33"/>
      <c r="E33">
        <v>8</v>
      </c>
      <c r="F33" t="str">
        <f>CONCATENATE(CurveFetch!$Y$4)</f>
        <v>IF-NTHWST/CANBR</v>
      </c>
      <c r="G33" s="199">
        <v>22</v>
      </c>
      <c r="H33" s="199">
        <v>23</v>
      </c>
      <c r="I33" s="199">
        <v>24</v>
      </c>
    </row>
    <row r="34" spans="2:26">
      <c r="B34" s="97"/>
      <c r="C34" s="166" t="s">
        <v>45</v>
      </c>
      <c r="D34" s="33"/>
      <c r="E34">
        <v>9</v>
      </c>
      <c r="F34" t="str">
        <f>CONCATENATE(CurveFetch!$AB$4)</f>
        <v>NGI-MALIN</v>
      </c>
      <c r="G34" s="199">
        <v>25</v>
      </c>
      <c r="H34" s="199">
        <v>26</v>
      </c>
      <c r="I34" s="199">
        <v>4</v>
      </c>
    </row>
    <row r="35" spans="2:26">
      <c r="B35" s="98"/>
      <c r="C35" s="167">
        <v>1</v>
      </c>
      <c r="E35">
        <v>10</v>
      </c>
      <c r="F35" t="str">
        <f>CONCATENATE(CurveFetch!$AD$4)</f>
        <v>NGI-SOCAL</v>
      </c>
      <c r="G35" s="199">
        <v>27</v>
      </c>
      <c r="H35" s="199">
        <v>28</v>
      </c>
      <c r="I35" s="199">
        <v>29</v>
      </c>
    </row>
    <row r="36" spans="2:26">
      <c r="B36" s="98">
        <v>1</v>
      </c>
      <c r="C36" s="41" t="s">
        <v>53</v>
      </c>
      <c r="E36">
        <v>11</v>
      </c>
      <c r="F36" t="str">
        <f>CONCATENATE(CurveFetch!$AG$4)</f>
        <v>NGI-PGE/CG</v>
      </c>
      <c r="G36" s="199">
        <v>30</v>
      </c>
      <c r="H36" s="199">
        <v>31</v>
      </c>
      <c r="I36" s="199">
        <v>4</v>
      </c>
    </row>
    <row r="37" spans="2:26">
      <c r="B37" s="165">
        <v>2</v>
      </c>
      <c r="C37" s="42" t="s">
        <v>43</v>
      </c>
      <c r="E37">
        <v>12</v>
      </c>
      <c r="F37" t="str">
        <f>CONCATENATE(CurveFetch!$AI$4)</f>
        <v>NGI-SOBDR-PG&amp;E</v>
      </c>
      <c r="G37" s="199">
        <v>32</v>
      </c>
      <c r="H37" s="199">
        <v>33</v>
      </c>
      <c r="I37" s="199">
        <v>4</v>
      </c>
    </row>
    <row r="38" spans="2:26">
      <c r="B38" s="32"/>
      <c r="C38" s="46"/>
      <c r="E38" s="32"/>
      <c r="F38" s="44"/>
    </row>
    <row r="39" spans="2:26">
      <c r="B39" s="18"/>
      <c r="C39" s="201"/>
      <c r="E39" s="18"/>
      <c r="F39" s="65"/>
    </row>
    <row r="42" spans="2:26">
      <c r="C42" s="66"/>
    </row>
    <row r="45" spans="2:26">
      <c r="B45" s="40"/>
      <c r="C45" s="40"/>
      <c r="D45" s="40"/>
      <c r="E45" s="40"/>
      <c r="F45" s="40"/>
      <c r="X45" s="18" t="s">
        <v>111</v>
      </c>
      <c r="Y45" s="18"/>
      <c r="Z45" s="18" t="s">
        <v>112</v>
      </c>
    </row>
    <row r="46" spans="2:26">
      <c r="B46" s="40"/>
      <c r="C46" s="40"/>
      <c r="D46" s="40"/>
      <c r="E46" s="40"/>
      <c r="F46" s="40"/>
      <c r="W46">
        <v>1</v>
      </c>
      <c r="X46" s="40" t="s">
        <v>4</v>
      </c>
      <c r="Z46" s="40" t="s">
        <v>4</v>
      </c>
    </row>
    <row r="47" spans="2:26">
      <c r="B47" s="40"/>
      <c r="C47" s="40"/>
      <c r="D47" s="40"/>
      <c r="E47" s="40"/>
      <c r="F47" s="40"/>
      <c r="W47">
        <v>2</v>
      </c>
      <c r="X47" s="40" t="s">
        <v>5</v>
      </c>
      <c r="Z47" s="40" t="s">
        <v>5</v>
      </c>
    </row>
    <row r="48" spans="2:26">
      <c r="B48" s="40"/>
      <c r="C48" s="40"/>
      <c r="D48" s="40"/>
      <c r="E48" s="40"/>
      <c r="F48" s="40"/>
      <c r="W48">
        <v>3</v>
      </c>
      <c r="X48" s="40" t="s">
        <v>6</v>
      </c>
      <c r="Z48" s="40" t="s">
        <v>6</v>
      </c>
    </row>
    <row r="49" spans="2:26">
      <c r="W49">
        <v>4</v>
      </c>
      <c r="X49" s="40" t="s">
        <v>49</v>
      </c>
      <c r="Z49" s="40" t="s">
        <v>49</v>
      </c>
    </row>
    <row r="50" spans="2:26">
      <c r="W50">
        <v>5</v>
      </c>
      <c r="X50" s="40" t="s">
        <v>50</v>
      </c>
      <c r="Z50" s="72" t="s">
        <v>3</v>
      </c>
    </row>
    <row r="51" spans="2:26">
      <c r="W51">
        <v>6</v>
      </c>
      <c r="X51" s="40" t="s">
        <v>48</v>
      </c>
      <c r="Z51" s="72" t="s">
        <v>3</v>
      </c>
    </row>
    <row r="52" spans="2:26">
      <c r="W52">
        <v>7</v>
      </c>
      <c r="X52" s="40" t="s">
        <v>7</v>
      </c>
      <c r="Z52" s="72" t="s">
        <v>3</v>
      </c>
    </row>
    <row r="53" spans="2:26">
      <c r="W53">
        <v>8</v>
      </c>
      <c r="X53" s="40" t="s">
        <v>11</v>
      </c>
      <c r="Z53" s="72" t="s">
        <v>3</v>
      </c>
    </row>
    <row r="54" spans="2:26">
      <c r="W54">
        <v>9</v>
      </c>
      <c r="X54" s="40" t="s">
        <v>9</v>
      </c>
      <c r="Z54" s="72" t="s">
        <v>3</v>
      </c>
    </row>
    <row r="55" spans="2:26">
      <c r="W55">
        <v>10</v>
      </c>
      <c r="X55" s="40" t="s">
        <v>8</v>
      </c>
      <c r="Z55" s="72" t="s">
        <v>8</v>
      </c>
    </row>
    <row r="56" spans="2:26">
      <c r="W56">
        <v>11</v>
      </c>
      <c r="X56" s="40" t="s">
        <v>10</v>
      </c>
      <c r="Z56" s="72" t="s">
        <v>3</v>
      </c>
    </row>
    <row r="57" spans="2:26">
      <c r="W57">
        <v>12</v>
      </c>
      <c r="X57" s="40" t="s">
        <v>47</v>
      </c>
      <c r="Z57" s="72" t="s">
        <v>3</v>
      </c>
    </row>
    <row r="64" spans="2:26">
      <c r="B64" s="208"/>
    </row>
    <row r="65" spans="2:2">
      <c r="B65" s="208"/>
    </row>
    <row r="66" spans="2:2">
      <c r="B66" s="208"/>
    </row>
    <row r="67" spans="2:2">
      <c r="B67" s="208"/>
    </row>
  </sheetData>
  <mergeCells count="4">
    <mergeCell ref="E2:F2"/>
    <mergeCell ref="E8:F8"/>
    <mergeCell ref="B8:C8"/>
    <mergeCell ref="B2:C2"/>
  </mergeCells>
  <phoneticPr fontId="0" type="noConversion"/>
  <printOptions horizontalCentered="1"/>
  <pageMargins left="0.25" right="0.25" top="0.5" bottom="0.5" header="0.25" footer="0.25"/>
  <pageSetup orientation="portrait" r:id="rId1"/>
  <headerFooter alignWithMargins="0">
    <oddHeader>&amp;L&amp;8&amp;D
&amp;T</oddHeader>
    <oddFooter>&amp;L&amp;8&amp;F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autoFill="0" autoPict="0" macro="[0]!CurveFetch">
                <anchor moveWithCells="1" sizeWithCells="1">
                  <from>
                    <xdr:col>4</xdr:col>
                    <xdr:colOff>123825</xdr:colOff>
                    <xdr:row>11</xdr:row>
                    <xdr:rowOff>95250</xdr:rowOff>
                  </from>
                  <to>
                    <xdr:col>5</xdr:col>
                    <xdr:colOff>1095375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" name="Button 80">
              <controlPr defaultSize="0" autoFill="0" autoPict="0" macro="[0]!Print_Chart_Only">
                <anchor moveWithCells="1" sizeWithCells="1">
                  <from>
                    <xdr:col>8</xdr:col>
                    <xdr:colOff>57150</xdr:colOff>
                    <xdr:row>1</xdr:row>
                    <xdr:rowOff>76200</xdr:rowOff>
                  </from>
                  <to>
                    <xdr:col>10</xdr:col>
                    <xdr:colOff>66675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6:H37"/>
  <sheetViews>
    <sheetView topLeftCell="A2" workbookViewId="0">
      <selection activeCell="H6" sqref="H6:H37"/>
    </sheetView>
  </sheetViews>
  <sheetFormatPr defaultRowHeight="12.75"/>
  <cols>
    <col min="7" max="7" width="19" bestFit="1" customWidth="1"/>
  </cols>
  <sheetData>
    <row r="6" spans="2:8">
      <c r="B6" t="str">
        <f>CONCATENATE(CurveFetch!$E$4," ",,CurveFetch!$E$5," ",CurveFetch!$E$6)</f>
        <v>INTNS AA R</v>
      </c>
      <c r="F6" t="str">
        <f>CONCATENATE(CurveFetch!$E$4," ",,CurveFetch!$E$5," ",CurveFetch!$E$6)</f>
        <v>INTNS AA R</v>
      </c>
      <c r="H6" t="str">
        <f>CONCATENATE(CurveFetch!$E$4," ",,CurveFetch!$E$5," ",CurveFetch!$E$6)</f>
        <v>INTNS AA R</v>
      </c>
    </row>
    <row r="7" spans="2:8">
      <c r="B7" t="str">
        <f>CONCATENATE(CurveFetch!$F$4," ",,CurveFetch!$F$5," ",CurveFetch!$F$6)</f>
        <v>NG PR P</v>
      </c>
      <c r="F7" t="str">
        <f>CONCATENATE(CurveFetch!$F$4," ",,CurveFetch!$F$5," ",CurveFetch!$F$6)</f>
        <v>NG PR P</v>
      </c>
      <c r="H7" t="str">
        <f>CONCATENATE(CurveFetch!$F$4," ",,CurveFetch!$F$5," ",CurveFetch!$F$6)</f>
        <v>NG PR P</v>
      </c>
    </row>
    <row r="8" spans="2:8">
      <c r="B8" t="str">
        <f>CONCATENATE(CurveFetch!$G$4," ",,CurveFetch!$G$5," ",CurveFetch!$G$6)</f>
        <v>NG VO P</v>
      </c>
      <c r="F8" t="str">
        <f>CONCATENATE(CurveFetch!$G$4," ",,CurveFetch!$G$5," ",CurveFetch!$G$6)</f>
        <v>NG VO P</v>
      </c>
      <c r="H8" t="str">
        <f>CONCATENATE(CurveFetch!$G$4," ",,CurveFetch!$G$5," ",CurveFetch!$G$6)</f>
        <v>NG VO P</v>
      </c>
    </row>
    <row r="9" spans="2:8">
      <c r="B9" t="str">
        <f>CONCATENATE(CurveFetch!$H$4," ",,CurveFetch!$H$5," ",CurveFetch!$H$6)</f>
        <v>IF-ELPO/SJ PR D</v>
      </c>
      <c r="H9" t="str">
        <f>CONCATENATE(CurveFetch!$H$4," ",,CurveFetch!$H$5," ",CurveFetch!$H$6)</f>
        <v>IF-ELPO/SJ PR D</v>
      </c>
    </row>
    <row r="10" spans="2:8">
      <c r="B10" t="str">
        <f>CONCATENATE(CurveFetch!$I$4," ",,CurveFetch!$I$5," ",CurveFetch!$I$6)</f>
        <v>IF-ELPO/SJ PR I</v>
      </c>
      <c r="H10" t="str">
        <f>CONCATENATE(CurveFetch!$I$4," ",,CurveFetch!$I$5," ",CurveFetch!$I$6)</f>
        <v>IF-ELPO/SJ PR I</v>
      </c>
    </row>
    <row r="11" spans="2:8">
      <c r="B11" t="str">
        <f>CONCATENATE(CurveFetch!$J$4," ",,CurveFetch!$J$5," ",CurveFetch!$J$6)</f>
        <v>IF-ELPO/SJ VO P</v>
      </c>
      <c r="H11" t="str">
        <f>CONCATENATE(CurveFetch!$J$4," ",,CurveFetch!$J$5," ",CurveFetch!$J$6)</f>
        <v>IF-ELPO/SJ VO P</v>
      </c>
    </row>
    <row r="12" spans="2:8">
      <c r="B12" t="str">
        <f>CONCATENATE(CurveFetch!$K$4," ",,CurveFetch!$K$5," ",CurveFetch!$K$6)</f>
        <v>IF-ELPO/PERMIAN PR D</v>
      </c>
      <c r="H12" t="str">
        <f>CONCATENATE(CurveFetch!$K$4," ",,CurveFetch!$K$5," ",CurveFetch!$K$6)</f>
        <v>IF-ELPO/PERMIAN PR D</v>
      </c>
    </row>
    <row r="13" spans="2:8">
      <c r="B13" t="str">
        <f>CONCATENATE(CurveFetch!$L$4," ",,CurveFetch!$L$5," ",CurveFetch!$L$6)</f>
        <v>IF-ELPO/PERMIAN PR I</v>
      </c>
      <c r="H13" t="str">
        <f>CONCATENATE(CurveFetch!$L$4," ",,CurveFetch!$L$5," ",CurveFetch!$L$6)</f>
        <v>IF-ELPO/PERMIAN PR I</v>
      </c>
    </row>
    <row r="14" spans="2:8">
      <c r="B14" t="str">
        <f>CONCATENATE(CurveFetch!$M$4," ",,CurveFetch!$M$5," ",CurveFetch!$M$6)</f>
        <v>IF-ELPO/PERMIAN VO P</v>
      </c>
      <c r="H14" t="str">
        <f>CONCATENATE(CurveFetch!$M$4," ",,CurveFetch!$M$5," ",CurveFetch!$M$6)</f>
        <v>IF-ELPO/PERMIAN VO P</v>
      </c>
    </row>
    <row r="15" spans="2:8">
      <c r="B15" t="str">
        <f>CONCATENATE(CurveFetch!$N$4," ",,CurveFetch!$N$5," ",CurveFetch!$N$6)</f>
        <v>IF-NWPL_ROCKY_M PR D</v>
      </c>
      <c r="H15" t="str">
        <f>CONCATENATE(CurveFetch!$N$4," ",,CurveFetch!$N$5," ",CurveFetch!$N$6)</f>
        <v>IF-NWPL_ROCKY_M PR D</v>
      </c>
    </row>
    <row r="16" spans="2:8">
      <c r="B16" t="str">
        <f>CONCATENATE(CurveFetch!$O$4," ",,CurveFetch!$O$5," ",CurveFetch!$O$6)</f>
        <v>IF-NWPL_ROCKY_M PR I</v>
      </c>
      <c r="H16" t="str">
        <f>CONCATENATE(CurveFetch!$O$4," ",,CurveFetch!$O$5," ",CurveFetch!$O$6)</f>
        <v>IF-NWPL_ROCKY_M PR I</v>
      </c>
    </row>
    <row r="17" spans="2:8">
      <c r="B17" t="str">
        <f>CONCATENATE(CurveFetch!$P$4," ",,CurveFetch!$P$5," ",CurveFetch!$P$6)</f>
        <v>IF-NWPL_ROCKY_M VO P</v>
      </c>
      <c r="H17" t="str">
        <f>CONCATENATE(CurveFetch!$P$4," ",,CurveFetch!$P$5," ",CurveFetch!$P$6)</f>
        <v>IF-NWPL_ROCKY_M VO P</v>
      </c>
    </row>
    <row r="18" spans="2:8">
      <c r="B18" t="str">
        <f>CONCATENATE(CurveFetch!$Q$4," ",,CurveFetch!$Q$5," ",CurveFetch!$Q$6)</f>
        <v>IF-KERN/RIVER PR D</v>
      </c>
      <c r="H18" t="str">
        <f>CONCATENATE(CurveFetch!$Q$4," ",,CurveFetch!$Q$5," ",CurveFetch!$Q$6)</f>
        <v>IF-KERN/RIVER PR D</v>
      </c>
    </row>
    <row r="19" spans="2:8">
      <c r="B19" t="str">
        <f>CONCATENATE(CurveFetch!$R$4," ",,CurveFetch!$R$5," ",CurveFetch!$R$6)</f>
        <v>IF-KERN/RIVER PR I</v>
      </c>
      <c r="H19" t="str">
        <f>CONCATENATE(CurveFetch!$R$4," ",,CurveFetch!$R$5," ",CurveFetch!$R$6)</f>
        <v>IF-KERN/RIVER PR I</v>
      </c>
    </row>
    <row r="20" spans="2:8">
      <c r="B20" t="str">
        <f>CONCATENATE(CurveFetch!$S$4," ",,CurveFetch!$S$5," ",CurveFetch!$S$6)</f>
        <v>IF-QUESTAR PR D</v>
      </c>
      <c r="H20" t="str">
        <f>CONCATENATE(CurveFetch!$S$4," ",,CurveFetch!$S$5," ",CurveFetch!$S$6)</f>
        <v>IF-QUESTAR PR D</v>
      </c>
    </row>
    <row r="21" spans="2:8">
      <c r="B21" t="str">
        <f>CONCATENATE(CurveFetch!$T$4," ",,CurveFetch!$T$5," ",CurveFetch!$T$6)</f>
        <v>IF-QUESTAR PR I</v>
      </c>
      <c r="H21" t="str">
        <f>CONCATENATE(CurveFetch!$T$4," ",,CurveFetch!$T$5," ",CurveFetch!$T$6)</f>
        <v>IF-QUESTAR PR I</v>
      </c>
    </row>
    <row r="22" spans="2:8">
      <c r="B22" t="str">
        <f>CONCATENATE(CurveFetch!$U$4," ",,CurveFetch!$U$5," ",CurveFetch!$U$6)</f>
        <v>IF-CIG/RKYMTN PR D</v>
      </c>
      <c r="H22" t="str">
        <f>CONCATENATE(CurveFetch!$U$4," ",,CurveFetch!$U$5," ",CurveFetch!$U$6)</f>
        <v>IF-CIG/RKYMTN PR D</v>
      </c>
    </row>
    <row r="23" spans="2:8">
      <c r="B23" t="str">
        <f>CONCATENATE(CurveFetch!$V$4," ",,CurveFetch!$V$5," ",CurveFetch!$V$6)</f>
        <v>IF-CIG/RKYMTN PR I</v>
      </c>
      <c r="H23" t="str">
        <f>CONCATENATE(CurveFetch!$V$4," ",,CurveFetch!$V$5," ",CurveFetch!$V$6)</f>
        <v>IF-CIG/RKYMTN PR I</v>
      </c>
    </row>
    <row r="24" spans="2:8">
      <c r="B24" t="str">
        <f>CONCATENATE(CurveFetch!$W$4," ",,CurveFetch!$W$5," ",CurveFetch!$W$6)</f>
        <v>CGPR-AECO/BASIS PR D</v>
      </c>
      <c r="H24" t="str">
        <f>CONCATENATE(CurveFetch!$W$4," ",,CurveFetch!$W$5," ",CurveFetch!$W$6)</f>
        <v>CGPR-AECO/BASIS PR D</v>
      </c>
    </row>
    <row r="25" spans="2:8">
      <c r="B25" t="str">
        <f>CONCATENATE(CurveFetch!$X$4," ",,CurveFetch!$X$5," ",CurveFetch!$X$6)</f>
        <v>CGPR-AECO/BASIS PR I</v>
      </c>
      <c r="H25" t="str">
        <f>CONCATENATE(CurveFetch!$X$4," ",,CurveFetch!$X$5," ",CurveFetch!$X$6)</f>
        <v>CGPR-AECO/BASIS PR I</v>
      </c>
    </row>
    <row r="26" spans="2:8">
      <c r="B26" t="str">
        <f>CONCATENATE(CurveFetch!$Y$4," ",,CurveFetch!$Y$5," ",CurveFetch!$Y$6)</f>
        <v>IF-NTHWST/CANBR PR D</v>
      </c>
      <c r="H26" t="str">
        <f>CONCATENATE(CurveFetch!$Y$4," ",,CurveFetch!$Y$5," ",CurveFetch!$Y$6)</f>
        <v>IF-NTHWST/CANBR PR D</v>
      </c>
    </row>
    <row r="27" spans="2:8">
      <c r="B27" t="str">
        <f>CONCATENATE(CurveFetch!$Z$4," ",,CurveFetch!$Z$5," ",CurveFetch!$Z$6)</f>
        <v>IF-NTHWST/CANBR PR I</v>
      </c>
      <c r="H27" t="str">
        <f>CONCATENATE(CurveFetch!$Z$4," ",,CurveFetch!$Z$5," ",CurveFetch!$Z$6)</f>
        <v>IF-NTHWST/CANBR PR I</v>
      </c>
    </row>
    <row r="28" spans="2:8">
      <c r="B28" t="str">
        <f>CONCATENATE(CurveFetch!$AA$4," ",,CurveFetch!$AA$5," ",CurveFetch!$AA$6)</f>
        <v>IF-NTHWST/CANBR VO P</v>
      </c>
      <c r="H28" t="str">
        <f>CONCATENATE(CurveFetch!$AA$4," ",,CurveFetch!$AA$5," ",CurveFetch!$AA$6)</f>
        <v>IF-NTHWST/CANBR VO P</v>
      </c>
    </row>
    <row r="29" spans="2:8">
      <c r="B29" t="str">
        <f>CONCATENATE(CurveFetch!$AB$4," ",,CurveFetch!$AB$5," ",CurveFetch!$AB$6)</f>
        <v>NGI-MALIN PR D</v>
      </c>
      <c r="H29" t="str">
        <f>CONCATENATE(CurveFetch!$AB$4," ",,CurveFetch!$AB$5," ",CurveFetch!$AB$6)</f>
        <v>NGI-MALIN PR D</v>
      </c>
    </row>
    <row r="30" spans="2:8">
      <c r="B30" t="str">
        <f>CONCATENATE(CurveFetch!$AC$4," ",,CurveFetch!$AC$5," ",CurveFetch!$AC$6)</f>
        <v>NGI-MALIN PR I</v>
      </c>
      <c r="H30" t="str">
        <f>CONCATENATE(CurveFetch!$AC$4," ",,CurveFetch!$AC$5," ",CurveFetch!$AC$6)</f>
        <v>NGI-MALIN PR I</v>
      </c>
    </row>
    <row r="31" spans="2:8">
      <c r="B31" t="str">
        <f>CONCATENATE(CurveFetch!$AD$4," ",,CurveFetch!$AD$5," ",CurveFetch!$AD$6)</f>
        <v>NGI-SOCAL PR D</v>
      </c>
      <c r="H31" t="str">
        <f>CONCATENATE(CurveFetch!$AD$4," ",,CurveFetch!$AD$5," ",CurveFetch!$AD$6)</f>
        <v>NGI-SOCAL PR D</v>
      </c>
    </row>
    <row r="32" spans="2:8">
      <c r="B32" t="str">
        <f>CONCATENATE(CurveFetch!$AE$4," ",,CurveFetch!$AE$5," ",CurveFetch!$AE$6)</f>
        <v>NGI-SOCAL PR I</v>
      </c>
      <c r="H32" t="str">
        <f>CONCATENATE(CurveFetch!$AE$4," ",,CurveFetch!$AE$5," ",CurveFetch!$AE$6)</f>
        <v>NGI-SOCAL PR I</v>
      </c>
    </row>
    <row r="33" spans="2:8">
      <c r="B33" t="str">
        <f>CONCATENATE(CurveFetch!$AF$4," ",,CurveFetch!$AF$5," ",CurveFetch!$AF$6)</f>
        <v>NGI-SOCAL VO P</v>
      </c>
      <c r="H33" t="str">
        <f>CONCATENATE(CurveFetch!$AF$4," ",,CurveFetch!$AF$5," ",CurveFetch!$AF$6)</f>
        <v>NGI-SOCAL VO P</v>
      </c>
    </row>
    <row r="34" spans="2:8">
      <c r="B34" t="str">
        <f>CONCATENATE(CurveFetch!$AG$4," ",,CurveFetch!$AG$5," ",CurveFetch!$AG$6)</f>
        <v>NGI-PGE/CG PR D</v>
      </c>
      <c r="H34" t="str">
        <f>CONCATENATE(CurveFetch!$AG$4," ",,CurveFetch!$AG$5," ",CurveFetch!$AG$6)</f>
        <v>NGI-PGE/CG PR D</v>
      </c>
    </row>
    <row r="35" spans="2:8">
      <c r="B35" t="str">
        <f>CONCATENATE(CurveFetch!$AH$4," ",,CurveFetch!$AH$5," ",CurveFetch!$AH$6)</f>
        <v>NGI-PGE/CG PR I</v>
      </c>
      <c r="H35" t="str">
        <f>CONCATENATE(CurveFetch!$AH$4," ",,CurveFetch!$AH$5," ",CurveFetch!$AH$6)</f>
        <v>NGI-PGE/CG PR I</v>
      </c>
    </row>
    <row r="36" spans="2:8">
      <c r="B36" t="str">
        <f>CONCATENATE(CurveFetch!$AI$4," ",,CurveFetch!$AI$5," ",CurveFetch!$AI$6)</f>
        <v>NGI-SOBDR-PG&amp;E PR D</v>
      </c>
      <c r="H36" t="str">
        <f>CONCATENATE(CurveFetch!$AI$4," ",,CurveFetch!$AI$5," ",CurveFetch!$AI$6)</f>
        <v>NGI-SOBDR-PG&amp;E PR D</v>
      </c>
    </row>
    <row r="37" spans="2:8">
      <c r="B37" t="str">
        <f>CONCATENATE(CurveFetch!$AJ$4," ",,CurveFetch!$AJ$5," ",CurveFetch!$AJ$6)</f>
        <v>NGI-SOBDR-PG&amp;E PR I</v>
      </c>
      <c r="H37" t="str">
        <f>CONCATENATE(CurveFetch!$AJ$4," ",,CurveFetch!$AJ$5," ",CurveFetch!$AJ$6)</f>
        <v>NGI-SOBDR-PG&amp;E PR I</v>
      </c>
    </row>
  </sheetData>
  <phoneticPr fontId="2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332"/>
  <sheetViews>
    <sheetView zoomScale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A40" sqref="AA40:AA41"/>
    </sheetView>
  </sheetViews>
  <sheetFormatPr defaultRowHeight="12.75"/>
  <cols>
    <col min="1" max="1" width="14.85546875" bestFit="1" customWidth="1"/>
    <col min="2" max="2" width="17.42578125" bestFit="1" customWidth="1"/>
    <col min="3" max="3" width="15.42578125" bestFit="1" customWidth="1"/>
    <col min="4" max="4" width="7.28515625" customWidth="1"/>
    <col min="5" max="5" width="17.85546875" bestFit="1" customWidth="1"/>
    <col min="6" max="6" width="17.85546875" customWidth="1"/>
    <col min="7" max="7" width="12.28515625" bestFit="1" customWidth="1"/>
    <col min="8" max="8" width="27.140625" bestFit="1" customWidth="1"/>
    <col min="9" max="9" width="13.85546875" customWidth="1"/>
    <col min="10" max="10" width="16.7109375" customWidth="1"/>
    <col min="11" max="11" width="16.7109375" style="169" customWidth="1"/>
    <col min="12" max="12" width="12.5703125" customWidth="1"/>
    <col min="14" max="14" width="13.5703125" customWidth="1"/>
    <col min="15" max="17" width="13.140625" customWidth="1"/>
    <col min="18" max="18" width="19.7109375" bestFit="1" customWidth="1"/>
    <col min="20" max="20" width="16.140625" customWidth="1"/>
    <col min="21" max="21" width="13.140625" customWidth="1"/>
    <col min="22" max="22" width="16.140625" customWidth="1"/>
    <col min="23" max="25" width="18" style="169" customWidth="1"/>
    <col min="27" max="27" width="13.5703125" style="169" customWidth="1"/>
    <col min="28" max="30" width="13.140625" style="169" customWidth="1"/>
    <col min="31" max="31" width="19.7109375" style="169" bestFit="1" customWidth="1"/>
    <col min="32" max="32" width="9.140625" style="169"/>
    <col min="33" max="33" width="16.140625" style="169" customWidth="1"/>
    <col min="34" max="34" width="13.140625" style="169" customWidth="1"/>
    <col min="35" max="35" width="13.140625" customWidth="1"/>
    <col min="39" max="39" width="15.85546875" bestFit="1" customWidth="1"/>
    <col min="41" max="41" width="13.28515625" bestFit="1" customWidth="1"/>
    <col min="42" max="42" width="4.5703125" customWidth="1"/>
    <col min="43" max="43" width="12.7109375" bestFit="1" customWidth="1"/>
    <col min="44" max="44" width="4.5703125" customWidth="1"/>
    <col min="45" max="45" width="14.85546875" bestFit="1" customWidth="1"/>
    <col min="46" max="46" width="10.85546875" bestFit="1" customWidth="1"/>
    <col min="47" max="47" width="13.140625" customWidth="1"/>
    <col min="48" max="48" width="2.7109375" customWidth="1"/>
    <col min="49" max="49" width="13.140625" customWidth="1"/>
    <col min="51" max="51" width="14.42578125" style="169" customWidth="1"/>
    <col min="52" max="53" width="11.28515625" style="169" bestFit="1" customWidth="1"/>
    <col min="54" max="54" width="9.140625" style="169"/>
    <col min="55" max="55" width="13.140625" style="169" bestFit="1" customWidth="1"/>
    <col min="56" max="56" width="18.85546875" bestFit="1" customWidth="1"/>
  </cols>
  <sheetData>
    <row r="1" spans="1:57">
      <c r="A1">
        <v>1</v>
      </c>
      <c r="B1">
        <f>A1+1</f>
        <v>2</v>
      </c>
      <c r="C1">
        <f t="shared" ref="C1:AO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 s="169">
        <f t="shared" si="0"/>
        <v>27</v>
      </c>
      <c r="AB1" s="169">
        <f t="shared" si="0"/>
        <v>28</v>
      </c>
      <c r="AC1" s="169">
        <f t="shared" si="0"/>
        <v>29</v>
      </c>
      <c r="AD1" s="169">
        <f t="shared" si="0"/>
        <v>30</v>
      </c>
      <c r="AE1" s="169">
        <f t="shared" si="0"/>
        <v>31</v>
      </c>
      <c r="AF1" s="169">
        <f t="shared" si="0"/>
        <v>32</v>
      </c>
      <c r="AG1" s="169">
        <f t="shared" si="0"/>
        <v>33</v>
      </c>
      <c r="AH1" s="169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</row>
    <row r="3" spans="1:57">
      <c r="I3" s="18" t="str">
        <f>CONCATENATE("Compounding: ",Comp_Per)</f>
        <v>Compounding: 2</v>
      </c>
      <c r="N3" s="18"/>
      <c r="S3" s="18"/>
      <c r="W3" s="168"/>
      <c r="AA3" s="168"/>
      <c r="AF3" s="168"/>
      <c r="AO3" s="18"/>
    </row>
    <row r="4" spans="1:57">
      <c r="H4" s="18"/>
      <c r="I4" s="18" t="str">
        <f>CONCATENATE("Bps Charge: ",Cost_of_Funds)</f>
        <v>Bps Charge: 0</v>
      </c>
      <c r="K4" s="18"/>
      <c r="L4" s="18"/>
      <c r="N4" s="18"/>
      <c r="S4" s="18"/>
      <c r="U4" s="66"/>
      <c r="W4" s="168"/>
      <c r="X4" s="168"/>
      <c r="Y4" s="168"/>
      <c r="AA4" s="168"/>
      <c r="AF4" s="168"/>
      <c r="AH4" s="180"/>
      <c r="AI4" s="66"/>
      <c r="AS4" s="18"/>
      <c r="AY4" s="168"/>
      <c r="BC4" s="168"/>
      <c r="BE4" s="18"/>
    </row>
    <row r="5" spans="1:57">
      <c r="A5" s="18" t="s">
        <v>35</v>
      </c>
      <c r="B5" s="18" t="s">
        <v>37</v>
      </c>
      <c r="C5" s="18" t="s">
        <v>36</v>
      </c>
      <c r="E5" s="18" t="s">
        <v>42</v>
      </c>
      <c r="F5" s="18" t="s">
        <v>77</v>
      </c>
      <c r="G5" s="18" t="s">
        <v>64</v>
      </c>
      <c r="H5" s="18" t="s">
        <v>147</v>
      </c>
      <c r="I5" s="18" t="s">
        <v>55</v>
      </c>
      <c r="J5" s="18" t="s">
        <v>57</v>
      </c>
      <c r="K5" s="18"/>
      <c r="L5" s="18"/>
      <c r="N5" s="18"/>
      <c r="O5" s="18"/>
      <c r="P5" s="18"/>
      <c r="Q5" s="18"/>
      <c r="S5" s="18"/>
      <c r="T5" s="18"/>
      <c r="U5" s="18"/>
      <c r="V5" s="18"/>
      <c r="W5" s="168"/>
      <c r="X5" s="168"/>
      <c r="Y5" s="168"/>
      <c r="AA5" s="168"/>
      <c r="AB5" s="168"/>
      <c r="AC5" s="168"/>
      <c r="AD5" s="168"/>
      <c r="AE5" s="168"/>
      <c r="AF5" s="168"/>
      <c r="AG5" s="168"/>
      <c r="AH5" s="168"/>
      <c r="AI5" s="18"/>
      <c r="AJ5" s="18"/>
      <c r="AP5" s="18"/>
      <c r="AQ5" s="18"/>
      <c r="AR5" s="18"/>
      <c r="AS5" s="18"/>
      <c r="AT5" s="18"/>
      <c r="AU5" s="18"/>
      <c r="AV5" s="18"/>
      <c r="AW5" s="18"/>
      <c r="AY5" s="168"/>
      <c r="AZ5" s="168"/>
      <c r="BA5" s="168"/>
      <c r="BC5" s="168"/>
      <c r="BE5" s="18"/>
    </row>
    <row r="6" spans="1:57">
      <c r="A6" s="18" t="s">
        <v>61</v>
      </c>
      <c r="B6" s="18"/>
      <c r="C6" s="18"/>
      <c r="E6" s="18"/>
      <c r="F6" s="18"/>
      <c r="G6" s="30">
        <f ca="1">G7/$G$7</f>
        <v>1</v>
      </c>
      <c r="I6" s="18"/>
      <c r="J6" s="18"/>
      <c r="K6" s="18"/>
      <c r="L6" s="18"/>
      <c r="U6" s="31"/>
      <c r="W6" s="168"/>
      <c r="X6" s="168"/>
      <c r="Y6" s="168"/>
      <c r="AH6" s="181"/>
      <c r="AI6" s="31"/>
      <c r="AJ6" s="18"/>
      <c r="AP6" s="18"/>
      <c r="AQ6" s="30"/>
      <c r="AR6" s="18"/>
      <c r="AS6" s="30"/>
      <c r="AT6" s="30"/>
      <c r="AU6" s="30"/>
      <c r="AV6" s="30"/>
      <c r="AW6" s="30"/>
      <c r="AY6" s="204"/>
      <c r="AZ6" s="204"/>
      <c r="BA6" s="204"/>
      <c r="BC6" s="181"/>
      <c r="BD6" s="30"/>
    </row>
    <row r="7" spans="1:57">
      <c r="A7" s="18" t="s">
        <v>60</v>
      </c>
      <c r="B7" s="18"/>
      <c r="C7" s="18"/>
      <c r="E7" s="18"/>
      <c r="F7" s="67">
        <f>SUM(F8:F288)</f>
        <v>335000</v>
      </c>
      <c r="G7" s="29">
        <f ca="1">SUM(G8:G288)</f>
        <v>331059.02605367382</v>
      </c>
      <c r="I7" s="18"/>
      <c r="J7" s="18"/>
      <c r="K7" s="18"/>
      <c r="L7" s="18"/>
      <c r="U7" s="29"/>
      <c r="W7" s="168"/>
      <c r="X7" s="168"/>
      <c r="Y7" s="168"/>
      <c r="AH7" s="182"/>
      <c r="AI7" s="29"/>
      <c r="AJ7" s="18"/>
      <c r="AP7" s="18"/>
      <c r="AQ7" s="29"/>
      <c r="AR7" s="18"/>
      <c r="AS7" s="29"/>
      <c r="AT7" s="29"/>
      <c r="AU7" s="29"/>
      <c r="AV7" s="29"/>
      <c r="AW7" s="29"/>
      <c r="AY7" s="182"/>
      <c r="AZ7" s="182"/>
      <c r="BA7" s="182"/>
      <c r="BC7" s="182"/>
    </row>
    <row r="8" spans="1:57">
      <c r="A8" s="19">
        <f>Collar!$C$8</f>
        <v>37226</v>
      </c>
      <c r="B8" s="21">
        <f>A9-A8</f>
        <v>31</v>
      </c>
      <c r="C8" s="20">
        <f>IF(Control!$C$10="Physical",Model!A9+24,Model!A9)</f>
        <v>37257</v>
      </c>
      <c r="E8" s="22">
        <f>IF($A8&lt;Collar!$C$9,IF(Collar!$F$26="Flat",Collar!$C$10,VLOOKUP(Model!$A8,Collar!$B$31:$D$184,3)),0)</f>
        <v>1000</v>
      </c>
      <c r="F8" s="22">
        <f>E8*B8</f>
        <v>31000</v>
      </c>
      <c r="G8" s="26">
        <f t="shared" ref="G8:G71" ca="1" si="1">$B8*$E8*$J8</f>
        <v>30908.507894306746</v>
      </c>
      <c r="H8" s="60">
        <f>A8-1-Collar!$C$13</f>
        <v>25</v>
      </c>
      <c r="I8" s="24">
        <f t="shared" ref="I8:I71" si="2">VLOOKUP($C8,Curve_Fetch,2)+Cost_of_Funds</f>
        <v>2.26181366937874E-2</v>
      </c>
      <c r="J8" s="56">
        <f ca="1">1/(1+I8/Comp_Per)^(Comp_Per*(C8-Val_Date)/Days_in_Year)</f>
        <v>0.9970486417518305</v>
      </c>
      <c r="K8" s="200"/>
      <c r="L8" s="23"/>
      <c r="M8" s="23"/>
      <c r="N8" s="57"/>
      <c r="O8" s="57"/>
      <c r="P8" s="61"/>
      <c r="Q8" s="24"/>
      <c r="S8" s="25"/>
      <c r="T8" s="62"/>
      <c r="U8" s="27"/>
      <c r="V8" s="64"/>
      <c r="W8" s="219"/>
      <c r="X8" s="170"/>
      <c r="Y8" s="170"/>
      <c r="AA8" s="183"/>
      <c r="AB8" s="183"/>
      <c r="AC8" s="184"/>
      <c r="AD8" s="185"/>
      <c r="AE8" s="186"/>
      <c r="AF8" s="187"/>
      <c r="AG8" s="188"/>
      <c r="AH8" s="189"/>
      <c r="AI8" s="27"/>
      <c r="AJ8" s="28"/>
      <c r="AP8" s="26"/>
      <c r="AQ8" s="26"/>
      <c r="AR8" s="26"/>
      <c r="AS8" s="27"/>
      <c r="AT8" s="27"/>
      <c r="AU8" s="27"/>
      <c r="AV8" s="27"/>
      <c r="AW8" s="27"/>
      <c r="AY8" s="189"/>
      <c r="AZ8" s="189"/>
      <c r="BA8" s="205"/>
      <c r="BC8" s="189"/>
      <c r="BE8" s="57"/>
    </row>
    <row r="9" spans="1:57">
      <c r="A9" s="19">
        <f>[1]!_xludf.edate(A8,1)</f>
        <v>37257</v>
      </c>
      <c r="B9" s="21">
        <f>A10-A9</f>
        <v>31</v>
      </c>
      <c r="C9" s="20">
        <f>IF(Control!$C$10="Physical",Model!A10+24,Model!A10)</f>
        <v>37288</v>
      </c>
      <c r="E9" s="22">
        <f>IF($A9&lt;Collar!$C$9,IF(Collar!$F$26="Flat",Collar!$C$10,VLOOKUP(Model!$A9,Collar!$B$31:$D$184,3)),0)</f>
        <v>1000</v>
      </c>
      <c r="F9" s="22">
        <f t="shared" ref="F9:F72" si="3">E9*B9</f>
        <v>31000</v>
      </c>
      <c r="G9" s="26">
        <f t="shared" ca="1" si="1"/>
        <v>30852.402097626764</v>
      </c>
      <c r="H9" s="60">
        <f>A9-1-Collar!$C$13</f>
        <v>56</v>
      </c>
      <c r="I9" s="24">
        <f t="shared" si="2"/>
        <v>2.2187865422089299E-2</v>
      </c>
      <c r="J9" s="56">
        <f t="shared" ref="J9:J72" ca="1" si="4">1/(1+I9/2)^(2*(C9-Val_Date)/365.25)</f>
        <v>0.99523877734279886</v>
      </c>
      <c r="K9" s="200"/>
      <c r="L9" s="23"/>
      <c r="M9" s="23"/>
      <c r="N9" s="57"/>
      <c r="O9" s="57"/>
      <c r="P9" s="61"/>
      <c r="Q9" s="24"/>
      <c r="S9" s="25"/>
      <c r="T9" s="62"/>
      <c r="U9" s="27"/>
      <c r="V9" s="64"/>
      <c r="W9" s="170"/>
      <c r="X9" s="170"/>
      <c r="Y9" s="170"/>
      <c r="AA9" s="183"/>
      <c r="AB9" s="183"/>
      <c r="AC9" s="184"/>
      <c r="AD9" s="185"/>
      <c r="AE9" s="186"/>
      <c r="AF9" s="187"/>
      <c r="AG9" s="188"/>
      <c r="AH9" s="189"/>
      <c r="AI9" s="27"/>
      <c r="AJ9" s="28"/>
      <c r="AP9" s="26"/>
      <c r="AQ9" s="26"/>
      <c r="AR9" s="26"/>
      <c r="AS9" s="27"/>
      <c r="AT9" s="27"/>
      <c r="AU9" s="27"/>
      <c r="AV9" s="27"/>
      <c r="AW9" s="27"/>
      <c r="AY9" s="189"/>
      <c r="AZ9" s="189"/>
      <c r="BA9" s="205"/>
      <c r="BC9" s="189"/>
      <c r="BE9" s="57"/>
    </row>
    <row r="10" spans="1:57">
      <c r="A10" s="19">
        <f>[1]!_xludf.edate(A9,1)</f>
        <v>37288</v>
      </c>
      <c r="B10" s="21">
        <f t="shared" ref="B10:B73" si="5">A11-A10</f>
        <v>28</v>
      </c>
      <c r="C10" s="20">
        <f>IF(Control!$C$10="Physical",Model!A11+24,Model!A11)</f>
        <v>37316</v>
      </c>
      <c r="E10" s="22">
        <f>IF($A10&lt;Collar!$C$9,IF(Collar!$F$26="Flat",Collar!$C$10,VLOOKUP(Model!$A10,Collar!$B$31:$D$184,3)),0)</f>
        <v>1000</v>
      </c>
      <c r="F10" s="22">
        <f t="shared" si="3"/>
        <v>28000</v>
      </c>
      <c r="G10" s="26">
        <f t="shared" ca="1" si="1"/>
        <v>27822.626556246225</v>
      </c>
      <c r="H10" s="60">
        <f>A10-1-Collar!$C$13</f>
        <v>87</v>
      </c>
      <c r="I10" s="24">
        <f t="shared" si="2"/>
        <v>2.1810902346369999E-2</v>
      </c>
      <c r="J10" s="56">
        <f t="shared" ca="1" si="4"/>
        <v>0.99366523415165087</v>
      </c>
      <c r="K10" s="200"/>
      <c r="L10" s="23"/>
      <c r="M10" s="23"/>
      <c r="N10" s="57"/>
      <c r="O10" s="57"/>
      <c r="P10" s="61"/>
      <c r="Q10" s="24"/>
      <c r="S10" s="25"/>
      <c r="T10" s="62"/>
      <c r="U10" s="27"/>
      <c r="V10" s="64"/>
      <c r="W10" s="170"/>
      <c r="X10" s="170"/>
      <c r="Y10" s="170"/>
      <c r="AA10" s="183"/>
      <c r="AB10" s="183"/>
      <c r="AC10" s="184"/>
      <c r="AD10" s="185"/>
      <c r="AE10" s="186"/>
      <c r="AF10" s="187"/>
      <c r="AG10" s="188"/>
      <c r="AH10" s="189"/>
      <c r="AI10" s="27"/>
      <c r="AJ10" s="28"/>
      <c r="AP10" s="26"/>
      <c r="AQ10" s="26"/>
      <c r="AR10" s="26"/>
      <c r="AS10" s="27"/>
      <c r="AT10" s="27"/>
      <c r="AU10" s="27"/>
      <c r="AV10" s="27"/>
      <c r="AW10" s="27"/>
      <c r="AY10" s="189"/>
      <c r="AZ10" s="189"/>
      <c r="BA10" s="205"/>
      <c r="BC10" s="189"/>
      <c r="BE10" s="57"/>
    </row>
    <row r="11" spans="1:57">
      <c r="A11" s="19">
        <f>[1]!_xludf.edate(A10,1)</f>
        <v>37316</v>
      </c>
      <c r="B11" s="21">
        <f t="shared" si="5"/>
        <v>31</v>
      </c>
      <c r="C11" s="20">
        <f>IF(Control!$C$10="Physical",Model!A12+24,Model!A12)</f>
        <v>37347</v>
      </c>
      <c r="E11" s="22">
        <f>IF($A11&lt;Collar!$C$9,IF(Collar!$F$26="Flat",Collar!$C$10,VLOOKUP(Model!$A11,Collar!$B$31:$D$184,3)),0)</f>
        <v>1000</v>
      </c>
      <c r="F11" s="22">
        <f t="shared" si="3"/>
        <v>31000</v>
      </c>
      <c r="G11" s="26">
        <f t="shared" ca="1" si="1"/>
        <v>30750.241013300441</v>
      </c>
      <c r="H11" s="60">
        <f>A11-1-Collar!$C$13</f>
        <v>115</v>
      </c>
      <c r="I11" s="24">
        <f t="shared" si="2"/>
        <v>2.1525470534948798E-2</v>
      </c>
      <c r="J11" s="56">
        <f t="shared" ca="1" si="4"/>
        <v>0.99194325849356257</v>
      </c>
      <c r="K11" s="200"/>
      <c r="L11" s="23"/>
      <c r="M11" s="23"/>
      <c r="N11" s="57"/>
      <c r="O11" s="57"/>
      <c r="P11" s="61"/>
      <c r="Q11" s="24"/>
      <c r="S11" s="25"/>
      <c r="T11" s="62"/>
      <c r="U11" s="27"/>
      <c r="V11" s="64"/>
      <c r="W11" s="170"/>
      <c r="X11" s="170"/>
      <c r="Y11" s="170"/>
      <c r="AA11" s="183"/>
      <c r="AB11" s="183"/>
      <c r="AC11" s="184"/>
      <c r="AD11" s="185"/>
      <c r="AE11" s="186"/>
      <c r="AF11" s="187"/>
      <c r="AG11" s="188"/>
      <c r="AH11" s="189"/>
      <c r="AI11" s="27"/>
      <c r="AJ11" s="28"/>
      <c r="AP11" s="26"/>
      <c r="AQ11" s="26"/>
      <c r="AR11" s="26"/>
      <c r="AS11" s="27"/>
      <c r="AT11" s="27"/>
      <c r="AU11" s="27"/>
      <c r="AV11" s="27"/>
      <c r="AW11" s="27"/>
      <c r="AY11" s="189"/>
      <c r="AZ11" s="189"/>
      <c r="BA11" s="205"/>
      <c r="BC11" s="189"/>
      <c r="BE11" s="57"/>
    </row>
    <row r="12" spans="1:57">
      <c r="A12" s="19">
        <f>[1]!_xludf.edate(A11,1)</f>
        <v>37347</v>
      </c>
      <c r="B12" s="21">
        <f t="shared" si="5"/>
        <v>30</v>
      </c>
      <c r="C12" s="20">
        <f>IF(Control!$C$10="Physical",Model!A13+24,Model!A13)</f>
        <v>37377</v>
      </c>
      <c r="E12" s="22">
        <f>IF($A12&lt;Collar!$C$9,IF(Collar!$F$26="Flat",Collar!$C$10,VLOOKUP(Model!$A12,Collar!$B$31:$D$184,3)),0)</f>
        <v>1000</v>
      </c>
      <c r="F12" s="22">
        <f t="shared" si="3"/>
        <v>30000</v>
      </c>
      <c r="G12" s="26">
        <f t="shared" ca="1" si="1"/>
        <v>29707.254143434071</v>
      </c>
      <c r="H12" s="60">
        <f>A12-1-Collar!$C$13</f>
        <v>146</v>
      </c>
      <c r="I12" s="24">
        <f t="shared" si="2"/>
        <v>2.1433587771404899E-2</v>
      </c>
      <c r="J12" s="56">
        <f t="shared" ca="1" si="4"/>
        <v>0.99024180478113566</v>
      </c>
      <c r="K12" s="200"/>
      <c r="L12" s="23"/>
      <c r="M12" s="23"/>
      <c r="N12" s="57"/>
      <c r="O12" s="57"/>
      <c r="P12" s="61"/>
      <c r="Q12" s="24"/>
      <c r="S12" s="25"/>
      <c r="T12" s="62"/>
      <c r="U12" s="27"/>
      <c r="V12" s="64"/>
      <c r="W12" s="170"/>
      <c r="X12" s="170"/>
      <c r="Y12" s="170"/>
      <c r="AA12" s="183"/>
      <c r="AB12" s="183"/>
      <c r="AC12" s="184"/>
      <c r="AD12" s="185"/>
      <c r="AE12" s="186"/>
      <c r="AF12" s="187"/>
      <c r="AG12" s="188"/>
      <c r="AH12" s="189"/>
      <c r="AI12" s="27"/>
      <c r="AJ12" s="28"/>
      <c r="AP12" s="26"/>
      <c r="AQ12" s="26"/>
      <c r="AR12" s="26"/>
      <c r="AS12" s="27"/>
      <c r="AT12" s="27"/>
      <c r="AU12" s="27"/>
      <c r="AV12" s="27"/>
      <c r="AW12" s="27"/>
      <c r="AY12" s="189"/>
      <c r="AZ12" s="189"/>
      <c r="BA12" s="205"/>
      <c r="BC12" s="189"/>
      <c r="BE12" s="57"/>
    </row>
    <row r="13" spans="1:57">
      <c r="A13" s="19">
        <f>[1]!_xludf.edate(A12,1)</f>
        <v>37377</v>
      </c>
      <c r="B13" s="21">
        <f t="shared" si="5"/>
        <v>31</v>
      </c>
      <c r="C13" s="20">
        <f>IF(Control!$C$10="Physical",Model!A14+24,Model!A14)</f>
        <v>37408</v>
      </c>
      <c r="E13" s="22">
        <f>IF($A13&lt;Collar!$C$9,IF(Collar!$F$26="Flat",Collar!$C$10,VLOOKUP(Model!$A13,Collar!$B$31:$D$184,3)),0)</f>
        <v>1000</v>
      </c>
      <c r="F13" s="22">
        <f t="shared" si="3"/>
        <v>31000</v>
      </c>
      <c r="G13" s="26">
        <f t="shared" ca="1" si="1"/>
        <v>30643.568571442982</v>
      </c>
      <c r="H13" s="60">
        <f>A13-1-Collar!$C$13</f>
        <v>176</v>
      </c>
      <c r="I13" s="24">
        <f t="shared" si="2"/>
        <v>2.1338642252079602E-2</v>
      </c>
      <c r="J13" s="56">
        <f t="shared" ca="1" si="4"/>
        <v>0.9885022119820317</v>
      </c>
      <c r="K13" s="200"/>
      <c r="L13" s="23"/>
      <c r="M13" s="23"/>
      <c r="N13" s="57"/>
      <c r="O13" s="57"/>
      <c r="P13" s="61"/>
      <c r="Q13" s="24"/>
      <c r="S13" s="25"/>
      <c r="T13" s="62"/>
      <c r="U13" s="27"/>
      <c r="V13" s="64"/>
      <c r="W13" s="170"/>
      <c r="X13" s="170"/>
      <c r="Y13" s="170"/>
      <c r="AA13" s="183"/>
      <c r="AB13" s="183"/>
      <c r="AC13" s="184"/>
      <c r="AD13" s="185"/>
      <c r="AE13" s="186"/>
      <c r="AF13" s="187"/>
      <c r="AG13" s="188"/>
      <c r="AH13" s="189"/>
      <c r="AI13" s="27"/>
      <c r="AJ13" s="28"/>
      <c r="AP13" s="26"/>
      <c r="AQ13" s="26"/>
      <c r="AR13" s="26"/>
      <c r="AS13" s="27"/>
      <c r="AT13" s="27"/>
      <c r="AU13" s="27"/>
      <c r="AV13" s="27"/>
      <c r="AW13" s="27"/>
      <c r="AY13" s="189"/>
      <c r="AZ13" s="189"/>
      <c r="BA13" s="205"/>
      <c r="BC13" s="189"/>
      <c r="BE13" s="57"/>
    </row>
    <row r="14" spans="1:57">
      <c r="A14" s="19">
        <f>[1]!_xludf.edate(A13,1)</f>
        <v>37408</v>
      </c>
      <c r="B14" s="21">
        <f t="shared" si="5"/>
        <v>30</v>
      </c>
      <c r="C14" s="20">
        <f>IF(Control!$C$10="Physical",Model!A15+24,Model!A15)</f>
        <v>37438</v>
      </c>
      <c r="E14" s="22">
        <f>IF($A14&lt;Collar!$C$9,IF(Collar!$F$26="Flat",Collar!$C$10,VLOOKUP(Model!$A14,Collar!$B$31:$D$184,3)),0)</f>
        <v>1000</v>
      </c>
      <c r="F14" s="22">
        <f t="shared" si="3"/>
        <v>30000</v>
      </c>
      <c r="G14" s="26">
        <f t="shared" ca="1" si="1"/>
        <v>29603.100838008162</v>
      </c>
      <c r="H14" s="60">
        <f>A14-1-Collar!$C$13</f>
        <v>207</v>
      </c>
      <c r="I14" s="24">
        <f t="shared" si="2"/>
        <v>2.13555560852292E-2</v>
      </c>
      <c r="J14" s="56">
        <f t="shared" ca="1" si="4"/>
        <v>0.98677002793360535</v>
      </c>
      <c r="K14" s="200"/>
      <c r="L14" s="23"/>
      <c r="M14" s="23"/>
      <c r="N14" s="57"/>
      <c r="O14" s="57"/>
      <c r="P14" s="61"/>
      <c r="Q14" s="24"/>
      <c r="S14" s="25"/>
      <c r="T14" s="62"/>
      <c r="U14" s="27"/>
      <c r="V14" s="64"/>
      <c r="W14" s="170"/>
      <c r="X14" s="170"/>
      <c r="Y14" s="170"/>
      <c r="AA14" s="183"/>
      <c r="AB14" s="183"/>
      <c r="AC14" s="184"/>
      <c r="AD14" s="185"/>
      <c r="AE14" s="186"/>
      <c r="AF14" s="187"/>
      <c r="AG14" s="188"/>
      <c r="AH14" s="189"/>
      <c r="AI14" s="27"/>
      <c r="AJ14" s="28"/>
      <c r="AP14" s="26"/>
      <c r="AQ14" s="26"/>
      <c r="AR14" s="26"/>
      <c r="AS14" s="27"/>
      <c r="AT14" s="27"/>
      <c r="AU14" s="27"/>
      <c r="AV14" s="27"/>
      <c r="AW14" s="27"/>
      <c r="AY14" s="189"/>
      <c r="AZ14" s="189"/>
      <c r="BA14" s="205"/>
      <c r="BC14" s="189"/>
      <c r="BE14" s="57"/>
    </row>
    <row r="15" spans="1:57">
      <c r="A15" s="19">
        <f>[1]!_xludf.edate(A14,1)</f>
        <v>37438</v>
      </c>
      <c r="B15" s="21">
        <f t="shared" si="5"/>
        <v>31</v>
      </c>
      <c r="C15" s="20">
        <f>IF(Control!$C$10="Physical",Model!A16+24,Model!A16)</f>
        <v>37469</v>
      </c>
      <c r="E15" s="22">
        <f>IF($A15&lt;Collar!$C$9,IF(Collar!$F$26="Flat",Collar!$C$10,VLOOKUP(Model!$A15,Collar!$B$31:$D$184,3)),0)</f>
        <v>1000</v>
      </c>
      <c r="F15" s="22">
        <f t="shared" si="3"/>
        <v>31000</v>
      </c>
      <c r="G15" s="26">
        <f t="shared" ca="1" si="1"/>
        <v>30530.615469445456</v>
      </c>
      <c r="H15" s="60">
        <f>A15-1-Collar!$C$13</f>
        <v>237</v>
      </c>
      <c r="I15" s="24">
        <f t="shared" si="2"/>
        <v>2.1548745879088799E-2</v>
      </c>
      <c r="J15" s="56">
        <f t="shared" ca="1" si="4"/>
        <v>0.98485856353049861</v>
      </c>
      <c r="K15" s="200"/>
      <c r="L15" s="23"/>
      <c r="M15" s="23"/>
      <c r="N15" s="57"/>
      <c r="O15" s="57"/>
      <c r="P15" s="61"/>
      <c r="Q15" s="24"/>
      <c r="S15" s="25"/>
      <c r="T15" s="62"/>
      <c r="U15" s="27"/>
      <c r="V15" s="64"/>
      <c r="W15" s="170"/>
      <c r="X15" s="170"/>
      <c r="Y15" s="170"/>
      <c r="AA15" s="183"/>
      <c r="AB15" s="183"/>
      <c r="AC15" s="184"/>
      <c r="AD15" s="185"/>
      <c r="AE15" s="186"/>
      <c r="AF15" s="187"/>
      <c r="AG15" s="188"/>
      <c r="AH15" s="189"/>
      <c r="AI15" s="27"/>
      <c r="AJ15" s="28"/>
      <c r="AP15" s="26"/>
      <c r="AQ15" s="26"/>
      <c r="AR15" s="26"/>
      <c r="AS15" s="27"/>
      <c r="AT15" s="27"/>
      <c r="AU15" s="27"/>
      <c r="AV15" s="27"/>
      <c r="AW15" s="27"/>
      <c r="AY15" s="189"/>
      <c r="AZ15" s="189"/>
      <c r="BA15" s="205"/>
      <c r="BC15" s="189"/>
      <c r="BE15" s="57"/>
    </row>
    <row r="16" spans="1:57">
      <c r="A16" s="19">
        <f>[1]!_xludf.edate(A15,1)</f>
        <v>37469</v>
      </c>
      <c r="B16" s="21">
        <f t="shared" si="5"/>
        <v>31</v>
      </c>
      <c r="C16" s="20">
        <f>IF(Control!$C$10="Physical",Model!A17+24,Model!A17)</f>
        <v>37500</v>
      </c>
      <c r="E16" s="22">
        <f>IF($A16&lt;Collar!$C$9,IF(Collar!$F$26="Flat",Collar!$C$10,VLOOKUP(Model!$A16,Collar!$B$31:$D$184,3)),0)</f>
        <v>1000</v>
      </c>
      <c r="F16" s="22">
        <f t="shared" si="3"/>
        <v>31000</v>
      </c>
      <c r="G16" s="26">
        <f t="shared" ca="1" si="1"/>
        <v>30470.486658251655</v>
      </c>
      <c r="H16" s="60">
        <f>A16-1-Collar!$C$13</f>
        <v>268</v>
      </c>
      <c r="I16" s="24">
        <f t="shared" si="2"/>
        <v>2.17419356855846E-2</v>
      </c>
      <c r="J16" s="56">
        <f t="shared" ca="1" si="4"/>
        <v>0.98291892445973084</v>
      </c>
      <c r="K16" s="200"/>
      <c r="L16" s="23"/>
      <c r="M16" s="23"/>
      <c r="N16" s="57"/>
      <c r="O16" s="57"/>
      <c r="P16" s="61"/>
      <c r="Q16" s="24"/>
      <c r="S16" s="25"/>
      <c r="T16" s="62"/>
      <c r="U16" s="27"/>
      <c r="V16" s="64"/>
      <c r="W16" s="170"/>
      <c r="X16" s="170"/>
      <c r="Y16" s="170"/>
      <c r="AA16" s="183"/>
      <c r="AB16" s="183"/>
      <c r="AC16" s="184"/>
      <c r="AD16" s="185"/>
      <c r="AE16" s="186"/>
      <c r="AF16" s="187"/>
      <c r="AG16" s="188"/>
      <c r="AH16" s="189"/>
      <c r="AI16" s="27"/>
      <c r="AJ16" s="28"/>
      <c r="AP16" s="26"/>
      <c r="AQ16" s="26"/>
      <c r="AR16" s="26"/>
      <c r="AS16" s="27"/>
      <c r="AT16" s="27"/>
      <c r="AU16" s="27"/>
      <c r="AV16" s="27"/>
      <c r="AW16" s="27"/>
      <c r="AY16" s="189"/>
      <c r="AZ16" s="189"/>
      <c r="BA16" s="205"/>
      <c r="BC16" s="189"/>
      <c r="BE16" s="57"/>
    </row>
    <row r="17" spans="1:57">
      <c r="A17" s="19">
        <f>[1]!_xludf.edate(A16,1)</f>
        <v>37500</v>
      </c>
      <c r="B17" s="21">
        <f t="shared" si="5"/>
        <v>30</v>
      </c>
      <c r="C17" s="20">
        <f>IF(Control!$C$10="Physical",Model!A18+24,Model!A18)</f>
        <v>37530</v>
      </c>
      <c r="E17" s="22">
        <f>IF($A17&lt;Collar!$C$9,IF(Collar!$F$26="Flat",Collar!$C$10,VLOOKUP(Model!$A17,Collar!$B$31:$D$184,3)),0)</f>
        <v>1000</v>
      </c>
      <c r="F17" s="22">
        <f t="shared" si="3"/>
        <v>30000</v>
      </c>
      <c r="G17" s="26">
        <f t="shared" ca="1" si="1"/>
        <v>29428.442139516184</v>
      </c>
      <c r="H17" s="60">
        <f>A17-1-Collar!$C$13</f>
        <v>299</v>
      </c>
      <c r="I17" s="24">
        <f t="shared" si="2"/>
        <v>2.2007615906506101E-2</v>
      </c>
      <c r="J17" s="56">
        <f t="shared" ca="1" si="4"/>
        <v>0.98094807131720618</v>
      </c>
      <c r="K17" s="200"/>
      <c r="L17" s="23"/>
      <c r="M17" s="23"/>
      <c r="N17" s="57"/>
      <c r="O17" s="57"/>
      <c r="P17" s="61"/>
      <c r="Q17" s="24"/>
      <c r="S17" s="25"/>
      <c r="T17" s="62"/>
      <c r="U17" s="27"/>
      <c r="V17" s="64"/>
      <c r="W17" s="170"/>
      <c r="X17" s="170"/>
      <c r="Y17" s="170"/>
      <c r="AA17" s="183"/>
      <c r="AB17" s="183"/>
      <c r="AC17" s="184"/>
      <c r="AD17" s="185"/>
      <c r="AE17" s="186"/>
      <c r="AF17" s="187"/>
      <c r="AG17" s="188"/>
      <c r="AH17" s="189"/>
      <c r="AI17" s="27"/>
      <c r="AJ17" s="28"/>
      <c r="AP17" s="26"/>
      <c r="AQ17" s="26"/>
      <c r="AR17" s="26"/>
      <c r="AS17" s="27"/>
      <c r="AT17" s="27"/>
      <c r="AU17" s="27"/>
      <c r="AV17" s="27"/>
      <c r="AW17" s="27"/>
      <c r="AY17" s="189"/>
      <c r="AZ17" s="189"/>
      <c r="BA17" s="205"/>
      <c r="BC17" s="189"/>
      <c r="BE17" s="57"/>
    </row>
    <row r="18" spans="1:57">
      <c r="A18" s="19">
        <f>[1]!_xludf.edate(A17,1)</f>
        <v>37530</v>
      </c>
      <c r="B18" s="21">
        <f t="shared" si="5"/>
        <v>31</v>
      </c>
      <c r="C18" s="20">
        <f>IF(Control!$C$10="Physical",Model!A19+24,Model!A19)</f>
        <v>37561</v>
      </c>
      <c r="E18" s="22">
        <f>IF($A18&lt;Collar!$C$9,IF(Collar!$F$26="Flat",Collar!$C$10,VLOOKUP(Model!$A18,Collar!$B$31:$D$184,3)),0)</f>
        <v>1000</v>
      </c>
      <c r="F18" s="22">
        <f t="shared" si="3"/>
        <v>31000</v>
      </c>
      <c r="G18" s="26">
        <f t="shared" ca="1" si="1"/>
        <v>30341.780672095116</v>
      </c>
      <c r="H18" s="60">
        <f>A18-1-Collar!$C$13</f>
        <v>329</v>
      </c>
      <c r="I18" s="24">
        <f t="shared" si="2"/>
        <v>2.2393841010643002E-2</v>
      </c>
      <c r="J18" s="56">
        <f t="shared" ca="1" si="4"/>
        <v>0.97876711845468112</v>
      </c>
      <c r="K18" s="200"/>
      <c r="L18" s="23"/>
      <c r="M18" s="23"/>
      <c r="N18" s="57"/>
      <c r="O18" s="57"/>
      <c r="P18" s="61"/>
      <c r="Q18" s="24"/>
      <c r="S18" s="25"/>
      <c r="T18" s="62"/>
      <c r="U18" s="27"/>
      <c r="V18" s="64"/>
      <c r="W18" s="170"/>
      <c r="X18" s="170"/>
      <c r="Y18" s="170"/>
      <c r="AA18" s="183"/>
      <c r="AB18" s="183"/>
      <c r="AC18" s="184"/>
      <c r="AD18" s="185"/>
      <c r="AE18" s="186"/>
      <c r="AF18" s="187"/>
      <c r="AG18" s="188"/>
      <c r="AH18" s="189"/>
      <c r="AI18" s="27"/>
      <c r="AJ18" s="28"/>
      <c r="AP18" s="26"/>
      <c r="AQ18" s="26"/>
      <c r="AR18" s="26"/>
      <c r="AS18" s="27"/>
      <c r="AT18" s="27"/>
      <c r="AU18" s="27"/>
      <c r="AV18" s="27"/>
      <c r="AW18" s="27"/>
      <c r="AY18" s="189"/>
      <c r="AZ18" s="189"/>
      <c r="BA18" s="205"/>
      <c r="BC18" s="189"/>
      <c r="BE18" s="57"/>
    </row>
    <row r="19" spans="1:57">
      <c r="A19" s="19">
        <f>[1]!_xludf.edate(A18,1)</f>
        <v>37561</v>
      </c>
      <c r="B19" s="21">
        <f t="shared" si="5"/>
        <v>30</v>
      </c>
      <c r="C19" s="20">
        <f>IF(Control!$C$10="Physical",Model!A20+24,Model!A20)</f>
        <v>37591</v>
      </c>
      <c r="E19" s="22">
        <f>IF($A19&lt;Collar!$C$9,IF(Collar!$F$26="Flat",Collar!$C$10,VLOOKUP(Model!$A19,Collar!$B$31:$D$184,3)),0)</f>
        <v>0</v>
      </c>
      <c r="F19" s="22">
        <f t="shared" si="3"/>
        <v>0</v>
      </c>
      <c r="G19" s="26">
        <f t="shared" ca="1" si="1"/>
        <v>0</v>
      </c>
      <c r="H19" s="60">
        <f>A19-1-Collar!$C$13</f>
        <v>360</v>
      </c>
      <c r="I19" s="24">
        <f t="shared" si="2"/>
        <v>2.2767607288521698E-2</v>
      </c>
      <c r="J19" s="25">
        <f t="shared" ca="1" si="4"/>
        <v>0.97660091249141645</v>
      </c>
      <c r="K19" s="200"/>
      <c r="L19" s="23"/>
      <c r="M19" s="23"/>
      <c r="N19" s="57"/>
      <c r="O19" s="57"/>
      <c r="P19" s="61"/>
      <c r="Q19" s="24"/>
      <c r="S19" s="25"/>
      <c r="T19" s="62"/>
      <c r="U19" s="27"/>
      <c r="V19" s="64"/>
      <c r="W19" s="170"/>
      <c r="X19" s="170"/>
      <c r="Y19" s="170"/>
      <c r="AA19" s="183"/>
      <c r="AB19" s="183"/>
      <c r="AC19" s="184"/>
      <c r="AD19" s="185"/>
      <c r="AE19" s="186"/>
      <c r="AF19" s="187"/>
      <c r="AG19" s="188"/>
      <c r="AH19" s="189"/>
      <c r="AI19" s="27"/>
      <c r="AJ19" s="28"/>
      <c r="AP19" s="26"/>
      <c r="AQ19" s="26"/>
      <c r="AR19" s="26"/>
      <c r="AS19" s="27"/>
      <c r="AT19" s="27"/>
      <c r="AU19" s="27"/>
      <c r="AV19" s="27"/>
      <c r="AW19" s="27"/>
      <c r="AY19" s="189"/>
      <c r="AZ19" s="189"/>
      <c r="BA19" s="205"/>
      <c r="BC19" s="189"/>
      <c r="BE19" s="57"/>
    </row>
    <row r="20" spans="1:57">
      <c r="A20" s="19">
        <f>[1]!_xludf.edate(A19,1)</f>
        <v>37591</v>
      </c>
      <c r="B20" s="21">
        <f t="shared" si="5"/>
        <v>31</v>
      </c>
      <c r="C20" s="20">
        <f>IF(Control!$C$10="Physical",Model!A21+24,Model!A21)</f>
        <v>37622</v>
      </c>
      <c r="E20" s="22">
        <f>IF($A20&lt;Collar!$C$9,IF(Collar!$F$26="Flat",Collar!$C$10,VLOOKUP(Model!$A20,Collar!$B$31:$D$184,3)),0)</f>
        <v>0</v>
      </c>
      <c r="F20" s="22">
        <f t="shared" si="3"/>
        <v>0</v>
      </c>
      <c r="G20" s="26">
        <f t="shared" ca="1" si="1"/>
        <v>0</v>
      </c>
      <c r="H20" s="60">
        <f>A20-1-Collar!$C$13</f>
        <v>390</v>
      </c>
      <c r="I20" s="24">
        <f t="shared" si="2"/>
        <v>2.32255729687663E-2</v>
      </c>
      <c r="J20" s="25">
        <f t="shared" ca="1" si="4"/>
        <v>0.97422734319665549</v>
      </c>
      <c r="K20" s="200"/>
      <c r="L20" s="23"/>
      <c r="M20" s="23"/>
      <c r="N20" s="57"/>
      <c r="O20" s="57"/>
      <c r="P20" s="61"/>
      <c r="Q20" s="24"/>
      <c r="S20" s="25"/>
      <c r="T20" s="62"/>
      <c r="U20" s="27"/>
      <c r="V20" s="64"/>
      <c r="W20" s="170"/>
      <c r="X20" s="170"/>
      <c r="Y20" s="170"/>
      <c r="AA20" s="183"/>
      <c r="AB20" s="183"/>
      <c r="AC20" s="184"/>
      <c r="AD20" s="185"/>
      <c r="AE20" s="186"/>
      <c r="AF20" s="187"/>
      <c r="AG20" s="188"/>
      <c r="AH20" s="189"/>
      <c r="AI20" s="27"/>
      <c r="AJ20" s="28"/>
      <c r="AP20" s="26"/>
      <c r="AQ20" s="26"/>
      <c r="AR20" s="26"/>
      <c r="AS20" s="27"/>
      <c r="AT20" s="27"/>
      <c r="AU20" s="27"/>
      <c r="AV20" s="27"/>
      <c r="AW20" s="27"/>
      <c r="AY20" s="189"/>
      <c r="AZ20" s="189"/>
      <c r="BA20" s="205"/>
      <c r="BC20" s="189"/>
      <c r="BE20" s="57"/>
    </row>
    <row r="21" spans="1:57">
      <c r="A21" s="19">
        <f>[1]!_xludf.edate(A20,1)</f>
        <v>37622</v>
      </c>
      <c r="B21" s="21">
        <f t="shared" si="5"/>
        <v>31</v>
      </c>
      <c r="C21" s="20">
        <f>IF(Control!$C$10="Physical",Model!A22+24,Model!A22)</f>
        <v>37653</v>
      </c>
      <c r="E21" s="22">
        <f>IF($A21&lt;Collar!$C$9,IF(Collar!$F$26="Flat",Collar!$C$10,VLOOKUP(Model!$A21,Collar!$B$31:$D$184,3)),0)</f>
        <v>0</v>
      </c>
      <c r="F21" s="22">
        <f t="shared" si="3"/>
        <v>0</v>
      </c>
      <c r="G21" s="26">
        <f t="shared" ca="1" si="1"/>
        <v>0</v>
      </c>
      <c r="H21" s="60">
        <f>A21-1-Collar!$C$13</f>
        <v>421</v>
      </c>
      <c r="I21" s="24">
        <f t="shared" si="2"/>
        <v>2.3770652171883001E-2</v>
      </c>
      <c r="J21" s="25">
        <f t="shared" ca="1" si="4"/>
        <v>0.97168327888066863</v>
      </c>
      <c r="K21" s="200"/>
      <c r="L21" s="23"/>
      <c r="M21" s="23"/>
      <c r="N21" s="57"/>
      <c r="O21" s="57"/>
      <c r="P21" s="61"/>
      <c r="Q21" s="24"/>
      <c r="S21" s="25"/>
      <c r="T21" s="62"/>
      <c r="U21" s="27"/>
      <c r="V21" s="64"/>
      <c r="W21" s="170"/>
      <c r="X21" s="170"/>
      <c r="Y21" s="170"/>
      <c r="AA21" s="183"/>
      <c r="AB21" s="183"/>
      <c r="AC21" s="184"/>
      <c r="AD21" s="185"/>
      <c r="AE21" s="186"/>
      <c r="AF21" s="187"/>
      <c r="AG21" s="188"/>
      <c r="AH21" s="189"/>
      <c r="AI21" s="27"/>
      <c r="AJ21" s="28"/>
      <c r="AP21" s="26"/>
      <c r="AQ21" s="26"/>
      <c r="AR21" s="26"/>
      <c r="AS21" s="27"/>
      <c r="AT21" s="27"/>
      <c r="AU21" s="27"/>
      <c r="AV21" s="27"/>
      <c r="AW21" s="27"/>
      <c r="AY21" s="189"/>
      <c r="AZ21" s="189"/>
      <c r="BA21" s="205"/>
      <c r="BC21" s="189"/>
      <c r="BE21" s="57"/>
    </row>
    <row r="22" spans="1:57">
      <c r="A22" s="19">
        <f>[1]!_xludf.edate(A21,1)</f>
        <v>37653</v>
      </c>
      <c r="B22" s="21">
        <f t="shared" si="5"/>
        <v>28</v>
      </c>
      <c r="C22" s="20">
        <f>IF(Control!$C$10="Physical",Model!A23+24,Model!A23)</f>
        <v>37681</v>
      </c>
      <c r="E22" s="22">
        <f>IF($A22&lt;Collar!$C$9,IF(Collar!$F$26="Flat",Collar!$C$10,VLOOKUP(Model!$A22,Collar!$B$31:$D$184,3)),0)</f>
        <v>0</v>
      </c>
      <c r="F22" s="22">
        <f t="shared" si="3"/>
        <v>0</v>
      </c>
      <c r="G22" s="26">
        <f t="shared" ca="1" si="1"/>
        <v>0</v>
      </c>
      <c r="H22" s="60">
        <f>A22-1-Collar!$C$13</f>
        <v>452</v>
      </c>
      <c r="I22" s="24">
        <f t="shared" si="2"/>
        <v>2.4262981861068698E-2</v>
      </c>
      <c r="J22" s="25">
        <f t="shared" ca="1" si="4"/>
        <v>0.9693150860617068</v>
      </c>
      <c r="K22" s="200"/>
      <c r="L22" s="23"/>
      <c r="M22" s="23"/>
      <c r="N22" s="57"/>
      <c r="O22" s="57"/>
      <c r="P22" s="61"/>
      <c r="Q22" s="24"/>
      <c r="S22" s="25"/>
      <c r="T22" s="62"/>
      <c r="U22" s="27"/>
      <c r="V22" s="64"/>
      <c r="W22" s="170"/>
      <c r="X22" s="170"/>
      <c r="Y22" s="170"/>
      <c r="AA22" s="183"/>
      <c r="AB22" s="183"/>
      <c r="AC22" s="184"/>
      <c r="AD22" s="185"/>
      <c r="AE22" s="186"/>
      <c r="AF22" s="187"/>
      <c r="AG22" s="188"/>
      <c r="AH22" s="189"/>
      <c r="AI22" s="27"/>
      <c r="AJ22" s="28"/>
      <c r="AP22" s="26"/>
      <c r="AQ22" s="26"/>
      <c r="AR22" s="26"/>
      <c r="AS22" s="27"/>
      <c r="AT22" s="27"/>
      <c r="AU22" s="27"/>
      <c r="AV22" s="27"/>
      <c r="AW22" s="27"/>
      <c r="AY22" s="189"/>
      <c r="AZ22" s="189"/>
      <c r="BA22" s="205"/>
      <c r="BC22" s="189"/>
      <c r="BE22" s="57"/>
    </row>
    <row r="23" spans="1:57">
      <c r="A23" s="19">
        <f>[1]!_xludf.edate(A22,1)</f>
        <v>37681</v>
      </c>
      <c r="B23" s="21">
        <f t="shared" si="5"/>
        <v>31</v>
      </c>
      <c r="C23" s="20">
        <f>IF(Control!$C$10="Physical",Model!A24+24,Model!A24)</f>
        <v>37712</v>
      </c>
      <c r="E23" s="22">
        <f>IF($A23&lt;Collar!$C$9,IF(Collar!$F$26="Flat",Collar!$C$10,VLOOKUP(Model!$A23,Collar!$B$31:$D$184,3)),0)</f>
        <v>0</v>
      </c>
      <c r="F23" s="22">
        <f t="shared" si="3"/>
        <v>0</v>
      </c>
      <c r="G23" s="26">
        <f t="shared" ca="1" si="1"/>
        <v>0</v>
      </c>
      <c r="H23" s="60">
        <f>A23-1-Collar!$C$13</f>
        <v>480</v>
      </c>
      <c r="I23" s="24">
        <f t="shared" si="2"/>
        <v>2.4826043147968799E-2</v>
      </c>
      <c r="J23" s="25">
        <f t="shared" ca="1" si="4"/>
        <v>0.9665923278674694</v>
      </c>
      <c r="K23" s="200"/>
      <c r="L23" s="23"/>
      <c r="M23" s="23"/>
      <c r="N23" s="57"/>
      <c r="O23" s="57"/>
      <c r="P23" s="61"/>
      <c r="Q23" s="24"/>
      <c r="S23" s="25"/>
      <c r="T23" s="62"/>
      <c r="U23" s="27"/>
      <c r="V23" s="64"/>
      <c r="W23" s="170"/>
      <c r="X23" s="170"/>
      <c r="Y23" s="170"/>
      <c r="AA23" s="183"/>
      <c r="AB23" s="183"/>
      <c r="AC23" s="184"/>
      <c r="AD23" s="185"/>
      <c r="AE23" s="186"/>
      <c r="AF23" s="187"/>
      <c r="AG23" s="188"/>
      <c r="AH23" s="189"/>
      <c r="AI23" s="27"/>
      <c r="AJ23" s="28"/>
      <c r="AP23" s="26"/>
      <c r="AQ23" s="26"/>
      <c r="AR23" s="26"/>
      <c r="AS23" s="27"/>
      <c r="AT23" s="27"/>
      <c r="AU23" s="27"/>
      <c r="AV23" s="27"/>
      <c r="AW23" s="27"/>
      <c r="AY23" s="189"/>
      <c r="AZ23" s="189"/>
      <c r="BA23" s="205"/>
      <c r="BC23" s="189"/>
      <c r="BE23" s="57"/>
    </row>
    <row r="24" spans="1:57">
      <c r="A24" s="19">
        <f>[1]!_xludf.edate(A23,1)</f>
        <v>37712</v>
      </c>
      <c r="B24" s="21">
        <f t="shared" si="5"/>
        <v>30</v>
      </c>
      <c r="C24" s="20">
        <f>IF(Control!$C$10="Physical",Model!A25+24,Model!A25)</f>
        <v>37742</v>
      </c>
      <c r="E24" s="22">
        <f>IF($A24&lt;Collar!$C$9,IF(Collar!$F$26="Flat",Collar!$C$10,VLOOKUP(Model!$A24,Collar!$B$31:$D$184,3)),0)</f>
        <v>0</v>
      </c>
      <c r="F24" s="22">
        <f t="shared" si="3"/>
        <v>0</v>
      </c>
      <c r="G24" s="26">
        <f t="shared" ca="1" si="1"/>
        <v>0</v>
      </c>
      <c r="H24" s="60">
        <f>A24-1-Collar!$C$13</f>
        <v>511</v>
      </c>
      <c r="I24" s="24">
        <f t="shared" si="2"/>
        <v>2.5384059139520701E-2</v>
      </c>
      <c r="J24" s="25">
        <f t="shared" ca="1" si="4"/>
        <v>0.96386001394310816</v>
      </c>
      <c r="K24" s="200"/>
      <c r="L24" s="23"/>
      <c r="M24" s="23"/>
      <c r="N24" s="57"/>
      <c r="O24" s="57"/>
      <c r="P24" s="61"/>
      <c r="Q24" s="24"/>
      <c r="S24" s="25"/>
      <c r="T24" s="62"/>
      <c r="U24" s="27"/>
      <c r="V24" s="64"/>
      <c r="W24" s="170"/>
      <c r="X24" s="170"/>
      <c r="Y24" s="170"/>
      <c r="AA24" s="183"/>
      <c r="AB24" s="183"/>
      <c r="AC24" s="184"/>
      <c r="AD24" s="185"/>
      <c r="AE24" s="186"/>
      <c r="AF24" s="187"/>
      <c r="AG24" s="188"/>
      <c r="AH24" s="189"/>
      <c r="AI24" s="27"/>
      <c r="AJ24" s="28"/>
      <c r="AP24" s="26"/>
      <c r="AQ24" s="26"/>
      <c r="AR24" s="26"/>
      <c r="AS24" s="27"/>
      <c r="AT24" s="27"/>
      <c r="AU24" s="27"/>
      <c r="AV24" s="27"/>
      <c r="AW24" s="27"/>
      <c r="AY24" s="189"/>
      <c r="AZ24" s="189"/>
      <c r="BA24" s="205"/>
      <c r="BC24" s="189"/>
      <c r="BE24" s="57"/>
    </row>
    <row r="25" spans="1:57">
      <c r="A25" s="19">
        <f>[1]!_xludf.edate(A24,1)</f>
        <v>37742</v>
      </c>
      <c r="B25" s="21">
        <f t="shared" si="5"/>
        <v>31</v>
      </c>
      <c r="C25" s="20">
        <f>IF(Control!$C$10="Physical",Model!A26+24,Model!A26)</f>
        <v>37773</v>
      </c>
      <c r="E25" s="22">
        <f>IF($A25&lt;Collar!$C$9,IF(Collar!$F$26="Flat",Collar!$C$10,VLOOKUP(Model!$A25,Collar!$B$31:$D$184,3)),0)</f>
        <v>0</v>
      </c>
      <c r="F25" s="22">
        <f t="shared" si="3"/>
        <v>0</v>
      </c>
      <c r="G25" s="26">
        <f t="shared" ca="1" si="1"/>
        <v>0</v>
      </c>
      <c r="H25" s="60">
        <f>A25-1-Collar!$C$13</f>
        <v>541</v>
      </c>
      <c r="I25" s="24">
        <f t="shared" si="2"/>
        <v>2.5960675774673501E-2</v>
      </c>
      <c r="J25" s="25">
        <f t="shared" ca="1" si="4"/>
        <v>0.9609535761299588</v>
      </c>
      <c r="K25" s="200"/>
      <c r="L25" s="23"/>
      <c r="M25" s="23"/>
      <c r="N25" s="57"/>
      <c r="O25" s="57"/>
      <c r="P25" s="61"/>
      <c r="Q25" s="24"/>
      <c r="S25" s="25"/>
      <c r="T25" s="62"/>
      <c r="U25" s="27"/>
      <c r="V25" s="64"/>
      <c r="W25" s="170"/>
      <c r="X25" s="170"/>
      <c r="Y25" s="170"/>
      <c r="AA25" s="183"/>
      <c r="AB25" s="183"/>
      <c r="AC25" s="184"/>
      <c r="AD25" s="185"/>
      <c r="AE25" s="186"/>
      <c r="AF25" s="187"/>
      <c r="AG25" s="188"/>
      <c r="AH25" s="189"/>
      <c r="AI25" s="27"/>
      <c r="AJ25" s="28"/>
      <c r="AP25" s="26"/>
      <c r="AQ25" s="26"/>
      <c r="AR25" s="26"/>
      <c r="AS25" s="27"/>
      <c r="AT25" s="27"/>
      <c r="AU25" s="27"/>
      <c r="AV25" s="27"/>
      <c r="AW25" s="27"/>
      <c r="AY25" s="189"/>
      <c r="AZ25" s="189"/>
      <c r="BA25" s="205"/>
      <c r="BC25" s="189"/>
      <c r="BE25" s="57"/>
    </row>
    <row r="26" spans="1:57">
      <c r="A26" s="19">
        <f>[1]!_xludf.edate(A25,1)</f>
        <v>37773</v>
      </c>
      <c r="B26" s="21">
        <f t="shared" si="5"/>
        <v>30</v>
      </c>
      <c r="C26" s="20">
        <f>IF(Control!$C$10="Physical",Model!A27+24,Model!A27)</f>
        <v>37803</v>
      </c>
      <c r="E26" s="22">
        <f>IF($A26&lt;Collar!$C$9,IF(Collar!$F$26="Flat",Collar!$C$10,VLOOKUP(Model!$A26,Collar!$B$31:$D$184,3)),0)</f>
        <v>0</v>
      </c>
      <c r="F26" s="22">
        <f t="shared" si="3"/>
        <v>0</v>
      </c>
      <c r="G26" s="26">
        <f t="shared" ca="1" si="1"/>
        <v>0</v>
      </c>
      <c r="H26" s="60">
        <f>A26-1-Collar!$C$13</f>
        <v>572</v>
      </c>
      <c r="I26" s="24">
        <f t="shared" si="2"/>
        <v>2.65290450494957E-2</v>
      </c>
      <c r="J26" s="25">
        <f t="shared" ca="1" si="4"/>
        <v>0.9580454020754523</v>
      </c>
      <c r="K26" s="200"/>
      <c r="L26" s="23"/>
      <c r="M26" s="23"/>
      <c r="N26" s="57"/>
      <c r="O26" s="57"/>
      <c r="P26" s="61"/>
      <c r="Q26" s="24"/>
      <c r="S26" s="25"/>
      <c r="T26" s="62"/>
      <c r="U26" s="27"/>
      <c r="V26" s="64"/>
      <c r="W26" s="170"/>
      <c r="X26" s="170"/>
      <c r="Y26" s="170"/>
      <c r="AA26" s="183"/>
      <c r="AB26" s="183"/>
      <c r="AC26" s="184"/>
      <c r="AD26" s="185"/>
      <c r="AE26" s="186"/>
      <c r="AF26" s="187"/>
      <c r="AG26" s="188"/>
      <c r="AH26" s="189"/>
      <c r="AI26" s="27"/>
      <c r="AJ26" s="28"/>
      <c r="AP26" s="26"/>
      <c r="AQ26" s="26"/>
      <c r="AR26" s="26"/>
      <c r="AS26" s="27"/>
      <c r="AT26" s="27"/>
      <c r="AU26" s="27"/>
      <c r="AV26" s="27"/>
      <c r="AW26" s="27"/>
      <c r="AY26" s="189"/>
      <c r="AZ26" s="189"/>
      <c r="BA26" s="205"/>
      <c r="BC26" s="189"/>
      <c r="BE26" s="57"/>
    </row>
    <row r="27" spans="1:57">
      <c r="A27" s="19">
        <f>[1]!_xludf.edate(A26,1)</f>
        <v>37803</v>
      </c>
      <c r="B27" s="21">
        <f t="shared" si="5"/>
        <v>31</v>
      </c>
      <c r="C27" s="20">
        <f>IF(Control!$C$10="Physical",Model!A28+24,Model!A28)</f>
        <v>37834</v>
      </c>
      <c r="E27" s="22">
        <f>IF($A27&lt;Collar!$C$9,IF(Collar!$F$26="Flat",Collar!$C$10,VLOOKUP(Model!$A27,Collar!$B$31:$D$184,3)),0)</f>
        <v>0</v>
      </c>
      <c r="F27" s="22">
        <f t="shared" si="3"/>
        <v>0</v>
      </c>
      <c r="G27" s="26">
        <f t="shared" ca="1" si="1"/>
        <v>0</v>
      </c>
      <c r="H27" s="60">
        <f>A27-1-Collar!$C$13</f>
        <v>602</v>
      </c>
      <c r="I27" s="24">
        <f t="shared" si="2"/>
        <v>2.7131185037955401E-2</v>
      </c>
      <c r="J27" s="25">
        <f t="shared" ca="1" si="4"/>
        <v>0.95493344385053636</v>
      </c>
      <c r="K27" s="200"/>
      <c r="L27" s="23"/>
      <c r="M27" s="23"/>
      <c r="N27" s="57"/>
      <c r="O27" s="57"/>
      <c r="P27" s="61"/>
      <c r="Q27" s="24"/>
      <c r="S27" s="25"/>
      <c r="T27" s="62"/>
      <c r="U27" s="27"/>
      <c r="V27" s="64"/>
      <c r="W27" s="170"/>
      <c r="X27" s="170"/>
      <c r="Y27" s="170"/>
      <c r="AA27" s="183"/>
      <c r="AB27" s="183"/>
      <c r="AC27" s="184"/>
      <c r="AD27" s="185"/>
      <c r="AE27" s="186"/>
      <c r="AF27" s="187"/>
      <c r="AG27" s="188"/>
      <c r="AH27" s="189"/>
      <c r="AI27" s="27"/>
      <c r="AJ27" s="28"/>
      <c r="AP27" s="26"/>
      <c r="AQ27" s="26"/>
      <c r="AR27" s="26"/>
      <c r="AS27" s="27"/>
      <c r="AT27" s="27"/>
      <c r="AU27" s="27"/>
      <c r="AV27" s="27"/>
      <c r="AW27" s="27"/>
      <c r="AY27" s="189"/>
      <c r="AZ27" s="189"/>
      <c r="BA27" s="205"/>
      <c r="BC27" s="189"/>
      <c r="BE27" s="57"/>
    </row>
    <row r="28" spans="1:57">
      <c r="A28" s="19">
        <f>[1]!_xludf.edate(A27,1)</f>
        <v>37834</v>
      </c>
      <c r="B28" s="21">
        <f t="shared" si="5"/>
        <v>31</v>
      </c>
      <c r="C28" s="20">
        <f>IF(Control!$C$10="Physical",Model!A29+24,Model!A29)</f>
        <v>37865</v>
      </c>
      <c r="E28" s="22">
        <f>IF($A28&lt;Collar!$C$9,IF(Collar!$F$26="Flat",Collar!$C$10,VLOOKUP(Model!$A28,Collar!$B$31:$D$184,3)),0)</f>
        <v>0</v>
      </c>
      <c r="F28" s="22">
        <f t="shared" si="3"/>
        <v>0</v>
      </c>
      <c r="G28" s="26">
        <f t="shared" ca="1" si="1"/>
        <v>0</v>
      </c>
      <c r="H28" s="60">
        <f>A28-1-Collar!$C$13</f>
        <v>633</v>
      </c>
      <c r="I28" s="24">
        <f t="shared" si="2"/>
        <v>2.77333251488385E-2</v>
      </c>
      <c r="J28" s="25">
        <f t="shared" ca="1" si="4"/>
        <v>0.95173590017522935</v>
      </c>
      <c r="K28" s="200"/>
      <c r="L28" s="23"/>
      <c r="M28" s="23"/>
      <c r="N28" s="57"/>
      <c r="O28" s="57"/>
      <c r="P28" s="61"/>
      <c r="Q28" s="24"/>
      <c r="S28" s="25"/>
      <c r="T28" s="62"/>
      <c r="U28" s="27"/>
      <c r="V28" s="64"/>
      <c r="W28" s="170"/>
      <c r="X28" s="170"/>
      <c r="Y28" s="170"/>
      <c r="AA28" s="183"/>
      <c r="AB28" s="183"/>
      <c r="AC28" s="184"/>
      <c r="AD28" s="185"/>
      <c r="AE28" s="186"/>
      <c r="AF28" s="187"/>
      <c r="AG28" s="188"/>
      <c r="AH28" s="189"/>
      <c r="AI28" s="27"/>
      <c r="AJ28" s="28"/>
      <c r="AP28" s="26"/>
      <c r="AQ28" s="26"/>
      <c r="AR28" s="26"/>
      <c r="AS28" s="27"/>
      <c r="AT28" s="27"/>
      <c r="AU28" s="27"/>
      <c r="AV28" s="27"/>
      <c r="AW28" s="27"/>
      <c r="AY28" s="189"/>
      <c r="AZ28" s="189"/>
      <c r="BA28" s="205"/>
      <c r="BC28" s="189"/>
      <c r="BE28" s="57"/>
    </row>
    <row r="29" spans="1:57">
      <c r="A29" s="19">
        <f>[1]!_xludf.edate(A28,1)</f>
        <v>37865</v>
      </c>
      <c r="B29" s="21">
        <f t="shared" si="5"/>
        <v>30</v>
      </c>
      <c r="C29" s="20">
        <f>IF(Control!$C$10="Physical",Model!A30+24,Model!A30)</f>
        <v>37895</v>
      </c>
      <c r="E29" s="22">
        <f>IF($A29&lt;Collar!$C$9,IF(Collar!$F$26="Flat",Collar!$C$10,VLOOKUP(Model!$A29,Collar!$B$31:$D$184,3)),0)</f>
        <v>0</v>
      </c>
      <c r="F29" s="22">
        <f t="shared" si="3"/>
        <v>0</v>
      </c>
      <c r="G29" s="26">
        <f t="shared" ca="1" si="1"/>
        <v>0</v>
      </c>
      <c r="H29" s="60">
        <f>A29-1-Collar!$C$13</f>
        <v>664</v>
      </c>
      <c r="I29" s="24">
        <f t="shared" si="2"/>
        <v>2.8313487496991498E-2</v>
      </c>
      <c r="J29" s="25">
        <f t="shared" ca="1" si="4"/>
        <v>0.94856541517829596</v>
      </c>
      <c r="K29" s="200"/>
      <c r="L29" s="23"/>
      <c r="M29" s="23"/>
      <c r="N29" s="57"/>
      <c r="O29" s="57"/>
      <c r="P29" s="61"/>
      <c r="Q29" s="24"/>
      <c r="S29" s="25"/>
      <c r="T29" s="62"/>
      <c r="U29" s="27"/>
      <c r="V29" s="64"/>
      <c r="W29" s="170"/>
      <c r="X29" s="170"/>
      <c r="Y29" s="170"/>
      <c r="AA29" s="183"/>
      <c r="AB29" s="183"/>
      <c r="AC29" s="184"/>
      <c r="AD29" s="185"/>
      <c r="AE29" s="186"/>
      <c r="AF29" s="187"/>
      <c r="AG29" s="188"/>
      <c r="AH29" s="189"/>
      <c r="AI29" s="27"/>
      <c r="AJ29" s="28"/>
      <c r="AP29" s="26"/>
      <c r="AQ29" s="26"/>
      <c r="AR29" s="26"/>
      <c r="AS29" s="27"/>
      <c r="AT29" s="27"/>
      <c r="AU29" s="27"/>
      <c r="AV29" s="27"/>
      <c r="AW29" s="27"/>
      <c r="AY29" s="189"/>
      <c r="AZ29" s="189"/>
      <c r="BA29" s="205"/>
      <c r="BC29" s="189"/>
      <c r="BE29" s="57"/>
    </row>
    <row r="30" spans="1:57">
      <c r="A30" s="19">
        <f>[1]!_xludf.edate(A29,1)</f>
        <v>37895</v>
      </c>
      <c r="B30" s="21">
        <f t="shared" si="5"/>
        <v>31</v>
      </c>
      <c r="C30" s="20">
        <f>IF(Control!$C$10="Physical",Model!A31+24,Model!A31)</f>
        <v>37926</v>
      </c>
      <c r="E30" s="22">
        <f>IF($A30&lt;Collar!$C$9,IF(Collar!$F$26="Flat",Collar!$C$10,VLOOKUP(Model!$A30,Collar!$B$31:$D$184,3)),0)</f>
        <v>0</v>
      </c>
      <c r="F30" s="22">
        <f t="shared" si="3"/>
        <v>0</v>
      </c>
      <c r="G30" s="26">
        <f t="shared" ca="1" si="1"/>
        <v>0</v>
      </c>
      <c r="H30" s="60">
        <f>A30-1-Collar!$C$13</f>
        <v>694</v>
      </c>
      <c r="I30" s="24">
        <f t="shared" si="2"/>
        <v>2.8909794144788701E-2</v>
      </c>
      <c r="J30" s="25">
        <f t="shared" ca="1" si="4"/>
        <v>0.94521317140579064</v>
      </c>
      <c r="K30" s="200"/>
      <c r="L30" s="23"/>
      <c r="M30" s="23"/>
      <c r="N30" s="57"/>
      <c r="O30" s="57"/>
      <c r="P30" s="61"/>
      <c r="Q30" s="24"/>
      <c r="S30" s="25"/>
      <c r="T30" s="62"/>
      <c r="U30" s="27"/>
      <c r="V30" s="64"/>
      <c r="W30" s="170"/>
      <c r="X30" s="170"/>
      <c r="Y30" s="170"/>
      <c r="AA30" s="183"/>
      <c r="AB30" s="183"/>
      <c r="AC30" s="184"/>
      <c r="AD30" s="185"/>
      <c r="AE30" s="186"/>
      <c r="AF30" s="187"/>
      <c r="AG30" s="188"/>
      <c r="AH30" s="189"/>
      <c r="AI30" s="27"/>
      <c r="AJ30" s="28"/>
      <c r="AP30" s="26"/>
      <c r="AQ30" s="26"/>
      <c r="AR30" s="26"/>
      <c r="AS30" s="27"/>
      <c r="AT30" s="27"/>
      <c r="AU30" s="27"/>
      <c r="AV30" s="27"/>
      <c r="AW30" s="27"/>
      <c r="AY30" s="189"/>
      <c r="AZ30" s="189"/>
      <c r="BA30" s="205"/>
      <c r="BC30" s="189"/>
      <c r="BE30" s="57"/>
    </row>
    <row r="31" spans="1:57">
      <c r="A31" s="19">
        <f>[1]!_xludf.edate(A30,1)</f>
        <v>37926</v>
      </c>
      <c r="B31" s="21">
        <f t="shared" si="5"/>
        <v>30</v>
      </c>
      <c r="C31" s="20">
        <f>IF(Control!$C$10="Physical",Model!A32+24,Model!A32)</f>
        <v>37956</v>
      </c>
      <c r="E31" s="22">
        <f>IF($A31&lt;Collar!$C$9,IF(Collar!$F$26="Flat",Collar!$C$10,VLOOKUP(Model!$A31,Collar!$B$31:$D$184,3)),0)</f>
        <v>0</v>
      </c>
      <c r="F31" s="22">
        <f t="shared" si="3"/>
        <v>0</v>
      </c>
      <c r="G31" s="26">
        <f t="shared" ca="1" si="1"/>
        <v>0</v>
      </c>
      <c r="H31" s="60">
        <f>A31-1-Collar!$C$13</f>
        <v>725</v>
      </c>
      <c r="I31" s="24">
        <f t="shared" si="2"/>
        <v>2.9486865208485601E-2</v>
      </c>
      <c r="J31" s="25">
        <f t="shared" ca="1" si="4"/>
        <v>0.94189116180796417</v>
      </c>
      <c r="K31" s="200"/>
      <c r="L31" s="23"/>
      <c r="M31" s="23"/>
      <c r="N31" s="57"/>
      <c r="O31" s="57"/>
      <c r="P31" s="61"/>
      <c r="Q31" s="24"/>
      <c r="S31" s="25"/>
      <c r="T31" s="62"/>
      <c r="U31" s="27"/>
      <c r="V31" s="64"/>
      <c r="W31" s="170"/>
      <c r="X31" s="170"/>
      <c r="Y31" s="170"/>
      <c r="AA31" s="183"/>
      <c r="AB31" s="183"/>
      <c r="AC31" s="184"/>
      <c r="AD31" s="185"/>
      <c r="AE31" s="186"/>
      <c r="AF31" s="187"/>
      <c r="AG31" s="188"/>
      <c r="AH31" s="189"/>
      <c r="AI31" s="27"/>
      <c r="AJ31" s="28"/>
      <c r="AP31" s="26"/>
      <c r="AQ31" s="26"/>
      <c r="AR31" s="26"/>
      <c r="AS31" s="27"/>
      <c r="AT31" s="27"/>
      <c r="AU31" s="27"/>
      <c r="AV31" s="27"/>
      <c r="AW31" s="27"/>
      <c r="AY31" s="189"/>
      <c r="AZ31" s="189"/>
      <c r="BA31" s="205"/>
      <c r="BC31" s="189"/>
      <c r="BE31" s="57"/>
    </row>
    <row r="32" spans="1:57">
      <c r="A32" s="19">
        <f>[1]!_xludf.edate(A31,1)</f>
        <v>37956</v>
      </c>
      <c r="B32" s="21">
        <f t="shared" si="5"/>
        <v>31</v>
      </c>
      <c r="C32" s="20">
        <f>IF(Control!$C$10="Physical",Model!A33+24,Model!A33)</f>
        <v>37987</v>
      </c>
      <c r="E32" s="22">
        <f>IF($A32&lt;Collar!$C$9,IF(Collar!$F$26="Flat",Collar!$C$10,VLOOKUP(Model!$A32,Collar!$B$31:$D$184,3)),0)</f>
        <v>0</v>
      </c>
      <c r="F32" s="22">
        <f t="shared" si="3"/>
        <v>0</v>
      </c>
      <c r="G32" s="26">
        <f t="shared" ca="1" si="1"/>
        <v>0</v>
      </c>
      <c r="H32" s="60">
        <f>A32-1-Collar!$C$13</f>
        <v>755</v>
      </c>
      <c r="I32" s="24">
        <f t="shared" si="2"/>
        <v>3.0083625032912401E-2</v>
      </c>
      <c r="J32" s="25">
        <f t="shared" ca="1" si="4"/>
        <v>0.93837801955429545</v>
      </c>
      <c r="K32" s="200"/>
      <c r="L32" s="23"/>
      <c r="M32" s="23"/>
      <c r="N32" s="57"/>
      <c r="O32" s="57"/>
      <c r="P32" s="61"/>
      <c r="Q32" s="24"/>
      <c r="S32" s="25"/>
      <c r="T32" s="62"/>
      <c r="U32" s="27"/>
      <c r="V32" s="64"/>
      <c r="W32" s="170"/>
      <c r="X32" s="170"/>
      <c r="Y32" s="170"/>
      <c r="AA32" s="183"/>
      <c r="AB32" s="183"/>
      <c r="AC32" s="184"/>
      <c r="AD32" s="185"/>
      <c r="AE32" s="186"/>
      <c r="AF32" s="187"/>
      <c r="AG32" s="188"/>
      <c r="AH32" s="189"/>
      <c r="AI32" s="27"/>
      <c r="AJ32" s="28"/>
      <c r="AP32" s="26"/>
      <c r="AQ32" s="26"/>
      <c r="AR32" s="26"/>
      <c r="AS32" s="27"/>
      <c r="AT32" s="27"/>
      <c r="AU32" s="27"/>
      <c r="AV32" s="27"/>
      <c r="AW32" s="27"/>
      <c r="AY32" s="189"/>
      <c r="AZ32" s="189"/>
      <c r="BA32" s="205"/>
      <c r="BC32" s="189"/>
      <c r="BE32" s="57"/>
    </row>
    <row r="33" spans="1:57">
      <c r="A33" s="19">
        <f>[1]!_xludf.edate(A32,1)</f>
        <v>37987</v>
      </c>
      <c r="B33" s="21">
        <f t="shared" si="5"/>
        <v>31</v>
      </c>
      <c r="C33" s="20">
        <f>IF(Control!$C$10="Physical",Model!A34+24,Model!A34)</f>
        <v>38018</v>
      </c>
      <c r="E33" s="22">
        <f>IF($A33&lt;Collar!$C$9,IF(Collar!$F$26="Flat",Collar!$C$10,VLOOKUP(Model!$A33,Collar!$B$31:$D$184,3)),0)</f>
        <v>0</v>
      </c>
      <c r="F33" s="22">
        <f t="shared" si="3"/>
        <v>0</v>
      </c>
      <c r="G33" s="26">
        <f t="shared" ca="1" si="1"/>
        <v>0</v>
      </c>
      <c r="H33" s="60">
        <f>A33-1-Collar!$C$13</f>
        <v>786</v>
      </c>
      <c r="I33" s="24">
        <f t="shared" si="2"/>
        <v>3.0680868114166201E-2</v>
      </c>
      <c r="J33" s="25">
        <f t="shared" ca="1" si="4"/>
        <v>0.93478404628024769</v>
      </c>
      <c r="K33" s="200"/>
      <c r="L33" s="23"/>
      <c r="M33" s="23"/>
      <c r="N33" s="57"/>
      <c r="O33" s="57"/>
      <c r="P33" s="61"/>
      <c r="Q33" s="24"/>
      <c r="S33" s="25"/>
      <c r="T33" s="62"/>
      <c r="U33" s="27"/>
      <c r="V33" s="64"/>
      <c r="W33" s="170"/>
      <c r="X33" s="170"/>
      <c r="Y33" s="170"/>
      <c r="AA33" s="183"/>
      <c r="AB33" s="183"/>
      <c r="AC33" s="184"/>
      <c r="AD33" s="185"/>
      <c r="AE33" s="186"/>
      <c r="AF33" s="187"/>
      <c r="AG33" s="188"/>
      <c r="AH33" s="189"/>
      <c r="AI33" s="27"/>
      <c r="AJ33" s="28"/>
      <c r="AP33" s="26"/>
      <c r="AQ33" s="26"/>
      <c r="AR33" s="26"/>
      <c r="AS33" s="27"/>
      <c r="AT33" s="27"/>
      <c r="AU33" s="27"/>
      <c r="AV33" s="27"/>
      <c r="AW33" s="27"/>
      <c r="AY33" s="189"/>
      <c r="AZ33" s="189"/>
      <c r="BA33" s="205"/>
      <c r="BC33" s="189"/>
      <c r="BE33" s="57"/>
    </row>
    <row r="34" spans="1:57">
      <c r="A34" s="19">
        <f>[1]!_xludf.edate(A33,1)</f>
        <v>38018</v>
      </c>
      <c r="B34" s="21">
        <f t="shared" si="5"/>
        <v>29</v>
      </c>
      <c r="C34" s="20">
        <f>IF(Control!$C$10="Physical",Model!A35+24,Model!A35)</f>
        <v>38047</v>
      </c>
      <c r="E34" s="22">
        <f>IF($A34&lt;Collar!$C$9,IF(Collar!$F$26="Flat",Collar!$C$10,VLOOKUP(Model!$A34,Collar!$B$31:$D$184,3)),0)</f>
        <v>0</v>
      </c>
      <c r="F34" s="22">
        <f t="shared" si="3"/>
        <v>0</v>
      </c>
      <c r="G34" s="26">
        <f t="shared" ca="1" si="1"/>
        <v>0</v>
      </c>
      <c r="H34" s="60">
        <f>A34-1-Collar!$C$13</f>
        <v>817</v>
      </c>
      <c r="I34" s="24">
        <f t="shared" si="2"/>
        <v>3.1239579492571501E-2</v>
      </c>
      <c r="J34" s="25">
        <f t="shared" ca="1" si="4"/>
        <v>0.93135053503333076</v>
      </c>
      <c r="K34" s="200"/>
      <c r="L34" s="23"/>
      <c r="M34" s="23"/>
      <c r="N34" s="57"/>
      <c r="O34" s="57"/>
      <c r="P34" s="61"/>
      <c r="Q34" s="24"/>
      <c r="S34" s="25"/>
      <c r="T34" s="62"/>
      <c r="U34" s="27"/>
      <c r="V34" s="64"/>
      <c r="W34" s="170"/>
      <c r="X34" s="170"/>
      <c r="Y34" s="170"/>
      <c r="AA34" s="183"/>
      <c r="AB34" s="183"/>
      <c r="AC34" s="184"/>
      <c r="AD34" s="185"/>
      <c r="AE34" s="186"/>
      <c r="AF34" s="187"/>
      <c r="AG34" s="188"/>
      <c r="AH34" s="189"/>
      <c r="AI34" s="27"/>
      <c r="AJ34" s="28"/>
      <c r="AP34" s="26"/>
      <c r="AQ34" s="26"/>
      <c r="AR34" s="26"/>
      <c r="AS34" s="27"/>
      <c r="AT34" s="27"/>
      <c r="AU34" s="27"/>
      <c r="AV34" s="27"/>
      <c r="AW34" s="27"/>
      <c r="AY34" s="189"/>
      <c r="AZ34" s="189"/>
      <c r="BA34" s="205"/>
      <c r="BC34" s="189"/>
      <c r="BE34" s="57"/>
    </row>
    <row r="35" spans="1:57">
      <c r="A35" s="19">
        <f>[1]!_xludf.edate(A34,1)</f>
        <v>38047</v>
      </c>
      <c r="B35" s="21">
        <f t="shared" si="5"/>
        <v>31</v>
      </c>
      <c r="C35" s="20">
        <f>IF(Control!$C$10="Physical",Model!A36+24,Model!A36)</f>
        <v>38078</v>
      </c>
      <c r="E35" s="22">
        <f>IF($A35&lt;Collar!$C$9,IF(Collar!$F$26="Flat",Collar!$C$10,VLOOKUP(Model!$A35,Collar!$B$31:$D$184,3)),0)</f>
        <v>0</v>
      </c>
      <c r="F35" s="22">
        <f t="shared" si="3"/>
        <v>0</v>
      </c>
      <c r="G35" s="26">
        <f t="shared" ca="1" si="1"/>
        <v>0</v>
      </c>
      <c r="H35" s="60">
        <f>A35-1-Collar!$C$13</f>
        <v>846</v>
      </c>
      <c r="I35" s="24">
        <f t="shared" si="2"/>
        <v>3.1806979093572003E-2</v>
      </c>
      <c r="J35" s="25">
        <f t="shared" ca="1" si="4"/>
        <v>0.92766975410379005</v>
      </c>
      <c r="K35" s="200"/>
      <c r="L35" s="23"/>
      <c r="M35" s="23"/>
      <c r="N35" s="57"/>
      <c r="O35" s="57"/>
      <c r="P35" s="61"/>
      <c r="Q35" s="24"/>
      <c r="S35" s="25"/>
      <c r="T35" s="62"/>
      <c r="U35" s="27"/>
      <c r="V35" s="64"/>
      <c r="W35" s="170"/>
      <c r="X35" s="170"/>
      <c r="Y35" s="170"/>
      <c r="AA35" s="183"/>
      <c r="AB35" s="183"/>
      <c r="AC35" s="184"/>
      <c r="AD35" s="185"/>
      <c r="AE35" s="186"/>
      <c r="AF35" s="187"/>
      <c r="AG35" s="188"/>
      <c r="AH35" s="189"/>
      <c r="AI35" s="27"/>
      <c r="AJ35" s="28"/>
      <c r="AP35" s="26"/>
      <c r="AQ35" s="26"/>
      <c r="AR35" s="26"/>
      <c r="AS35" s="27"/>
      <c r="AT35" s="27"/>
      <c r="AU35" s="27"/>
      <c r="AV35" s="27"/>
      <c r="AW35" s="27"/>
      <c r="AY35" s="189"/>
      <c r="AZ35" s="189"/>
      <c r="BA35" s="205"/>
      <c r="BC35" s="189"/>
      <c r="BE35" s="57"/>
    </row>
    <row r="36" spans="1:57">
      <c r="A36" s="19">
        <f>[1]!_xludf.edate(A35,1)</f>
        <v>38078</v>
      </c>
      <c r="B36" s="21">
        <f t="shared" si="5"/>
        <v>30</v>
      </c>
      <c r="C36" s="20">
        <f>IF(Control!$C$10="Physical",Model!A37+24,Model!A37)</f>
        <v>38108</v>
      </c>
      <c r="E36" s="22">
        <f>IF($A36&lt;Collar!$C$9,IF(Collar!$F$26="Flat",Collar!$C$10,VLOOKUP(Model!$A36,Collar!$B$31:$D$184,3)),0)</f>
        <v>0</v>
      </c>
      <c r="F36" s="22">
        <f t="shared" si="3"/>
        <v>0</v>
      </c>
      <c r="G36" s="26">
        <f t="shared" ca="1" si="1"/>
        <v>0</v>
      </c>
      <c r="H36" s="60">
        <f>A36-1-Collar!$C$13</f>
        <v>877</v>
      </c>
      <c r="I36" s="24">
        <f t="shared" si="2"/>
        <v>3.2325269166177097E-2</v>
      </c>
      <c r="J36" s="25">
        <f t="shared" ca="1" si="4"/>
        <v>0.92410742233187015</v>
      </c>
      <c r="K36" s="200"/>
      <c r="L36" s="23"/>
      <c r="M36" s="23"/>
      <c r="N36" s="57"/>
      <c r="O36" s="57"/>
      <c r="P36" s="61"/>
      <c r="Q36" s="24"/>
      <c r="S36" s="25"/>
      <c r="T36" s="62"/>
      <c r="U36" s="27"/>
      <c r="V36" s="64"/>
      <c r="W36" s="170"/>
      <c r="X36" s="170"/>
      <c r="Y36" s="170"/>
      <c r="AA36" s="183"/>
      <c r="AB36" s="183"/>
      <c r="AC36" s="184"/>
      <c r="AD36" s="185"/>
      <c r="AE36" s="186"/>
      <c r="AF36" s="187"/>
      <c r="AG36" s="188"/>
      <c r="AH36" s="189"/>
      <c r="AI36" s="27"/>
      <c r="AJ36" s="28"/>
      <c r="AP36" s="26"/>
      <c r="AQ36" s="26"/>
      <c r="AR36" s="26"/>
      <c r="AS36" s="27"/>
      <c r="AT36" s="27"/>
      <c r="AU36" s="27"/>
      <c r="AV36" s="27"/>
      <c r="AW36" s="27"/>
      <c r="AY36" s="189"/>
      <c r="AZ36" s="189"/>
      <c r="BA36" s="205"/>
      <c r="BC36" s="189"/>
      <c r="BE36" s="57"/>
    </row>
    <row r="37" spans="1:57">
      <c r="A37" s="19">
        <f>[1]!_xludf.edate(A36,1)</f>
        <v>38108</v>
      </c>
      <c r="B37" s="21">
        <f t="shared" si="5"/>
        <v>31</v>
      </c>
      <c r="C37" s="20">
        <f>IF(Control!$C$10="Physical",Model!A38+24,Model!A38)</f>
        <v>38139</v>
      </c>
      <c r="E37" s="22">
        <f>IF($A37&lt;Collar!$C$9,IF(Collar!$F$26="Flat",Collar!$C$10,VLOOKUP(Model!$A37,Collar!$B$31:$D$184,3)),0)</f>
        <v>0</v>
      </c>
      <c r="F37" s="22">
        <f t="shared" si="3"/>
        <v>0</v>
      </c>
      <c r="G37" s="26">
        <f t="shared" ca="1" si="1"/>
        <v>0</v>
      </c>
      <c r="H37" s="60">
        <f>A37-1-Collar!$C$13</f>
        <v>907</v>
      </c>
      <c r="I37" s="24">
        <f t="shared" si="2"/>
        <v>3.2860835669577898E-2</v>
      </c>
      <c r="J37" s="25">
        <f t="shared" ca="1" si="4"/>
        <v>0.92036001128773859</v>
      </c>
      <c r="K37" s="200"/>
      <c r="L37" s="23"/>
      <c r="M37" s="23"/>
      <c r="N37" s="57"/>
      <c r="O37" s="57"/>
      <c r="P37" s="61"/>
      <c r="Q37" s="24"/>
      <c r="S37" s="25"/>
      <c r="T37" s="62"/>
      <c r="U37" s="27"/>
      <c r="V37" s="64"/>
      <c r="W37" s="170"/>
      <c r="X37" s="170"/>
      <c r="Y37" s="170"/>
      <c r="AA37" s="183"/>
      <c r="AB37" s="183"/>
      <c r="AC37" s="184"/>
      <c r="AD37" s="185"/>
      <c r="AE37" s="186"/>
      <c r="AF37" s="187"/>
      <c r="AG37" s="188"/>
      <c r="AH37" s="189"/>
      <c r="AI37" s="27"/>
      <c r="AJ37" s="28"/>
      <c r="AP37" s="26"/>
      <c r="AQ37" s="26"/>
      <c r="AR37" s="26"/>
      <c r="AS37" s="27"/>
      <c r="AT37" s="27"/>
      <c r="AU37" s="27"/>
      <c r="AV37" s="27"/>
      <c r="AW37" s="27"/>
      <c r="AY37" s="189"/>
      <c r="AZ37" s="189"/>
      <c r="BA37" s="205"/>
      <c r="BC37" s="189"/>
      <c r="BE37" s="57"/>
    </row>
    <row r="38" spans="1:57">
      <c r="A38" s="19">
        <f>[1]!_xludf.edate(A37,1)</f>
        <v>38139</v>
      </c>
      <c r="B38" s="21">
        <f t="shared" si="5"/>
        <v>30</v>
      </c>
      <c r="C38" s="20">
        <f>IF(Control!$C$10="Physical",Model!A39+24,Model!A39)</f>
        <v>38169</v>
      </c>
      <c r="E38" s="22">
        <f>IF($A38&lt;Collar!$C$9,IF(Collar!$F$26="Flat",Collar!$C$10,VLOOKUP(Model!$A38,Collar!$B$31:$D$184,3)),0)</f>
        <v>0</v>
      </c>
      <c r="F38" s="22">
        <f t="shared" si="3"/>
        <v>0</v>
      </c>
      <c r="G38" s="26">
        <f t="shared" ca="1" si="1"/>
        <v>0</v>
      </c>
      <c r="H38" s="60">
        <f>A38-1-Collar!$C$13</f>
        <v>938</v>
      </c>
      <c r="I38" s="24">
        <f t="shared" si="2"/>
        <v>3.3362832119192998E-2</v>
      </c>
      <c r="J38" s="25">
        <f t="shared" ca="1" si="4"/>
        <v>0.91670880872807137</v>
      </c>
      <c r="K38" s="200"/>
      <c r="L38" s="23"/>
      <c r="M38" s="23"/>
      <c r="N38" s="57"/>
      <c r="O38" s="57"/>
      <c r="P38" s="61"/>
      <c r="Q38" s="24"/>
      <c r="S38" s="25"/>
      <c r="T38" s="62"/>
      <c r="U38" s="27"/>
      <c r="V38" s="64"/>
      <c r="W38" s="170"/>
      <c r="X38" s="170"/>
      <c r="Y38" s="170"/>
      <c r="AA38" s="183"/>
      <c r="AB38" s="183"/>
      <c r="AC38" s="184"/>
      <c r="AD38" s="185"/>
      <c r="AE38" s="186"/>
      <c r="AF38" s="187"/>
      <c r="AG38" s="188"/>
      <c r="AH38" s="189"/>
      <c r="AI38" s="27"/>
      <c r="AJ38" s="28"/>
      <c r="AP38" s="26"/>
      <c r="AQ38" s="26"/>
      <c r="AR38" s="26"/>
      <c r="AS38" s="27"/>
      <c r="AT38" s="27"/>
      <c r="AU38" s="27"/>
      <c r="AV38" s="27"/>
      <c r="AW38" s="27"/>
      <c r="AY38" s="189"/>
      <c r="AZ38" s="189"/>
      <c r="BA38" s="205"/>
      <c r="BC38" s="189"/>
      <c r="BE38" s="57"/>
    </row>
    <row r="39" spans="1:57">
      <c r="A39" s="19">
        <f>[1]!_xludf.edate(A38,1)</f>
        <v>38169</v>
      </c>
      <c r="B39" s="21">
        <f t="shared" si="5"/>
        <v>31</v>
      </c>
      <c r="C39" s="20">
        <f>IF(Control!$C$10="Physical",Model!A40+24,Model!A40)</f>
        <v>38200</v>
      </c>
      <c r="E39" s="22">
        <f>IF($A39&lt;Collar!$C$9,IF(Collar!$F$26="Flat",Collar!$C$10,VLOOKUP(Model!$A39,Collar!$B$31:$D$184,3)),0)</f>
        <v>0</v>
      </c>
      <c r="F39" s="22">
        <f t="shared" si="3"/>
        <v>0</v>
      </c>
      <c r="G39" s="26">
        <f t="shared" ca="1" si="1"/>
        <v>0</v>
      </c>
      <c r="H39" s="60">
        <f>A39-1-Collar!$C$13</f>
        <v>968</v>
      </c>
      <c r="I39" s="24">
        <f t="shared" si="2"/>
        <v>3.3863686693780697E-2</v>
      </c>
      <c r="J39" s="25">
        <f t="shared" ca="1" si="4"/>
        <v>0.91291717032323916</v>
      </c>
      <c r="K39" s="200"/>
      <c r="L39" s="23"/>
      <c r="M39" s="23"/>
      <c r="N39" s="57"/>
      <c r="O39" s="57"/>
      <c r="P39" s="61"/>
      <c r="Q39" s="24"/>
      <c r="S39" s="25"/>
      <c r="T39" s="62"/>
      <c r="U39" s="27"/>
      <c r="V39" s="64"/>
      <c r="W39" s="170"/>
      <c r="X39" s="170"/>
      <c r="Y39" s="170"/>
      <c r="AA39" s="183"/>
      <c r="AB39" s="183"/>
      <c r="AC39" s="184"/>
      <c r="AD39" s="185"/>
      <c r="AE39" s="186"/>
      <c r="AF39" s="187"/>
      <c r="AG39" s="188"/>
      <c r="AH39" s="189"/>
      <c r="AI39" s="27"/>
      <c r="AJ39" s="28"/>
      <c r="AP39" s="26"/>
      <c r="AQ39" s="26"/>
      <c r="AR39" s="26"/>
      <c r="AS39" s="27"/>
      <c r="AT39" s="27"/>
      <c r="AU39" s="27"/>
      <c r="AV39" s="27"/>
      <c r="AW39" s="27"/>
      <c r="AY39" s="189"/>
      <c r="AZ39" s="189"/>
      <c r="BA39" s="205"/>
      <c r="BC39" s="189"/>
      <c r="BE39" s="57"/>
    </row>
    <row r="40" spans="1:57">
      <c r="A40" s="19">
        <f>[1]!_xludf.edate(A39,1)</f>
        <v>38200</v>
      </c>
      <c r="B40" s="21">
        <f t="shared" si="5"/>
        <v>31</v>
      </c>
      <c r="C40" s="20">
        <f>IF(Control!$C$10="Physical",Model!A41+24,Model!A41)</f>
        <v>38231</v>
      </c>
      <c r="E40" s="22">
        <f>IF($A40&lt;Collar!$C$9,IF(Collar!$F$26="Flat",Collar!$C$10,VLOOKUP(Model!$A40,Collar!$B$31:$D$184,3)),0)</f>
        <v>0</v>
      </c>
      <c r="F40" s="22">
        <f t="shared" si="3"/>
        <v>0</v>
      </c>
      <c r="G40" s="26">
        <f t="shared" ca="1" si="1"/>
        <v>0</v>
      </c>
      <c r="H40" s="60">
        <f>A40-1-Collar!$C$13</f>
        <v>999</v>
      </c>
      <c r="I40" s="24">
        <f t="shared" si="2"/>
        <v>3.4364541352789803E-2</v>
      </c>
      <c r="J40" s="25">
        <f t="shared" ca="1" si="4"/>
        <v>0.9090655099614553</v>
      </c>
      <c r="K40" s="200"/>
      <c r="L40" s="23"/>
      <c r="M40" s="23"/>
      <c r="N40" s="57"/>
      <c r="O40" s="57"/>
      <c r="P40" s="61"/>
      <c r="Q40" s="24"/>
      <c r="S40" s="25"/>
      <c r="T40" s="62"/>
      <c r="U40" s="27"/>
      <c r="V40" s="64"/>
      <c r="W40" s="170"/>
      <c r="X40" s="170"/>
      <c r="Y40" s="170"/>
      <c r="AA40" s="183"/>
      <c r="AB40" s="183"/>
      <c r="AC40" s="184"/>
      <c r="AD40" s="185"/>
      <c r="AE40" s="186"/>
      <c r="AF40" s="187"/>
      <c r="AG40" s="188"/>
      <c r="AH40" s="189"/>
      <c r="AI40" s="27"/>
      <c r="AJ40" s="28"/>
      <c r="AP40" s="26"/>
      <c r="AQ40" s="26"/>
      <c r="AR40" s="26"/>
      <c r="AS40" s="27"/>
      <c r="AT40" s="27"/>
      <c r="AU40" s="27"/>
      <c r="AV40" s="27"/>
      <c r="AW40" s="27"/>
      <c r="AY40" s="189"/>
      <c r="AZ40" s="189"/>
      <c r="BA40" s="205"/>
      <c r="BC40" s="189"/>
      <c r="BE40" s="57"/>
    </row>
    <row r="41" spans="1:57">
      <c r="A41" s="19">
        <f>[1]!_xludf.edate(A40,1)</f>
        <v>38231</v>
      </c>
      <c r="B41" s="21">
        <f t="shared" si="5"/>
        <v>30</v>
      </c>
      <c r="C41" s="20">
        <f>IF(Control!$C$10="Physical",Model!A42+24,Model!A42)</f>
        <v>38261</v>
      </c>
      <c r="E41" s="22">
        <f>IF($A41&lt;Collar!$C$9,IF(Collar!$F$26="Flat",Collar!$C$10,VLOOKUP(Model!$A41,Collar!$B$31:$D$184,3)),0)</f>
        <v>0</v>
      </c>
      <c r="F41" s="22">
        <f t="shared" si="3"/>
        <v>0</v>
      </c>
      <c r="G41" s="26">
        <f t="shared" ca="1" si="1"/>
        <v>0</v>
      </c>
      <c r="H41" s="60">
        <f>A41-1-Collar!$C$13</f>
        <v>1030</v>
      </c>
      <c r="I41" s="24">
        <f t="shared" si="2"/>
        <v>3.4831910670599903E-2</v>
      </c>
      <c r="J41" s="25">
        <f t="shared" ca="1" si="4"/>
        <v>0.90532622612629554</v>
      </c>
      <c r="K41" s="200"/>
      <c r="L41" s="23"/>
      <c r="M41" s="23"/>
      <c r="N41" s="57"/>
      <c r="O41" s="57"/>
      <c r="P41" s="61"/>
      <c r="Q41" s="24"/>
      <c r="S41" s="25"/>
      <c r="T41" s="62"/>
      <c r="U41" s="27"/>
      <c r="V41" s="64"/>
      <c r="W41" s="170"/>
      <c r="X41" s="170"/>
      <c r="Y41" s="170"/>
      <c r="AA41" s="183"/>
      <c r="AB41" s="183"/>
      <c r="AC41" s="184"/>
      <c r="AD41" s="185"/>
      <c r="AE41" s="186"/>
      <c r="AF41" s="187"/>
      <c r="AG41" s="188"/>
      <c r="AH41" s="189"/>
      <c r="AI41" s="27"/>
      <c r="AJ41" s="28"/>
      <c r="AP41" s="26"/>
      <c r="AQ41" s="26"/>
      <c r="AR41" s="26"/>
      <c r="AS41" s="27"/>
      <c r="AT41" s="27"/>
      <c r="AU41" s="27"/>
      <c r="AV41" s="27"/>
      <c r="AW41" s="27"/>
      <c r="AY41" s="189"/>
      <c r="AZ41" s="189"/>
      <c r="BA41" s="205"/>
      <c r="BC41" s="189"/>
      <c r="BE41" s="57"/>
    </row>
    <row r="42" spans="1:57">
      <c r="A42" s="19">
        <f>[1]!_xludf.edate(A41,1)</f>
        <v>38261</v>
      </c>
      <c r="B42" s="21">
        <f t="shared" si="5"/>
        <v>31</v>
      </c>
      <c r="C42" s="20">
        <f>IF(Control!$C$10="Physical",Model!A43+24,Model!A43)</f>
        <v>38292</v>
      </c>
      <c r="E42" s="22">
        <f>IF($A42&lt;Collar!$C$9,IF(Collar!$F$26="Flat",Collar!$C$10,VLOOKUP(Model!$A42,Collar!$B$31:$D$184,3)),0)</f>
        <v>0</v>
      </c>
      <c r="F42" s="22">
        <f t="shared" si="3"/>
        <v>0</v>
      </c>
      <c r="G42" s="26">
        <f t="shared" ca="1" si="1"/>
        <v>0</v>
      </c>
      <c r="H42" s="60">
        <f>A42-1-Collar!$C$13</f>
        <v>1060</v>
      </c>
      <c r="I42" s="24">
        <f t="shared" si="2"/>
        <v>3.5298204517262698E-2</v>
      </c>
      <c r="J42" s="25">
        <f t="shared" ca="1" si="4"/>
        <v>0.90145102468820226</v>
      </c>
      <c r="K42" s="200"/>
      <c r="L42" s="23"/>
      <c r="M42" s="23"/>
      <c r="N42" s="57"/>
      <c r="O42" s="57"/>
      <c r="P42" s="61"/>
      <c r="Q42" s="24"/>
      <c r="S42" s="25"/>
      <c r="T42" s="62"/>
      <c r="U42" s="27"/>
      <c r="V42" s="64"/>
      <c r="W42" s="170"/>
      <c r="X42" s="170"/>
      <c r="Y42" s="170"/>
      <c r="AA42" s="183"/>
      <c r="AB42" s="183"/>
      <c r="AC42" s="184"/>
      <c r="AD42" s="185"/>
      <c r="AE42" s="186"/>
      <c r="AF42" s="187"/>
      <c r="AG42" s="188"/>
      <c r="AH42" s="189"/>
      <c r="AI42" s="27"/>
      <c r="AJ42" s="28"/>
      <c r="AP42" s="26"/>
      <c r="AQ42" s="26"/>
      <c r="AR42" s="26"/>
      <c r="AS42" s="27"/>
      <c r="AT42" s="27"/>
      <c r="AU42" s="27"/>
      <c r="AV42" s="27"/>
      <c r="AW42" s="27"/>
      <c r="AY42" s="189"/>
      <c r="AZ42" s="189"/>
      <c r="BA42" s="205"/>
      <c r="BC42" s="189"/>
      <c r="BE42" s="57"/>
    </row>
    <row r="43" spans="1:57">
      <c r="A43" s="19">
        <f>[1]!_xludf.edate(A42,1)</f>
        <v>38292</v>
      </c>
      <c r="B43" s="21">
        <f t="shared" si="5"/>
        <v>30</v>
      </c>
      <c r="C43" s="20">
        <f>IF(Control!$C$10="Physical",Model!A44+24,Model!A44)</f>
        <v>38322</v>
      </c>
      <c r="E43" s="22">
        <f>IF($A43&lt;Collar!$C$9,IF(Collar!$F$26="Flat",Collar!$C$10,VLOOKUP(Model!$A43,Collar!$B$31:$D$184,3)),0)</f>
        <v>0</v>
      </c>
      <c r="F43" s="22">
        <f t="shared" si="3"/>
        <v>0</v>
      </c>
      <c r="G43" s="26">
        <f t="shared" ca="1" si="1"/>
        <v>0</v>
      </c>
      <c r="H43" s="60">
        <f>A43-1-Collar!$C$13</f>
        <v>1091</v>
      </c>
      <c r="I43" s="24">
        <f t="shared" si="2"/>
        <v>3.5749456696556603E-2</v>
      </c>
      <c r="J43" s="25">
        <f t="shared" ca="1" si="4"/>
        <v>0.89765041075304253</v>
      </c>
      <c r="K43" s="200"/>
      <c r="L43" s="23"/>
      <c r="M43" s="23"/>
      <c r="N43" s="57"/>
      <c r="O43" s="57"/>
      <c r="P43" s="61"/>
      <c r="Q43" s="24"/>
      <c r="S43" s="25"/>
      <c r="T43" s="62"/>
      <c r="U43" s="27"/>
      <c r="V43" s="64"/>
      <c r="W43" s="170"/>
      <c r="X43" s="170"/>
      <c r="Y43" s="170"/>
      <c r="AA43" s="183"/>
      <c r="AB43" s="183"/>
      <c r="AC43" s="184"/>
      <c r="AD43" s="185"/>
      <c r="AE43" s="186"/>
      <c r="AF43" s="187"/>
      <c r="AG43" s="188"/>
      <c r="AH43" s="189"/>
      <c r="AI43" s="27"/>
      <c r="AJ43" s="28"/>
      <c r="AP43" s="26"/>
      <c r="AQ43" s="26"/>
      <c r="AR43" s="26"/>
      <c r="AS43" s="27"/>
      <c r="AT43" s="27"/>
      <c r="AU43" s="27"/>
      <c r="AV43" s="27"/>
      <c r="AW43" s="27"/>
      <c r="AY43" s="189"/>
      <c r="AZ43" s="189"/>
      <c r="BA43" s="205"/>
      <c r="BC43" s="189"/>
      <c r="BE43" s="57"/>
    </row>
    <row r="44" spans="1:57">
      <c r="A44" s="19">
        <f>[1]!_xludf.edate(A43,1)</f>
        <v>38322</v>
      </c>
      <c r="B44" s="21">
        <f t="shared" si="5"/>
        <v>31</v>
      </c>
      <c r="C44" s="20">
        <f>IF(Control!$C$10="Physical",Model!A45+24,Model!A45)</f>
        <v>38353</v>
      </c>
      <c r="E44" s="22">
        <f>IF($A44&lt;Collar!$C$9,IF(Collar!$F$26="Flat",Collar!$C$10,VLOOKUP(Model!$A44,Collar!$B$31:$D$184,3)),0)</f>
        <v>0</v>
      </c>
      <c r="F44" s="22">
        <f t="shared" si="3"/>
        <v>0</v>
      </c>
      <c r="G44" s="26">
        <f t="shared" ca="1" si="1"/>
        <v>0</v>
      </c>
      <c r="H44" s="60">
        <f>A44-1-Collar!$C$13</f>
        <v>1121</v>
      </c>
      <c r="I44" s="24">
        <f t="shared" si="2"/>
        <v>3.6204721303168902E-2</v>
      </c>
      <c r="J44" s="25">
        <f t="shared" ca="1" si="4"/>
        <v>0.89370217216095094</v>
      </c>
      <c r="K44" s="200"/>
      <c r="L44" s="23"/>
      <c r="M44" s="23"/>
      <c r="N44" s="57"/>
      <c r="O44" s="57"/>
      <c r="P44" s="61"/>
      <c r="Q44" s="24"/>
      <c r="S44" s="25"/>
      <c r="T44" s="62"/>
      <c r="U44" s="27"/>
      <c r="V44" s="64"/>
      <c r="W44" s="170"/>
      <c r="X44" s="170"/>
      <c r="Y44" s="170"/>
      <c r="AA44" s="183"/>
      <c r="AB44" s="183"/>
      <c r="AC44" s="184"/>
      <c r="AD44" s="185"/>
      <c r="AE44" s="186"/>
      <c r="AF44" s="187"/>
      <c r="AG44" s="188"/>
      <c r="AH44" s="189"/>
      <c r="AI44" s="27"/>
      <c r="AJ44" s="28"/>
      <c r="AP44" s="26"/>
      <c r="AQ44" s="26"/>
      <c r="AR44" s="26"/>
      <c r="AS44" s="27"/>
      <c r="AT44" s="27"/>
      <c r="AU44" s="27"/>
      <c r="AV44" s="27"/>
      <c r="AW44" s="27"/>
      <c r="AY44" s="189"/>
      <c r="AZ44" s="189"/>
      <c r="BA44" s="205"/>
      <c r="BC44" s="189"/>
      <c r="BE44" s="57"/>
    </row>
    <row r="45" spans="1:57">
      <c r="A45" s="19">
        <f>[1]!_xludf.edate(A44,1)</f>
        <v>38353</v>
      </c>
      <c r="B45" s="21">
        <f t="shared" si="5"/>
        <v>31</v>
      </c>
      <c r="C45" s="20">
        <f>IF(Control!$C$10="Physical",Model!A46+24,Model!A46)</f>
        <v>38384</v>
      </c>
      <c r="E45" s="22">
        <f>IF($A45&lt;Collar!$C$9,IF(Collar!$F$26="Flat",Collar!$C$10,VLOOKUP(Model!$A45,Collar!$B$31:$D$184,3)),0)</f>
        <v>0</v>
      </c>
      <c r="F45" s="22">
        <f t="shared" si="3"/>
        <v>0</v>
      </c>
      <c r="G45" s="26">
        <f t="shared" ca="1" si="1"/>
        <v>0</v>
      </c>
      <c r="H45" s="60">
        <f>A45-1-Collar!$C$13</f>
        <v>1152</v>
      </c>
      <c r="I45" s="24">
        <f t="shared" si="2"/>
        <v>3.6650902956043598E-2</v>
      </c>
      <c r="J45" s="25">
        <f t="shared" ca="1" si="4"/>
        <v>0.88972957139578523</v>
      </c>
      <c r="K45" s="200"/>
      <c r="L45" s="23"/>
      <c r="M45" s="23"/>
      <c r="N45" s="57"/>
      <c r="O45" s="57"/>
      <c r="P45" s="61"/>
      <c r="Q45" s="24"/>
      <c r="S45" s="25"/>
      <c r="T45" s="62"/>
      <c r="U45" s="27"/>
      <c r="V45" s="64"/>
      <c r="W45" s="170"/>
      <c r="X45" s="170"/>
      <c r="Y45" s="170"/>
      <c r="AA45" s="183"/>
      <c r="AB45" s="183"/>
      <c r="AC45" s="184"/>
      <c r="AD45" s="185"/>
      <c r="AE45" s="186"/>
      <c r="AF45" s="187"/>
      <c r="AG45" s="188"/>
      <c r="AH45" s="189"/>
      <c r="AI45" s="27"/>
      <c r="AJ45" s="28"/>
      <c r="AP45" s="26"/>
      <c r="AQ45" s="26"/>
      <c r="AR45" s="26"/>
      <c r="AS45" s="27"/>
      <c r="AT45" s="27"/>
      <c r="AU45" s="27"/>
      <c r="AV45" s="27"/>
      <c r="AW45" s="27"/>
      <c r="AY45" s="189"/>
      <c r="AZ45" s="189"/>
      <c r="BA45" s="205"/>
      <c r="BC45" s="189"/>
      <c r="BE45" s="57"/>
    </row>
    <row r="46" spans="1:57">
      <c r="A46" s="19">
        <f>[1]!_xludf.edate(A45,1)</f>
        <v>38384</v>
      </c>
      <c r="B46" s="21">
        <f t="shared" si="5"/>
        <v>28</v>
      </c>
      <c r="C46" s="20">
        <f>IF(Control!$C$10="Physical",Model!A47+24,Model!A47)</f>
        <v>38412</v>
      </c>
      <c r="E46" s="22">
        <f>IF($A46&lt;Collar!$C$9,IF(Collar!$F$26="Flat",Collar!$C$10,VLOOKUP(Model!$A46,Collar!$B$31:$D$184,3)),0)</f>
        <v>0</v>
      </c>
      <c r="F46" s="22">
        <f t="shared" si="3"/>
        <v>0</v>
      </c>
      <c r="G46" s="26">
        <f t="shared" ca="1" si="1"/>
        <v>0</v>
      </c>
      <c r="H46" s="60">
        <f>A46-1-Collar!$C$13</f>
        <v>1183</v>
      </c>
      <c r="I46" s="24">
        <f t="shared" si="2"/>
        <v>3.7053905796791999E-2</v>
      </c>
      <c r="J46" s="25">
        <f t="shared" ca="1" si="4"/>
        <v>0.88610018305611193</v>
      </c>
      <c r="K46" s="200"/>
      <c r="L46" s="23"/>
      <c r="M46" s="23"/>
      <c r="N46" s="57"/>
      <c r="O46" s="57"/>
      <c r="P46" s="61"/>
      <c r="Q46" s="24"/>
      <c r="S46" s="25"/>
      <c r="T46" s="62"/>
      <c r="U46" s="27"/>
      <c r="V46" s="64"/>
      <c r="W46" s="170"/>
      <c r="X46" s="170"/>
      <c r="Y46" s="170"/>
      <c r="AA46" s="183"/>
      <c r="AB46" s="183"/>
      <c r="AC46" s="184"/>
      <c r="AD46" s="185"/>
      <c r="AE46" s="186"/>
      <c r="AF46" s="187"/>
      <c r="AG46" s="188"/>
      <c r="AH46" s="189"/>
      <c r="AI46" s="27"/>
      <c r="AJ46" s="28"/>
      <c r="AP46" s="26"/>
      <c r="AQ46" s="26"/>
      <c r="AR46" s="26"/>
      <c r="AS46" s="27"/>
      <c r="AT46" s="27"/>
      <c r="AU46" s="27"/>
      <c r="AV46" s="27"/>
      <c r="AW46" s="27"/>
      <c r="AY46" s="189"/>
      <c r="AZ46" s="189"/>
      <c r="BA46" s="205"/>
      <c r="BC46" s="189"/>
      <c r="BE46" s="57"/>
    </row>
    <row r="47" spans="1:57">
      <c r="A47" s="19">
        <f>[1]!_xludf.edate(A46,1)</f>
        <v>38412</v>
      </c>
      <c r="B47" s="21">
        <f t="shared" si="5"/>
        <v>31</v>
      </c>
      <c r="C47" s="20">
        <f>IF(Control!$C$10="Physical",Model!A48+24,Model!A48)</f>
        <v>38443</v>
      </c>
      <c r="E47" s="22">
        <f>IF($A47&lt;Collar!$C$9,IF(Collar!$F$26="Flat",Collar!$C$10,VLOOKUP(Model!$A47,Collar!$B$31:$D$184,3)),0)</f>
        <v>0</v>
      </c>
      <c r="F47" s="22">
        <f t="shared" si="3"/>
        <v>0</v>
      </c>
      <c r="G47" s="26">
        <f t="shared" ca="1" si="1"/>
        <v>0</v>
      </c>
      <c r="H47" s="60">
        <f>A47-1-Collar!$C$13</f>
        <v>1211</v>
      </c>
      <c r="I47" s="24">
        <f t="shared" si="2"/>
        <v>3.7470736406731001E-2</v>
      </c>
      <c r="J47" s="25">
        <f t="shared" ca="1" si="4"/>
        <v>0.88212290781136971</v>
      </c>
      <c r="K47" s="200"/>
      <c r="L47" s="23"/>
      <c r="M47" s="23"/>
      <c r="N47" s="57"/>
      <c r="O47" s="57"/>
      <c r="P47" s="61"/>
      <c r="Q47" s="24"/>
      <c r="S47" s="25"/>
      <c r="T47" s="62"/>
      <c r="U47" s="27"/>
      <c r="V47" s="64"/>
      <c r="W47" s="170"/>
      <c r="X47" s="170"/>
      <c r="Y47" s="170"/>
      <c r="AA47" s="183"/>
      <c r="AB47" s="183"/>
      <c r="AC47" s="184"/>
      <c r="AD47" s="185"/>
      <c r="AE47" s="186"/>
      <c r="AF47" s="187"/>
      <c r="AG47" s="188"/>
      <c r="AH47" s="189"/>
      <c r="AI47" s="27"/>
      <c r="AJ47" s="28"/>
      <c r="AP47" s="26"/>
      <c r="AQ47" s="26"/>
      <c r="AR47" s="26"/>
      <c r="AS47" s="27"/>
      <c r="AT47" s="27"/>
      <c r="AU47" s="27"/>
      <c r="AV47" s="27"/>
      <c r="AW47" s="27"/>
      <c r="AY47" s="189"/>
      <c r="AZ47" s="189"/>
      <c r="BA47" s="205"/>
      <c r="BC47" s="189"/>
      <c r="BE47" s="57"/>
    </row>
    <row r="48" spans="1:57">
      <c r="A48" s="19">
        <f>[1]!_xludf.edate(A47,1)</f>
        <v>38443</v>
      </c>
      <c r="B48" s="21">
        <f t="shared" si="5"/>
        <v>30</v>
      </c>
      <c r="C48" s="20">
        <f>IF(Control!$C$10="Physical",Model!A49+24,Model!A49)</f>
        <v>38473</v>
      </c>
      <c r="E48" s="22">
        <f>IF($A48&lt;Collar!$C$9,IF(Collar!$F$26="Flat",Collar!$C$10,VLOOKUP(Model!$A48,Collar!$B$31:$D$184,3)),0)</f>
        <v>0</v>
      </c>
      <c r="F48" s="22">
        <f t="shared" si="3"/>
        <v>0</v>
      </c>
      <c r="G48" s="26">
        <f t="shared" ca="1" si="1"/>
        <v>0</v>
      </c>
      <c r="H48" s="60">
        <f>A48-1-Collar!$C$13</f>
        <v>1242</v>
      </c>
      <c r="I48" s="24">
        <f t="shared" si="2"/>
        <v>3.7848554335386801E-2</v>
      </c>
      <c r="J48" s="25">
        <f t="shared" ca="1" si="4"/>
        <v>0.87830934990831189</v>
      </c>
      <c r="K48" s="200"/>
      <c r="L48" s="23"/>
      <c r="M48" s="23"/>
      <c r="N48" s="57"/>
      <c r="O48" s="57"/>
      <c r="P48" s="61"/>
      <c r="Q48" s="24"/>
      <c r="S48" s="25"/>
      <c r="T48" s="62"/>
      <c r="U48" s="27"/>
      <c r="V48" s="64"/>
      <c r="W48" s="170"/>
      <c r="X48" s="170"/>
      <c r="Y48" s="170"/>
      <c r="AA48" s="183"/>
      <c r="AB48" s="183"/>
      <c r="AC48" s="184"/>
      <c r="AD48" s="185"/>
      <c r="AE48" s="186"/>
      <c r="AF48" s="187"/>
      <c r="AG48" s="188"/>
      <c r="AH48" s="189"/>
      <c r="AI48" s="27"/>
      <c r="AJ48" s="28"/>
      <c r="AP48" s="26"/>
      <c r="AQ48" s="26"/>
      <c r="AR48" s="26"/>
      <c r="AS48" s="27"/>
      <c r="AT48" s="27"/>
      <c r="AU48" s="27"/>
      <c r="AV48" s="27"/>
      <c r="AW48" s="27"/>
      <c r="AY48" s="189"/>
      <c r="AZ48" s="189"/>
      <c r="BA48" s="205"/>
      <c r="BC48" s="189"/>
      <c r="BE48" s="57"/>
    </row>
    <row r="49" spans="1:57">
      <c r="A49" s="19">
        <f>[1]!_xludf.edate(A48,1)</f>
        <v>38473</v>
      </c>
      <c r="B49" s="21">
        <f t="shared" si="5"/>
        <v>31</v>
      </c>
      <c r="C49" s="20">
        <f>IF(Control!$C$10="Physical",Model!A50+24,Model!A50)</f>
        <v>38504</v>
      </c>
      <c r="E49" s="22">
        <f>IF($A49&lt;Collar!$C$9,IF(Collar!$F$26="Flat",Collar!$C$10,VLOOKUP(Model!$A49,Collar!$B$31:$D$184,3)),0)</f>
        <v>0</v>
      </c>
      <c r="F49" s="22">
        <f t="shared" si="3"/>
        <v>0</v>
      </c>
      <c r="G49" s="26">
        <f t="shared" ca="1" si="1"/>
        <v>0</v>
      </c>
      <c r="H49" s="60">
        <f>A49-1-Collar!$C$13</f>
        <v>1272</v>
      </c>
      <c r="I49" s="24">
        <f t="shared" si="2"/>
        <v>3.8238966245366601E-2</v>
      </c>
      <c r="J49" s="25">
        <f t="shared" ca="1" si="4"/>
        <v>0.87433025995178415</v>
      </c>
      <c r="K49" s="200"/>
      <c r="L49" s="23"/>
      <c r="M49" s="23"/>
      <c r="N49" s="57"/>
      <c r="O49" s="57"/>
      <c r="P49" s="61"/>
      <c r="Q49" s="24"/>
      <c r="S49" s="25"/>
      <c r="T49" s="62"/>
      <c r="U49" s="27"/>
      <c r="V49" s="64"/>
      <c r="W49" s="170"/>
      <c r="X49" s="170"/>
      <c r="Y49" s="170"/>
      <c r="AA49" s="183"/>
      <c r="AB49" s="183"/>
      <c r="AC49" s="184"/>
      <c r="AD49" s="185"/>
      <c r="AE49" s="186"/>
      <c r="AF49" s="187"/>
      <c r="AG49" s="188"/>
      <c r="AH49" s="189"/>
      <c r="AI49" s="27"/>
      <c r="AJ49" s="28"/>
      <c r="AP49" s="26"/>
      <c r="AQ49" s="26"/>
      <c r="AR49" s="26"/>
      <c r="AS49" s="27"/>
      <c r="AT49" s="27"/>
      <c r="AU49" s="27"/>
      <c r="AV49" s="27"/>
      <c r="AW49" s="27"/>
      <c r="AY49" s="189"/>
      <c r="AZ49" s="189"/>
      <c r="BA49" s="205"/>
      <c r="BC49" s="189"/>
      <c r="BE49" s="57"/>
    </row>
    <row r="50" spans="1:57">
      <c r="A50" s="19">
        <f>[1]!_xludf.edate(A49,1)</f>
        <v>38504</v>
      </c>
      <c r="B50" s="21">
        <f t="shared" si="5"/>
        <v>30</v>
      </c>
      <c r="C50" s="20">
        <f>IF(Control!$C$10="Physical",Model!A51+24,Model!A51)</f>
        <v>38534</v>
      </c>
      <c r="E50" s="22">
        <f>IF($A50&lt;Collar!$C$9,IF(Collar!$F$26="Flat",Collar!$C$10,VLOOKUP(Model!$A50,Collar!$B$31:$D$184,3)),0)</f>
        <v>0</v>
      </c>
      <c r="F50" s="22">
        <f t="shared" si="3"/>
        <v>0</v>
      </c>
      <c r="G50" s="26">
        <f t="shared" ca="1" si="1"/>
        <v>0</v>
      </c>
      <c r="H50" s="60">
        <f>A50-1-Collar!$C$13</f>
        <v>1303</v>
      </c>
      <c r="I50" s="24">
        <f t="shared" si="2"/>
        <v>3.86016957246373E-2</v>
      </c>
      <c r="J50" s="25">
        <f t="shared" ca="1" si="4"/>
        <v>0.87048975603681622</v>
      </c>
      <c r="K50" s="200"/>
      <c r="L50" s="23"/>
      <c r="M50" s="23"/>
      <c r="N50" s="57"/>
      <c r="O50" s="57"/>
      <c r="P50" s="61"/>
      <c r="Q50" s="24"/>
      <c r="S50" s="25"/>
      <c r="T50" s="62"/>
      <c r="U50" s="27"/>
      <c r="V50" s="64"/>
      <c r="W50" s="170"/>
      <c r="X50" s="170"/>
      <c r="Y50" s="170"/>
      <c r="AA50" s="183"/>
      <c r="AB50" s="183"/>
      <c r="AC50" s="184"/>
      <c r="AD50" s="185"/>
      <c r="AE50" s="186"/>
      <c r="AF50" s="187"/>
      <c r="AG50" s="188"/>
      <c r="AH50" s="189"/>
      <c r="AI50" s="27"/>
      <c r="AJ50" s="28"/>
      <c r="AP50" s="26"/>
      <c r="AQ50" s="26"/>
      <c r="AR50" s="26"/>
      <c r="AS50" s="27"/>
      <c r="AT50" s="27"/>
      <c r="AU50" s="27"/>
      <c r="AV50" s="27"/>
      <c r="AW50" s="27"/>
      <c r="AY50" s="189"/>
      <c r="AZ50" s="189"/>
      <c r="BA50" s="205"/>
      <c r="BC50" s="189"/>
      <c r="BE50" s="57"/>
    </row>
    <row r="51" spans="1:57">
      <c r="A51" s="19">
        <f>[1]!_xludf.edate(A50,1)</f>
        <v>38534</v>
      </c>
      <c r="B51" s="21">
        <f t="shared" si="5"/>
        <v>31</v>
      </c>
      <c r="C51" s="20">
        <f>IF(Control!$C$10="Physical",Model!A52+24,Model!A52)</f>
        <v>38565</v>
      </c>
      <c r="E51" s="22">
        <f>IF($A51&lt;Collar!$C$9,IF(Collar!$F$26="Flat",Collar!$C$10,VLOOKUP(Model!$A51,Collar!$B$31:$D$184,3)),0)</f>
        <v>0</v>
      </c>
      <c r="F51" s="22">
        <f t="shared" si="3"/>
        <v>0</v>
      </c>
      <c r="G51" s="26">
        <f t="shared" ca="1" si="1"/>
        <v>0</v>
      </c>
      <c r="H51" s="60">
        <f>A51-1-Collar!$C$13</f>
        <v>1333</v>
      </c>
      <c r="I51" s="24">
        <f t="shared" si="2"/>
        <v>3.8961997969720198E-2</v>
      </c>
      <c r="J51" s="25">
        <f t="shared" ca="1" si="4"/>
        <v>0.86653176241187413</v>
      </c>
      <c r="K51" s="200"/>
      <c r="L51" s="23"/>
      <c r="M51" s="23"/>
      <c r="N51" s="57"/>
      <c r="O51" s="57"/>
      <c r="P51" s="61"/>
      <c r="Q51" s="24"/>
      <c r="S51" s="25"/>
      <c r="T51" s="62"/>
      <c r="U51" s="27"/>
      <c r="V51" s="64"/>
      <c r="W51" s="170"/>
      <c r="X51" s="170"/>
      <c r="Y51" s="170"/>
      <c r="AA51" s="183"/>
      <c r="AB51" s="183"/>
      <c r="AC51" s="184"/>
      <c r="AD51" s="185"/>
      <c r="AE51" s="186"/>
      <c r="AF51" s="187"/>
      <c r="AG51" s="188"/>
      <c r="AH51" s="189"/>
      <c r="AI51" s="27"/>
      <c r="AJ51" s="28"/>
      <c r="AP51" s="26"/>
      <c r="AQ51" s="26"/>
      <c r="AR51" s="26"/>
      <c r="AS51" s="27"/>
      <c r="AT51" s="27"/>
      <c r="AU51" s="27"/>
      <c r="AV51" s="27"/>
      <c r="AW51" s="27"/>
      <c r="AY51" s="189"/>
      <c r="AZ51" s="189"/>
      <c r="BA51" s="205"/>
      <c r="BC51" s="189"/>
      <c r="BE51" s="57"/>
    </row>
    <row r="52" spans="1:57">
      <c r="A52" s="19">
        <f>[1]!_xludf.edate(A51,1)</f>
        <v>38565</v>
      </c>
      <c r="B52" s="21">
        <f t="shared" si="5"/>
        <v>31</v>
      </c>
      <c r="C52" s="20">
        <f>IF(Control!$C$10="Physical",Model!A53+24,Model!A53)</f>
        <v>38596</v>
      </c>
      <c r="E52" s="22">
        <f>IF($A52&lt;Collar!$C$9,IF(Collar!$F$26="Flat",Collar!$C$10,VLOOKUP(Model!$A52,Collar!$B$31:$D$184,3)),0)</f>
        <v>0</v>
      </c>
      <c r="F52" s="22">
        <f t="shared" si="3"/>
        <v>0</v>
      </c>
      <c r="G52" s="26">
        <f t="shared" ca="1" si="1"/>
        <v>0</v>
      </c>
      <c r="H52" s="60">
        <f>A52-1-Collar!$C$13</f>
        <v>1364</v>
      </c>
      <c r="I52" s="24">
        <f t="shared" si="2"/>
        <v>3.9322300258381099E-2</v>
      </c>
      <c r="J52" s="25">
        <f t="shared" ca="1" si="4"/>
        <v>0.8625402184952311</v>
      </c>
      <c r="K52" s="200"/>
      <c r="L52" s="23"/>
      <c r="M52" s="23"/>
      <c r="N52" s="57"/>
      <c r="O52" s="57"/>
      <c r="P52" s="61"/>
      <c r="Q52" s="24"/>
      <c r="S52" s="25"/>
      <c r="T52" s="62"/>
      <c r="U52" s="27"/>
      <c r="V52" s="64"/>
      <c r="W52" s="170"/>
      <c r="X52" s="170"/>
      <c r="Y52" s="170"/>
      <c r="AA52" s="183"/>
      <c r="AB52" s="183"/>
      <c r="AC52" s="184"/>
      <c r="AD52" s="185"/>
      <c r="AE52" s="186"/>
      <c r="AF52" s="187"/>
      <c r="AG52" s="188"/>
      <c r="AH52" s="189"/>
      <c r="AI52" s="27"/>
      <c r="AJ52" s="28"/>
      <c r="AP52" s="26"/>
      <c r="AQ52" s="26"/>
      <c r="AR52" s="26"/>
      <c r="AS52" s="27"/>
      <c r="AT52" s="27"/>
      <c r="AU52" s="27"/>
      <c r="AV52" s="27"/>
      <c r="AW52" s="27"/>
      <c r="AY52" s="189"/>
      <c r="AZ52" s="189"/>
      <c r="BA52" s="205"/>
      <c r="BC52" s="189"/>
      <c r="BE52" s="57"/>
    </row>
    <row r="53" spans="1:57">
      <c r="A53" s="19">
        <f>[1]!_xludf.edate(A52,1)</f>
        <v>38596</v>
      </c>
      <c r="B53" s="21">
        <f t="shared" si="5"/>
        <v>30</v>
      </c>
      <c r="C53" s="20">
        <f>IF(Control!$C$10="Physical",Model!A54+24,Model!A54)</f>
        <v>38626</v>
      </c>
      <c r="E53" s="22">
        <f>IF($A53&lt;Collar!$C$9,IF(Collar!$F$26="Flat",Collar!$C$10,VLOOKUP(Model!$A53,Collar!$B$31:$D$184,3)),0)</f>
        <v>0</v>
      </c>
      <c r="F53" s="22">
        <f t="shared" si="3"/>
        <v>0</v>
      </c>
      <c r="G53" s="26">
        <f t="shared" ca="1" si="1"/>
        <v>0</v>
      </c>
      <c r="H53" s="60">
        <f>A53-1-Collar!$C$13</f>
        <v>1395</v>
      </c>
      <c r="I53" s="24">
        <f t="shared" si="2"/>
        <v>3.9661257886394199E-2</v>
      </c>
      <c r="J53" s="25">
        <f t="shared" ca="1" si="4"/>
        <v>0.85867785268194174</v>
      </c>
      <c r="K53" s="200"/>
      <c r="L53" s="23"/>
      <c r="M53" s="23"/>
      <c r="N53" s="57"/>
      <c r="O53" s="57"/>
      <c r="P53" s="61"/>
      <c r="Q53" s="24"/>
      <c r="S53" s="25"/>
      <c r="T53" s="62"/>
      <c r="U53" s="27"/>
      <c r="V53" s="64"/>
      <c r="W53" s="170"/>
      <c r="X53" s="170"/>
      <c r="Y53" s="170"/>
      <c r="AA53" s="183"/>
      <c r="AB53" s="183"/>
      <c r="AC53" s="184"/>
      <c r="AD53" s="185"/>
      <c r="AE53" s="186"/>
      <c r="AF53" s="187"/>
      <c r="AG53" s="188"/>
      <c r="AH53" s="189"/>
      <c r="AI53" s="27"/>
      <c r="AJ53" s="28"/>
      <c r="AP53" s="26"/>
      <c r="AQ53" s="26"/>
      <c r="AR53" s="26"/>
      <c r="AS53" s="27"/>
      <c r="AT53" s="27"/>
      <c r="AU53" s="27"/>
      <c r="AV53" s="27"/>
      <c r="AW53" s="27"/>
      <c r="AY53" s="189"/>
      <c r="AZ53" s="189"/>
      <c r="BA53" s="205"/>
      <c r="BC53" s="189"/>
      <c r="BE53" s="57"/>
    </row>
    <row r="54" spans="1:57">
      <c r="A54" s="19">
        <f>[1]!_xludf.edate(A53,1)</f>
        <v>38626</v>
      </c>
      <c r="B54" s="21">
        <f t="shared" si="5"/>
        <v>31</v>
      </c>
      <c r="C54" s="20">
        <f>IF(Control!$C$10="Physical",Model!A55+24,Model!A55)</f>
        <v>38657</v>
      </c>
      <c r="E54" s="22">
        <f>IF($A54&lt;Collar!$C$9,IF(Collar!$F$26="Flat",Collar!$C$10,VLOOKUP(Model!$A54,Collar!$B$31:$D$184,3)),0)</f>
        <v>0</v>
      </c>
      <c r="F54" s="22">
        <f t="shared" si="3"/>
        <v>0</v>
      </c>
      <c r="G54" s="26">
        <f t="shared" ca="1" si="1"/>
        <v>0</v>
      </c>
      <c r="H54" s="60">
        <f>A54-1-Collar!$C$13</f>
        <v>1425</v>
      </c>
      <c r="I54" s="24">
        <f t="shared" si="2"/>
        <v>3.9991283465716801E-2</v>
      </c>
      <c r="J54" s="25">
        <f t="shared" ca="1" si="4"/>
        <v>0.85472328358546668</v>
      </c>
      <c r="K54" s="200"/>
      <c r="L54" s="23"/>
      <c r="M54" s="23"/>
      <c r="N54" s="57"/>
      <c r="O54" s="57"/>
      <c r="P54" s="61"/>
      <c r="Q54" s="24"/>
      <c r="S54" s="25"/>
      <c r="T54" s="62"/>
      <c r="U54" s="27"/>
      <c r="V54" s="64"/>
      <c r="W54" s="170"/>
      <c r="X54" s="170"/>
      <c r="Y54" s="170"/>
      <c r="AA54" s="183"/>
      <c r="AB54" s="183"/>
      <c r="AC54" s="184"/>
      <c r="AD54" s="185"/>
      <c r="AE54" s="186"/>
      <c r="AF54" s="187"/>
      <c r="AG54" s="188"/>
      <c r="AH54" s="189"/>
      <c r="AI54" s="27"/>
      <c r="AJ54" s="28"/>
      <c r="AP54" s="26"/>
      <c r="AQ54" s="26"/>
      <c r="AR54" s="26"/>
      <c r="AS54" s="27"/>
      <c r="AT54" s="27"/>
      <c r="AU54" s="27"/>
      <c r="AV54" s="27"/>
      <c r="AW54" s="27"/>
      <c r="AY54" s="189"/>
      <c r="AZ54" s="189"/>
      <c r="BA54" s="205"/>
      <c r="BC54" s="189"/>
      <c r="BE54" s="57"/>
    </row>
    <row r="55" spans="1:57">
      <c r="A55" s="19">
        <f>[1]!_xludf.edate(A54,1)</f>
        <v>38657</v>
      </c>
      <c r="B55" s="21">
        <f t="shared" si="5"/>
        <v>30</v>
      </c>
      <c r="C55" s="20">
        <f>IF(Control!$C$10="Physical",Model!A56+24,Model!A56)</f>
        <v>38687</v>
      </c>
      <c r="E55" s="22">
        <f>IF($A55&lt;Collar!$C$9,IF(Collar!$F$26="Flat",Collar!$C$10,VLOOKUP(Model!$A55,Collar!$B$31:$D$184,3)),0)</f>
        <v>0</v>
      </c>
      <c r="F55" s="22">
        <f t="shared" si="3"/>
        <v>0</v>
      </c>
      <c r="G55" s="26">
        <f t="shared" ca="1" si="1"/>
        <v>0</v>
      </c>
      <c r="H55" s="60">
        <f>A55-1-Collar!$C$13</f>
        <v>1456</v>
      </c>
      <c r="I55" s="24">
        <f t="shared" si="2"/>
        <v>4.0310663093404503E-2</v>
      </c>
      <c r="J55" s="25">
        <f t="shared" ca="1" si="4"/>
        <v>0.85086929447749937</v>
      </c>
      <c r="K55" s="200"/>
      <c r="L55" s="23"/>
      <c r="M55" s="23"/>
      <c r="N55" s="57"/>
      <c r="O55" s="57"/>
      <c r="P55" s="61"/>
      <c r="Q55" s="24"/>
      <c r="S55" s="25"/>
      <c r="T55" s="62"/>
      <c r="U55" s="27"/>
      <c r="V55" s="64"/>
      <c r="W55" s="170"/>
      <c r="X55" s="170"/>
      <c r="Y55" s="170"/>
      <c r="AA55" s="183"/>
      <c r="AB55" s="183"/>
      <c r="AC55" s="184"/>
      <c r="AD55" s="185"/>
      <c r="AE55" s="186"/>
      <c r="AF55" s="187"/>
      <c r="AG55" s="188"/>
      <c r="AH55" s="189"/>
      <c r="AI55" s="27"/>
      <c r="AJ55" s="28"/>
      <c r="AP55" s="26"/>
      <c r="AQ55" s="26"/>
      <c r="AR55" s="26"/>
      <c r="AS55" s="27"/>
      <c r="AT55" s="27"/>
      <c r="AU55" s="27"/>
      <c r="AV55" s="27"/>
      <c r="AW55" s="27"/>
      <c r="AY55" s="189"/>
      <c r="AZ55" s="189"/>
      <c r="BA55" s="205"/>
      <c r="BC55" s="189"/>
      <c r="BE55" s="57"/>
    </row>
    <row r="56" spans="1:57">
      <c r="A56" s="19">
        <f>[1]!_xludf.edate(A55,1)</f>
        <v>38687</v>
      </c>
      <c r="B56" s="21">
        <f t="shared" si="5"/>
        <v>31</v>
      </c>
      <c r="C56" s="20">
        <f>IF(Control!$C$10="Physical",Model!A57+24,Model!A57)</f>
        <v>38718</v>
      </c>
      <c r="E56" s="22">
        <f>IF($A56&lt;Collar!$C$9,IF(Collar!$F$26="Flat",Collar!$C$10,VLOOKUP(Model!$A56,Collar!$B$31:$D$184,3)),0)</f>
        <v>0</v>
      </c>
      <c r="F56" s="22">
        <f t="shared" si="3"/>
        <v>0</v>
      </c>
      <c r="G56" s="26">
        <f t="shared" ca="1" si="1"/>
        <v>0</v>
      </c>
      <c r="H56" s="60">
        <f>A56-1-Collar!$C$13</f>
        <v>1486</v>
      </c>
      <c r="I56" s="24">
        <f t="shared" si="2"/>
        <v>4.0614914429089502E-2</v>
      </c>
      <c r="J56" s="25">
        <f t="shared" ca="1" si="4"/>
        <v>0.84694790196569536</v>
      </c>
      <c r="K56" s="200"/>
      <c r="L56" s="23"/>
      <c r="M56" s="23"/>
      <c r="N56" s="57"/>
      <c r="O56" s="57"/>
      <c r="P56" s="61"/>
      <c r="Q56" s="24"/>
      <c r="S56" s="25"/>
      <c r="T56" s="62"/>
      <c r="U56" s="27"/>
      <c r="V56" s="64"/>
      <c r="W56" s="170"/>
      <c r="X56" s="170"/>
      <c r="Y56" s="170"/>
      <c r="AA56" s="183"/>
      <c r="AB56" s="183"/>
      <c r="AC56" s="184"/>
      <c r="AD56" s="185"/>
      <c r="AE56" s="186"/>
      <c r="AF56" s="187"/>
      <c r="AG56" s="188"/>
      <c r="AH56" s="189"/>
      <c r="AI56" s="27"/>
      <c r="AJ56" s="28"/>
      <c r="AP56" s="26"/>
      <c r="AQ56" s="26"/>
      <c r="AR56" s="26"/>
      <c r="AS56" s="27"/>
      <c r="AT56" s="27"/>
      <c r="AU56" s="27"/>
      <c r="AV56" s="27"/>
      <c r="AW56" s="27"/>
      <c r="AY56" s="189"/>
      <c r="AZ56" s="189"/>
      <c r="BA56" s="205"/>
      <c r="BC56" s="189"/>
      <c r="BE56" s="57"/>
    </row>
    <row r="57" spans="1:57">
      <c r="A57" s="19">
        <f>[1]!_xludf.edate(A56,1)</f>
        <v>38718</v>
      </c>
      <c r="B57" s="21">
        <f t="shared" si="5"/>
        <v>31</v>
      </c>
      <c r="C57" s="20">
        <f>IF(Control!$C$10="Physical",Model!A58+24,Model!A58)</f>
        <v>38749</v>
      </c>
      <c r="E57" s="22">
        <f>IF($A57&lt;Collar!$C$9,IF(Collar!$F$26="Flat",Collar!$C$10,VLOOKUP(Model!$A57,Collar!$B$31:$D$184,3)),0)</f>
        <v>0</v>
      </c>
      <c r="F57" s="22">
        <f t="shared" si="3"/>
        <v>0</v>
      </c>
      <c r="G57" s="26">
        <f t="shared" ca="1" si="1"/>
        <v>0</v>
      </c>
      <c r="H57" s="60">
        <f>A57-1-Collar!$C$13</f>
        <v>1517</v>
      </c>
      <c r="I57" s="24">
        <f t="shared" si="2"/>
        <v>4.0872303399721997E-2</v>
      </c>
      <c r="J57" s="25">
        <f t="shared" ca="1" si="4"/>
        <v>0.84316530783257848</v>
      </c>
      <c r="K57" s="200"/>
      <c r="L57" s="23"/>
      <c r="M57" s="23"/>
      <c r="N57" s="57"/>
      <c r="O57" s="57"/>
      <c r="P57" s="61"/>
      <c r="Q57" s="24"/>
      <c r="S57" s="25"/>
      <c r="T57" s="62"/>
      <c r="U57" s="27"/>
      <c r="V57" s="64"/>
      <c r="W57" s="170"/>
      <c r="X57" s="170"/>
      <c r="Y57" s="170"/>
      <c r="AA57" s="183"/>
      <c r="AB57" s="183"/>
      <c r="AC57" s="184"/>
      <c r="AD57" s="185"/>
      <c r="AE57" s="186"/>
      <c r="AF57" s="187"/>
      <c r="AG57" s="188"/>
      <c r="AH57" s="189"/>
      <c r="AI57" s="27"/>
      <c r="AJ57" s="28"/>
      <c r="AP57" s="26"/>
      <c r="AQ57" s="26"/>
      <c r="AR57" s="26"/>
      <c r="AS57" s="27"/>
      <c r="AT57" s="27"/>
      <c r="AU57" s="27"/>
      <c r="AV57" s="27"/>
      <c r="AW57" s="27"/>
      <c r="AY57" s="189"/>
      <c r="AZ57" s="189"/>
      <c r="BA57" s="205"/>
      <c r="BC57" s="189"/>
      <c r="BE57" s="57"/>
    </row>
    <row r="58" spans="1:57">
      <c r="A58" s="19">
        <f>[1]!_xludf.edate(A57,1)</f>
        <v>38749</v>
      </c>
      <c r="B58" s="21">
        <f t="shared" si="5"/>
        <v>28</v>
      </c>
      <c r="C58" s="20">
        <f>IF(Control!$C$10="Physical",Model!A59+24,Model!A59)</f>
        <v>38777</v>
      </c>
      <c r="E58" s="22">
        <f>IF($A58&lt;Collar!$C$9,IF(Collar!$F$26="Flat",Collar!$C$10,VLOOKUP(Model!$A58,Collar!$B$31:$D$184,3)),0)</f>
        <v>0</v>
      </c>
      <c r="F58" s="22">
        <f t="shared" si="3"/>
        <v>0</v>
      </c>
      <c r="G58" s="26">
        <f t="shared" ca="1" si="1"/>
        <v>0</v>
      </c>
      <c r="H58" s="60">
        <f>A58-1-Collar!$C$13</f>
        <v>1548</v>
      </c>
      <c r="I58" s="24">
        <f t="shared" si="2"/>
        <v>4.11047837793901E-2</v>
      </c>
      <c r="J58" s="25">
        <f t="shared" ca="1" si="4"/>
        <v>0.83973248652595034</v>
      </c>
      <c r="K58" s="200"/>
      <c r="L58" s="23"/>
      <c r="M58" s="23"/>
      <c r="N58" s="57"/>
      <c r="O58" s="57"/>
      <c r="P58" s="61"/>
      <c r="Q58" s="24"/>
      <c r="S58" s="25"/>
      <c r="T58" s="62"/>
      <c r="U58" s="27"/>
      <c r="V58" s="64"/>
      <c r="W58" s="170"/>
      <c r="X58" s="170"/>
      <c r="Y58" s="170"/>
      <c r="AA58" s="183"/>
      <c r="AB58" s="183"/>
      <c r="AC58" s="184"/>
      <c r="AD58" s="185"/>
      <c r="AE58" s="186"/>
      <c r="AF58" s="187"/>
      <c r="AG58" s="188"/>
      <c r="AH58" s="189"/>
      <c r="AI58" s="27"/>
      <c r="AJ58" s="28"/>
      <c r="AP58" s="26"/>
      <c r="AQ58" s="26"/>
      <c r="AR58" s="26"/>
      <c r="AS58" s="27"/>
      <c r="AT58" s="27"/>
      <c r="AU58" s="27"/>
      <c r="AV58" s="27"/>
      <c r="AW58" s="27"/>
      <c r="AY58" s="189"/>
      <c r="AZ58" s="189"/>
      <c r="BA58" s="205"/>
      <c r="BC58" s="189"/>
      <c r="BE58" s="57"/>
    </row>
    <row r="59" spans="1:57">
      <c r="A59" s="19">
        <f>[1]!_xludf.edate(A58,1)</f>
        <v>38777</v>
      </c>
      <c r="B59" s="21">
        <f t="shared" si="5"/>
        <v>31</v>
      </c>
      <c r="C59" s="20">
        <f>IF(Control!$C$10="Physical",Model!A60+24,Model!A60)</f>
        <v>38808</v>
      </c>
      <c r="E59" s="22">
        <f>IF($A59&lt;Collar!$C$9,IF(Collar!$F$26="Flat",Collar!$C$10,VLOOKUP(Model!$A59,Collar!$B$31:$D$184,3)),0)</f>
        <v>0</v>
      </c>
      <c r="F59" s="22">
        <f t="shared" si="3"/>
        <v>0</v>
      </c>
      <c r="G59" s="26">
        <f t="shared" ca="1" si="1"/>
        <v>0</v>
      </c>
      <c r="H59" s="60">
        <f>A59-1-Collar!$C$13</f>
        <v>1576</v>
      </c>
      <c r="I59" s="24">
        <f t="shared" si="2"/>
        <v>4.1362172792306598E-2</v>
      </c>
      <c r="J59" s="25">
        <f t="shared" ca="1" si="4"/>
        <v>0.83591421644231079</v>
      </c>
      <c r="K59" s="200"/>
      <c r="L59" s="23"/>
      <c r="M59" s="23"/>
      <c r="N59" s="57"/>
      <c r="O59" s="57"/>
      <c r="P59" s="61"/>
      <c r="Q59" s="24"/>
      <c r="S59" s="25"/>
      <c r="T59" s="62"/>
      <c r="U59" s="27"/>
      <c r="V59" s="64"/>
      <c r="W59" s="170"/>
      <c r="X59" s="170"/>
      <c r="Y59" s="170"/>
      <c r="AA59" s="183"/>
      <c r="AB59" s="183"/>
      <c r="AC59" s="184"/>
      <c r="AD59" s="185"/>
      <c r="AE59" s="186"/>
      <c r="AF59" s="187"/>
      <c r="AG59" s="188"/>
      <c r="AH59" s="189"/>
      <c r="AI59" s="27"/>
      <c r="AJ59" s="28"/>
      <c r="AP59" s="26"/>
      <c r="AQ59" s="26"/>
      <c r="AR59" s="26"/>
      <c r="AS59" s="27"/>
      <c r="AT59" s="27"/>
      <c r="AU59" s="27"/>
      <c r="AV59" s="27"/>
      <c r="AW59" s="27"/>
      <c r="AY59" s="189"/>
      <c r="AZ59" s="189"/>
      <c r="BA59" s="205"/>
      <c r="BC59" s="189"/>
      <c r="BE59" s="57"/>
    </row>
    <row r="60" spans="1:57">
      <c r="A60" s="19">
        <f>[1]!_xludf.edate(A59,1)</f>
        <v>38808</v>
      </c>
      <c r="B60" s="21">
        <f t="shared" si="5"/>
        <v>30</v>
      </c>
      <c r="C60" s="20">
        <f>IF(Control!$C$10="Physical",Model!A61+24,Model!A61)</f>
        <v>38838</v>
      </c>
      <c r="E60" s="22">
        <f>IF($A60&lt;Collar!$C$9,IF(Collar!$F$26="Flat",Collar!$C$10,VLOOKUP(Model!$A60,Collar!$B$31:$D$184,3)),0)</f>
        <v>0</v>
      </c>
      <c r="F60" s="22">
        <f t="shared" si="3"/>
        <v>0</v>
      </c>
      <c r="G60" s="26">
        <f t="shared" ca="1" si="1"/>
        <v>0</v>
      </c>
      <c r="H60" s="60">
        <f>A60-1-Collar!$C$13</f>
        <v>1607</v>
      </c>
      <c r="I60" s="24">
        <f t="shared" si="2"/>
        <v>4.16112589549886E-2</v>
      </c>
      <c r="J60" s="25">
        <f t="shared" ca="1" si="4"/>
        <v>0.83220183947874438</v>
      </c>
      <c r="K60" s="200"/>
      <c r="L60" s="23"/>
      <c r="M60" s="23"/>
      <c r="N60" s="57"/>
      <c r="O60" s="57"/>
      <c r="P60" s="61"/>
      <c r="Q60" s="24"/>
      <c r="S60" s="25"/>
      <c r="T60" s="62"/>
      <c r="U60" s="27"/>
      <c r="V60" s="64"/>
      <c r="W60" s="170"/>
      <c r="X60" s="170"/>
      <c r="Y60" s="170"/>
      <c r="AA60" s="183"/>
      <c r="AB60" s="183"/>
      <c r="AC60" s="184"/>
      <c r="AD60" s="185"/>
      <c r="AE60" s="186"/>
      <c r="AF60" s="187"/>
      <c r="AG60" s="188"/>
      <c r="AH60" s="189"/>
      <c r="AI60" s="27"/>
      <c r="AJ60" s="28"/>
      <c r="AP60" s="26"/>
      <c r="AQ60" s="26"/>
      <c r="AR60" s="26"/>
      <c r="AS60" s="27"/>
      <c r="AT60" s="27"/>
      <c r="AU60" s="27"/>
      <c r="AV60" s="27"/>
      <c r="AW60" s="27"/>
      <c r="AY60" s="189"/>
      <c r="AZ60" s="189"/>
      <c r="BA60" s="205"/>
      <c r="BC60" s="189"/>
      <c r="BE60" s="57"/>
    </row>
    <row r="61" spans="1:57">
      <c r="A61" s="19">
        <f>[1]!_xludf.edate(A60,1)</f>
        <v>38838</v>
      </c>
      <c r="B61" s="21">
        <f t="shared" si="5"/>
        <v>31</v>
      </c>
      <c r="C61" s="20">
        <f>IF(Control!$C$10="Physical",Model!A62+24,Model!A62)</f>
        <v>38869</v>
      </c>
      <c r="E61" s="22">
        <f>IF($A61&lt;Collar!$C$9,IF(Collar!$F$26="Flat",Collar!$C$10,VLOOKUP(Model!$A61,Collar!$B$31:$D$184,3)),0)</f>
        <v>0</v>
      </c>
      <c r="F61" s="22">
        <f t="shared" si="3"/>
        <v>0</v>
      </c>
      <c r="G61" s="26">
        <f t="shared" ca="1" si="1"/>
        <v>0</v>
      </c>
      <c r="H61" s="60">
        <f>A61-1-Collar!$C$13</f>
        <v>1637</v>
      </c>
      <c r="I61" s="24">
        <f t="shared" si="2"/>
        <v>4.18686480116119E-2</v>
      </c>
      <c r="J61" s="25">
        <f t="shared" ca="1" si="4"/>
        <v>0.82834826925121263</v>
      </c>
      <c r="K61" s="200"/>
      <c r="L61" s="23"/>
      <c r="M61" s="23"/>
      <c r="N61" s="57"/>
      <c r="O61" s="57"/>
      <c r="P61" s="61"/>
      <c r="Q61" s="24"/>
      <c r="S61" s="25"/>
      <c r="T61" s="62"/>
      <c r="U61" s="27"/>
      <c r="V61" s="64"/>
      <c r="W61" s="170"/>
      <c r="X61" s="170"/>
      <c r="Y61" s="170"/>
      <c r="AA61" s="183"/>
      <c r="AB61" s="183"/>
      <c r="AC61" s="184"/>
      <c r="AD61" s="185"/>
      <c r="AE61" s="186"/>
      <c r="AF61" s="187"/>
      <c r="AG61" s="188"/>
      <c r="AH61" s="189"/>
      <c r="AI61" s="27"/>
      <c r="AJ61" s="28"/>
      <c r="AP61" s="26"/>
      <c r="AQ61" s="26"/>
      <c r="AR61" s="26"/>
      <c r="AS61" s="27"/>
      <c r="AT61" s="27"/>
      <c r="AU61" s="27"/>
      <c r="AV61" s="27"/>
      <c r="AW61" s="27"/>
      <c r="AY61" s="189"/>
      <c r="AZ61" s="189"/>
      <c r="BA61" s="205"/>
      <c r="BC61" s="189"/>
      <c r="BE61" s="57"/>
    </row>
    <row r="62" spans="1:57">
      <c r="A62" s="19">
        <f>[1]!_xludf.edate(A61,1)</f>
        <v>38869</v>
      </c>
      <c r="B62" s="21">
        <f t="shared" si="5"/>
        <v>30</v>
      </c>
      <c r="C62" s="20">
        <f>IF(Control!$C$10="Physical",Model!A63+24,Model!A63)</f>
        <v>38899</v>
      </c>
      <c r="E62" s="22">
        <f>IF($A62&lt;Collar!$C$9,IF(Collar!$F$26="Flat",Collar!$C$10,VLOOKUP(Model!$A62,Collar!$B$31:$D$184,3)),0)</f>
        <v>0</v>
      </c>
      <c r="F62" s="22">
        <f t="shared" si="3"/>
        <v>0</v>
      </c>
      <c r="G62" s="26">
        <f t="shared" ca="1" si="1"/>
        <v>0</v>
      </c>
      <c r="H62" s="60">
        <f>A62-1-Collar!$C$13</f>
        <v>1668</v>
      </c>
      <c r="I62" s="24">
        <f t="shared" si="2"/>
        <v>4.2117734216585899E-2</v>
      </c>
      <c r="J62" s="25">
        <f t="shared" ca="1" si="4"/>
        <v>0.82460251149354113</v>
      </c>
      <c r="K62" s="200"/>
      <c r="L62" s="23"/>
      <c r="M62" s="23"/>
      <c r="N62" s="57"/>
      <c r="O62" s="57"/>
      <c r="P62" s="61"/>
      <c r="Q62" s="24"/>
      <c r="S62" s="25"/>
      <c r="T62" s="62"/>
      <c r="U62" s="27"/>
      <c r="V62" s="64"/>
      <c r="W62" s="170"/>
      <c r="X62" s="170"/>
      <c r="Y62" s="170"/>
      <c r="AA62" s="183"/>
      <c r="AB62" s="183"/>
      <c r="AC62" s="184"/>
      <c r="AD62" s="185"/>
      <c r="AE62" s="186"/>
      <c r="AF62" s="187"/>
      <c r="AG62" s="188"/>
      <c r="AH62" s="189"/>
      <c r="AI62" s="27"/>
      <c r="AJ62" s="28"/>
      <c r="AP62" s="26"/>
      <c r="AQ62" s="26"/>
      <c r="AR62" s="26"/>
      <c r="AS62" s="27"/>
      <c r="AT62" s="27"/>
      <c r="AU62" s="27"/>
      <c r="AV62" s="27"/>
      <c r="AW62" s="27"/>
      <c r="AY62" s="189"/>
      <c r="AZ62" s="189"/>
      <c r="BA62" s="205"/>
      <c r="BC62" s="189"/>
      <c r="BE62" s="57"/>
    </row>
    <row r="63" spans="1:57">
      <c r="A63" s="19">
        <f>[1]!_xludf.edate(A62,1)</f>
        <v>38899</v>
      </c>
      <c r="B63" s="21">
        <f t="shared" si="5"/>
        <v>31</v>
      </c>
      <c r="C63" s="20">
        <f>IF(Control!$C$10="Physical",Model!A64+24,Model!A64)</f>
        <v>38930</v>
      </c>
      <c r="E63" s="22">
        <f>IF($A63&lt;Collar!$C$9,IF(Collar!$F$26="Flat",Collar!$C$10,VLOOKUP(Model!$A63,Collar!$B$31:$D$184,3)),0)</f>
        <v>0</v>
      </c>
      <c r="F63" s="22">
        <f t="shared" si="3"/>
        <v>0</v>
      </c>
      <c r="G63" s="26">
        <f t="shared" ca="1" si="1"/>
        <v>0</v>
      </c>
      <c r="H63" s="60">
        <f>A63-1-Collar!$C$13</f>
        <v>1698</v>
      </c>
      <c r="I63" s="24">
        <f t="shared" si="2"/>
        <v>4.2375123316905801E-2</v>
      </c>
      <c r="J63" s="25">
        <f t="shared" ca="1" si="4"/>
        <v>0.82071525484421515</v>
      </c>
      <c r="K63" s="200"/>
      <c r="L63" s="23"/>
      <c r="M63" s="23"/>
      <c r="N63" s="57"/>
      <c r="O63" s="57"/>
      <c r="P63" s="61"/>
      <c r="Q63" s="24"/>
      <c r="S63" s="25"/>
      <c r="T63" s="62"/>
      <c r="U63" s="27"/>
      <c r="V63" s="64"/>
      <c r="W63" s="170"/>
      <c r="X63" s="170"/>
      <c r="Y63" s="170"/>
      <c r="AA63" s="183"/>
      <c r="AB63" s="183"/>
      <c r="AC63" s="184"/>
      <c r="AD63" s="185"/>
      <c r="AE63" s="186"/>
      <c r="AF63" s="187"/>
      <c r="AG63" s="188"/>
      <c r="AH63" s="189"/>
      <c r="AI63" s="27"/>
      <c r="AJ63" s="28"/>
      <c r="AP63" s="26"/>
      <c r="AQ63" s="26"/>
      <c r="AR63" s="26"/>
      <c r="AS63" s="27"/>
      <c r="AT63" s="27"/>
      <c r="AU63" s="27"/>
      <c r="AV63" s="27"/>
      <c r="AW63" s="27"/>
      <c r="AY63" s="189"/>
      <c r="AZ63" s="189"/>
      <c r="BA63" s="205"/>
      <c r="BC63" s="189"/>
      <c r="BE63" s="57"/>
    </row>
    <row r="64" spans="1:57">
      <c r="A64" s="19">
        <f>[1]!_xludf.edate(A63,1)</f>
        <v>38930</v>
      </c>
      <c r="B64" s="21">
        <f t="shared" si="5"/>
        <v>31</v>
      </c>
      <c r="C64" s="20">
        <f>IF(Control!$C$10="Physical",Model!A65+24,Model!A65)</f>
        <v>38961</v>
      </c>
      <c r="E64" s="22">
        <f>IF($A64&lt;Collar!$C$9,IF(Collar!$F$26="Flat",Collar!$C$10,VLOOKUP(Model!$A64,Collar!$B$31:$D$184,3)),0)</f>
        <v>0</v>
      </c>
      <c r="F64" s="22">
        <f t="shared" si="3"/>
        <v>0</v>
      </c>
      <c r="G64" s="26">
        <f t="shared" ca="1" si="1"/>
        <v>0</v>
      </c>
      <c r="H64" s="60">
        <f>A64-1-Collar!$C$13</f>
        <v>1729</v>
      </c>
      <c r="I64" s="24">
        <f t="shared" si="2"/>
        <v>4.2632512439427603E-2</v>
      </c>
      <c r="J64" s="25">
        <f t="shared" ca="1" si="4"/>
        <v>0.81681149768236372</v>
      </c>
      <c r="K64" s="200"/>
      <c r="L64" s="23"/>
      <c r="M64" s="23"/>
      <c r="N64" s="57"/>
      <c r="O64" s="57"/>
      <c r="P64" s="61"/>
      <c r="Q64" s="24"/>
      <c r="S64" s="25"/>
      <c r="T64" s="62"/>
      <c r="U64" s="27"/>
      <c r="V64" s="64"/>
      <c r="W64" s="170"/>
      <c r="X64" s="170"/>
      <c r="Y64" s="170"/>
      <c r="AA64" s="183"/>
      <c r="AB64" s="183"/>
      <c r="AC64" s="184"/>
      <c r="AD64" s="185"/>
      <c r="AE64" s="186"/>
      <c r="AF64" s="187"/>
      <c r="AG64" s="188"/>
      <c r="AH64" s="189"/>
      <c r="AI64" s="27"/>
      <c r="AJ64" s="28"/>
      <c r="AP64" s="26"/>
      <c r="AQ64" s="26"/>
      <c r="AR64" s="26"/>
      <c r="AS64" s="27"/>
      <c r="AT64" s="27"/>
      <c r="AU64" s="27"/>
      <c r="AV64" s="27"/>
      <c r="AW64" s="27"/>
      <c r="AY64" s="189"/>
      <c r="AZ64" s="189"/>
      <c r="BA64" s="205"/>
      <c r="BC64" s="189"/>
      <c r="BE64" s="57"/>
    </row>
    <row r="65" spans="1:57">
      <c r="A65" s="19">
        <f>[1]!_xludf.edate(A64,1)</f>
        <v>38961</v>
      </c>
      <c r="B65" s="21">
        <f t="shared" si="5"/>
        <v>30</v>
      </c>
      <c r="C65" s="20">
        <f>IF(Control!$C$10="Physical",Model!A66+24,Model!A66)</f>
        <v>38991</v>
      </c>
      <c r="E65" s="22">
        <f>IF($A65&lt;Collar!$C$9,IF(Collar!$F$26="Flat",Collar!$C$10,VLOOKUP(Model!$A65,Collar!$B$31:$D$184,3)),0)</f>
        <v>0</v>
      </c>
      <c r="F65" s="22">
        <f t="shared" si="3"/>
        <v>0</v>
      </c>
      <c r="G65" s="26">
        <f t="shared" ca="1" si="1"/>
        <v>0</v>
      </c>
      <c r="H65" s="60">
        <f>A65-1-Collar!$C$13</f>
        <v>1760</v>
      </c>
      <c r="I65" s="24">
        <f t="shared" si="2"/>
        <v>4.2881598708166102E-2</v>
      </c>
      <c r="J65" s="25">
        <f t="shared" ca="1" si="4"/>
        <v>0.81301835034736392</v>
      </c>
      <c r="K65" s="200"/>
      <c r="L65" s="23"/>
      <c r="M65" s="23"/>
      <c r="N65" s="57"/>
      <c r="O65" s="57"/>
      <c r="P65" s="61"/>
      <c r="Q65" s="24"/>
      <c r="S65" s="25"/>
      <c r="T65" s="62"/>
      <c r="U65" s="27"/>
      <c r="V65" s="64"/>
      <c r="W65" s="170"/>
      <c r="X65" s="170"/>
      <c r="Y65" s="170"/>
      <c r="AA65" s="183"/>
      <c r="AB65" s="183"/>
      <c r="AC65" s="184"/>
      <c r="AD65" s="185"/>
      <c r="AE65" s="186"/>
      <c r="AF65" s="187"/>
      <c r="AG65" s="188"/>
      <c r="AH65" s="189"/>
      <c r="AI65" s="27"/>
      <c r="AJ65" s="28"/>
      <c r="AP65" s="26"/>
      <c r="AQ65" s="26"/>
      <c r="AR65" s="26"/>
      <c r="AS65" s="27"/>
      <c r="AT65" s="27"/>
      <c r="AU65" s="27"/>
      <c r="AV65" s="27"/>
      <c r="AW65" s="27"/>
      <c r="AY65" s="189"/>
      <c r="AZ65" s="189"/>
      <c r="BA65" s="205"/>
      <c r="BC65" s="189"/>
      <c r="BE65" s="57"/>
    </row>
    <row r="66" spans="1:57">
      <c r="A66" s="19">
        <f>[1]!_xludf.edate(A65,1)</f>
        <v>38991</v>
      </c>
      <c r="B66" s="21">
        <f t="shared" si="5"/>
        <v>31</v>
      </c>
      <c r="C66" s="20">
        <f>IF(Control!$C$10="Physical",Model!A67+24,Model!A67)</f>
        <v>39022</v>
      </c>
      <c r="E66" s="22">
        <f>IF($A66&lt;Collar!$C$9,IF(Collar!$F$26="Flat",Collar!$C$10,VLOOKUP(Model!$A66,Collar!$B$31:$D$184,3)),0)</f>
        <v>0</v>
      </c>
      <c r="F66" s="22">
        <f t="shared" si="3"/>
        <v>0</v>
      </c>
      <c r="G66" s="26">
        <f t="shared" ca="1" si="1"/>
        <v>0</v>
      </c>
      <c r="H66" s="60">
        <f>A66-1-Collar!$C$13</f>
        <v>1790</v>
      </c>
      <c r="I66" s="24">
        <f t="shared" si="2"/>
        <v>4.3138987874367998E-2</v>
      </c>
      <c r="J66" s="25">
        <f t="shared" ca="1" si="4"/>
        <v>0.80908334227265843</v>
      </c>
      <c r="K66" s="200"/>
      <c r="L66" s="23"/>
      <c r="M66" s="23"/>
      <c r="N66" s="57"/>
      <c r="O66" s="57"/>
      <c r="P66" s="61"/>
      <c r="Q66" s="24"/>
      <c r="S66" s="25"/>
      <c r="T66" s="62"/>
      <c r="U66" s="27"/>
      <c r="V66" s="64"/>
      <c r="W66" s="170"/>
      <c r="X66" s="170"/>
      <c r="Y66" s="170"/>
      <c r="AA66" s="183"/>
      <c r="AB66" s="183"/>
      <c r="AC66" s="184"/>
      <c r="AD66" s="185"/>
      <c r="AE66" s="186"/>
      <c r="AF66" s="187"/>
      <c r="AG66" s="188"/>
      <c r="AH66" s="189"/>
      <c r="AI66" s="27"/>
      <c r="AJ66" s="28"/>
      <c r="AP66" s="26"/>
      <c r="AQ66" s="26"/>
      <c r="AR66" s="26"/>
      <c r="AS66" s="27"/>
      <c r="AT66" s="27"/>
      <c r="AU66" s="27"/>
      <c r="AV66" s="27"/>
      <c r="AW66" s="27"/>
      <c r="AY66" s="189"/>
      <c r="AZ66" s="189"/>
      <c r="BA66" s="205"/>
      <c r="BC66" s="189"/>
      <c r="BE66" s="57"/>
    </row>
    <row r="67" spans="1:57">
      <c r="A67" s="19">
        <f>[1]!_xludf.edate(A66,1)</f>
        <v>39022</v>
      </c>
      <c r="B67" s="21">
        <f t="shared" si="5"/>
        <v>30</v>
      </c>
      <c r="C67" s="20">
        <f>IF(Control!$C$10="Physical",Model!A68+24,Model!A68)</f>
        <v>39052</v>
      </c>
      <c r="E67" s="22">
        <f>IF($A67&lt;Collar!$C$9,IF(Collar!$F$26="Flat",Collar!$C$10,VLOOKUP(Model!$A67,Collar!$B$31:$D$184,3)),0)</f>
        <v>0</v>
      </c>
      <c r="F67" s="22">
        <f t="shared" si="3"/>
        <v>0</v>
      </c>
      <c r="G67" s="26">
        <f t="shared" ca="1" si="1"/>
        <v>0</v>
      </c>
      <c r="H67" s="60">
        <f>A67-1-Collar!$C$13</f>
        <v>1821</v>
      </c>
      <c r="I67" s="24">
        <f t="shared" si="2"/>
        <v>4.3325894302845801E-2</v>
      </c>
      <c r="J67" s="25">
        <f t="shared" ca="1" si="4"/>
        <v>0.80550806179436851</v>
      </c>
      <c r="K67" s="200"/>
      <c r="L67" s="23"/>
      <c r="M67" s="23"/>
      <c r="N67" s="57"/>
      <c r="O67" s="57"/>
      <c r="P67" s="61"/>
      <c r="Q67" s="24"/>
      <c r="S67" s="25"/>
      <c r="T67" s="62"/>
      <c r="U67" s="27"/>
      <c r="V67" s="64"/>
      <c r="W67" s="170"/>
      <c r="X67" s="170"/>
      <c r="Y67" s="170"/>
      <c r="AA67" s="183"/>
      <c r="AB67" s="183"/>
      <c r="AC67" s="184"/>
      <c r="AD67" s="185"/>
      <c r="AE67" s="186"/>
      <c r="AF67" s="187"/>
      <c r="AG67" s="188"/>
      <c r="AH67" s="189"/>
      <c r="AI67" s="27"/>
      <c r="AJ67" s="28"/>
      <c r="AP67" s="26"/>
      <c r="AQ67" s="26"/>
      <c r="AR67" s="26"/>
      <c r="AS67" s="27"/>
      <c r="AT67" s="27"/>
      <c r="AU67" s="27"/>
      <c r="AV67" s="27"/>
      <c r="AW67" s="27"/>
      <c r="AY67" s="189"/>
      <c r="AZ67" s="189"/>
      <c r="BA67" s="205"/>
      <c r="BC67" s="189"/>
      <c r="BE67" s="57"/>
    </row>
    <row r="68" spans="1:57">
      <c r="A68" s="19">
        <f>[1]!_xludf.edate(A67,1)</f>
        <v>39052</v>
      </c>
      <c r="B68" s="21">
        <f t="shared" si="5"/>
        <v>31</v>
      </c>
      <c r="C68" s="20">
        <f>IF(Control!$C$10="Physical",Model!A69+24,Model!A69)</f>
        <v>39083</v>
      </c>
      <c r="E68" s="22">
        <f>IF($A68&lt;Collar!$C$9,IF(Collar!$F$26="Flat",Collar!$C$10,VLOOKUP(Model!$A68,Collar!$B$31:$D$184,3)),0)</f>
        <v>0</v>
      </c>
      <c r="F68" s="22">
        <f t="shared" si="3"/>
        <v>0</v>
      </c>
      <c r="G68" s="26">
        <f t="shared" ca="1" si="1"/>
        <v>0</v>
      </c>
      <c r="H68" s="60">
        <f>A68-1-Collar!$C$13</f>
        <v>1851</v>
      </c>
      <c r="I68" s="24">
        <f t="shared" si="2"/>
        <v>4.3502967820751699E-2</v>
      </c>
      <c r="J68" s="25">
        <f t="shared" ca="1" si="4"/>
        <v>0.80186963543048062</v>
      </c>
      <c r="K68" s="200"/>
      <c r="L68" s="23"/>
      <c r="M68" s="23"/>
      <c r="N68" s="57"/>
      <c r="O68" s="57"/>
      <c r="P68" s="61"/>
      <c r="Q68" s="24"/>
      <c r="S68" s="25"/>
      <c r="T68" s="62"/>
      <c r="U68" s="27"/>
      <c r="V68" s="64"/>
      <c r="W68" s="170"/>
      <c r="X68" s="170"/>
      <c r="Y68" s="170"/>
      <c r="AA68" s="183"/>
      <c r="AB68" s="183"/>
      <c r="AC68" s="184"/>
      <c r="AD68" s="185"/>
      <c r="AE68" s="186"/>
      <c r="AF68" s="187"/>
      <c r="AG68" s="188"/>
      <c r="AH68" s="189"/>
      <c r="AI68" s="27"/>
      <c r="AJ68" s="28"/>
      <c r="AP68" s="26"/>
      <c r="AQ68" s="26"/>
      <c r="AR68" s="26"/>
      <c r="AS68" s="27"/>
      <c r="AT68" s="27"/>
      <c r="AU68" s="27"/>
      <c r="AV68" s="27"/>
      <c r="AW68" s="27"/>
      <c r="AY68" s="189"/>
      <c r="AZ68" s="189"/>
      <c r="BA68" s="205"/>
      <c r="BC68" s="189"/>
      <c r="BE68" s="57"/>
    </row>
    <row r="69" spans="1:57">
      <c r="A69" s="19">
        <f>[1]!_xludf.edate(A68,1)</f>
        <v>39083</v>
      </c>
      <c r="B69" s="21">
        <f t="shared" si="5"/>
        <v>31</v>
      </c>
      <c r="C69" s="20">
        <f>IF(Control!$C$10="Physical",Model!A70+24,Model!A70)</f>
        <v>39114</v>
      </c>
      <c r="E69" s="22">
        <f>IF($A69&lt;Collar!$C$9,IF(Collar!$F$26="Flat",Collar!$C$10,VLOOKUP(Model!$A69,Collar!$B$31:$D$184,3)),0)</f>
        <v>0</v>
      </c>
      <c r="F69" s="22">
        <f t="shared" si="3"/>
        <v>0</v>
      </c>
      <c r="G69" s="26">
        <f t="shared" ca="1" si="1"/>
        <v>0</v>
      </c>
      <c r="H69" s="60">
        <f>A69-1-Collar!$C$13</f>
        <v>1882</v>
      </c>
      <c r="I69" s="24">
        <f t="shared" si="2"/>
        <v>4.3680041349159801E-2</v>
      </c>
      <c r="J69" s="25">
        <f t="shared" ca="1" si="4"/>
        <v>0.79822422273282267</v>
      </c>
      <c r="K69" s="200"/>
      <c r="L69" s="23"/>
      <c r="M69" s="23"/>
      <c r="N69" s="57"/>
      <c r="O69" s="57"/>
      <c r="P69" s="61"/>
      <c r="Q69" s="24"/>
      <c r="S69" s="25"/>
      <c r="T69" s="62"/>
      <c r="U69" s="27"/>
      <c r="V69" s="64"/>
      <c r="W69" s="170"/>
      <c r="X69" s="170"/>
      <c r="Y69" s="170"/>
      <c r="AA69" s="183"/>
      <c r="AB69" s="183"/>
      <c r="AC69" s="184"/>
      <c r="AD69" s="185"/>
      <c r="AE69" s="186"/>
      <c r="AF69" s="187"/>
      <c r="AG69" s="188"/>
      <c r="AH69" s="189"/>
      <c r="AI69" s="27"/>
      <c r="AJ69" s="28"/>
      <c r="AP69" s="26"/>
      <c r="AQ69" s="26"/>
      <c r="AR69" s="26"/>
      <c r="AS69" s="27"/>
      <c r="AT69" s="27"/>
      <c r="AU69" s="27"/>
      <c r="AV69" s="27"/>
      <c r="AW69" s="27"/>
      <c r="AY69" s="189"/>
      <c r="AZ69" s="189"/>
      <c r="BA69" s="205"/>
      <c r="BC69" s="189"/>
      <c r="BE69" s="57"/>
    </row>
    <row r="70" spans="1:57">
      <c r="A70" s="19">
        <f>[1]!_xludf.edate(A69,1)</f>
        <v>39114</v>
      </c>
      <c r="B70" s="21">
        <f t="shared" si="5"/>
        <v>28</v>
      </c>
      <c r="C70" s="20">
        <f>IF(Control!$C$10="Physical",Model!A71+24,Model!A71)</f>
        <v>39142</v>
      </c>
      <c r="E70" s="22">
        <f>IF($A70&lt;Collar!$C$9,IF(Collar!$F$26="Flat",Collar!$C$10,VLOOKUP(Model!$A70,Collar!$B$31:$D$184,3)),0)</f>
        <v>0</v>
      </c>
      <c r="F70" s="22">
        <f t="shared" si="3"/>
        <v>0</v>
      </c>
      <c r="G70" s="26">
        <f t="shared" ca="1" si="1"/>
        <v>0</v>
      </c>
      <c r="H70" s="60">
        <f>A70-1-Collar!$C$13</f>
        <v>1913</v>
      </c>
      <c r="I70" s="24">
        <f t="shared" si="2"/>
        <v>4.3839978738684102E-2</v>
      </c>
      <c r="J70" s="25">
        <f t="shared" ca="1" si="4"/>
        <v>0.79492579348188741</v>
      </c>
      <c r="K70" s="200"/>
      <c r="L70" s="23"/>
      <c r="M70" s="23"/>
      <c r="N70" s="57"/>
      <c r="O70" s="57"/>
      <c r="P70" s="61"/>
      <c r="Q70" s="24"/>
      <c r="S70" s="25"/>
      <c r="T70" s="62"/>
      <c r="U70" s="27"/>
      <c r="V70" s="64"/>
      <c r="W70" s="170"/>
      <c r="X70" s="170"/>
      <c r="Y70" s="170"/>
      <c r="AA70" s="183"/>
      <c r="AB70" s="183"/>
      <c r="AC70" s="184"/>
      <c r="AD70" s="185"/>
      <c r="AE70" s="186"/>
      <c r="AF70" s="187"/>
      <c r="AG70" s="188"/>
      <c r="AH70" s="189"/>
      <c r="AI70" s="27"/>
      <c r="AJ70" s="28"/>
      <c r="AP70" s="26"/>
      <c r="AQ70" s="26"/>
      <c r="AR70" s="26"/>
      <c r="AS70" s="27"/>
      <c r="AT70" s="27"/>
      <c r="AU70" s="27"/>
      <c r="AV70" s="27"/>
      <c r="AW70" s="27"/>
      <c r="AY70" s="189"/>
      <c r="AZ70" s="189"/>
      <c r="BA70" s="205"/>
      <c r="BC70" s="189"/>
      <c r="BE70" s="57"/>
    </row>
    <row r="71" spans="1:57">
      <c r="A71" s="19">
        <f>[1]!_xludf.edate(A70,1)</f>
        <v>39142</v>
      </c>
      <c r="B71" s="21">
        <f t="shared" si="5"/>
        <v>31</v>
      </c>
      <c r="C71" s="20">
        <f>IF(Control!$C$10="Physical",Model!A72+24,Model!A72)</f>
        <v>39173</v>
      </c>
      <c r="E71" s="22">
        <f>IF($A71&lt;Collar!$C$9,IF(Collar!$F$26="Flat",Collar!$C$10,VLOOKUP(Model!$A71,Collar!$B$31:$D$184,3)),0)</f>
        <v>0</v>
      </c>
      <c r="F71" s="22">
        <f t="shared" si="3"/>
        <v>0</v>
      </c>
      <c r="G71" s="26">
        <f t="shared" ca="1" si="1"/>
        <v>0</v>
      </c>
      <c r="H71" s="60">
        <f>A71-1-Collar!$C$13</f>
        <v>1941</v>
      </c>
      <c r="I71" s="24">
        <f t="shared" si="2"/>
        <v>4.4017052287077502E-2</v>
      </c>
      <c r="J71" s="25">
        <f t="shared" ca="1" si="4"/>
        <v>0.7912677694850162</v>
      </c>
      <c r="K71" s="200"/>
      <c r="L71" s="23"/>
      <c r="M71" s="23"/>
      <c r="N71" s="57"/>
      <c r="O71" s="57"/>
      <c r="P71" s="61"/>
      <c r="Q71" s="24"/>
      <c r="S71" s="25"/>
      <c r="T71" s="62"/>
      <c r="U71" s="27"/>
      <c r="V71" s="64"/>
      <c r="W71" s="170"/>
      <c r="X71" s="170"/>
      <c r="Y71" s="170"/>
      <c r="AA71" s="183"/>
      <c r="AB71" s="183"/>
      <c r="AC71" s="184"/>
      <c r="AD71" s="185"/>
      <c r="AE71" s="186"/>
      <c r="AF71" s="187"/>
      <c r="AG71" s="188"/>
      <c r="AH71" s="189"/>
      <c r="AI71" s="27"/>
      <c r="AJ71" s="28"/>
      <c r="AP71" s="26"/>
      <c r="AQ71" s="26"/>
      <c r="AR71" s="26"/>
      <c r="AS71" s="27"/>
      <c r="AT71" s="27"/>
      <c r="AU71" s="27"/>
      <c r="AV71" s="27"/>
      <c r="AW71" s="27"/>
      <c r="AY71" s="189"/>
      <c r="AZ71" s="189"/>
      <c r="BA71" s="205"/>
      <c r="BC71" s="189"/>
      <c r="BE71" s="57"/>
    </row>
    <row r="72" spans="1:57">
      <c r="A72" s="19">
        <f>[1]!_xludf.edate(A71,1)</f>
        <v>39173</v>
      </c>
      <c r="B72" s="21">
        <f t="shared" si="5"/>
        <v>30</v>
      </c>
      <c r="C72" s="20">
        <f>IF(Control!$C$10="Physical",Model!A73+24,Model!A73)</f>
        <v>39203</v>
      </c>
      <c r="E72" s="22">
        <f>IF($A72&lt;Collar!$C$9,IF(Collar!$F$26="Flat",Collar!$C$10,VLOOKUP(Model!$A72,Collar!$B$31:$D$184,3)),0)</f>
        <v>0</v>
      </c>
      <c r="F72" s="22">
        <f t="shared" si="3"/>
        <v>0</v>
      </c>
      <c r="G72" s="26">
        <f t="shared" ref="G72:G135" ca="1" si="6">$B72*$E72*$J72</f>
        <v>0</v>
      </c>
      <c r="H72" s="60">
        <f>A72-1-Collar!$C$13</f>
        <v>1972</v>
      </c>
      <c r="I72" s="24">
        <f t="shared" ref="I72:I135" si="7">VLOOKUP($C72,Curve_Fetch,2)+Cost_of_Funds</f>
        <v>4.4188413795520597E-2</v>
      </c>
      <c r="J72" s="25">
        <f t="shared" ca="1" si="4"/>
        <v>0.78772177639400887</v>
      </c>
      <c r="K72" s="200"/>
      <c r="L72" s="23"/>
      <c r="M72" s="23"/>
      <c r="N72" s="57"/>
      <c r="O72" s="57"/>
      <c r="P72" s="61"/>
      <c r="Q72" s="24"/>
      <c r="S72" s="25"/>
      <c r="T72" s="62"/>
      <c r="U72" s="27"/>
      <c r="V72" s="64"/>
      <c r="W72" s="170"/>
      <c r="X72" s="170"/>
      <c r="Y72" s="170"/>
      <c r="AA72" s="183"/>
      <c r="AB72" s="183"/>
      <c r="AC72" s="184"/>
      <c r="AD72" s="185"/>
      <c r="AE72" s="186"/>
      <c r="AF72" s="187"/>
      <c r="AG72" s="188"/>
      <c r="AH72" s="189"/>
      <c r="AI72" s="27"/>
      <c r="AJ72" s="28"/>
      <c r="AP72" s="26"/>
      <c r="AQ72" s="26"/>
      <c r="AR72" s="26"/>
      <c r="AS72" s="27"/>
      <c r="AT72" s="27"/>
      <c r="AU72" s="27"/>
      <c r="AV72" s="27"/>
      <c r="AW72" s="27"/>
      <c r="AY72" s="189"/>
      <c r="AZ72" s="189"/>
      <c r="BA72" s="205"/>
      <c r="BC72" s="189"/>
      <c r="BE72" s="57"/>
    </row>
    <row r="73" spans="1:57">
      <c r="A73" s="19">
        <f>[1]!_xludf.edate(A72,1)</f>
        <v>39203</v>
      </c>
      <c r="B73" s="21">
        <f t="shared" si="5"/>
        <v>31</v>
      </c>
      <c r="C73" s="20">
        <f>IF(Control!$C$10="Physical",Model!A74+24,Model!A74)</f>
        <v>39234</v>
      </c>
      <c r="E73" s="22">
        <f>IF($A73&lt;Collar!$C$9,IF(Collar!$F$26="Flat",Collar!$C$10,VLOOKUP(Model!$A73,Collar!$B$31:$D$184,3)),0)</f>
        <v>0</v>
      </c>
      <c r="F73" s="22">
        <f t="shared" ref="F73:F136" si="8">E73*B73</f>
        <v>0</v>
      </c>
      <c r="G73" s="26">
        <f t="shared" ca="1" si="6"/>
        <v>0</v>
      </c>
      <c r="H73" s="60">
        <f>A73-1-Collar!$C$13</f>
        <v>2002</v>
      </c>
      <c r="I73" s="24">
        <f t="shared" si="7"/>
        <v>4.4365487364573998E-2</v>
      </c>
      <c r="J73" s="25">
        <f t="shared" ref="J73:J136" ca="1" si="9">1/(1+I73/2)^(2*(C73-Val_Date)/365.25)</f>
        <v>0.78405165454805503</v>
      </c>
      <c r="K73" s="200"/>
      <c r="L73" s="23"/>
      <c r="M73" s="23"/>
      <c r="N73" s="57"/>
      <c r="O73" s="57"/>
      <c r="P73" s="61"/>
      <c r="Q73" s="24"/>
      <c r="S73" s="25"/>
      <c r="T73" s="62"/>
      <c r="U73" s="27"/>
      <c r="V73" s="64"/>
      <c r="W73" s="170"/>
      <c r="X73" s="170"/>
      <c r="Y73" s="170"/>
      <c r="AA73" s="183"/>
      <c r="AB73" s="183"/>
      <c r="AC73" s="184"/>
      <c r="AD73" s="185"/>
      <c r="AE73" s="186"/>
      <c r="AF73" s="187"/>
      <c r="AG73" s="188"/>
      <c r="AH73" s="189"/>
      <c r="AI73" s="27"/>
      <c r="AJ73" s="28"/>
      <c r="AP73" s="26"/>
      <c r="AQ73" s="26"/>
      <c r="AR73" s="26"/>
      <c r="AS73" s="27"/>
      <c r="AT73" s="27"/>
      <c r="AU73" s="27"/>
      <c r="AV73" s="27"/>
      <c r="AW73" s="27"/>
      <c r="AY73" s="189"/>
      <c r="AZ73" s="189"/>
      <c r="BA73" s="205"/>
      <c r="BC73" s="189"/>
      <c r="BE73" s="57"/>
    </row>
    <row r="74" spans="1:57">
      <c r="A74" s="19">
        <f>[1]!_xludf.edate(A73,1)</f>
        <v>39234</v>
      </c>
      <c r="B74" s="21">
        <f t="shared" ref="B74:B137" si="10">A75-A74</f>
        <v>30</v>
      </c>
      <c r="C74" s="20">
        <f>IF(Control!$C$10="Physical",Model!A75+24,Model!A75)</f>
        <v>39264</v>
      </c>
      <c r="E74" s="22">
        <f>IF($A74&lt;Collar!$C$9,IF(Collar!$F$26="Flat",Collar!$C$10,VLOOKUP(Model!$A74,Collar!$B$31:$D$184,3)),0)</f>
        <v>0</v>
      </c>
      <c r="F74" s="22">
        <f t="shared" si="8"/>
        <v>0</v>
      </c>
      <c r="G74" s="26">
        <f t="shared" ca="1" si="6"/>
        <v>0</v>
      </c>
      <c r="H74" s="60">
        <f>A74-1-Collar!$C$13</f>
        <v>2033</v>
      </c>
      <c r="I74" s="24">
        <f t="shared" si="7"/>
        <v>4.4536848893008199E-2</v>
      </c>
      <c r="J74" s="25">
        <f t="shared" ca="1" si="9"/>
        <v>0.78049441501570904</v>
      </c>
      <c r="K74" s="200"/>
      <c r="L74" s="23"/>
      <c r="M74" s="23"/>
      <c r="N74" s="57"/>
      <c r="O74" s="57"/>
      <c r="P74" s="61"/>
      <c r="Q74" s="24"/>
      <c r="S74" s="25"/>
      <c r="T74" s="62"/>
      <c r="U74" s="27"/>
      <c r="V74" s="64"/>
      <c r="W74" s="170"/>
      <c r="X74" s="170"/>
      <c r="Y74" s="170"/>
      <c r="AA74" s="183"/>
      <c r="AB74" s="183"/>
      <c r="AC74" s="184"/>
      <c r="AD74" s="185"/>
      <c r="AE74" s="186"/>
      <c r="AF74" s="187"/>
      <c r="AG74" s="188"/>
      <c r="AH74" s="189"/>
      <c r="AI74" s="27"/>
      <c r="AJ74" s="28"/>
      <c r="AP74" s="26"/>
      <c r="AQ74" s="26"/>
      <c r="AR74" s="26"/>
      <c r="AS74" s="27"/>
      <c r="AT74" s="27"/>
      <c r="AU74" s="27"/>
      <c r="AV74" s="27"/>
      <c r="AW74" s="27"/>
      <c r="AY74" s="189"/>
      <c r="AZ74" s="189"/>
      <c r="BA74" s="205"/>
      <c r="BC74" s="189"/>
      <c r="BE74" s="57"/>
    </row>
    <row r="75" spans="1:57">
      <c r="A75" s="19">
        <f>[1]!_xludf.edate(A74,1)</f>
        <v>39264</v>
      </c>
      <c r="B75" s="21">
        <f t="shared" si="10"/>
        <v>31</v>
      </c>
      <c r="C75" s="20">
        <f>IF(Control!$C$10="Physical",Model!A76+24,Model!A76)</f>
        <v>39295</v>
      </c>
      <c r="E75" s="22">
        <f>IF($A75&lt;Collar!$C$9,IF(Collar!$F$26="Flat",Collar!$C$10,VLOOKUP(Model!$A75,Collar!$B$31:$D$184,3)),0)</f>
        <v>0</v>
      </c>
      <c r="F75" s="22">
        <f t="shared" si="8"/>
        <v>0</v>
      </c>
      <c r="G75" s="26">
        <f t="shared" ca="1" si="6"/>
        <v>0</v>
      </c>
      <c r="H75" s="60">
        <f>A75-1-Collar!$C$13</f>
        <v>2063</v>
      </c>
      <c r="I75" s="24">
        <f t="shared" si="7"/>
        <v>4.4713922482717598E-2</v>
      </c>
      <c r="J75" s="25">
        <f t="shared" ca="1" si="9"/>
        <v>0.77681314708843197</v>
      </c>
      <c r="K75" s="200"/>
      <c r="L75" s="23"/>
      <c r="M75" s="23"/>
      <c r="N75" s="57"/>
      <c r="O75" s="57"/>
      <c r="P75" s="61"/>
      <c r="Q75" s="24"/>
      <c r="S75" s="25"/>
      <c r="T75" s="62"/>
      <c r="U75" s="27"/>
      <c r="V75" s="64"/>
      <c r="W75" s="170"/>
      <c r="X75" s="170"/>
      <c r="Y75" s="170"/>
      <c r="AA75" s="183"/>
      <c r="AB75" s="183"/>
      <c r="AC75" s="184"/>
      <c r="AD75" s="185"/>
      <c r="AE75" s="186"/>
      <c r="AF75" s="187"/>
      <c r="AG75" s="188"/>
      <c r="AH75" s="189"/>
      <c r="AI75" s="27"/>
      <c r="AJ75" s="28"/>
      <c r="AP75" s="26"/>
      <c r="AQ75" s="26"/>
      <c r="AR75" s="26"/>
      <c r="AS75" s="27"/>
      <c r="AT75" s="27"/>
      <c r="AU75" s="27"/>
      <c r="AV75" s="27"/>
      <c r="AW75" s="27"/>
      <c r="AY75" s="189"/>
      <c r="AZ75" s="189"/>
      <c r="BA75" s="205"/>
      <c r="BC75" s="189"/>
      <c r="BE75" s="57"/>
    </row>
    <row r="76" spans="1:57">
      <c r="A76" s="19">
        <f>[1]!_xludf.edate(A75,1)</f>
        <v>39295</v>
      </c>
      <c r="B76" s="21">
        <f t="shared" si="10"/>
        <v>31</v>
      </c>
      <c r="C76" s="20">
        <f>IF(Control!$C$10="Physical",Model!A77+24,Model!A77)</f>
        <v>39326</v>
      </c>
      <c r="E76" s="22">
        <f>IF($A76&lt;Collar!$C$9,IF(Collar!$F$26="Flat",Collar!$C$10,VLOOKUP(Model!$A76,Collar!$B$31:$D$184,3)),0)</f>
        <v>0</v>
      </c>
      <c r="F76" s="22">
        <f t="shared" si="8"/>
        <v>0</v>
      </c>
      <c r="G76" s="26">
        <f t="shared" ca="1" si="6"/>
        <v>0</v>
      </c>
      <c r="H76" s="60">
        <f>A76-1-Collar!$C$13</f>
        <v>2094</v>
      </c>
      <c r="I76" s="24">
        <f t="shared" si="7"/>
        <v>4.48909960829234E-2</v>
      </c>
      <c r="J76" s="25">
        <f t="shared" ca="1" si="9"/>
        <v>0.77312657782098326</v>
      </c>
      <c r="K76" s="200"/>
      <c r="L76" s="23"/>
      <c r="M76" s="23"/>
      <c r="N76" s="57"/>
      <c r="O76" s="57"/>
      <c r="P76" s="61"/>
      <c r="Q76" s="24"/>
      <c r="S76" s="25"/>
      <c r="T76" s="62"/>
      <c r="U76" s="27"/>
      <c r="V76" s="64"/>
      <c r="W76" s="170"/>
      <c r="X76" s="170"/>
      <c r="Y76" s="170"/>
      <c r="AA76" s="183"/>
      <c r="AB76" s="183"/>
      <c r="AC76" s="184"/>
      <c r="AD76" s="185"/>
      <c r="AE76" s="186"/>
      <c r="AF76" s="187"/>
      <c r="AG76" s="188"/>
      <c r="AH76" s="189"/>
      <c r="AI76" s="27"/>
      <c r="AJ76" s="28"/>
      <c r="AP76" s="26"/>
      <c r="AQ76" s="26"/>
      <c r="AR76" s="26"/>
      <c r="AS76" s="27"/>
      <c r="AT76" s="27"/>
      <c r="AU76" s="27"/>
      <c r="AV76" s="27"/>
      <c r="AW76" s="27"/>
      <c r="AY76" s="189"/>
      <c r="AZ76" s="189"/>
      <c r="BA76" s="205"/>
      <c r="BC76" s="189"/>
      <c r="BE76" s="57"/>
    </row>
    <row r="77" spans="1:57">
      <c r="A77" s="19">
        <f>[1]!_xludf.edate(A76,1)</f>
        <v>39326</v>
      </c>
      <c r="B77" s="21">
        <f t="shared" si="10"/>
        <v>30</v>
      </c>
      <c r="C77" s="20">
        <f>IF(Control!$C$10="Physical",Model!A78+24,Model!A78)</f>
        <v>39356</v>
      </c>
      <c r="E77" s="22">
        <f>IF($A77&lt;Collar!$C$9,IF(Collar!$F$26="Flat",Collar!$C$10,VLOOKUP(Model!$A77,Collar!$B$31:$D$184,3)),0)</f>
        <v>0</v>
      </c>
      <c r="F77" s="22">
        <f t="shared" si="8"/>
        <v>0</v>
      </c>
      <c r="G77" s="26">
        <f t="shared" ca="1" si="6"/>
        <v>0</v>
      </c>
      <c r="H77" s="60">
        <f>A77-1-Collar!$C$13</f>
        <v>2125</v>
      </c>
      <c r="I77" s="24">
        <f t="shared" si="7"/>
        <v>4.5062357641502397E-2</v>
      </c>
      <c r="J77" s="25">
        <f t="shared" ca="1" si="9"/>
        <v>0.76955411211535596</v>
      </c>
      <c r="K77" s="200"/>
      <c r="L77" s="23"/>
      <c r="M77" s="23"/>
      <c r="N77" s="57"/>
      <c r="O77" s="57"/>
      <c r="P77" s="61"/>
      <c r="Q77" s="24"/>
      <c r="S77" s="25"/>
      <c r="T77" s="62"/>
      <c r="U77" s="27"/>
      <c r="V77" s="64"/>
      <c r="W77" s="170"/>
      <c r="X77" s="170"/>
      <c r="Y77" s="170"/>
      <c r="AA77" s="183"/>
      <c r="AB77" s="183"/>
      <c r="AC77" s="184"/>
      <c r="AD77" s="185"/>
      <c r="AE77" s="186"/>
      <c r="AF77" s="187"/>
      <c r="AG77" s="188"/>
      <c r="AH77" s="189"/>
      <c r="AI77" s="27"/>
      <c r="AJ77" s="28"/>
      <c r="AP77" s="26"/>
      <c r="AQ77" s="26"/>
      <c r="AR77" s="26"/>
      <c r="AS77" s="27"/>
      <c r="AT77" s="27"/>
      <c r="AU77" s="27"/>
      <c r="AV77" s="27"/>
      <c r="AW77" s="27"/>
      <c r="AY77" s="189"/>
      <c r="AZ77" s="189"/>
      <c r="BA77" s="205"/>
      <c r="BC77" s="189"/>
      <c r="BE77" s="57"/>
    </row>
    <row r="78" spans="1:57">
      <c r="A78" s="19">
        <f>[1]!_xludf.edate(A77,1)</f>
        <v>39356</v>
      </c>
      <c r="B78" s="21">
        <f t="shared" si="10"/>
        <v>31</v>
      </c>
      <c r="C78" s="20">
        <f>IF(Control!$C$10="Physical",Model!A79+24,Model!A79)</f>
        <v>39387</v>
      </c>
      <c r="E78" s="22">
        <f>IF($A78&lt;Collar!$C$9,IF(Collar!$F$26="Flat",Collar!$C$10,VLOOKUP(Model!$A78,Collar!$B$31:$D$184,3)),0)</f>
        <v>0</v>
      </c>
      <c r="F78" s="22">
        <f t="shared" si="8"/>
        <v>0</v>
      </c>
      <c r="G78" s="26">
        <f t="shared" ca="1" si="6"/>
        <v>0</v>
      </c>
      <c r="H78" s="60">
        <f>A78-1-Collar!$C$13</f>
        <v>2155</v>
      </c>
      <c r="I78" s="24">
        <f t="shared" si="7"/>
        <v>4.5239431262358701E-2</v>
      </c>
      <c r="J78" s="25">
        <f t="shared" ca="1" si="9"/>
        <v>0.76585782206492936</v>
      </c>
      <c r="K78" s="200"/>
      <c r="L78" s="23"/>
      <c r="M78" s="23"/>
      <c r="N78" s="57"/>
      <c r="O78" s="57"/>
      <c r="P78" s="61"/>
      <c r="Q78" s="24"/>
      <c r="S78" s="25"/>
      <c r="T78" s="62"/>
      <c r="U78" s="27"/>
      <c r="V78" s="64"/>
      <c r="W78" s="170"/>
      <c r="X78" s="170"/>
      <c r="Y78" s="170"/>
      <c r="AA78" s="183"/>
      <c r="AB78" s="183"/>
      <c r="AC78" s="184"/>
      <c r="AD78" s="185"/>
      <c r="AE78" s="186"/>
      <c r="AF78" s="187"/>
      <c r="AG78" s="188"/>
      <c r="AH78" s="189"/>
      <c r="AI78" s="27"/>
      <c r="AJ78" s="28"/>
      <c r="AP78" s="26"/>
      <c r="AQ78" s="26"/>
      <c r="AR78" s="26"/>
      <c r="AS78" s="27"/>
      <c r="AT78" s="27"/>
      <c r="AU78" s="27"/>
      <c r="AV78" s="27"/>
      <c r="AW78" s="27"/>
      <c r="AY78" s="189"/>
      <c r="AZ78" s="189"/>
      <c r="BA78" s="205"/>
      <c r="BC78" s="189"/>
      <c r="BE78" s="57"/>
    </row>
    <row r="79" spans="1:57">
      <c r="A79" s="19">
        <f>[1]!_xludf.edate(A78,1)</f>
        <v>39387</v>
      </c>
      <c r="B79" s="21">
        <f t="shared" si="10"/>
        <v>30</v>
      </c>
      <c r="C79" s="20">
        <f>IF(Control!$C$10="Physical",Model!A80+24,Model!A80)</f>
        <v>39417</v>
      </c>
      <c r="E79" s="22">
        <f>IF($A79&lt;Collar!$C$9,IF(Collar!$F$26="Flat",Collar!$C$10,VLOOKUP(Model!$A79,Collar!$B$31:$D$184,3)),0)</f>
        <v>0</v>
      </c>
      <c r="F79" s="22">
        <f t="shared" si="8"/>
        <v>0</v>
      </c>
      <c r="G79" s="26">
        <f t="shared" ca="1" si="6"/>
        <v>0</v>
      </c>
      <c r="H79" s="60">
        <f>A79-1-Collar!$C$13</f>
        <v>2186</v>
      </c>
      <c r="I79" s="24">
        <f t="shared" si="7"/>
        <v>4.5410792840920401E-2</v>
      </c>
      <c r="J79" s="25">
        <f t="shared" ca="1" si="9"/>
        <v>0.76227640363560323</v>
      </c>
      <c r="K79" s="200"/>
      <c r="L79" s="23"/>
      <c r="M79" s="23"/>
      <c r="N79" s="57"/>
      <c r="O79" s="57"/>
      <c r="P79" s="61"/>
      <c r="Q79" s="24"/>
      <c r="S79" s="25"/>
      <c r="T79" s="62"/>
      <c r="U79" s="27"/>
      <c r="V79" s="64"/>
      <c r="W79" s="170"/>
      <c r="X79" s="170"/>
      <c r="Y79" s="170"/>
      <c r="AA79" s="183"/>
      <c r="AB79" s="183"/>
      <c r="AC79" s="184"/>
      <c r="AD79" s="185"/>
      <c r="AE79" s="186"/>
      <c r="AF79" s="187"/>
      <c r="AG79" s="188"/>
      <c r="AH79" s="189"/>
      <c r="AI79" s="27"/>
      <c r="AJ79" s="28"/>
      <c r="AP79" s="26"/>
      <c r="AQ79" s="26"/>
      <c r="AR79" s="26"/>
      <c r="AS79" s="27"/>
      <c r="AT79" s="27"/>
      <c r="AU79" s="27"/>
      <c r="AV79" s="27"/>
      <c r="AW79" s="27"/>
      <c r="AY79" s="189"/>
      <c r="AZ79" s="189"/>
      <c r="BA79" s="205"/>
      <c r="BC79" s="189"/>
      <c r="BE79" s="57"/>
    </row>
    <row r="80" spans="1:57">
      <c r="A80" s="19">
        <f>[1]!_xludf.edate(A79,1)</f>
        <v>39417</v>
      </c>
      <c r="B80" s="21">
        <f t="shared" si="10"/>
        <v>31</v>
      </c>
      <c r="C80" s="20">
        <f>IF(Control!$C$10="Physical",Model!A81+24,Model!A81)</f>
        <v>39448</v>
      </c>
      <c r="E80" s="22">
        <f>IF($A80&lt;Collar!$C$9,IF(Collar!$F$26="Flat",Collar!$C$10,VLOOKUP(Model!$A80,Collar!$B$31:$D$184,3)),0)</f>
        <v>0</v>
      </c>
      <c r="F80" s="22">
        <f t="shared" si="8"/>
        <v>0</v>
      </c>
      <c r="G80" s="26">
        <f t="shared" ca="1" si="6"/>
        <v>0</v>
      </c>
      <c r="H80" s="60">
        <f>A80-1-Collar!$C$13</f>
        <v>2216</v>
      </c>
      <c r="I80" s="24">
        <f t="shared" si="7"/>
        <v>4.55878664824243E-2</v>
      </c>
      <c r="J80" s="25">
        <f t="shared" ca="1" si="9"/>
        <v>0.75857133054892822</v>
      </c>
      <c r="K80" s="200"/>
      <c r="L80" s="23"/>
      <c r="M80" s="23"/>
      <c r="N80" s="57"/>
      <c r="O80" s="57"/>
      <c r="P80" s="61"/>
      <c r="Q80" s="24"/>
      <c r="S80" s="25"/>
      <c r="T80" s="62"/>
      <c r="U80" s="27"/>
      <c r="V80" s="64"/>
      <c r="W80" s="170"/>
      <c r="X80" s="170"/>
      <c r="Y80" s="170"/>
      <c r="AA80" s="183"/>
      <c r="AB80" s="183"/>
      <c r="AC80" s="184"/>
      <c r="AD80" s="185"/>
      <c r="AE80" s="186"/>
      <c r="AF80" s="187"/>
      <c r="AG80" s="188"/>
      <c r="AH80" s="189"/>
      <c r="AI80" s="27"/>
      <c r="AJ80" s="28"/>
      <c r="AP80" s="26"/>
      <c r="AQ80" s="26"/>
      <c r="AR80" s="26"/>
      <c r="AS80" s="27"/>
      <c r="AT80" s="27"/>
      <c r="AU80" s="27"/>
      <c r="AV80" s="27"/>
      <c r="AW80" s="27"/>
      <c r="AY80" s="189"/>
      <c r="AZ80" s="189"/>
      <c r="BA80" s="205"/>
      <c r="BC80" s="189"/>
      <c r="BE80" s="57"/>
    </row>
    <row r="81" spans="1:57">
      <c r="A81" s="19">
        <f>[1]!_xludf.edate(A80,1)</f>
        <v>39448</v>
      </c>
      <c r="B81" s="21">
        <f t="shared" si="10"/>
        <v>31</v>
      </c>
      <c r="C81" s="20">
        <f>IF(Control!$C$10="Physical",Model!A82+24,Model!A82)</f>
        <v>39479</v>
      </c>
      <c r="E81" s="22">
        <f>IF($A81&lt;Collar!$C$9,IF(Collar!$F$26="Flat",Collar!$C$10,VLOOKUP(Model!$A81,Collar!$B$31:$D$184,3)),0)</f>
        <v>0</v>
      </c>
      <c r="F81" s="22">
        <f t="shared" si="8"/>
        <v>0</v>
      </c>
      <c r="G81" s="26">
        <f t="shared" ca="1" si="6"/>
        <v>0</v>
      </c>
      <c r="H81" s="60">
        <f>A81-1-Collar!$C$13</f>
        <v>2247</v>
      </c>
      <c r="I81" s="24">
        <f t="shared" si="7"/>
        <v>4.5764940134419799E-2</v>
      </c>
      <c r="J81" s="25">
        <f t="shared" ca="1" si="9"/>
        <v>0.75486215133854506</v>
      </c>
      <c r="K81" s="200"/>
      <c r="L81" s="23"/>
      <c r="M81" s="23"/>
      <c r="N81" s="57"/>
      <c r="O81" s="57"/>
      <c r="P81" s="61"/>
      <c r="Q81" s="24"/>
      <c r="S81" s="25"/>
      <c r="T81" s="62"/>
      <c r="U81" s="27"/>
      <c r="V81" s="64"/>
      <c r="W81" s="170"/>
      <c r="X81" s="170"/>
      <c r="Y81" s="170"/>
      <c r="AA81" s="183"/>
      <c r="AB81" s="183"/>
      <c r="AC81" s="184"/>
      <c r="AD81" s="185"/>
      <c r="AE81" s="186"/>
      <c r="AF81" s="187"/>
      <c r="AG81" s="188"/>
      <c r="AH81" s="189"/>
      <c r="AI81" s="27"/>
      <c r="AJ81" s="28"/>
      <c r="AP81" s="26"/>
      <c r="AQ81" s="26"/>
      <c r="AR81" s="26"/>
      <c r="AS81" s="27"/>
      <c r="AT81" s="27"/>
      <c r="AU81" s="27"/>
      <c r="AV81" s="27"/>
      <c r="AW81" s="27"/>
      <c r="AY81" s="189"/>
      <c r="AZ81" s="189"/>
      <c r="BA81" s="205"/>
      <c r="BC81" s="189"/>
      <c r="BE81" s="57"/>
    </row>
    <row r="82" spans="1:57">
      <c r="A82" s="19">
        <f>[1]!_xludf.edate(A81,1)</f>
        <v>39479</v>
      </c>
      <c r="B82" s="21">
        <f t="shared" si="10"/>
        <v>29</v>
      </c>
      <c r="C82" s="20">
        <f>IF(Control!$C$10="Physical",Model!A83+24,Model!A83)</f>
        <v>39508</v>
      </c>
      <c r="E82" s="22">
        <f>IF($A82&lt;Collar!$C$9,IF(Collar!$F$26="Flat",Collar!$C$10,VLOOKUP(Model!$A82,Collar!$B$31:$D$184,3)),0)</f>
        <v>0</v>
      </c>
      <c r="F82" s="22">
        <f t="shared" si="8"/>
        <v>0</v>
      </c>
      <c r="G82" s="26">
        <f t="shared" ca="1" si="6"/>
        <v>0</v>
      </c>
      <c r="H82" s="60">
        <f>A82-1-Collar!$C$13</f>
        <v>2278</v>
      </c>
      <c r="I82" s="24">
        <f t="shared" si="7"/>
        <v>4.5930589689331801E-2</v>
      </c>
      <c r="J82" s="25">
        <f t="shared" ca="1" si="9"/>
        <v>0.75138876907897834</v>
      </c>
      <c r="K82" s="200"/>
      <c r="L82" s="23"/>
      <c r="M82" s="23"/>
      <c r="N82" s="57"/>
      <c r="O82" s="57"/>
      <c r="P82" s="61"/>
      <c r="Q82" s="24"/>
      <c r="S82" s="25"/>
      <c r="T82" s="62"/>
      <c r="U82" s="27"/>
      <c r="V82" s="64"/>
      <c r="W82" s="170"/>
      <c r="X82" s="170"/>
      <c r="Y82" s="170"/>
      <c r="AA82" s="183"/>
      <c r="AB82" s="183"/>
      <c r="AC82" s="184"/>
      <c r="AD82" s="185"/>
      <c r="AE82" s="186"/>
      <c r="AF82" s="187"/>
      <c r="AG82" s="188"/>
      <c r="AH82" s="189"/>
      <c r="AI82" s="27"/>
      <c r="AJ82" s="28"/>
      <c r="AP82" s="26"/>
      <c r="AQ82" s="26"/>
      <c r="AR82" s="26"/>
      <c r="AS82" s="27"/>
      <c r="AT82" s="27"/>
      <c r="AU82" s="27"/>
      <c r="AV82" s="27"/>
      <c r="AW82" s="27"/>
      <c r="AY82" s="189"/>
      <c r="AZ82" s="189"/>
      <c r="BA82" s="205"/>
      <c r="BC82" s="189"/>
      <c r="BE82" s="57"/>
    </row>
    <row r="83" spans="1:57">
      <c r="A83" s="19">
        <f>[1]!_xludf.edate(A82,1)</f>
        <v>39508</v>
      </c>
      <c r="B83" s="21">
        <f t="shared" si="10"/>
        <v>31</v>
      </c>
      <c r="C83" s="20">
        <f>IF(Control!$C$10="Physical",Model!A84+24,Model!A84)</f>
        <v>39539</v>
      </c>
      <c r="E83" s="22">
        <f>IF($A83&lt;Collar!$C$9,IF(Collar!$F$26="Flat",Collar!$C$10,VLOOKUP(Model!$A83,Collar!$B$31:$D$184,3)),0)</f>
        <v>0</v>
      </c>
      <c r="F83" s="22">
        <f t="shared" si="8"/>
        <v>0</v>
      </c>
      <c r="G83" s="26">
        <f t="shared" ca="1" si="6"/>
        <v>0</v>
      </c>
      <c r="H83" s="60">
        <f>A83-1-Collar!$C$13</f>
        <v>2307</v>
      </c>
      <c r="I83" s="24">
        <f t="shared" si="7"/>
        <v>4.61076633616311E-2</v>
      </c>
      <c r="J83" s="25">
        <f t="shared" ca="1" si="9"/>
        <v>0.74767232275794671</v>
      </c>
      <c r="K83" s="200"/>
      <c r="L83" s="23"/>
      <c r="M83" s="23"/>
      <c r="N83" s="57"/>
      <c r="O83" s="57"/>
      <c r="P83" s="61"/>
      <c r="Q83" s="24"/>
      <c r="S83" s="25"/>
      <c r="T83" s="62"/>
      <c r="U83" s="27"/>
      <c r="V83" s="64"/>
      <c r="W83" s="170"/>
      <c r="X83" s="170"/>
      <c r="Y83" s="170"/>
      <c r="AA83" s="183"/>
      <c r="AB83" s="183"/>
      <c r="AC83" s="184"/>
      <c r="AD83" s="185"/>
      <c r="AE83" s="186"/>
      <c r="AF83" s="187"/>
      <c r="AG83" s="188"/>
      <c r="AH83" s="189"/>
      <c r="AI83" s="27"/>
      <c r="AJ83" s="28"/>
      <c r="AP83" s="26"/>
      <c r="AQ83" s="26"/>
      <c r="AR83" s="26"/>
      <c r="AS83" s="27"/>
      <c r="AT83" s="27"/>
      <c r="AU83" s="27"/>
      <c r="AV83" s="27"/>
      <c r="AW83" s="27"/>
      <c r="AY83" s="189"/>
      <c r="AZ83" s="189"/>
      <c r="BA83" s="205"/>
      <c r="BC83" s="189"/>
      <c r="BE83" s="57"/>
    </row>
    <row r="84" spans="1:57">
      <c r="A84" s="19">
        <f>[1]!_xludf.edate(A83,1)</f>
        <v>39539</v>
      </c>
      <c r="B84" s="21">
        <f t="shared" si="10"/>
        <v>30</v>
      </c>
      <c r="C84" s="20">
        <f>IF(Control!$C$10="Physical",Model!A85+24,Model!A85)</f>
        <v>39569</v>
      </c>
      <c r="E84" s="22">
        <f>IF($A84&lt;Collar!$C$9,IF(Collar!$F$26="Flat",Collar!$C$10,VLOOKUP(Model!$A84,Collar!$B$31:$D$184,3)),0)</f>
        <v>0</v>
      </c>
      <c r="F84" s="22">
        <f t="shared" si="8"/>
        <v>0</v>
      </c>
      <c r="G84" s="26">
        <f t="shared" ca="1" si="6"/>
        <v>0</v>
      </c>
      <c r="H84" s="60">
        <f>A84-1-Collar!$C$13</f>
        <v>2338</v>
      </c>
      <c r="I84" s="24">
        <f t="shared" si="7"/>
        <v>4.6279024989971197E-2</v>
      </c>
      <c r="J84" s="25">
        <f t="shared" ca="1" si="9"/>
        <v>0.74407251741721869</v>
      </c>
      <c r="K84" s="200"/>
      <c r="L84" s="23"/>
      <c r="M84" s="23"/>
      <c r="N84" s="57"/>
      <c r="O84" s="57"/>
      <c r="P84" s="61"/>
      <c r="Q84" s="24"/>
      <c r="S84" s="25"/>
      <c r="T84" s="62"/>
      <c r="U84" s="27"/>
      <c r="V84" s="64"/>
      <c r="W84" s="170"/>
      <c r="X84" s="170"/>
      <c r="Y84" s="170"/>
      <c r="AA84" s="183"/>
      <c r="AB84" s="183"/>
      <c r="AC84" s="184"/>
      <c r="AD84" s="185"/>
      <c r="AE84" s="186"/>
      <c r="AF84" s="187"/>
      <c r="AG84" s="188"/>
      <c r="AH84" s="189"/>
      <c r="AI84" s="27"/>
      <c r="AJ84" s="28"/>
      <c r="AP84" s="26"/>
      <c r="AQ84" s="26"/>
      <c r="AR84" s="26"/>
      <c r="AS84" s="27"/>
      <c r="AT84" s="27"/>
      <c r="AU84" s="27"/>
      <c r="AV84" s="27"/>
      <c r="AW84" s="27"/>
      <c r="AY84" s="189"/>
      <c r="AZ84" s="189"/>
      <c r="BA84" s="205"/>
      <c r="BC84" s="189"/>
      <c r="BE84" s="57"/>
    </row>
    <row r="85" spans="1:57">
      <c r="A85" s="19">
        <f>[1]!_xludf.edate(A84,1)</f>
        <v>39569</v>
      </c>
      <c r="B85" s="21">
        <f t="shared" si="10"/>
        <v>31</v>
      </c>
      <c r="C85" s="20">
        <f>IF(Control!$C$10="Physical",Model!A86+24,Model!A86)</f>
        <v>39600</v>
      </c>
      <c r="E85" s="22">
        <f>IF($A85&lt;Collar!$C$9,IF(Collar!$F$26="Flat",Collar!$C$10,VLOOKUP(Model!$A85,Collar!$B$31:$D$184,3)),0)</f>
        <v>0</v>
      </c>
      <c r="F85" s="22">
        <f t="shared" si="8"/>
        <v>0</v>
      </c>
      <c r="G85" s="26">
        <f t="shared" ca="1" si="6"/>
        <v>0</v>
      </c>
      <c r="H85" s="60">
        <f>A85-1-Collar!$C$13</f>
        <v>2368</v>
      </c>
      <c r="I85" s="24">
        <f t="shared" si="7"/>
        <v>4.6456098682909001E-2</v>
      </c>
      <c r="J85" s="25">
        <f t="shared" ca="1" si="9"/>
        <v>0.74034959679160239</v>
      </c>
      <c r="K85" s="200"/>
      <c r="L85" s="23"/>
      <c r="M85" s="23"/>
      <c r="N85" s="57"/>
      <c r="O85" s="57"/>
      <c r="P85" s="61"/>
      <c r="Q85" s="24"/>
      <c r="S85" s="25"/>
      <c r="T85" s="62"/>
      <c r="U85" s="27"/>
      <c r="V85" s="64"/>
      <c r="W85" s="170"/>
      <c r="X85" s="170"/>
      <c r="Y85" s="170"/>
      <c r="AA85" s="183"/>
      <c r="AB85" s="183"/>
      <c r="AC85" s="184"/>
      <c r="AD85" s="185"/>
      <c r="AE85" s="186"/>
      <c r="AF85" s="187"/>
      <c r="AG85" s="188"/>
      <c r="AH85" s="189"/>
      <c r="AI85" s="27"/>
      <c r="AJ85" s="28"/>
      <c r="AP85" s="26"/>
      <c r="AQ85" s="26"/>
      <c r="AR85" s="26"/>
      <c r="AS85" s="27"/>
      <c r="AT85" s="27"/>
      <c r="AU85" s="27"/>
      <c r="AV85" s="27"/>
      <c r="AW85" s="27"/>
      <c r="AY85" s="189"/>
      <c r="AZ85" s="189"/>
      <c r="BA85" s="205"/>
      <c r="BC85" s="189"/>
      <c r="BE85" s="57"/>
    </row>
    <row r="86" spans="1:57">
      <c r="A86" s="19">
        <f>[1]!_xludf.edate(A85,1)</f>
        <v>39600</v>
      </c>
      <c r="B86" s="21">
        <f t="shared" si="10"/>
        <v>30</v>
      </c>
      <c r="C86" s="20">
        <f>IF(Control!$C$10="Physical",Model!A87+24,Model!A87)</f>
        <v>39630</v>
      </c>
      <c r="E86" s="22">
        <f>IF($A86&lt;Collar!$C$9,IF(Collar!$F$26="Flat",Collar!$C$10,VLOOKUP(Model!$A86,Collar!$B$31:$D$184,3)),0)</f>
        <v>0</v>
      </c>
      <c r="F86" s="22">
        <f t="shared" si="8"/>
        <v>0</v>
      </c>
      <c r="G86" s="26">
        <f t="shared" ca="1" si="6"/>
        <v>0</v>
      </c>
      <c r="H86" s="60">
        <f>A86-1-Collar!$C$13</f>
        <v>2399</v>
      </c>
      <c r="I86" s="24">
        <f t="shared" si="7"/>
        <v>4.6627460331220699E-2</v>
      </c>
      <c r="J86" s="25">
        <f t="shared" ca="1" si="9"/>
        <v>0.73674396932630903</v>
      </c>
      <c r="K86" s="200"/>
      <c r="L86" s="23"/>
      <c r="M86" s="23"/>
      <c r="N86" s="57"/>
      <c r="O86" s="57"/>
      <c r="P86" s="61"/>
      <c r="Q86" s="24"/>
      <c r="S86" s="25"/>
      <c r="T86" s="62"/>
      <c r="U86" s="27"/>
      <c r="V86" s="64"/>
      <c r="W86" s="170"/>
      <c r="X86" s="170"/>
      <c r="Y86" s="170"/>
      <c r="AA86" s="183"/>
      <c r="AB86" s="183"/>
      <c r="AC86" s="184"/>
      <c r="AD86" s="185"/>
      <c r="AE86" s="186"/>
      <c r="AF86" s="187"/>
      <c r="AG86" s="188"/>
      <c r="AH86" s="189"/>
      <c r="AI86" s="27"/>
      <c r="AJ86" s="28"/>
      <c r="AP86" s="26"/>
      <c r="AQ86" s="26"/>
      <c r="AR86" s="26"/>
      <c r="AS86" s="27"/>
      <c r="AT86" s="27"/>
      <c r="AU86" s="27"/>
      <c r="AV86" s="27"/>
      <c r="AW86" s="27"/>
      <c r="AY86" s="189"/>
      <c r="AZ86" s="189"/>
      <c r="BA86" s="205"/>
      <c r="BC86" s="189"/>
      <c r="BE86" s="57"/>
    </row>
    <row r="87" spans="1:57">
      <c r="A87" s="19">
        <f>[1]!_xludf.edate(A86,1)</f>
        <v>39630</v>
      </c>
      <c r="B87" s="21">
        <f t="shared" si="10"/>
        <v>31</v>
      </c>
      <c r="C87" s="20">
        <f>IF(Control!$C$10="Physical",Model!A88+24,Model!A88)</f>
        <v>39661</v>
      </c>
      <c r="E87" s="22">
        <f>IF($A87&lt;Collar!$C$9,IF(Collar!$F$26="Flat",Collar!$C$10,VLOOKUP(Model!$A87,Collar!$B$31:$D$184,3)),0)</f>
        <v>0</v>
      </c>
      <c r="F87" s="22">
        <f t="shared" si="8"/>
        <v>0</v>
      </c>
      <c r="G87" s="26">
        <f t="shared" ca="1" si="6"/>
        <v>0</v>
      </c>
      <c r="H87" s="60">
        <f>A87-1-Collar!$C$13</f>
        <v>2429</v>
      </c>
      <c r="I87" s="24">
        <f t="shared" si="7"/>
        <v>4.6804534044793601E-2</v>
      </c>
      <c r="J87" s="25">
        <f t="shared" ca="1" si="9"/>
        <v>0.73301548877788314</v>
      </c>
      <c r="K87" s="200"/>
      <c r="L87" s="23"/>
      <c r="M87" s="23"/>
      <c r="N87" s="57"/>
      <c r="O87" s="57"/>
      <c r="P87" s="61"/>
      <c r="Q87" s="24"/>
      <c r="S87" s="25"/>
      <c r="T87" s="62"/>
      <c r="U87" s="27"/>
      <c r="V87" s="64"/>
      <c r="W87" s="170"/>
      <c r="X87" s="170"/>
      <c r="Y87" s="170"/>
      <c r="AA87" s="183"/>
      <c r="AB87" s="183"/>
      <c r="AC87" s="184"/>
      <c r="AD87" s="185"/>
      <c r="AE87" s="186"/>
      <c r="AF87" s="187"/>
      <c r="AG87" s="188"/>
      <c r="AH87" s="189"/>
      <c r="AI87" s="27"/>
      <c r="AJ87" s="28"/>
      <c r="AP87" s="26"/>
      <c r="AQ87" s="26"/>
      <c r="AR87" s="26"/>
      <c r="AS87" s="27"/>
      <c r="AT87" s="27"/>
      <c r="AU87" s="27"/>
      <c r="AV87" s="27"/>
      <c r="AW87" s="27"/>
      <c r="AY87" s="189"/>
      <c r="AZ87" s="189"/>
      <c r="BA87" s="205"/>
      <c r="BC87" s="189"/>
      <c r="BE87" s="57"/>
    </row>
    <row r="88" spans="1:57">
      <c r="A88" s="19">
        <f>[1]!_xludf.edate(A87,1)</f>
        <v>39661</v>
      </c>
      <c r="B88" s="21">
        <f t="shared" si="10"/>
        <v>31</v>
      </c>
      <c r="C88" s="20">
        <f>IF(Control!$C$10="Physical",Model!A89+24,Model!A89)</f>
        <v>39692</v>
      </c>
      <c r="E88" s="22">
        <f>IF($A88&lt;Collar!$C$9,IF(Collar!$F$26="Flat",Collar!$C$10,VLOOKUP(Model!$A88,Collar!$B$31:$D$184,3)),0)</f>
        <v>0</v>
      </c>
      <c r="F88" s="22">
        <f t="shared" si="8"/>
        <v>0</v>
      </c>
      <c r="G88" s="26">
        <f t="shared" ca="1" si="6"/>
        <v>0</v>
      </c>
      <c r="H88" s="60">
        <f>A88-1-Collar!$C$13</f>
        <v>2460</v>
      </c>
      <c r="I88" s="24">
        <f t="shared" si="7"/>
        <v>4.6981607768850998E-2</v>
      </c>
      <c r="J88" s="25">
        <f t="shared" ca="1" si="9"/>
        <v>0.72928453073143051</v>
      </c>
      <c r="K88" s="200"/>
      <c r="L88" s="23"/>
      <c r="M88" s="23"/>
      <c r="N88" s="57"/>
      <c r="O88" s="57"/>
      <c r="P88" s="61"/>
      <c r="Q88" s="24"/>
      <c r="S88" s="25"/>
      <c r="T88" s="62"/>
      <c r="U88" s="27"/>
      <c r="V88" s="64"/>
      <c r="W88" s="170"/>
      <c r="X88" s="170"/>
      <c r="Y88" s="170"/>
      <c r="AA88" s="183"/>
      <c r="AB88" s="183"/>
      <c r="AC88" s="184"/>
      <c r="AD88" s="185"/>
      <c r="AE88" s="186"/>
      <c r="AF88" s="187"/>
      <c r="AG88" s="188"/>
      <c r="AH88" s="189"/>
      <c r="AI88" s="27"/>
      <c r="AJ88" s="28"/>
      <c r="AP88" s="26"/>
      <c r="AQ88" s="26"/>
      <c r="AR88" s="26"/>
      <c r="AS88" s="27"/>
      <c r="AT88" s="27"/>
      <c r="AU88" s="27"/>
      <c r="AV88" s="27"/>
      <c r="AW88" s="27"/>
      <c r="AY88" s="189"/>
      <c r="AZ88" s="189"/>
      <c r="BA88" s="205"/>
      <c r="BC88" s="189"/>
      <c r="BE88" s="57"/>
    </row>
    <row r="89" spans="1:57">
      <c r="A89" s="19">
        <f>[1]!_xludf.edate(A88,1)</f>
        <v>39692</v>
      </c>
      <c r="B89" s="21">
        <f t="shared" si="10"/>
        <v>30</v>
      </c>
      <c r="C89" s="20">
        <f>IF(Control!$C$10="Physical",Model!A90+24,Model!A90)</f>
        <v>39722</v>
      </c>
      <c r="E89" s="22">
        <f>IF($A89&lt;Collar!$C$9,IF(Collar!$F$26="Flat",Collar!$C$10,VLOOKUP(Model!$A89,Collar!$B$31:$D$184,3)),0)</f>
        <v>0</v>
      </c>
      <c r="F89" s="22">
        <f t="shared" si="8"/>
        <v>0</v>
      </c>
      <c r="G89" s="26">
        <f t="shared" ca="1" si="6"/>
        <v>0</v>
      </c>
      <c r="H89" s="60">
        <f>A89-1-Collar!$C$13</f>
        <v>2491</v>
      </c>
      <c r="I89" s="24">
        <f t="shared" si="7"/>
        <v>4.7152969447276802E-2</v>
      </c>
      <c r="J89" s="25">
        <f t="shared" ca="1" si="9"/>
        <v>0.72567178693082024</v>
      </c>
      <c r="K89" s="200"/>
      <c r="L89" s="23"/>
      <c r="M89" s="23"/>
      <c r="N89" s="57"/>
      <c r="O89" s="57"/>
      <c r="P89" s="61"/>
      <c r="Q89" s="24"/>
      <c r="S89" s="25"/>
      <c r="T89" s="62"/>
      <c r="U89" s="27"/>
      <c r="V89" s="64"/>
      <c r="W89" s="170"/>
      <c r="X89" s="170"/>
      <c r="Y89" s="170"/>
      <c r="AA89" s="183"/>
      <c r="AB89" s="183"/>
      <c r="AC89" s="184"/>
      <c r="AD89" s="185"/>
      <c r="AE89" s="186"/>
      <c r="AF89" s="187"/>
      <c r="AG89" s="188"/>
      <c r="AH89" s="189"/>
      <c r="AI89" s="27"/>
      <c r="AJ89" s="28"/>
      <c r="AP89" s="26"/>
      <c r="AQ89" s="26"/>
      <c r="AR89" s="26"/>
      <c r="AS89" s="27"/>
      <c r="AT89" s="27"/>
      <c r="AU89" s="27"/>
      <c r="AV89" s="27"/>
      <c r="AW89" s="27"/>
      <c r="AY89" s="189"/>
      <c r="AZ89" s="189"/>
      <c r="BA89" s="205"/>
      <c r="BC89" s="189"/>
      <c r="BE89" s="57"/>
    </row>
    <row r="90" spans="1:57">
      <c r="A90" s="19">
        <f>[1]!_xludf.edate(A89,1)</f>
        <v>39722</v>
      </c>
      <c r="B90" s="21">
        <f t="shared" si="10"/>
        <v>31</v>
      </c>
      <c r="C90" s="20">
        <f>IF(Control!$C$10="Physical",Model!A91+24,Model!A91)</f>
        <v>39753</v>
      </c>
      <c r="E90" s="22">
        <f>IF($A90&lt;Collar!$C$9,IF(Collar!$F$26="Flat",Collar!$C$10,VLOOKUP(Model!$A90,Collar!$B$31:$D$184,3)),0)</f>
        <v>0</v>
      </c>
      <c r="F90" s="22">
        <f t="shared" si="8"/>
        <v>0</v>
      </c>
      <c r="G90" s="26">
        <f t="shared" ca="1" si="6"/>
        <v>0</v>
      </c>
      <c r="H90" s="60">
        <f>A90-1-Collar!$C$13</f>
        <v>2521</v>
      </c>
      <c r="I90" s="24">
        <f t="shared" si="7"/>
        <v>4.7330043191964301E-2</v>
      </c>
      <c r="J90" s="25">
        <f t="shared" ca="1" si="9"/>
        <v>0.72193663377949824</v>
      </c>
      <c r="K90" s="200"/>
      <c r="L90" s="23"/>
      <c r="M90" s="23"/>
      <c r="N90" s="57"/>
      <c r="O90" s="57"/>
      <c r="P90" s="61"/>
      <c r="Q90" s="24"/>
      <c r="S90" s="25"/>
      <c r="T90" s="62"/>
      <c r="U90" s="27"/>
      <c r="V90" s="64"/>
      <c r="W90" s="170"/>
      <c r="X90" s="170"/>
      <c r="Y90" s="170"/>
      <c r="AA90" s="183"/>
      <c r="AB90" s="183"/>
      <c r="AC90" s="184"/>
      <c r="AD90" s="185"/>
      <c r="AE90" s="186"/>
      <c r="AF90" s="187"/>
      <c r="AG90" s="188"/>
      <c r="AH90" s="189"/>
      <c r="AI90" s="27"/>
      <c r="AJ90" s="28"/>
      <c r="AP90" s="26"/>
      <c r="AQ90" s="26"/>
      <c r="AR90" s="26"/>
      <c r="AS90" s="27"/>
      <c r="AT90" s="27"/>
      <c r="AU90" s="27"/>
      <c r="AV90" s="27"/>
      <c r="AW90" s="27"/>
      <c r="AY90" s="189"/>
      <c r="AZ90" s="189"/>
      <c r="BA90" s="205"/>
      <c r="BC90" s="189"/>
      <c r="BE90" s="57"/>
    </row>
    <row r="91" spans="1:57">
      <c r="A91" s="19">
        <f>[1]!_xludf.edate(A90,1)</f>
        <v>39753</v>
      </c>
      <c r="B91" s="21">
        <f t="shared" si="10"/>
        <v>30</v>
      </c>
      <c r="C91" s="20">
        <f>IF(Control!$C$10="Physical",Model!A92+24,Model!A92)</f>
        <v>39783</v>
      </c>
      <c r="E91" s="22">
        <f>IF($A91&lt;Collar!$C$9,IF(Collar!$F$26="Flat",Collar!$C$10,VLOOKUP(Model!$A91,Collar!$B$31:$D$184,3)),0)</f>
        <v>0</v>
      </c>
      <c r="F91" s="22">
        <f t="shared" si="8"/>
        <v>0</v>
      </c>
      <c r="G91" s="26">
        <f t="shared" ca="1" si="6"/>
        <v>0</v>
      </c>
      <c r="H91" s="60">
        <f>A91-1-Collar!$C$13</f>
        <v>2552</v>
      </c>
      <c r="I91" s="24">
        <f t="shared" si="7"/>
        <v>4.7444464519308803E-2</v>
      </c>
      <c r="J91" s="25">
        <f t="shared" ca="1" si="9"/>
        <v>0.71860187788454288</v>
      </c>
      <c r="K91" s="200"/>
      <c r="L91" s="23"/>
      <c r="M91" s="23"/>
      <c r="N91" s="57"/>
      <c r="O91" s="57"/>
      <c r="P91" s="61"/>
      <c r="Q91" s="24"/>
      <c r="S91" s="25"/>
      <c r="T91" s="62"/>
      <c r="U91" s="27"/>
      <c r="V91" s="64"/>
      <c r="W91" s="170"/>
      <c r="X91" s="170"/>
      <c r="Y91" s="170"/>
      <c r="AA91" s="183"/>
      <c r="AB91" s="183"/>
      <c r="AC91" s="184"/>
      <c r="AD91" s="185"/>
      <c r="AE91" s="186"/>
      <c r="AF91" s="187"/>
      <c r="AG91" s="188"/>
      <c r="AH91" s="189"/>
      <c r="AI91" s="27"/>
      <c r="AJ91" s="28"/>
      <c r="AP91" s="26"/>
      <c r="AQ91" s="26"/>
      <c r="AR91" s="26"/>
      <c r="AS91" s="27"/>
      <c r="AT91" s="27"/>
      <c r="AU91" s="27"/>
      <c r="AV91" s="27"/>
      <c r="AW91" s="27"/>
      <c r="AY91" s="189"/>
      <c r="AZ91" s="189"/>
      <c r="BA91" s="205"/>
      <c r="BC91" s="189"/>
      <c r="BE91" s="57"/>
    </row>
    <row r="92" spans="1:57">
      <c r="A92" s="19">
        <f>[1]!_xludf.edate(A91,1)</f>
        <v>39783</v>
      </c>
      <c r="B92" s="21">
        <f t="shared" si="10"/>
        <v>31</v>
      </c>
      <c r="C92" s="20">
        <f>IF(Control!$C$10="Physical",Model!A93+24,Model!A93)</f>
        <v>39814</v>
      </c>
      <c r="E92" s="22">
        <f>IF($A92&lt;Collar!$C$9,IF(Collar!$F$26="Flat",Collar!$C$10,VLOOKUP(Model!$A92,Collar!$B$31:$D$184,3)),0)</f>
        <v>0</v>
      </c>
      <c r="F92" s="22">
        <f t="shared" si="8"/>
        <v>0</v>
      </c>
      <c r="G92" s="26">
        <f t="shared" ca="1" si="6"/>
        <v>0</v>
      </c>
      <c r="H92" s="60">
        <f>A92-1-Collar!$C$13</f>
        <v>2582</v>
      </c>
      <c r="I92" s="24">
        <f t="shared" si="7"/>
        <v>4.7547990299238001E-2</v>
      </c>
      <c r="J92" s="25">
        <f t="shared" ca="1" si="9"/>
        <v>0.71523167232276774</v>
      </c>
      <c r="K92" s="200"/>
      <c r="L92" s="23"/>
      <c r="M92" s="23"/>
      <c r="N92" s="57"/>
      <c r="O92" s="57"/>
      <c r="P92" s="61"/>
      <c r="Q92" s="24"/>
      <c r="S92" s="25"/>
      <c r="T92" s="62"/>
      <c r="U92" s="27"/>
      <c r="V92" s="64"/>
      <c r="W92" s="170"/>
      <c r="X92" s="170"/>
      <c r="Y92" s="170"/>
      <c r="AA92" s="183"/>
      <c r="AB92" s="183"/>
      <c r="AC92" s="184"/>
      <c r="AD92" s="185"/>
      <c r="AE92" s="186"/>
      <c r="AF92" s="187"/>
      <c r="AG92" s="188"/>
      <c r="AH92" s="189"/>
      <c r="AI92" s="27"/>
      <c r="AJ92" s="28"/>
      <c r="AP92" s="26"/>
      <c r="AQ92" s="26"/>
      <c r="AR92" s="26"/>
      <c r="AS92" s="27"/>
      <c r="AT92" s="27"/>
      <c r="AU92" s="27"/>
      <c r="AV92" s="27"/>
      <c r="AW92" s="27"/>
      <c r="AY92" s="189"/>
      <c r="AZ92" s="189"/>
      <c r="BA92" s="205"/>
      <c r="BC92" s="189"/>
      <c r="BE92" s="57"/>
    </row>
    <row r="93" spans="1:57">
      <c r="A93" s="19">
        <f>[1]!_xludf.edate(A92,1)</f>
        <v>39814</v>
      </c>
      <c r="B93" s="21">
        <f t="shared" si="10"/>
        <v>31</v>
      </c>
      <c r="C93" s="20">
        <f>IF(Control!$C$10="Physical",Model!A94+24,Model!A94)</f>
        <v>39845</v>
      </c>
      <c r="E93" s="22">
        <f>IF($A93&lt;Collar!$C$9,IF(Collar!$F$26="Flat",Collar!$C$10,VLOOKUP(Model!$A93,Collar!$B$31:$D$184,3)),0)</f>
        <v>0</v>
      </c>
      <c r="F93" s="22">
        <f t="shared" si="8"/>
        <v>0</v>
      </c>
      <c r="G93" s="26">
        <f t="shared" ca="1" si="6"/>
        <v>0</v>
      </c>
      <c r="H93" s="60">
        <f>A93-1-Collar!$C$13</f>
        <v>2613</v>
      </c>
      <c r="I93" s="24">
        <f t="shared" si="7"/>
        <v>4.7651516082749999E-2</v>
      </c>
      <c r="J93" s="25">
        <f t="shared" ca="1" si="9"/>
        <v>0.71186507946369748</v>
      </c>
      <c r="K93" s="200"/>
      <c r="L93" s="23"/>
      <c r="M93" s="23"/>
      <c r="N93" s="57"/>
      <c r="O93" s="57"/>
      <c r="P93" s="61"/>
      <c r="Q93" s="24"/>
      <c r="S93" s="25"/>
      <c r="T93" s="62"/>
      <c r="U93" s="27"/>
      <c r="V93" s="64"/>
      <c r="W93" s="170"/>
      <c r="X93" s="170"/>
      <c r="Y93" s="170"/>
      <c r="AA93" s="183"/>
      <c r="AB93" s="183"/>
      <c r="AC93" s="184"/>
      <c r="AD93" s="185"/>
      <c r="AE93" s="186"/>
      <c r="AF93" s="187"/>
      <c r="AG93" s="188"/>
      <c r="AH93" s="189"/>
      <c r="AI93" s="27"/>
      <c r="AJ93" s="28"/>
      <c r="AP93" s="26"/>
      <c r="AQ93" s="26"/>
      <c r="AR93" s="26"/>
      <c r="AS93" s="27"/>
      <c r="AT93" s="27"/>
      <c r="AU93" s="27"/>
      <c r="AV93" s="27"/>
      <c r="AW93" s="27"/>
      <c r="AY93" s="189"/>
      <c r="AZ93" s="189"/>
      <c r="BA93" s="205"/>
      <c r="BC93" s="189"/>
      <c r="BE93" s="57"/>
    </row>
    <row r="94" spans="1:57">
      <c r="A94" s="19">
        <f>[1]!_xludf.edate(A93,1)</f>
        <v>39845</v>
      </c>
      <c r="B94" s="21">
        <f t="shared" si="10"/>
        <v>28</v>
      </c>
      <c r="C94" s="20">
        <f>IF(Control!$C$10="Physical",Model!A95+24,Model!A95)</f>
        <v>39873</v>
      </c>
      <c r="E94" s="22">
        <f>IF($A94&lt;Collar!$C$9,IF(Collar!$F$26="Flat",Collar!$C$10,VLOOKUP(Model!$A94,Collar!$B$31:$D$184,3)),0)</f>
        <v>0</v>
      </c>
      <c r="F94" s="22">
        <f t="shared" si="8"/>
        <v>0</v>
      </c>
      <c r="G94" s="26">
        <f t="shared" ca="1" si="6"/>
        <v>0</v>
      </c>
      <c r="H94" s="60">
        <f>A94-1-Collar!$C$13</f>
        <v>2644</v>
      </c>
      <c r="I94" s="24">
        <f t="shared" si="7"/>
        <v>4.7745023245129803E-2</v>
      </c>
      <c r="J94" s="25">
        <f t="shared" ca="1" si="9"/>
        <v>0.70882747344646502</v>
      </c>
      <c r="K94" s="200"/>
      <c r="L94" s="23"/>
      <c r="M94" s="23"/>
      <c r="N94" s="57"/>
      <c r="O94" s="57"/>
      <c r="P94" s="61"/>
      <c r="Q94" s="24"/>
      <c r="S94" s="25"/>
      <c r="T94" s="62"/>
      <c r="U94" s="27"/>
      <c r="V94" s="64"/>
      <c r="W94" s="170"/>
      <c r="X94" s="170"/>
      <c r="Y94" s="170"/>
      <c r="AA94" s="183"/>
      <c r="AB94" s="183"/>
      <c r="AC94" s="184"/>
      <c r="AD94" s="185"/>
      <c r="AE94" s="186"/>
      <c r="AF94" s="187"/>
      <c r="AG94" s="188"/>
      <c r="AH94" s="189"/>
      <c r="AI94" s="27"/>
      <c r="AJ94" s="28"/>
      <c r="AP94" s="26"/>
      <c r="AQ94" s="26"/>
      <c r="AR94" s="26"/>
      <c r="AS94" s="27"/>
      <c r="AT94" s="27"/>
      <c r="AU94" s="27"/>
      <c r="AV94" s="27"/>
      <c r="AW94" s="27"/>
      <c r="AY94" s="189"/>
      <c r="AZ94" s="189"/>
      <c r="BA94" s="205"/>
      <c r="BC94" s="189"/>
      <c r="BE94" s="57"/>
    </row>
    <row r="95" spans="1:57">
      <c r="A95" s="19">
        <f>[1]!_xludf.edate(A94,1)</f>
        <v>39873</v>
      </c>
      <c r="B95" s="21">
        <f t="shared" si="10"/>
        <v>31</v>
      </c>
      <c r="C95" s="20">
        <f>IF(Control!$C$10="Physical",Model!A96+24,Model!A96)</f>
        <v>39904</v>
      </c>
      <c r="E95" s="22">
        <f>IF($A95&lt;Collar!$C$9,IF(Collar!$F$26="Flat",Collar!$C$10,VLOOKUP(Model!$A95,Collar!$B$31:$D$184,3)),0)</f>
        <v>0</v>
      </c>
      <c r="F95" s="22">
        <f t="shared" si="8"/>
        <v>0</v>
      </c>
      <c r="G95" s="26">
        <f t="shared" ca="1" si="6"/>
        <v>0</v>
      </c>
      <c r="H95" s="60">
        <f>A95-1-Collar!$C$13</f>
        <v>2672</v>
      </c>
      <c r="I95" s="24">
        <f t="shared" si="7"/>
        <v>4.7848549035459903E-2</v>
      </c>
      <c r="J95" s="25">
        <f t="shared" ca="1" si="9"/>
        <v>0.70546802925360774</v>
      </c>
      <c r="K95" s="200"/>
      <c r="L95" s="23"/>
      <c r="M95" s="23"/>
      <c r="N95" s="57"/>
      <c r="O95" s="57"/>
      <c r="P95" s="61"/>
      <c r="Q95" s="24"/>
      <c r="S95" s="25"/>
      <c r="T95" s="62"/>
      <c r="U95" s="27"/>
      <c r="V95" s="64"/>
      <c r="W95" s="170"/>
      <c r="X95" s="170"/>
      <c r="Y95" s="170"/>
      <c r="AA95" s="183"/>
      <c r="AB95" s="183"/>
      <c r="AC95" s="184"/>
      <c r="AD95" s="185"/>
      <c r="AE95" s="186"/>
      <c r="AF95" s="187"/>
      <c r="AG95" s="188"/>
      <c r="AH95" s="189"/>
      <c r="AI95" s="27"/>
      <c r="AJ95" s="28"/>
      <c r="AP95" s="26"/>
      <c r="AQ95" s="26"/>
      <c r="AR95" s="26"/>
      <c r="AS95" s="27"/>
      <c r="AT95" s="27"/>
      <c r="AU95" s="27"/>
      <c r="AV95" s="27"/>
      <c r="AW95" s="27"/>
      <c r="AY95" s="189"/>
      <c r="AZ95" s="189"/>
      <c r="BA95" s="205"/>
      <c r="BC95" s="189"/>
      <c r="BE95" s="57"/>
    </row>
    <row r="96" spans="1:57">
      <c r="A96" s="19">
        <f>[1]!_xludf.edate(A95,1)</f>
        <v>39904</v>
      </c>
      <c r="B96" s="21">
        <f t="shared" si="10"/>
        <v>30</v>
      </c>
      <c r="C96" s="20">
        <f>IF(Control!$C$10="Physical",Model!A97+24,Model!A97)</f>
        <v>39934</v>
      </c>
      <c r="E96" s="22">
        <f>IF($A96&lt;Collar!$C$9,IF(Collar!$F$26="Flat",Collar!$C$10,VLOOKUP(Model!$A96,Collar!$B$31:$D$184,3)),0)</f>
        <v>0</v>
      </c>
      <c r="F96" s="22">
        <f t="shared" si="8"/>
        <v>0</v>
      </c>
      <c r="G96" s="26">
        <f t="shared" ca="1" si="6"/>
        <v>0</v>
      </c>
      <c r="H96" s="60">
        <f>A96-1-Collar!$C$13</f>
        <v>2703</v>
      </c>
      <c r="I96" s="24">
        <f t="shared" si="7"/>
        <v>4.7948735287576899E-2</v>
      </c>
      <c r="J96" s="25">
        <f t="shared" ca="1" si="9"/>
        <v>0.70222066482580769</v>
      </c>
      <c r="K96" s="200"/>
      <c r="L96" s="23"/>
      <c r="M96" s="23"/>
      <c r="N96" s="57"/>
      <c r="O96" s="57"/>
      <c r="P96" s="61"/>
      <c r="Q96" s="24"/>
      <c r="S96" s="25"/>
      <c r="T96" s="62"/>
      <c r="U96" s="27"/>
      <c r="V96" s="64"/>
      <c r="W96" s="170"/>
      <c r="X96" s="170"/>
      <c r="Y96" s="170"/>
      <c r="AA96" s="183"/>
      <c r="AB96" s="183"/>
      <c r="AC96" s="184"/>
      <c r="AD96" s="185"/>
      <c r="AE96" s="186"/>
      <c r="AF96" s="187"/>
      <c r="AG96" s="188"/>
      <c r="AH96" s="189"/>
      <c r="AI96" s="27"/>
      <c r="AJ96" s="28"/>
      <c r="AP96" s="26"/>
      <c r="AQ96" s="26"/>
      <c r="AR96" s="26"/>
      <c r="AS96" s="27"/>
      <c r="AT96" s="27"/>
      <c r="AU96" s="27"/>
      <c r="AV96" s="27"/>
      <c r="AW96" s="27"/>
      <c r="AY96" s="189"/>
      <c r="AZ96" s="189"/>
      <c r="BA96" s="205"/>
      <c r="BC96" s="189"/>
      <c r="BE96" s="57"/>
    </row>
    <row r="97" spans="1:57">
      <c r="A97" s="19">
        <f>[1]!_xludf.edate(A96,1)</f>
        <v>39934</v>
      </c>
      <c r="B97" s="21">
        <f t="shared" si="10"/>
        <v>31</v>
      </c>
      <c r="C97" s="20">
        <f>IF(Control!$C$10="Physical",Model!A98+24,Model!A98)</f>
        <v>39965</v>
      </c>
      <c r="E97" s="22">
        <f>IF($A97&lt;Collar!$C$9,IF(Collar!$F$26="Flat",Collar!$C$10,VLOOKUP(Model!$A97,Collar!$B$31:$D$184,3)),0)</f>
        <v>0</v>
      </c>
      <c r="F97" s="22">
        <f t="shared" si="8"/>
        <v>0</v>
      </c>
      <c r="G97" s="26">
        <f t="shared" ca="1" si="6"/>
        <v>0</v>
      </c>
      <c r="H97" s="60">
        <f>A97-1-Collar!$C$13</f>
        <v>2733</v>
      </c>
      <c r="I97" s="24">
        <f t="shared" si="7"/>
        <v>4.8052261084955597E-2</v>
      </c>
      <c r="J97" s="25">
        <f t="shared" ca="1" si="9"/>
        <v>0.69886898363743699</v>
      </c>
      <c r="K97" s="200"/>
      <c r="L97" s="23"/>
      <c r="M97" s="23"/>
      <c r="N97" s="57"/>
      <c r="O97" s="57"/>
      <c r="P97" s="61"/>
      <c r="Q97" s="24"/>
      <c r="S97" s="25"/>
      <c r="T97" s="62"/>
      <c r="U97" s="27"/>
      <c r="V97" s="64"/>
      <c r="W97" s="170"/>
      <c r="X97" s="170"/>
      <c r="Y97" s="170"/>
      <c r="AA97" s="183"/>
      <c r="AB97" s="183"/>
      <c r="AC97" s="184"/>
      <c r="AD97" s="185"/>
      <c r="AE97" s="186"/>
      <c r="AF97" s="187"/>
      <c r="AG97" s="188"/>
      <c r="AH97" s="189"/>
      <c r="AI97" s="27"/>
      <c r="AJ97" s="28"/>
      <c r="AP97" s="26"/>
      <c r="AQ97" s="26"/>
      <c r="AR97" s="26"/>
      <c r="AS97" s="27"/>
      <c r="AT97" s="27"/>
      <c r="AU97" s="27"/>
      <c r="AV97" s="27"/>
      <c r="AW97" s="27"/>
      <c r="AY97" s="189"/>
      <c r="AZ97" s="189"/>
      <c r="BA97" s="205"/>
      <c r="BC97" s="189"/>
      <c r="BE97" s="57"/>
    </row>
    <row r="98" spans="1:57">
      <c r="A98" s="19">
        <f>[1]!_xludf.edate(A97,1)</f>
        <v>39965</v>
      </c>
      <c r="B98" s="21">
        <f t="shared" si="10"/>
        <v>30</v>
      </c>
      <c r="C98" s="20">
        <f>IF(Control!$C$10="Physical",Model!A99+24,Model!A99)</f>
        <v>39995</v>
      </c>
      <c r="E98" s="22">
        <f>IF($A98&lt;Collar!$C$9,IF(Collar!$F$26="Flat",Collar!$C$10,VLOOKUP(Model!$A98,Collar!$B$31:$D$184,3)),0)</f>
        <v>0</v>
      </c>
      <c r="F98" s="22">
        <f t="shared" si="8"/>
        <v>0</v>
      </c>
      <c r="G98" s="26">
        <f t="shared" ca="1" si="6"/>
        <v>0</v>
      </c>
      <c r="H98" s="60">
        <f>A98-1-Collar!$C$13</f>
        <v>2764</v>
      </c>
      <c r="I98" s="24">
        <f t="shared" si="7"/>
        <v>4.8152447343893498E-2</v>
      </c>
      <c r="J98" s="25">
        <f t="shared" ca="1" si="9"/>
        <v>0.69562931295767139</v>
      </c>
      <c r="K98" s="200"/>
      <c r="L98" s="23"/>
      <c r="M98" s="23"/>
      <c r="N98" s="57"/>
      <c r="O98" s="57"/>
      <c r="P98" s="61"/>
      <c r="Q98" s="24"/>
      <c r="S98" s="25"/>
      <c r="T98" s="62"/>
      <c r="U98" s="27"/>
      <c r="V98" s="64"/>
      <c r="W98" s="170"/>
      <c r="X98" s="170"/>
      <c r="Y98" s="170"/>
      <c r="AA98" s="183"/>
      <c r="AB98" s="183"/>
      <c r="AC98" s="184"/>
      <c r="AD98" s="185"/>
      <c r="AE98" s="186"/>
      <c r="AF98" s="187"/>
      <c r="AG98" s="188"/>
      <c r="AH98" s="189"/>
      <c r="AI98" s="27"/>
      <c r="AJ98" s="28"/>
      <c r="AP98" s="26"/>
      <c r="AQ98" s="26"/>
      <c r="AR98" s="26"/>
      <c r="AS98" s="27"/>
      <c r="AT98" s="27"/>
      <c r="AU98" s="27"/>
      <c r="AV98" s="27"/>
      <c r="AW98" s="27"/>
      <c r="AY98" s="189"/>
      <c r="AZ98" s="189"/>
      <c r="BA98" s="205"/>
      <c r="BC98" s="189"/>
      <c r="BE98" s="57"/>
    </row>
    <row r="99" spans="1:57">
      <c r="A99" s="19">
        <f>[1]!_xludf.edate(A98,1)</f>
        <v>39995</v>
      </c>
      <c r="B99" s="21">
        <f t="shared" si="10"/>
        <v>31</v>
      </c>
      <c r="C99" s="20">
        <f>IF(Control!$C$10="Physical",Model!A100+24,Model!A100)</f>
        <v>40026</v>
      </c>
      <c r="E99" s="22">
        <f>IF($A99&lt;Collar!$C$9,IF(Collar!$F$26="Flat",Collar!$C$10,VLOOKUP(Model!$A99,Collar!$B$31:$D$184,3)),0)</f>
        <v>0</v>
      </c>
      <c r="F99" s="22">
        <f t="shared" si="8"/>
        <v>0</v>
      </c>
      <c r="G99" s="26">
        <f t="shared" ca="1" si="6"/>
        <v>0</v>
      </c>
      <c r="H99" s="60">
        <f>A99-1-Collar!$C$13</f>
        <v>2794</v>
      </c>
      <c r="I99" s="24">
        <f t="shared" si="7"/>
        <v>4.8255973148320301E-2</v>
      </c>
      <c r="J99" s="25">
        <f t="shared" ca="1" si="9"/>
        <v>0.69228576787181695</v>
      </c>
      <c r="K99" s="200"/>
      <c r="L99" s="23"/>
      <c r="M99" s="23"/>
      <c r="N99" s="57"/>
      <c r="O99" s="57"/>
      <c r="P99" s="61"/>
      <c r="Q99" s="24"/>
      <c r="S99" s="25"/>
      <c r="T99" s="62"/>
      <c r="U99" s="27"/>
      <c r="V99" s="64"/>
      <c r="W99" s="170"/>
      <c r="X99" s="170"/>
      <c r="Y99" s="170"/>
      <c r="AA99" s="183"/>
      <c r="AB99" s="183"/>
      <c r="AC99" s="184"/>
      <c r="AD99" s="185"/>
      <c r="AE99" s="186"/>
      <c r="AF99" s="187"/>
      <c r="AG99" s="188"/>
      <c r="AH99" s="189"/>
      <c r="AI99" s="27"/>
      <c r="AJ99" s="28"/>
      <c r="AP99" s="26"/>
      <c r="AQ99" s="26"/>
      <c r="AR99" s="26"/>
      <c r="AS99" s="27"/>
      <c r="AT99" s="27"/>
      <c r="AU99" s="27"/>
      <c r="AV99" s="27"/>
      <c r="AW99" s="27"/>
      <c r="AY99" s="189"/>
      <c r="AZ99" s="189"/>
      <c r="BA99" s="205"/>
      <c r="BC99" s="189"/>
      <c r="BE99" s="57"/>
    </row>
    <row r="100" spans="1:57">
      <c r="A100" s="19">
        <f>[1]!_xludf.edate(A99,1)</f>
        <v>40026</v>
      </c>
      <c r="B100" s="21">
        <f t="shared" si="10"/>
        <v>31</v>
      </c>
      <c r="C100" s="20">
        <f>IF(Control!$C$10="Physical",Model!A101+24,Model!A101)</f>
        <v>40057</v>
      </c>
      <c r="E100" s="22">
        <f>IF($A100&lt;Collar!$C$9,IF(Collar!$F$26="Flat",Collar!$C$10,VLOOKUP(Model!$A100,Collar!$B$31:$D$184,3)),0)</f>
        <v>0</v>
      </c>
      <c r="F100" s="22">
        <f t="shared" si="8"/>
        <v>0</v>
      </c>
      <c r="G100" s="26">
        <f t="shared" ca="1" si="6"/>
        <v>0</v>
      </c>
      <c r="H100" s="60">
        <f>A100-1-Collar!$C$13</f>
        <v>2825</v>
      </c>
      <c r="I100" s="24">
        <f t="shared" si="7"/>
        <v>4.8359498956328302E-2</v>
      </c>
      <c r="J100" s="25">
        <f t="shared" ca="1" si="9"/>
        <v>0.68894649883895942</v>
      </c>
      <c r="K100" s="200"/>
      <c r="L100" s="23"/>
      <c r="M100" s="23"/>
      <c r="N100" s="57"/>
      <c r="O100" s="57"/>
      <c r="P100" s="61"/>
      <c r="Q100" s="24"/>
      <c r="S100" s="25"/>
      <c r="T100" s="62"/>
      <c r="U100" s="27"/>
      <c r="V100" s="64"/>
      <c r="W100" s="170"/>
      <c r="X100" s="170"/>
      <c r="Y100" s="170"/>
      <c r="AA100" s="183"/>
      <c r="AB100" s="183"/>
      <c r="AC100" s="184"/>
      <c r="AD100" s="185"/>
      <c r="AE100" s="186"/>
      <c r="AF100" s="187"/>
      <c r="AG100" s="188"/>
      <c r="AH100" s="189"/>
      <c r="AI100" s="27"/>
      <c r="AJ100" s="28"/>
      <c r="AP100" s="26"/>
      <c r="AQ100" s="26"/>
      <c r="AR100" s="26"/>
      <c r="AS100" s="27"/>
      <c r="AT100" s="27"/>
      <c r="AU100" s="27"/>
      <c r="AV100" s="27"/>
      <c r="AW100" s="27"/>
      <c r="AY100" s="189"/>
      <c r="AZ100" s="189"/>
      <c r="BA100" s="205"/>
      <c r="BC100" s="189"/>
      <c r="BE100" s="57"/>
    </row>
    <row r="101" spans="1:57">
      <c r="A101" s="19">
        <f>[1]!_xludf.edate(A100,1)</f>
        <v>40057</v>
      </c>
      <c r="B101" s="21">
        <f t="shared" si="10"/>
        <v>30</v>
      </c>
      <c r="C101" s="20">
        <f>IF(Control!$C$10="Physical",Model!A102+24,Model!A102)</f>
        <v>40087</v>
      </c>
      <c r="E101" s="22">
        <f>IF($A101&lt;Collar!$C$9,IF(Collar!$F$26="Flat",Collar!$C$10,VLOOKUP(Model!$A101,Collar!$B$31:$D$184,3)),0)</f>
        <v>0</v>
      </c>
      <c r="F101" s="22">
        <f t="shared" si="8"/>
        <v>0</v>
      </c>
      <c r="G101" s="26">
        <f t="shared" ca="1" si="6"/>
        <v>0</v>
      </c>
      <c r="H101" s="60">
        <f>A101-1-Collar!$C$13</f>
        <v>2856</v>
      </c>
      <c r="I101" s="24">
        <f t="shared" si="7"/>
        <v>4.84596852255526E-2</v>
      </c>
      <c r="J101" s="25">
        <f t="shared" ca="1" si="9"/>
        <v>0.6857191083798968</v>
      </c>
      <c r="K101" s="200"/>
      <c r="L101" s="23"/>
      <c r="M101" s="23"/>
      <c r="N101" s="57"/>
      <c r="O101" s="57"/>
      <c r="P101" s="61"/>
      <c r="Q101" s="24"/>
      <c r="S101" s="25"/>
      <c r="T101" s="62"/>
      <c r="U101" s="27"/>
      <c r="V101" s="64"/>
      <c r="W101" s="170"/>
      <c r="X101" s="170"/>
      <c r="Y101" s="170"/>
      <c r="AA101" s="183"/>
      <c r="AB101" s="183"/>
      <c r="AC101" s="184"/>
      <c r="AD101" s="185"/>
      <c r="AE101" s="186"/>
      <c r="AF101" s="187"/>
      <c r="AG101" s="188"/>
      <c r="AH101" s="189"/>
      <c r="AI101" s="27"/>
      <c r="AJ101" s="28"/>
      <c r="AP101" s="26"/>
      <c r="AQ101" s="26"/>
      <c r="AR101" s="26"/>
      <c r="AS101" s="27"/>
      <c r="AT101" s="27"/>
      <c r="AU101" s="27"/>
      <c r="AV101" s="27"/>
      <c r="AW101" s="27"/>
      <c r="AY101" s="189"/>
      <c r="AZ101" s="189"/>
      <c r="BA101" s="205"/>
      <c r="BC101" s="189"/>
      <c r="BE101" s="57"/>
    </row>
    <row r="102" spans="1:57">
      <c r="A102" s="19">
        <f>[1]!_xludf.edate(A101,1)</f>
        <v>40087</v>
      </c>
      <c r="B102" s="21">
        <f t="shared" si="10"/>
        <v>31</v>
      </c>
      <c r="C102" s="20">
        <f>IF(Control!$C$10="Physical",Model!A103+24,Model!A103)</f>
        <v>40118</v>
      </c>
      <c r="E102" s="22">
        <f>IF($A102&lt;Collar!$C$9,IF(Collar!$F$26="Flat",Collar!$C$10,VLOOKUP(Model!$A102,Collar!$B$31:$D$184,3)),0)</f>
        <v>0</v>
      </c>
      <c r="F102" s="22">
        <f t="shared" si="8"/>
        <v>0</v>
      </c>
      <c r="G102" s="26">
        <f t="shared" ca="1" si="6"/>
        <v>0</v>
      </c>
      <c r="H102" s="60">
        <f>A102-1-Collar!$C$13</f>
        <v>2886</v>
      </c>
      <c r="I102" s="24">
        <f t="shared" si="7"/>
        <v>4.8563211040607297E-2</v>
      </c>
      <c r="J102" s="25">
        <f t="shared" ca="1" si="9"/>
        <v>0.68238852826937701</v>
      </c>
      <c r="K102" s="200"/>
      <c r="L102" s="23"/>
      <c r="M102" s="23"/>
      <c r="N102" s="57"/>
      <c r="O102" s="57"/>
      <c r="P102" s="61"/>
      <c r="Q102" s="24"/>
      <c r="S102" s="25"/>
      <c r="T102" s="62"/>
      <c r="U102" s="27"/>
      <c r="V102" s="64"/>
      <c r="W102" s="170"/>
      <c r="X102" s="170"/>
      <c r="Y102" s="170"/>
      <c r="AA102" s="183"/>
      <c r="AB102" s="183"/>
      <c r="AC102" s="184"/>
      <c r="AD102" s="185"/>
      <c r="AE102" s="186"/>
      <c r="AF102" s="187"/>
      <c r="AG102" s="188"/>
      <c r="AH102" s="189"/>
      <c r="AI102" s="27"/>
      <c r="AJ102" s="28"/>
      <c r="AP102" s="26"/>
      <c r="AQ102" s="26"/>
      <c r="AR102" s="26"/>
      <c r="AS102" s="27"/>
      <c r="AT102" s="27"/>
      <c r="AU102" s="27"/>
      <c r="AV102" s="27"/>
      <c r="AW102" s="27"/>
      <c r="AY102" s="189"/>
      <c r="AZ102" s="189"/>
      <c r="BA102" s="205"/>
      <c r="BC102" s="189"/>
      <c r="BE102" s="57"/>
    </row>
    <row r="103" spans="1:57">
      <c r="A103" s="19">
        <f>[1]!_xludf.edate(A102,1)</f>
        <v>40118</v>
      </c>
      <c r="B103" s="21">
        <f t="shared" si="10"/>
        <v>30</v>
      </c>
      <c r="C103" s="20">
        <f>IF(Control!$C$10="Physical",Model!A104+24,Model!A104)</f>
        <v>40148</v>
      </c>
      <c r="E103" s="22">
        <f>IF($A103&lt;Collar!$C$9,IF(Collar!$F$26="Flat",Collar!$C$10,VLOOKUP(Model!$A103,Collar!$B$31:$D$184,3)),0)</f>
        <v>0</v>
      </c>
      <c r="F103" s="22">
        <f t="shared" si="8"/>
        <v>0</v>
      </c>
      <c r="G103" s="26">
        <f t="shared" ca="1" si="6"/>
        <v>0</v>
      </c>
      <c r="H103" s="60">
        <f>A103-1-Collar!$C$13</f>
        <v>2917</v>
      </c>
      <c r="I103" s="24">
        <f t="shared" si="7"/>
        <v>4.8663397316651001E-2</v>
      </c>
      <c r="J103" s="25">
        <f t="shared" ca="1" si="9"/>
        <v>0.67916972124594577</v>
      </c>
      <c r="K103" s="200"/>
      <c r="L103" s="23"/>
      <c r="M103" s="23"/>
      <c r="N103" s="57"/>
      <c r="O103" s="57"/>
      <c r="P103" s="61"/>
      <c r="Q103" s="24"/>
      <c r="S103" s="25"/>
      <c r="T103" s="62"/>
      <c r="U103" s="27"/>
      <c r="V103" s="64"/>
      <c r="W103" s="170"/>
      <c r="X103" s="170"/>
      <c r="Y103" s="170"/>
      <c r="AA103" s="183"/>
      <c r="AB103" s="183"/>
      <c r="AC103" s="184"/>
      <c r="AD103" s="185"/>
      <c r="AE103" s="186"/>
      <c r="AF103" s="187"/>
      <c r="AG103" s="188"/>
      <c r="AH103" s="189"/>
      <c r="AI103" s="27"/>
      <c r="AJ103" s="28"/>
      <c r="AP103" s="26"/>
      <c r="AQ103" s="26"/>
      <c r="AR103" s="26"/>
      <c r="AS103" s="27"/>
      <c r="AT103" s="27"/>
      <c r="AU103" s="27"/>
      <c r="AV103" s="27"/>
      <c r="AW103" s="27"/>
      <c r="AY103" s="189"/>
      <c r="AZ103" s="189"/>
      <c r="BA103" s="205"/>
      <c r="BC103" s="189"/>
      <c r="BE103" s="57"/>
    </row>
    <row r="104" spans="1:57">
      <c r="A104" s="19">
        <f>[1]!_xludf.edate(A103,1)</f>
        <v>40148</v>
      </c>
      <c r="B104" s="21">
        <f t="shared" si="10"/>
        <v>31</v>
      </c>
      <c r="C104" s="20">
        <f>IF(Control!$C$10="Physical",Model!A105+24,Model!A105)</f>
        <v>40179</v>
      </c>
      <c r="E104" s="22">
        <f>IF($A104&lt;Collar!$C$9,IF(Collar!$F$26="Flat",Collar!$C$10,VLOOKUP(Model!$A104,Collar!$B$31:$D$184,3)),0)</f>
        <v>0</v>
      </c>
      <c r="F104" s="22">
        <f t="shared" si="8"/>
        <v>0</v>
      </c>
      <c r="G104" s="26">
        <f t="shared" ca="1" si="6"/>
        <v>0</v>
      </c>
      <c r="H104" s="60">
        <f>A104-1-Collar!$C$13</f>
        <v>2947</v>
      </c>
      <c r="I104" s="24">
        <f t="shared" si="7"/>
        <v>4.8766923138751798E-2</v>
      </c>
      <c r="J104" s="25">
        <f t="shared" ca="1" si="9"/>
        <v>0.67584818997832163</v>
      </c>
      <c r="K104" s="200"/>
      <c r="L104" s="23"/>
      <c r="M104" s="23"/>
      <c r="N104" s="57"/>
      <c r="O104" s="57"/>
      <c r="P104" s="61"/>
      <c r="Q104" s="24"/>
      <c r="S104" s="25"/>
      <c r="T104" s="62"/>
      <c r="U104" s="27"/>
      <c r="V104" s="64"/>
      <c r="W104" s="170"/>
      <c r="X104" s="170"/>
      <c r="Y104" s="170"/>
      <c r="AA104" s="183"/>
      <c r="AB104" s="183"/>
      <c r="AC104" s="184"/>
      <c r="AD104" s="185"/>
      <c r="AE104" s="186"/>
      <c r="AF104" s="187"/>
      <c r="AG104" s="188"/>
      <c r="AH104" s="189"/>
      <c r="AI104" s="27"/>
      <c r="AJ104" s="28"/>
      <c r="AP104" s="26"/>
      <c r="AQ104" s="26"/>
      <c r="AR104" s="26"/>
      <c r="AS104" s="27"/>
      <c r="AT104" s="27"/>
      <c r="AU104" s="27"/>
      <c r="AV104" s="27"/>
      <c r="AW104" s="27"/>
      <c r="AY104" s="189"/>
      <c r="AZ104" s="189"/>
      <c r="BA104" s="205"/>
      <c r="BC104" s="189"/>
      <c r="BE104" s="57"/>
    </row>
    <row r="105" spans="1:57">
      <c r="A105" s="19">
        <f>[1]!_xludf.edate(A104,1)</f>
        <v>40179</v>
      </c>
      <c r="B105" s="21">
        <f t="shared" si="10"/>
        <v>31</v>
      </c>
      <c r="C105" s="20">
        <f>IF(Control!$C$10="Physical",Model!A106+24,Model!A106)</f>
        <v>40210</v>
      </c>
      <c r="E105" s="22">
        <f>IF($A105&lt;Collar!$C$9,IF(Collar!$F$26="Flat",Collar!$C$10,VLOOKUP(Model!$A105,Collar!$B$31:$D$184,3)),0)</f>
        <v>0</v>
      </c>
      <c r="F105" s="22">
        <f t="shared" si="8"/>
        <v>0</v>
      </c>
      <c r="G105" s="26">
        <f t="shared" ca="1" si="6"/>
        <v>0</v>
      </c>
      <c r="H105" s="60">
        <f>A105-1-Collar!$C$13</f>
        <v>2978</v>
      </c>
      <c r="I105" s="24">
        <f t="shared" si="7"/>
        <v>4.8870448964433599E-2</v>
      </c>
      <c r="J105" s="25">
        <f t="shared" ca="1" si="9"/>
        <v>0.67253139352844937</v>
      </c>
      <c r="K105" s="200"/>
      <c r="L105" s="23"/>
      <c r="M105" s="23"/>
      <c r="N105" s="57"/>
      <c r="O105" s="57"/>
      <c r="P105" s="61"/>
      <c r="Q105" s="24"/>
      <c r="S105" s="25"/>
      <c r="T105" s="62"/>
      <c r="U105" s="27"/>
      <c r="V105" s="64"/>
      <c r="W105" s="170"/>
      <c r="X105" s="170"/>
      <c r="Y105" s="170"/>
      <c r="AA105" s="183"/>
      <c r="AB105" s="183"/>
      <c r="AC105" s="184"/>
      <c r="AD105" s="185"/>
      <c r="AE105" s="186"/>
      <c r="AF105" s="187"/>
      <c r="AG105" s="188"/>
      <c r="AH105" s="189"/>
      <c r="AI105" s="27"/>
      <c r="AJ105" s="28"/>
      <c r="AP105" s="26"/>
      <c r="AQ105" s="26"/>
      <c r="AR105" s="26"/>
      <c r="AS105" s="27"/>
      <c r="AT105" s="27"/>
      <c r="AU105" s="27"/>
      <c r="AV105" s="27"/>
      <c r="AW105" s="27"/>
      <c r="AY105" s="189"/>
      <c r="AZ105" s="189"/>
      <c r="BA105" s="205"/>
      <c r="BC105" s="189"/>
      <c r="BE105" s="57"/>
    </row>
    <row r="106" spans="1:57">
      <c r="A106" s="19">
        <f>[1]!_xludf.edate(A105,1)</f>
        <v>40210</v>
      </c>
      <c r="B106" s="21">
        <f t="shared" si="10"/>
        <v>28</v>
      </c>
      <c r="C106" s="20">
        <f>IF(Control!$C$10="Physical",Model!A107+24,Model!A107)</f>
        <v>40238</v>
      </c>
      <c r="E106" s="22">
        <f>IF($A106&lt;Collar!$C$9,IF(Collar!$F$26="Flat",Collar!$C$10,VLOOKUP(Model!$A106,Collar!$B$31:$D$184,3)),0)</f>
        <v>0</v>
      </c>
      <c r="F106" s="22">
        <f t="shared" si="8"/>
        <v>0</v>
      </c>
      <c r="G106" s="26">
        <f t="shared" ca="1" si="6"/>
        <v>0</v>
      </c>
      <c r="H106" s="60">
        <f>A106-1-Collar!$C$13</f>
        <v>3009</v>
      </c>
      <c r="I106" s="24">
        <f t="shared" si="7"/>
        <v>4.8963956164901103E-2</v>
      </c>
      <c r="J106" s="25">
        <f t="shared" ca="1" si="9"/>
        <v>0.66953972265957518</v>
      </c>
      <c r="K106" s="200"/>
      <c r="L106" s="23"/>
      <c r="M106" s="23"/>
      <c r="N106" s="57"/>
      <c r="O106" s="57"/>
      <c r="P106" s="61"/>
      <c r="Q106" s="24"/>
      <c r="S106" s="25"/>
      <c r="T106" s="62"/>
      <c r="U106" s="27"/>
      <c r="V106" s="64"/>
      <c r="W106" s="170"/>
      <c r="X106" s="170"/>
      <c r="Y106" s="170"/>
      <c r="AA106" s="183"/>
      <c r="AB106" s="183"/>
      <c r="AC106" s="184"/>
      <c r="AD106" s="185"/>
      <c r="AE106" s="186"/>
      <c r="AF106" s="187"/>
      <c r="AG106" s="188"/>
      <c r="AH106" s="189"/>
      <c r="AI106" s="27"/>
      <c r="AJ106" s="28"/>
      <c r="AP106" s="26"/>
      <c r="AQ106" s="26"/>
      <c r="AR106" s="26"/>
      <c r="AS106" s="27"/>
      <c r="AT106" s="27"/>
      <c r="AU106" s="27"/>
      <c r="AV106" s="27"/>
      <c r="AW106" s="27"/>
      <c r="AY106" s="189"/>
      <c r="AZ106" s="189"/>
      <c r="BA106" s="205"/>
      <c r="BC106" s="189"/>
      <c r="BE106" s="57"/>
    </row>
    <row r="107" spans="1:57">
      <c r="A107" s="19">
        <f>[1]!_xludf.edate(A106,1)</f>
        <v>40238</v>
      </c>
      <c r="B107" s="21">
        <f t="shared" si="10"/>
        <v>31</v>
      </c>
      <c r="C107" s="20">
        <f>IF(Control!$C$10="Physical",Model!A108+24,Model!A108)</f>
        <v>40269</v>
      </c>
      <c r="E107" s="22">
        <f>IF($A107&lt;Collar!$C$9,IF(Collar!$F$26="Flat",Collar!$C$10,VLOOKUP(Model!$A107,Collar!$B$31:$D$184,3)),0)</f>
        <v>0</v>
      </c>
      <c r="F107" s="22">
        <f t="shared" si="8"/>
        <v>0</v>
      </c>
      <c r="G107" s="26">
        <f t="shared" ca="1" si="6"/>
        <v>0</v>
      </c>
      <c r="H107" s="60">
        <f>A107-1-Collar!$C$13</f>
        <v>3037</v>
      </c>
      <c r="I107" s="24">
        <f t="shared" si="7"/>
        <v>4.9067481997397099E-2</v>
      </c>
      <c r="J107" s="25">
        <f t="shared" ca="1" si="9"/>
        <v>0.66623218811037377</v>
      </c>
      <c r="K107" s="200"/>
      <c r="L107" s="23"/>
      <c r="M107" s="23"/>
      <c r="N107" s="57"/>
      <c r="O107" s="57"/>
      <c r="P107" s="61"/>
      <c r="Q107" s="24"/>
      <c r="S107" s="25"/>
      <c r="T107" s="62"/>
      <c r="U107" s="27"/>
      <c r="V107" s="64"/>
      <c r="W107" s="170"/>
      <c r="X107" s="170"/>
      <c r="Y107" s="170"/>
      <c r="AA107" s="183"/>
      <c r="AB107" s="183"/>
      <c r="AC107" s="184"/>
      <c r="AD107" s="185"/>
      <c r="AE107" s="186"/>
      <c r="AF107" s="187"/>
      <c r="AG107" s="188"/>
      <c r="AH107" s="189"/>
      <c r="AI107" s="27"/>
      <c r="AJ107" s="28"/>
      <c r="AP107" s="26"/>
      <c r="AQ107" s="26"/>
      <c r="AR107" s="26"/>
      <c r="AS107" s="27"/>
      <c r="AT107" s="27"/>
      <c r="AU107" s="27"/>
      <c r="AV107" s="27"/>
      <c r="AW107" s="27"/>
      <c r="AY107" s="189"/>
      <c r="AZ107" s="189"/>
      <c r="BA107" s="205"/>
      <c r="BC107" s="189"/>
      <c r="BE107" s="57"/>
    </row>
    <row r="108" spans="1:57">
      <c r="A108" s="19">
        <f>[1]!_xludf.edate(A107,1)</f>
        <v>40269</v>
      </c>
      <c r="B108" s="21">
        <f t="shared" si="10"/>
        <v>30</v>
      </c>
      <c r="C108" s="20">
        <f>IF(Control!$C$10="Physical",Model!A109+24,Model!A109)</f>
        <v>40299</v>
      </c>
      <c r="E108" s="22">
        <f>IF($A108&lt;Collar!$C$9,IF(Collar!$F$26="Flat",Collar!$C$10,VLOOKUP(Model!$A108,Collar!$B$31:$D$184,3)),0)</f>
        <v>0</v>
      </c>
      <c r="F108" s="22">
        <f t="shared" si="8"/>
        <v>0</v>
      </c>
      <c r="G108" s="26">
        <f t="shared" ca="1" si="6"/>
        <v>0</v>
      </c>
      <c r="H108" s="60">
        <f>A108-1-Collar!$C$13</f>
        <v>3068</v>
      </c>
      <c r="I108" s="24">
        <f t="shared" si="7"/>
        <v>4.9167668290317899E-2</v>
      </c>
      <c r="J108" s="25">
        <f t="shared" ca="1" si="9"/>
        <v>0.66303610482711872</v>
      </c>
      <c r="K108" s="200"/>
      <c r="L108" s="23"/>
      <c r="M108" s="23"/>
      <c r="N108" s="57"/>
      <c r="O108" s="57"/>
      <c r="P108" s="61"/>
      <c r="Q108" s="24"/>
      <c r="S108" s="25"/>
      <c r="T108" s="62"/>
      <c r="U108" s="27"/>
      <c r="V108" s="64"/>
      <c r="W108" s="170"/>
      <c r="X108" s="170"/>
      <c r="Y108" s="170"/>
      <c r="AA108" s="183"/>
      <c r="AB108" s="183"/>
      <c r="AC108" s="184"/>
      <c r="AD108" s="185"/>
      <c r="AE108" s="186"/>
      <c r="AF108" s="187"/>
      <c r="AG108" s="188"/>
      <c r="AH108" s="189"/>
      <c r="AI108" s="27"/>
      <c r="AJ108" s="28"/>
      <c r="AP108" s="26"/>
      <c r="AQ108" s="26"/>
      <c r="AR108" s="26"/>
      <c r="AS108" s="27"/>
      <c r="AT108" s="27"/>
      <c r="AU108" s="27"/>
      <c r="AV108" s="27"/>
      <c r="AW108" s="27"/>
      <c r="AY108" s="189"/>
      <c r="AZ108" s="189"/>
      <c r="BA108" s="205"/>
      <c r="BC108" s="189"/>
      <c r="BE108" s="57"/>
    </row>
    <row r="109" spans="1:57">
      <c r="A109" s="19">
        <f>[1]!_xludf.edate(A108,1)</f>
        <v>40299</v>
      </c>
      <c r="B109" s="21">
        <f t="shared" si="10"/>
        <v>31</v>
      </c>
      <c r="C109" s="20">
        <f>IF(Control!$C$10="Physical",Model!A110+24,Model!A110)</f>
        <v>40330</v>
      </c>
      <c r="E109" s="22">
        <f>IF($A109&lt;Collar!$C$9,IF(Collar!$F$26="Flat",Collar!$C$10,VLOOKUP(Model!$A109,Collar!$B$31:$D$184,3)),0)</f>
        <v>0</v>
      </c>
      <c r="F109" s="22">
        <f t="shared" si="8"/>
        <v>0</v>
      </c>
      <c r="G109" s="26">
        <f t="shared" ca="1" si="6"/>
        <v>0</v>
      </c>
      <c r="H109" s="60">
        <f>A109-1-Collar!$C$13</f>
        <v>3098</v>
      </c>
      <c r="I109" s="24">
        <f t="shared" si="7"/>
        <v>4.9271194129858503E-2</v>
      </c>
      <c r="J109" s="25">
        <f t="shared" ca="1" si="9"/>
        <v>0.65973848704450366</v>
      </c>
      <c r="K109" s="200"/>
      <c r="L109" s="23"/>
      <c r="M109" s="23"/>
      <c r="N109" s="57"/>
      <c r="O109" s="57"/>
      <c r="P109" s="61"/>
      <c r="Q109" s="24"/>
      <c r="S109" s="25"/>
      <c r="T109" s="62"/>
      <c r="U109" s="27"/>
      <c r="V109" s="64"/>
      <c r="W109" s="170"/>
      <c r="X109" s="170"/>
      <c r="Y109" s="170"/>
      <c r="AA109" s="183"/>
      <c r="AB109" s="183"/>
      <c r="AC109" s="184"/>
      <c r="AD109" s="185"/>
      <c r="AE109" s="186"/>
      <c r="AF109" s="187"/>
      <c r="AG109" s="188"/>
      <c r="AH109" s="189"/>
      <c r="AI109" s="27"/>
      <c r="AJ109" s="28"/>
      <c r="AP109" s="26"/>
      <c r="AQ109" s="26"/>
      <c r="AR109" s="26"/>
      <c r="AS109" s="27"/>
      <c r="AT109" s="27"/>
      <c r="AU109" s="27"/>
      <c r="AV109" s="27"/>
      <c r="AW109" s="27"/>
      <c r="AY109" s="189"/>
      <c r="AZ109" s="189"/>
      <c r="BA109" s="205"/>
      <c r="BC109" s="189"/>
      <c r="BE109" s="57"/>
    </row>
    <row r="110" spans="1:57">
      <c r="A110" s="19">
        <f>[1]!_xludf.edate(A109,1)</f>
        <v>40330</v>
      </c>
      <c r="B110" s="21">
        <f t="shared" si="10"/>
        <v>30</v>
      </c>
      <c r="C110" s="20">
        <f>IF(Control!$C$10="Physical",Model!A111+24,Model!A111)</f>
        <v>40360</v>
      </c>
      <c r="E110" s="22">
        <f>IF($A110&lt;Collar!$C$9,IF(Collar!$F$26="Flat",Collar!$C$10,VLOOKUP(Model!$A110,Collar!$B$31:$D$184,3)),0)</f>
        <v>0</v>
      </c>
      <c r="F110" s="22">
        <f t="shared" si="8"/>
        <v>0</v>
      </c>
      <c r="G110" s="26">
        <f t="shared" ca="1" si="6"/>
        <v>0</v>
      </c>
      <c r="H110" s="60">
        <f>A110-1-Collar!$C$13</f>
        <v>3129</v>
      </c>
      <c r="I110" s="24">
        <f t="shared" si="7"/>
        <v>4.9371380429596101E-2</v>
      </c>
      <c r="J110" s="25">
        <f t="shared" ca="1" si="9"/>
        <v>0.65655216639758196</v>
      </c>
      <c r="K110" s="200"/>
      <c r="L110" s="23"/>
      <c r="M110" s="23"/>
      <c r="N110" s="57"/>
      <c r="O110" s="57"/>
      <c r="P110" s="61"/>
      <c r="Q110" s="24"/>
      <c r="S110" s="25"/>
      <c r="T110" s="62"/>
      <c r="U110" s="27"/>
      <c r="V110" s="64"/>
      <c r="W110" s="170"/>
      <c r="X110" s="170"/>
      <c r="Y110" s="170"/>
      <c r="AA110" s="183"/>
      <c r="AB110" s="183"/>
      <c r="AC110" s="184"/>
      <c r="AD110" s="185"/>
      <c r="AE110" s="186"/>
      <c r="AF110" s="187"/>
      <c r="AG110" s="188"/>
      <c r="AH110" s="189"/>
      <c r="AI110" s="27"/>
      <c r="AJ110" s="28"/>
      <c r="AP110" s="26"/>
      <c r="AQ110" s="26"/>
      <c r="AR110" s="26"/>
      <c r="AS110" s="27"/>
      <c r="AT110" s="27"/>
      <c r="AU110" s="27"/>
      <c r="AV110" s="27"/>
      <c r="AW110" s="27"/>
      <c r="AY110" s="189"/>
      <c r="AZ110" s="189"/>
      <c r="BA110" s="205"/>
      <c r="BC110" s="189"/>
      <c r="BE110" s="57"/>
    </row>
    <row r="111" spans="1:57">
      <c r="A111" s="19">
        <f>[1]!_xludf.edate(A110,1)</f>
        <v>40360</v>
      </c>
      <c r="B111" s="21">
        <f t="shared" si="10"/>
        <v>31</v>
      </c>
      <c r="C111" s="20">
        <f>IF(Control!$C$10="Physical",Model!A112+24,Model!A112)</f>
        <v>40391</v>
      </c>
      <c r="E111" s="22">
        <f>IF($A111&lt;Collar!$C$9,IF(Collar!$F$26="Flat",Collar!$C$10,VLOOKUP(Model!$A111,Collar!$B$31:$D$184,3)),0)</f>
        <v>0</v>
      </c>
      <c r="F111" s="22">
        <f t="shared" si="8"/>
        <v>0</v>
      </c>
      <c r="G111" s="26">
        <f t="shared" ca="1" si="6"/>
        <v>0</v>
      </c>
      <c r="H111" s="60">
        <f>A111-1-Collar!$C$13</f>
        <v>3159</v>
      </c>
      <c r="I111" s="24">
        <f t="shared" si="7"/>
        <v>4.94749062761803E-2</v>
      </c>
      <c r="J111" s="25">
        <f t="shared" ca="1" si="9"/>
        <v>0.65326480659333652</v>
      </c>
      <c r="K111" s="200"/>
      <c r="L111" s="23"/>
      <c r="M111" s="23"/>
      <c r="N111" s="57"/>
      <c r="O111" s="57"/>
      <c r="P111" s="61"/>
      <c r="Q111" s="24"/>
      <c r="S111" s="25"/>
      <c r="T111" s="62"/>
      <c r="U111" s="27"/>
      <c r="V111" s="64"/>
      <c r="W111" s="170"/>
      <c r="X111" s="170"/>
      <c r="Y111" s="170"/>
      <c r="AA111" s="183"/>
      <c r="AB111" s="183"/>
      <c r="AC111" s="184"/>
      <c r="AD111" s="185"/>
      <c r="AE111" s="186"/>
      <c r="AF111" s="187"/>
      <c r="AG111" s="188"/>
      <c r="AH111" s="189"/>
      <c r="AI111" s="27"/>
      <c r="AJ111" s="28"/>
      <c r="AP111" s="26"/>
      <c r="AQ111" s="26"/>
      <c r="AR111" s="26"/>
      <c r="AS111" s="27"/>
      <c r="AT111" s="27"/>
      <c r="AU111" s="27"/>
      <c r="AV111" s="27"/>
      <c r="AW111" s="27"/>
      <c r="AY111" s="189"/>
      <c r="AZ111" s="189"/>
      <c r="BA111" s="205"/>
      <c r="BC111" s="189"/>
      <c r="BE111" s="57"/>
    </row>
    <row r="112" spans="1:57">
      <c r="A112" s="19">
        <f>[1]!_xludf.edate(A111,1)</f>
        <v>40391</v>
      </c>
      <c r="B112" s="21">
        <f t="shared" si="10"/>
        <v>31</v>
      </c>
      <c r="C112" s="20">
        <f>IF(Control!$C$10="Physical",Model!A113+24,Model!A113)</f>
        <v>40422</v>
      </c>
      <c r="E112" s="22">
        <f>IF($A112&lt;Collar!$C$9,IF(Collar!$F$26="Flat",Collar!$C$10,VLOOKUP(Model!$A112,Collar!$B$31:$D$184,3)),0)</f>
        <v>0</v>
      </c>
      <c r="F112" s="22">
        <f t="shared" si="8"/>
        <v>0</v>
      </c>
      <c r="G112" s="26">
        <f t="shared" ca="1" si="6"/>
        <v>0</v>
      </c>
      <c r="H112" s="60">
        <f>A112-1-Collar!$C$13</f>
        <v>3190</v>
      </c>
      <c r="I112" s="24">
        <f t="shared" si="7"/>
        <v>4.9578432126343899E-2</v>
      </c>
      <c r="J112" s="25">
        <f t="shared" ca="1" si="9"/>
        <v>0.64998278887200156</v>
      </c>
      <c r="K112" s="200"/>
      <c r="L112" s="23"/>
      <c r="M112" s="23"/>
      <c r="N112" s="57"/>
      <c r="O112" s="57"/>
      <c r="P112" s="61"/>
      <c r="Q112" s="24"/>
      <c r="S112" s="25"/>
      <c r="T112" s="62"/>
      <c r="U112" s="27"/>
      <c r="V112" s="64"/>
      <c r="W112" s="170"/>
      <c r="X112" s="170"/>
      <c r="Y112" s="170"/>
      <c r="AA112" s="183"/>
      <c r="AB112" s="183"/>
      <c r="AC112" s="184"/>
      <c r="AD112" s="185"/>
      <c r="AE112" s="186"/>
      <c r="AF112" s="187"/>
      <c r="AG112" s="188"/>
      <c r="AH112" s="189"/>
      <c r="AI112" s="27"/>
      <c r="AJ112" s="28"/>
      <c r="AP112" s="26"/>
      <c r="AQ112" s="26"/>
      <c r="AR112" s="26"/>
      <c r="AS112" s="27"/>
      <c r="AT112" s="27"/>
      <c r="AU112" s="27"/>
      <c r="AV112" s="27"/>
      <c r="AW112" s="27"/>
      <c r="AY112" s="189"/>
      <c r="AZ112" s="189"/>
      <c r="BA112" s="205"/>
      <c r="BC112" s="189"/>
      <c r="BE112" s="57"/>
    </row>
    <row r="113" spans="1:57">
      <c r="A113" s="19">
        <f>[1]!_xludf.edate(A112,1)</f>
        <v>40422</v>
      </c>
      <c r="B113" s="21">
        <f t="shared" si="10"/>
        <v>30</v>
      </c>
      <c r="C113" s="20">
        <f>IF(Control!$C$10="Physical",Model!A114+24,Model!A114)</f>
        <v>40452</v>
      </c>
      <c r="E113" s="22">
        <f>IF($A113&lt;Collar!$C$9,IF(Collar!$F$26="Flat",Collar!$C$10,VLOOKUP(Model!$A113,Collar!$B$31:$D$184,3)),0)</f>
        <v>0</v>
      </c>
      <c r="F113" s="22">
        <f t="shared" si="8"/>
        <v>0</v>
      </c>
      <c r="G113" s="26">
        <f t="shared" ca="1" si="6"/>
        <v>0</v>
      </c>
      <c r="H113" s="60">
        <f>A113-1-Collar!$C$13</f>
        <v>3221</v>
      </c>
      <c r="I113" s="24">
        <f t="shared" si="7"/>
        <v>4.9678618436361802E-2</v>
      </c>
      <c r="J113" s="25">
        <f t="shared" ca="1" si="9"/>
        <v>0.64681181006336563</v>
      </c>
      <c r="K113" s="200"/>
      <c r="L113" s="23"/>
      <c r="M113" s="23"/>
      <c r="N113" s="57"/>
      <c r="O113" s="57"/>
      <c r="P113" s="61"/>
      <c r="Q113" s="24"/>
      <c r="S113" s="25"/>
      <c r="T113" s="62"/>
      <c r="U113" s="27"/>
      <c r="V113" s="64"/>
      <c r="W113" s="170"/>
      <c r="X113" s="170"/>
      <c r="Y113" s="170"/>
      <c r="AA113" s="183"/>
      <c r="AB113" s="183"/>
      <c r="AC113" s="184"/>
      <c r="AD113" s="185"/>
      <c r="AE113" s="186"/>
      <c r="AF113" s="187"/>
      <c r="AG113" s="188"/>
      <c r="AH113" s="189"/>
      <c r="AI113" s="27"/>
      <c r="AJ113" s="28"/>
      <c r="AP113" s="26"/>
      <c r="AQ113" s="26"/>
      <c r="AR113" s="26"/>
      <c r="AS113" s="27"/>
      <c r="AT113" s="27"/>
      <c r="AU113" s="27"/>
      <c r="AV113" s="27"/>
      <c r="AW113" s="27"/>
      <c r="AY113" s="189"/>
      <c r="AZ113" s="189"/>
      <c r="BA113" s="205"/>
      <c r="BC113" s="189"/>
      <c r="BE113" s="57"/>
    </row>
    <row r="114" spans="1:57">
      <c r="A114" s="19">
        <f>[1]!_xludf.edate(A113,1)</f>
        <v>40452</v>
      </c>
      <c r="B114" s="21">
        <f t="shared" si="10"/>
        <v>31</v>
      </c>
      <c r="C114" s="20">
        <f>IF(Control!$C$10="Physical",Model!A115+24,Model!A115)</f>
        <v>40483</v>
      </c>
      <c r="E114" s="22">
        <f>IF($A114&lt;Collar!$C$9,IF(Collar!$F$26="Flat",Collar!$C$10,VLOOKUP(Model!$A114,Collar!$B$31:$D$184,3)),0)</f>
        <v>0</v>
      </c>
      <c r="F114" s="22">
        <f t="shared" si="8"/>
        <v>0</v>
      </c>
      <c r="G114" s="26">
        <f t="shared" ca="1" si="6"/>
        <v>0</v>
      </c>
      <c r="H114" s="60">
        <f>A114-1-Collar!$C$13</f>
        <v>3251</v>
      </c>
      <c r="I114" s="24">
        <f t="shared" si="7"/>
        <v>4.9782144293567802E-2</v>
      </c>
      <c r="J114" s="25">
        <f t="shared" ca="1" si="9"/>
        <v>0.64354055458064707</v>
      </c>
      <c r="K114" s="200"/>
      <c r="L114" s="23"/>
      <c r="M114" s="23"/>
      <c r="N114" s="57"/>
      <c r="O114" s="57"/>
      <c r="P114" s="61"/>
      <c r="Q114" s="24"/>
      <c r="S114" s="25"/>
      <c r="T114" s="62"/>
      <c r="U114" s="27"/>
      <c r="V114" s="64"/>
      <c r="W114" s="170"/>
      <c r="X114" s="170"/>
      <c r="Y114" s="170"/>
      <c r="AA114" s="183"/>
      <c r="AB114" s="183"/>
      <c r="AC114" s="184"/>
      <c r="AD114" s="185"/>
      <c r="AE114" s="186"/>
      <c r="AF114" s="187"/>
      <c r="AG114" s="188"/>
      <c r="AH114" s="189"/>
      <c r="AI114" s="27"/>
      <c r="AJ114" s="28"/>
      <c r="AP114" s="26"/>
      <c r="AQ114" s="26"/>
      <c r="AR114" s="26"/>
      <c r="AS114" s="27"/>
      <c r="AT114" s="27"/>
      <c r="AU114" s="27"/>
      <c r="AV114" s="27"/>
      <c r="AW114" s="27"/>
      <c r="AY114" s="189"/>
      <c r="AZ114" s="189"/>
      <c r="BA114" s="205"/>
      <c r="BC114" s="189"/>
      <c r="BE114" s="57"/>
    </row>
    <row r="115" spans="1:57">
      <c r="A115" s="19">
        <f>[1]!_xludf.edate(A114,1)</f>
        <v>40483</v>
      </c>
      <c r="B115" s="21">
        <f t="shared" si="10"/>
        <v>30</v>
      </c>
      <c r="C115" s="20">
        <f>IF(Control!$C$10="Physical",Model!A116+24,Model!A116)</f>
        <v>40513</v>
      </c>
      <c r="E115" s="22">
        <f>IF($A115&lt;Collar!$C$9,IF(Collar!$F$26="Flat",Collar!$C$10,VLOOKUP(Model!$A115,Collar!$B$31:$D$184,3)),0)</f>
        <v>0</v>
      </c>
      <c r="F115" s="22">
        <f t="shared" si="8"/>
        <v>0</v>
      </c>
      <c r="G115" s="26">
        <f t="shared" ca="1" si="6"/>
        <v>0</v>
      </c>
      <c r="H115" s="60">
        <f>A115-1-Collar!$C$13</f>
        <v>3282</v>
      </c>
      <c r="I115" s="24">
        <f t="shared" si="7"/>
        <v>4.9882330610401003E-2</v>
      </c>
      <c r="J115" s="25">
        <f t="shared" ca="1" si="9"/>
        <v>0.64038014994965087</v>
      </c>
      <c r="K115" s="200"/>
      <c r="L115" s="23"/>
      <c r="M115" s="23"/>
      <c r="N115" s="57"/>
      <c r="O115" s="57"/>
      <c r="P115" s="61"/>
      <c r="Q115" s="24"/>
      <c r="S115" s="25"/>
      <c r="T115" s="62"/>
      <c r="U115" s="27"/>
      <c r="V115" s="64"/>
      <c r="W115" s="170"/>
      <c r="X115" s="170"/>
      <c r="Y115" s="170"/>
      <c r="AA115" s="183"/>
      <c r="AB115" s="183"/>
      <c r="AC115" s="184"/>
      <c r="AD115" s="185"/>
      <c r="AE115" s="186"/>
      <c r="AF115" s="187"/>
      <c r="AG115" s="188"/>
      <c r="AH115" s="189"/>
      <c r="AI115" s="27"/>
      <c r="AJ115" s="28"/>
      <c r="AP115" s="26"/>
      <c r="AQ115" s="26"/>
      <c r="AR115" s="26"/>
      <c r="AS115" s="27"/>
      <c r="AT115" s="27"/>
      <c r="AU115" s="27"/>
      <c r="AV115" s="27"/>
      <c r="AW115" s="27"/>
      <c r="AY115" s="189"/>
      <c r="AZ115" s="189"/>
      <c r="BA115" s="205"/>
      <c r="BC115" s="189"/>
      <c r="BE115" s="57"/>
    </row>
    <row r="116" spans="1:57">
      <c r="A116" s="19">
        <f>[1]!_xludf.edate(A115,1)</f>
        <v>40513</v>
      </c>
      <c r="B116" s="21">
        <f t="shared" si="10"/>
        <v>31</v>
      </c>
      <c r="C116" s="20">
        <f>IF(Control!$C$10="Physical",Model!A117+24,Model!A117)</f>
        <v>40544</v>
      </c>
      <c r="E116" s="22">
        <f>IF($A116&lt;Collar!$C$9,IF(Collar!$F$26="Flat",Collar!$C$10,VLOOKUP(Model!$A116,Collar!$B$31:$D$184,3)),0)</f>
        <v>0</v>
      </c>
      <c r="F116" s="22">
        <f t="shared" si="8"/>
        <v>0</v>
      </c>
      <c r="G116" s="26">
        <f t="shared" ca="1" si="6"/>
        <v>0</v>
      </c>
      <c r="H116" s="60">
        <f>A116-1-Collar!$C$13</f>
        <v>3312</v>
      </c>
      <c r="I116" s="24">
        <f t="shared" si="7"/>
        <v>4.9985856474648899E-2</v>
      </c>
      <c r="J116" s="25">
        <f t="shared" ca="1" si="9"/>
        <v>0.63711998413748816</v>
      </c>
      <c r="K116" s="200"/>
      <c r="L116" s="23"/>
      <c r="M116" s="23"/>
      <c r="N116" s="57"/>
      <c r="O116" s="57"/>
      <c r="P116" s="61"/>
      <c r="Q116" s="24"/>
      <c r="S116" s="25"/>
      <c r="T116" s="62"/>
      <c r="U116" s="27"/>
      <c r="V116" s="64"/>
      <c r="W116" s="170"/>
      <c r="X116" s="170"/>
      <c r="Y116" s="170"/>
      <c r="AA116" s="183"/>
      <c r="AB116" s="183"/>
      <c r="AC116" s="184"/>
      <c r="AD116" s="185"/>
      <c r="AE116" s="186"/>
      <c r="AF116" s="187"/>
      <c r="AG116" s="188"/>
      <c r="AH116" s="189"/>
      <c r="AI116" s="27"/>
      <c r="AJ116" s="28"/>
      <c r="AP116" s="26"/>
      <c r="AQ116" s="26"/>
      <c r="AR116" s="26"/>
      <c r="AS116" s="27"/>
      <c r="AT116" s="27"/>
      <c r="AU116" s="27"/>
      <c r="AV116" s="27"/>
      <c r="AW116" s="27"/>
      <c r="AY116" s="189"/>
      <c r="AZ116" s="189"/>
      <c r="BA116" s="205"/>
      <c r="BC116" s="189"/>
      <c r="BE116" s="57"/>
    </row>
    <row r="117" spans="1:57">
      <c r="A117" s="19">
        <f>[1]!_xludf.edate(A116,1)</f>
        <v>40544</v>
      </c>
      <c r="B117" s="21">
        <f t="shared" si="10"/>
        <v>31</v>
      </c>
      <c r="C117" s="20">
        <f>IF(Control!$C$10="Physical",Model!A118+24,Model!A118)</f>
        <v>40575</v>
      </c>
      <c r="E117" s="22">
        <f>IF($A117&lt;Collar!$C$9,IF(Collar!$F$26="Flat",Collar!$C$10,VLOOKUP(Model!$A117,Collar!$B$31:$D$184,3)),0)</f>
        <v>0</v>
      </c>
      <c r="F117" s="22">
        <f t="shared" si="8"/>
        <v>0</v>
      </c>
      <c r="G117" s="26">
        <f t="shared" ca="1" si="6"/>
        <v>0</v>
      </c>
      <c r="H117" s="60">
        <f>A117-1-Collar!$C$13</f>
        <v>3343</v>
      </c>
      <c r="I117" s="24">
        <f t="shared" si="7"/>
        <v>5.0089382342475702E-2</v>
      </c>
      <c r="J117" s="25">
        <f t="shared" ca="1" si="9"/>
        <v>0.63386557776431629</v>
      </c>
      <c r="K117" s="200"/>
      <c r="L117" s="23"/>
      <c r="M117" s="23"/>
      <c r="N117" s="57"/>
      <c r="O117" s="57"/>
      <c r="P117" s="61"/>
      <c r="Q117" s="24"/>
      <c r="S117" s="25"/>
      <c r="T117" s="62"/>
      <c r="U117" s="27"/>
      <c r="V117" s="64"/>
      <c r="W117" s="170"/>
      <c r="X117" s="170"/>
      <c r="Y117" s="170"/>
      <c r="AA117" s="183"/>
      <c r="AB117" s="183"/>
      <c r="AC117" s="184"/>
      <c r="AD117" s="185"/>
      <c r="AE117" s="186"/>
      <c r="AF117" s="187"/>
      <c r="AG117" s="188"/>
      <c r="AH117" s="189"/>
      <c r="AI117" s="27"/>
      <c r="AJ117" s="28"/>
      <c r="AP117" s="26"/>
      <c r="AQ117" s="26"/>
      <c r="AR117" s="26"/>
      <c r="AS117" s="27"/>
      <c r="AT117" s="27"/>
      <c r="AU117" s="27"/>
      <c r="AV117" s="27"/>
      <c r="AW117" s="27"/>
      <c r="AY117" s="189"/>
      <c r="AZ117" s="189"/>
      <c r="BA117" s="205"/>
      <c r="BC117" s="189"/>
      <c r="BE117" s="57"/>
    </row>
    <row r="118" spans="1:57">
      <c r="A118" s="19">
        <f>[1]!_xludf.edate(A117,1)</f>
        <v>40575</v>
      </c>
      <c r="B118" s="21">
        <f t="shared" si="10"/>
        <v>28</v>
      </c>
      <c r="C118" s="20">
        <f>IF(Control!$C$10="Physical",Model!A119+24,Model!A119)</f>
        <v>40603</v>
      </c>
      <c r="E118" s="22">
        <f>IF($A118&lt;Collar!$C$9,IF(Collar!$F$26="Flat",Collar!$C$10,VLOOKUP(Model!$A118,Collar!$B$31:$D$184,3)),0)</f>
        <v>0</v>
      </c>
      <c r="F118" s="22">
        <f t="shared" si="8"/>
        <v>0</v>
      </c>
      <c r="G118" s="26">
        <f t="shared" ca="1" si="6"/>
        <v>0</v>
      </c>
      <c r="H118" s="60">
        <f>A118-1-Collar!$C$13</f>
        <v>3374</v>
      </c>
      <c r="I118" s="24">
        <f t="shared" si="7"/>
        <v>5.0182889581007903E-2</v>
      </c>
      <c r="J118" s="25">
        <f t="shared" ca="1" si="9"/>
        <v>0.6309311328584184</v>
      </c>
      <c r="K118" s="200"/>
      <c r="L118" s="23"/>
      <c r="M118" s="23"/>
      <c r="N118" s="57"/>
      <c r="O118" s="57"/>
      <c r="P118" s="61"/>
      <c r="Q118" s="24"/>
      <c r="S118" s="25"/>
      <c r="T118" s="62"/>
      <c r="U118" s="27"/>
      <c r="V118" s="64"/>
      <c r="W118" s="170"/>
      <c r="X118" s="170"/>
      <c r="Y118" s="170"/>
      <c r="AA118" s="183"/>
      <c r="AB118" s="183"/>
      <c r="AC118" s="184"/>
      <c r="AD118" s="185"/>
      <c r="AE118" s="186"/>
      <c r="AF118" s="187"/>
      <c r="AG118" s="188"/>
      <c r="AH118" s="189"/>
      <c r="AI118" s="27"/>
      <c r="AJ118" s="28"/>
      <c r="AP118" s="26"/>
      <c r="AQ118" s="26"/>
      <c r="AR118" s="26"/>
      <c r="AS118" s="27"/>
      <c r="AT118" s="27"/>
      <c r="AU118" s="27"/>
      <c r="AV118" s="27"/>
      <c r="AW118" s="27"/>
      <c r="AY118" s="189"/>
      <c r="AZ118" s="189"/>
      <c r="BA118" s="205"/>
      <c r="BC118" s="189"/>
      <c r="BE118" s="57"/>
    </row>
    <row r="119" spans="1:57">
      <c r="A119" s="19">
        <f>[1]!_xludf.edate(A118,1)</f>
        <v>40603</v>
      </c>
      <c r="B119" s="21">
        <f t="shared" si="10"/>
        <v>31</v>
      </c>
      <c r="C119" s="20">
        <f>IF(Control!$C$10="Physical",Model!A120+24,Model!A120)</f>
        <v>40634</v>
      </c>
      <c r="E119" s="22">
        <f>IF($A119&lt;Collar!$C$9,IF(Collar!$F$26="Flat",Collar!$C$10,VLOOKUP(Model!$A119,Collar!$B$31:$D$184,3)),0)</f>
        <v>0</v>
      </c>
      <c r="F119" s="22">
        <f t="shared" si="8"/>
        <v>0</v>
      </c>
      <c r="G119" s="26">
        <f t="shared" ca="1" si="6"/>
        <v>0</v>
      </c>
      <c r="H119" s="60">
        <f>A119-1-Collar!$C$13</f>
        <v>3402</v>
      </c>
      <c r="I119" s="24">
        <f t="shared" si="7"/>
        <v>5.0286415455644801E-2</v>
      </c>
      <c r="J119" s="25">
        <f t="shared" ca="1" si="9"/>
        <v>0.62768791503780141</v>
      </c>
      <c r="K119" s="200"/>
      <c r="L119" s="23"/>
      <c r="M119" s="23"/>
      <c r="N119" s="57"/>
      <c r="O119" s="57"/>
      <c r="P119" s="61"/>
      <c r="Q119" s="24"/>
      <c r="S119" s="25"/>
      <c r="T119" s="62"/>
      <c r="U119" s="27"/>
      <c r="V119" s="64"/>
      <c r="W119" s="170"/>
      <c r="X119" s="170"/>
      <c r="Y119" s="170"/>
      <c r="AA119" s="183"/>
      <c r="AB119" s="183"/>
      <c r="AC119" s="184"/>
      <c r="AD119" s="185"/>
      <c r="AE119" s="186"/>
      <c r="AF119" s="187"/>
      <c r="AG119" s="188"/>
      <c r="AH119" s="189"/>
      <c r="AI119" s="27"/>
      <c r="AJ119" s="28"/>
      <c r="AP119" s="26"/>
      <c r="AQ119" s="26"/>
      <c r="AR119" s="26"/>
      <c r="AS119" s="27"/>
      <c r="AT119" s="27"/>
      <c r="AU119" s="27"/>
      <c r="AV119" s="27"/>
      <c r="AW119" s="27"/>
      <c r="AY119" s="189"/>
      <c r="AZ119" s="189"/>
      <c r="BA119" s="205"/>
      <c r="BC119" s="189"/>
      <c r="BE119" s="57"/>
    </row>
    <row r="120" spans="1:57">
      <c r="A120" s="19">
        <f>[1]!_xludf.edate(A119,1)</f>
        <v>40634</v>
      </c>
      <c r="B120" s="21">
        <f t="shared" si="10"/>
        <v>30</v>
      </c>
      <c r="C120" s="20">
        <f>IF(Control!$C$10="Physical",Model!A121+24,Model!A121)</f>
        <v>40664</v>
      </c>
      <c r="E120" s="22">
        <f>IF($A120&lt;Collar!$C$9,IF(Collar!$F$26="Flat",Collar!$C$10,VLOOKUP(Model!$A120,Collar!$B$31:$D$184,3)),0)</f>
        <v>0</v>
      </c>
      <c r="F120" s="22">
        <f t="shared" si="8"/>
        <v>0</v>
      </c>
      <c r="G120" s="26">
        <f t="shared" ca="1" si="6"/>
        <v>0</v>
      </c>
      <c r="H120" s="60">
        <f>A120-1-Collar!$C$13</f>
        <v>3433</v>
      </c>
      <c r="I120" s="24">
        <f t="shared" si="7"/>
        <v>5.0386601789345099E-2</v>
      </c>
      <c r="J120" s="25">
        <f t="shared" ca="1" si="9"/>
        <v>0.62455502592016221</v>
      </c>
      <c r="K120" s="200"/>
      <c r="L120" s="23"/>
      <c r="M120" s="23"/>
      <c r="N120" s="57"/>
      <c r="O120" s="57"/>
      <c r="P120" s="61"/>
      <c r="Q120" s="24"/>
      <c r="S120" s="25"/>
      <c r="T120" s="62"/>
      <c r="U120" s="27"/>
      <c r="V120" s="64"/>
      <c r="W120" s="170"/>
      <c r="X120" s="170"/>
      <c r="Y120" s="170"/>
      <c r="AA120" s="183"/>
      <c r="AB120" s="183"/>
      <c r="AC120" s="184"/>
      <c r="AD120" s="185"/>
      <c r="AE120" s="186"/>
      <c r="AF120" s="187"/>
      <c r="AG120" s="188"/>
      <c r="AH120" s="189"/>
      <c r="AI120" s="27"/>
      <c r="AJ120" s="28"/>
      <c r="AP120" s="26"/>
      <c r="AQ120" s="26"/>
      <c r="AR120" s="26"/>
      <c r="AS120" s="27"/>
      <c r="AT120" s="27"/>
      <c r="AU120" s="27"/>
      <c r="AV120" s="27"/>
      <c r="AW120" s="27"/>
      <c r="AY120" s="189"/>
      <c r="AZ120" s="189"/>
      <c r="BA120" s="205"/>
      <c r="BC120" s="189"/>
      <c r="BE120" s="57"/>
    </row>
    <row r="121" spans="1:57">
      <c r="A121" s="19">
        <f>[1]!_xludf.edate(A120,1)</f>
        <v>40664</v>
      </c>
      <c r="B121" s="21">
        <f t="shared" si="10"/>
        <v>31</v>
      </c>
      <c r="C121" s="20">
        <f>IF(Control!$C$10="Physical",Model!A122+24,Model!A122)</f>
        <v>40695</v>
      </c>
      <c r="E121" s="22">
        <f>IF($A121&lt;Collar!$C$9,IF(Collar!$F$26="Flat",Collar!$C$10,VLOOKUP(Model!$A121,Collar!$B$31:$D$184,3)),0)</f>
        <v>0</v>
      </c>
      <c r="F121" s="22">
        <f t="shared" si="8"/>
        <v>0</v>
      </c>
      <c r="G121" s="26">
        <f t="shared" ca="1" si="6"/>
        <v>0</v>
      </c>
      <c r="H121" s="60">
        <f>A121-1-Collar!$C$13</f>
        <v>3463</v>
      </c>
      <c r="I121" s="24">
        <f t="shared" si="7"/>
        <v>5.0490127671022601E-2</v>
      </c>
      <c r="J121" s="25">
        <f t="shared" ca="1" si="9"/>
        <v>0.62132368436514185</v>
      </c>
      <c r="K121" s="200"/>
      <c r="L121" s="23"/>
      <c r="M121" s="23"/>
      <c r="N121" s="57"/>
      <c r="O121" s="57"/>
      <c r="P121" s="61"/>
      <c r="Q121" s="24"/>
      <c r="S121" s="25"/>
      <c r="T121" s="62"/>
      <c r="U121" s="27"/>
      <c r="V121" s="64"/>
      <c r="W121" s="170"/>
      <c r="X121" s="170"/>
      <c r="Y121" s="170"/>
      <c r="AA121" s="183"/>
      <c r="AB121" s="183"/>
      <c r="AC121" s="184"/>
      <c r="AD121" s="185"/>
      <c r="AE121" s="186"/>
      <c r="AF121" s="187"/>
      <c r="AG121" s="188"/>
      <c r="AH121" s="189"/>
      <c r="AI121" s="27"/>
      <c r="AJ121" s="28"/>
      <c r="AP121" s="26"/>
      <c r="AQ121" s="26"/>
      <c r="AR121" s="26"/>
      <c r="AS121" s="27"/>
      <c r="AT121" s="27"/>
      <c r="AU121" s="27"/>
      <c r="AV121" s="27"/>
      <c r="AW121" s="27"/>
      <c r="AY121" s="189"/>
      <c r="AZ121" s="189"/>
      <c r="BA121" s="205"/>
      <c r="BC121" s="189"/>
      <c r="BE121" s="57"/>
    </row>
    <row r="122" spans="1:57">
      <c r="A122" s="19">
        <f>[1]!_xludf.edate(A121,1)</f>
        <v>40695</v>
      </c>
      <c r="B122" s="21">
        <f t="shared" si="10"/>
        <v>30</v>
      </c>
      <c r="C122" s="20">
        <f>IF(Control!$C$10="Physical",Model!A123+24,Model!A123)</f>
        <v>40725</v>
      </c>
      <c r="E122" s="22">
        <f>IF($A122&lt;Collar!$C$9,IF(Collar!$F$26="Flat",Collar!$C$10,VLOOKUP(Model!$A122,Collar!$B$31:$D$184,3)),0)</f>
        <v>0</v>
      </c>
      <c r="F122" s="22">
        <f t="shared" si="8"/>
        <v>0</v>
      </c>
      <c r="G122" s="26">
        <f t="shared" ca="1" si="6"/>
        <v>0</v>
      </c>
      <c r="H122" s="60">
        <f>A122-1-Collar!$C$13</f>
        <v>3494</v>
      </c>
      <c r="I122" s="24">
        <f t="shared" si="7"/>
        <v>5.0590314011535603E-2</v>
      </c>
      <c r="J122" s="25">
        <f t="shared" ca="1" si="9"/>
        <v>0.61820243813676679</v>
      </c>
      <c r="K122" s="200"/>
      <c r="L122" s="23"/>
      <c r="M122" s="23"/>
      <c r="N122" s="57"/>
      <c r="O122" s="57"/>
      <c r="P122" s="61"/>
      <c r="Q122" s="24"/>
      <c r="S122" s="25"/>
      <c r="T122" s="62"/>
      <c r="U122" s="27"/>
      <c r="V122" s="64"/>
      <c r="W122" s="170"/>
      <c r="X122" s="170"/>
      <c r="Y122" s="170"/>
      <c r="AA122" s="183"/>
      <c r="AB122" s="183"/>
      <c r="AC122" s="184"/>
      <c r="AD122" s="185"/>
      <c r="AE122" s="186"/>
      <c r="AF122" s="187"/>
      <c r="AG122" s="188"/>
      <c r="AH122" s="189"/>
      <c r="AI122" s="27"/>
      <c r="AJ122" s="28"/>
      <c r="AP122" s="26"/>
      <c r="AQ122" s="26"/>
      <c r="AR122" s="26"/>
      <c r="AS122" s="27"/>
      <c r="AT122" s="27"/>
      <c r="AU122" s="27"/>
      <c r="AV122" s="27"/>
      <c r="AW122" s="27"/>
      <c r="AY122" s="189"/>
      <c r="AZ122" s="189"/>
      <c r="BA122" s="205"/>
      <c r="BC122" s="189"/>
      <c r="BE122" s="57"/>
    </row>
    <row r="123" spans="1:57">
      <c r="A123" s="19">
        <f>[1]!_xludf.edate(A122,1)</f>
        <v>40725</v>
      </c>
      <c r="B123" s="21">
        <f t="shared" si="10"/>
        <v>31</v>
      </c>
      <c r="C123" s="20">
        <f>IF(Control!$C$10="Physical",Model!A124+24,Model!A124)</f>
        <v>40756</v>
      </c>
      <c r="E123" s="22">
        <f>IF($A123&lt;Collar!$C$9,IF(Collar!$F$26="Flat",Collar!$C$10,VLOOKUP(Model!$A123,Collar!$B$31:$D$184,3)),0)</f>
        <v>0</v>
      </c>
      <c r="F123" s="22">
        <f t="shared" si="8"/>
        <v>0</v>
      </c>
      <c r="G123" s="26">
        <f t="shared" ca="1" si="6"/>
        <v>0</v>
      </c>
      <c r="H123" s="60">
        <f>A123-1-Collar!$C$13</f>
        <v>3524</v>
      </c>
      <c r="I123" s="24">
        <f t="shared" si="7"/>
        <v>5.0693839900252301E-2</v>
      </c>
      <c r="J123" s="25">
        <f t="shared" ca="1" si="9"/>
        <v>0.61498328087235765</v>
      </c>
      <c r="K123" s="200"/>
      <c r="L123" s="23"/>
      <c r="M123" s="23"/>
      <c r="N123" s="57"/>
      <c r="O123" s="57"/>
      <c r="P123" s="61"/>
      <c r="Q123" s="24"/>
      <c r="S123" s="25"/>
      <c r="T123" s="62"/>
      <c r="U123" s="27"/>
      <c r="V123" s="64"/>
      <c r="W123" s="170"/>
      <c r="X123" s="170"/>
      <c r="Y123" s="170"/>
      <c r="AA123" s="183"/>
      <c r="AB123" s="183"/>
      <c r="AC123" s="184"/>
      <c r="AD123" s="185"/>
      <c r="AE123" s="186"/>
      <c r="AF123" s="187"/>
      <c r="AG123" s="188"/>
      <c r="AH123" s="189"/>
      <c r="AI123" s="27"/>
      <c r="AJ123" s="28"/>
      <c r="AP123" s="26"/>
      <c r="AQ123" s="26"/>
      <c r="AR123" s="26"/>
      <c r="AS123" s="27"/>
      <c r="AT123" s="27"/>
      <c r="AU123" s="27"/>
      <c r="AV123" s="27"/>
      <c r="AW123" s="27"/>
      <c r="AY123" s="189"/>
      <c r="AZ123" s="189"/>
      <c r="BA123" s="205"/>
      <c r="BC123" s="189"/>
      <c r="BE123" s="57"/>
    </row>
    <row r="124" spans="1:57">
      <c r="A124" s="19">
        <f>[1]!_xludf.edate(A123,1)</f>
        <v>40756</v>
      </c>
      <c r="B124" s="21">
        <f t="shared" si="10"/>
        <v>31</v>
      </c>
      <c r="C124" s="20">
        <f>IF(Control!$C$10="Physical",Model!A125+24,Model!A125)</f>
        <v>40787</v>
      </c>
      <c r="E124" s="22">
        <f>IF($A124&lt;Collar!$C$9,IF(Collar!$F$26="Flat",Collar!$C$10,VLOOKUP(Model!$A124,Collar!$B$31:$D$184,3)),0)</f>
        <v>0</v>
      </c>
      <c r="F124" s="22">
        <f t="shared" si="8"/>
        <v>0</v>
      </c>
      <c r="G124" s="26">
        <f t="shared" ca="1" si="6"/>
        <v>0</v>
      </c>
      <c r="H124" s="60">
        <f>A124-1-Collar!$C$13</f>
        <v>3555</v>
      </c>
      <c r="I124" s="24">
        <f t="shared" si="7"/>
        <v>5.0797365792546199E-2</v>
      </c>
      <c r="J124" s="25">
        <f t="shared" ca="1" si="9"/>
        <v>0.61177043186269942</v>
      </c>
      <c r="K124" s="200"/>
      <c r="L124" s="23"/>
      <c r="M124" s="23"/>
      <c r="N124" s="57"/>
      <c r="O124" s="57"/>
      <c r="P124" s="61"/>
      <c r="Q124" s="24"/>
      <c r="S124" s="25"/>
      <c r="T124" s="62"/>
      <c r="U124" s="27"/>
      <c r="V124" s="64"/>
      <c r="W124" s="170"/>
      <c r="X124" s="170"/>
      <c r="Y124" s="170"/>
      <c r="AA124" s="183"/>
      <c r="AB124" s="183"/>
      <c r="AC124" s="184"/>
      <c r="AD124" s="185"/>
      <c r="AE124" s="186"/>
      <c r="AF124" s="187"/>
      <c r="AG124" s="188"/>
      <c r="AH124" s="189"/>
      <c r="AI124" s="27"/>
      <c r="AJ124" s="28"/>
      <c r="AP124" s="26"/>
      <c r="AQ124" s="26"/>
      <c r="AR124" s="26"/>
      <c r="AS124" s="27"/>
      <c r="AT124" s="27"/>
      <c r="AU124" s="27"/>
      <c r="AV124" s="27"/>
      <c r="AW124" s="27"/>
      <c r="AY124" s="189"/>
      <c r="AZ124" s="189"/>
      <c r="BA124" s="205"/>
      <c r="BC124" s="189"/>
      <c r="BE124" s="57"/>
    </row>
    <row r="125" spans="1:57">
      <c r="A125" s="19">
        <f>[1]!_xludf.edate(A124,1)</f>
        <v>40787</v>
      </c>
      <c r="B125" s="21">
        <f t="shared" si="10"/>
        <v>30</v>
      </c>
      <c r="C125" s="20">
        <f>IF(Control!$C$10="Physical",Model!A126+24,Model!A126)</f>
        <v>40817</v>
      </c>
      <c r="E125" s="22">
        <f>IF($A125&lt;Collar!$C$9,IF(Collar!$F$26="Flat",Collar!$C$10,VLOOKUP(Model!$A125,Collar!$B$31:$D$184,3)),0)</f>
        <v>0</v>
      </c>
      <c r="F125" s="22">
        <f t="shared" si="8"/>
        <v>0</v>
      </c>
      <c r="G125" s="26">
        <f t="shared" ca="1" si="6"/>
        <v>0</v>
      </c>
      <c r="H125" s="60">
        <f>A125-1-Collar!$C$13</f>
        <v>3586</v>
      </c>
      <c r="I125" s="24">
        <f t="shared" si="7"/>
        <v>5.0897552143333698E-2</v>
      </c>
      <c r="J125" s="25">
        <f t="shared" ca="1" si="9"/>
        <v>0.6086673023064656</v>
      </c>
      <c r="K125" s="200"/>
      <c r="L125" s="23"/>
      <c r="M125" s="23"/>
      <c r="N125" s="57"/>
      <c r="O125" s="57"/>
      <c r="P125" s="61"/>
      <c r="Q125" s="24"/>
      <c r="S125" s="25"/>
      <c r="T125" s="62"/>
      <c r="U125" s="27"/>
      <c r="V125" s="64"/>
      <c r="W125" s="170"/>
      <c r="X125" s="170"/>
      <c r="Y125" s="170"/>
      <c r="AA125" s="183"/>
      <c r="AB125" s="183"/>
      <c r="AC125" s="184"/>
      <c r="AD125" s="185"/>
      <c r="AE125" s="186"/>
      <c r="AF125" s="187"/>
      <c r="AG125" s="188"/>
      <c r="AH125" s="189"/>
      <c r="AI125" s="27"/>
      <c r="AJ125" s="28"/>
      <c r="AP125" s="26"/>
      <c r="AQ125" s="26"/>
      <c r="AR125" s="26"/>
      <c r="AS125" s="27"/>
      <c r="AT125" s="27"/>
      <c r="AU125" s="27"/>
      <c r="AV125" s="27"/>
      <c r="AW125" s="27"/>
      <c r="AY125" s="189"/>
      <c r="AZ125" s="189"/>
      <c r="BA125" s="205"/>
      <c r="BC125" s="189"/>
      <c r="BE125" s="57"/>
    </row>
    <row r="126" spans="1:57">
      <c r="A126" s="19">
        <f>[1]!_xludf.edate(A125,1)</f>
        <v>40817</v>
      </c>
      <c r="B126" s="21">
        <f t="shared" si="10"/>
        <v>31</v>
      </c>
      <c r="C126" s="20">
        <f>IF(Control!$C$10="Physical",Model!A127+24,Model!A127)</f>
        <v>40848</v>
      </c>
      <c r="E126" s="22">
        <f>IF($A126&lt;Collar!$C$9,IF(Collar!$F$26="Flat",Collar!$C$10,VLOOKUP(Model!$A126,Collar!$B$31:$D$184,3)),0)</f>
        <v>0</v>
      </c>
      <c r="F126" s="22">
        <f t="shared" si="8"/>
        <v>0</v>
      </c>
      <c r="G126" s="26">
        <f t="shared" ca="1" si="6"/>
        <v>0</v>
      </c>
      <c r="H126" s="60">
        <f>A126-1-Collar!$C$13</f>
        <v>3616</v>
      </c>
      <c r="I126" s="24">
        <f t="shared" si="7"/>
        <v>5.1001078042666001E-2</v>
      </c>
      <c r="J126" s="25">
        <f t="shared" ca="1" si="9"/>
        <v>0.60546709147470601</v>
      </c>
      <c r="K126" s="200"/>
      <c r="L126" s="23"/>
      <c r="M126" s="23"/>
      <c r="N126" s="57"/>
      <c r="O126" s="57"/>
      <c r="P126" s="61"/>
      <c r="Q126" s="24"/>
      <c r="S126" s="25"/>
      <c r="T126" s="62"/>
      <c r="U126" s="27"/>
      <c r="V126" s="64"/>
      <c r="W126" s="170"/>
      <c r="X126" s="170"/>
      <c r="Y126" s="170"/>
      <c r="AA126" s="183"/>
      <c r="AB126" s="183"/>
      <c r="AC126" s="184"/>
      <c r="AD126" s="185"/>
      <c r="AE126" s="186"/>
      <c r="AF126" s="187"/>
      <c r="AG126" s="188"/>
      <c r="AH126" s="189"/>
      <c r="AI126" s="27"/>
      <c r="AJ126" s="28"/>
      <c r="AP126" s="26"/>
      <c r="AQ126" s="26"/>
      <c r="AR126" s="26"/>
      <c r="AS126" s="27"/>
      <c r="AT126" s="27"/>
      <c r="AU126" s="27"/>
      <c r="AV126" s="27"/>
      <c r="AW126" s="27"/>
      <c r="AY126" s="189"/>
      <c r="AZ126" s="189"/>
      <c r="BA126" s="205"/>
      <c r="BC126" s="189"/>
      <c r="BE126" s="57"/>
    </row>
    <row r="127" spans="1:57">
      <c r="A127" s="19">
        <f>[1]!_xludf.edate(A126,1)</f>
        <v>40848</v>
      </c>
      <c r="B127" s="21">
        <f t="shared" si="10"/>
        <v>30</v>
      </c>
      <c r="C127" s="20">
        <f>IF(Control!$C$10="Physical",Model!A128+24,Model!A128)</f>
        <v>40878</v>
      </c>
      <c r="E127" s="22">
        <f>IF($A127&lt;Collar!$C$9,IF(Collar!$F$26="Flat",Collar!$C$10,VLOOKUP(Model!$A127,Collar!$B$31:$D$184,3)),0)</f>
        <v>0</v>
      </c>
      <c r="F127" s="22">
        <f t="shared" si="8"/>
        <v>0</v>
      </c>
      <c r="G127" s="26">
        <f t="shared" ca="1" si="6"/>
        <v>0</v>
      </c>
      <c r="H127" s="60">
        <f>A127-1-Collar!$C$13</f>
        <v>3647</v>
      </c>
      <c r="I127" s="24">
        <f t="shared" si="7"/>
        <v>5.1063651737569299E-2</v>
      </c>
      <c r="J127" s="25">
        <f t="shared" ca="1" si="9"/>
        <v>0.6025983012284627</v>
      </c>
      <c r="K127" s="200"/>
      <c r="L127" s="23"/>
      <c r="M127" s="23"/>
      <c r="N127" s="57"/>
      <c r="O127" s="57"/>
      <c r="P127" s="61"/>
      <c r="Q127" s="24"/>
      <c r="S127" s="25"/>
      <c r="T127" s="62"/>
      <c r="U127" s="27"/>
      <c r="V127" s="64"/>
      <c r="W127" s="170"/>
      <c r="X127" s="170"/>
      <c r="Y127" s="170"/>
      <c r="AA127" s="183"/>
      <c r="AB127" s="183"/>
      <c r="AC127" s="184"/>
      <c r="AD127" s="185"/>
      <c r="AE127" s="186"/>
      <c r="AF127" s="187"/>
      <c r="AG127" s="188"/>
      <c r="AH127" s="189"/>
      <c r="AI127" s="27"/>
      <c r="AJ127" s="28"/>
      <c r="AP127" s="26"/>
      <c r="AQ127" s="26"/>
      <c r="AR127" s="26"/>
      <c r="AS127" s="27"/>
      <c r="AT127" s="27"/>
      <c r="AU127" s="27"/>
      <c r="AV127" s="27"/>
      <c r="AW127" s="27"/>
      <c r="AY127" s="189"/>
      <c r="AZ127" s="189"/>
      <c r="BA127" s="205"/>
      <c r="BC127" s="189"/>
      <c r="BE127" s="57"/>
    </row>
    <row r="128" spans="1:57">
      <c r="A128" s="19">
        <f>[1]!_xludf.edate(A127,1)</f>
        <v>40878</v>
      </c>
      <c r="B128" s="21">
        <f t="shared" si="10"/>
        <v>31</v>
      </c>
      <c r="C128" s="20">
        <f>IF(Control!$C$10="Physical",Model!A129+24,Model!A129)</f>
        <v>40909</v>
      </c>
      <c r="E128" s="22">
        <f>IF($A128&lt;Collar!$C$9,IF(Collar!$F$26="Flat",Collar!$C$10,VLOOKUP(Model!$A128,Collar!$B$31:$D$184,3)),0)</f>
        <v>0</v>
      </c>
      <c r="F128" s="22">
        <f t="shared" si="8"/>
        <v>0</v>
      </c>
      <c r="G128" s="26">
        <f t="shared" ca="1" si="6"/>
        <v>0</v>
      </c>
      <c r="H128" s="60">
        <f>A128-1-Collar!$C$13</f>
        <v>3677</v>
      </c>
      <c r="I128" s="24">
        <f t="shared" si="7"/>
        <v>5.1118594619013802E-2</v>
      </c>
      <c r="J128" s="25">
        <f t="shared" ca="1" si="9"/>
        <v>0.59969941561151341</v>
      </c>
      <c r="K128" s="200"/>
      <c r="L128" s="23"/>
      <c r="M128" s="23"/>
      <c r="N128" s="57"/>
      <c r="O128" s="57"/>
      <c r="P128" s="61"/>
      <c r="Q128" s="24"/>
      <c r="S128" s="25"/>
      <c r="T128" s="62"/>
      <c r="U128" s="27"/>
      <c r="V128" s="64"/>
      <c r="W128" s="170"/>
      <c r="X128" s="170"/>
      <c r="Y128" s="170"/>
      <c r="AA128" s="183"/>
      <c r="AB128" s="183"/>
      <c r="AC128" s="184"/>
      <c r="AD128" s="185"/>
      <c r="AE128" s="186"/>
      <c r="AF128" s="187"/>
      <c r="AG128" s="188"/>
      <c r="AH128" s="189"/>
      <c r="AI128" s="27"/>
      <c r="AJ128" s="28"/>
      <c r="AP128" s="26"/>
      <c r="AQ128" s="26"/>
      <c r="AR128" s="26"/>
      <c r="AS128" s="27"/>
      <c r="AT128" s="27"/>
      <c r="AU128" s="27"/>
      <c r="AV128" s="27"/>
      <c r="AW128" s="27"/>
      <c r="AY128" s="189"/>
      <c r="AZ128" s="189"/>
      <c r="BA128" s="205"/>
      <c r="BC128" s="189"/>
      <c r="BE128" s="57"/>
    </row>
    <row r="129" spans="1:57">
      <c r="A129" s="19">
        <f>[1]!_xludf.edate(A128,1)</f>
        <v>40909</v>
      </c>
      <c r="B129" s="21">
        <f t="shared" si="10"/>
        <v>31</v>
      </c>
      <c r="C129" s="20">
        <f>IF(Control!$C$10="Physical",Model!A130+24,Model!A130)</f>
        <v>40940</v>
      </c>
      <c r="E129" s="22">
        <f>IF($A129&lt;Collar!$C$9,IF(Collar!$F$26="Flat",Collar!$C$10,VLOOKUP(Model!$A129,Collar!$B$31:$D$184,3)),0)</f>
        <v>0</v>
      </c>
      <c r="F129" s="22">
        <f t="shared" si="8"/>
        <v>0</v>
      </c>
      <c r="G129" s="26">
        <f t="shared" ca="1" si="6"/>
        <v>0</v>
      </c>
      <c r="H129" s="60">
        <f>A129-1-Collar!$C$13</f>
        <v>3708</v>
      </c>
      <c r="I129" s="24">
        <f t="shared" si="7"/>
        <v>5.1173537501465499E-2</v>
      </c>
      <c r="J129" s="25">
        <f t="shared" ca="1" si="9"/>
        <v>0.59680905679907026</v>
      </c>
      <c r="K129" s="200"/>
      <c r="L129" s="23"/>
      <c r="M129" s="23"/>
      <c r="N129" s="57"/>
      <c r="O129" s="57"/>
      <c r="P129" s="61"/>
      <c r="Q129" s="24"/>
      <c r="S129" s="25"/>
      <c r="T129" s="62"/>
      <c r="U129" s="27"/>
      <c r="V129" s="64"/>
      <c r="W129" s="170"/>
      <c r="X129" s="170"/>
      <c r="Y129" s="170"/>
      <c r="AA129" s="183"/>
      <c r="AB129" s="183"/>
      <c r="AC129" s="184"/>
      <c r="AD129" s="185"/>
      <c r="AE129" s="186"/>
      <c r="AF129" s="187"/>
      <c r="AG129" s="188"/>
      <c r="AH129" s="189"/>
      <c r="AI129" s="27"/>
      <c r="AJ129" s="28"/>
      <c r="AP129" s="26"/>
      <c r="AQ129" s="26"/>
      <c r="AR129" s="26"/>
      <c r="AS129" s="27"/>
      <c r="AT129" s="27"/>
      <c r="AU129" s="27"/>
      <c r="AV129" s="27"/>
      <c r="AW129" s="27"/>
      <c r="AY129" s="189"/>
      <c r="AZ129" s="189"/>
      <c r="BA129" s="205"/>
      <c r="BC129" s="189"/>
      <c r="BE129" s="57"/>
    </row>
    <row r="130" spans="1:57">
      <c r="A130" s="19">
        <f>[1]!_xludf.edate(A129,1)</f>
        <v>40940</v>
      </c>
      <c r="B130" s="21">
        <f t="shared" si="10"/>
        <v>29</v>
      </c>
      <c r="C130" s="20">
        <f>IF(Control!$C$10="Physical",Model!A131+24,Model!A131)</f>
        <v>40969</v>
      </c>
      <c r="E130" s="22">
        <f>IF($A130&lt;Collar!$C$9,IF(Collar!$F$26="Flat",Collar!$C$10,VLOOKUP(Model!$A130,Collar!$B$31:$D$184,3)),0)</f>
        <v>0</v>
      </c>
      <c r="F130" s="22">
        <f t="shared" si="8"/>
        <v>0</v>
      </c>
      <c r="G130" s="26">
        <f t="shared" ca="1" si="6"/>
        <v>0</v>
      </c>
      <c r="H130" s="60">
        <f>A130-1-Collar!$C$13</f>
        <v>3739</v>
      </c>
      <c r="I130" s="24">
        <f t="shared" si="7"/>
        <v>5.1224935682734798E-2</v>
      </c>
      <c r="J130" s="25">
        <f t="shared" ca="1" si="9"/>
        <v>0.59411290229675329</v>
      </c>
      <c r="K130" s="200"/>
      <c r="L130" s="23"/>
      <c r="M130" s="23"/>
      <c r="N130" s="57"/>
      <c r="O130" s="57"/>
      <c r="P130" s="61"/>
      <c r="Q130" s="24"/>
      <c r="S130" s="25"/>
      <c r="T130" s="62"/>
      <c r="U130" s="27"/>
      <c r="V130" s="64"/>
      <c r="W130" s="170"/>
      <c r="X130" s="170"/>
      <c r="Y130" s="170"/>
      <c r="AA130" s="183"/>
      <c r="AB130" s="183"/>
      <c r="AC130" s="184"/>
      <c r="AD130" s="185"/>
      <c r="AE130" s="186"/>
      <c r="AF130" s="187"/>
      <c r="AG130" s="188"/>
      <c r="AH130" s="189"/>
      <c r="AI130" s="27"/>
      <c r="AJ130" s="28"/>
      <c r="AP130" s="26"/>
      <c r="AQ130" s="26"/>
      <c r="AR130" s="26"/>
      <c r="AS130" s="27"/>
      <c r="AT130" s="27"/>
      <c r="AU130" s="27"/>
      <c r="AV130" s="27"/>
      <c r="AW130" s="27"/>
      <c r="AY130" s="189"/>
      <c r="AZ130" s="189"/>
      <c r="BA130" s="205"/>
      <c r="BC130" s="189"/>
      <c r="BE130" s="57"/>
    </row>
    <row r="131" spans="1:57">
      <c r="A131" s="19">
        <f>[1]!_xludf.edate(A130,1)</f>
        <v>40969</v>
      </c>
      <c r="B131" s="21">
        <f t="shared" si="10"/>
        <v>31</v>
      </c>
      <c r="C131" s="20">
        <f>IF(Control!$C$10="Physical",Model!A132+24,Model!A132)</f>
        <v>41000</v>
      </c>
      <c r="E131" s="22">
        <f>IF($A131&lt;Collar!$C$9,IF(Collar!$F$26="Flat",Collar!$C$10,VLOOKUP(Model!$A131,Collar!$B$31:$D$184,3)),0)</f>
        <v>0</v>
      </c>
      <c r="F131" s="22">
        <f t="shared" si="8"/>
        <v>0</v>
      </c>
      <c r="G131" s="26">
        <f t="shared" ca="1" si="6"/>
        <v>0</v>
      </c>
      <c r="H131" s="60">
        <f>A131-1-Collar!$C$13</f>
        <v>3768</v>
      </c>
      <c r="I131" s="24">
        <f t="shared" si="7"/>
        <v>5.1279878567135999E-2</v>
      </c>
      <c r="J131" s="25">
        <f t="shared" ca="1" si="9"/>
        <v>0.5912390793282335</v>
      </c>
      <c r="K131" s="200"/>
      <c r="L131" s="23"/>
      <c r="M131" s="23"/>
      <c r="N131" s="57"/>
      <c r="O131" s="57"/>
      <c r="P131" s="61"/>
      <c r="Q131" s="24"/>
      <c r="S131" s="25"/>
      <c r="T131" s="62"/>
      <c r="U131" s="27"/>
      <c r="V131" s="64"/>
      <c r="W131" s="170"/>
      <c r="X131" s="170"/>
      <c r="Y131" s="170"/>
      <c r="AA131" s="183"/>
      <c r="AB131" s="183"/>
      <c r="AC131" s="184"/>
      <c r="AD131" s="185"/>
      <c r="AE131" s="186"/>
      <c r="AF131" s="187"/>
      <c r="AG131" s="188"/>
      <c r="AH131" s="189"/>
      <c r="AI131" s="27"/>
      <c r="AJ131" s="28"/>
      <c r="AP131" s="26"/>
      <c r="AQ131" s="26"/>
      <c r="AR131" s="26"/>
      <c r="AS131" s="27"/>
      <c r="AT131" s="27"/>
      <c r="AU131" s="27"/>
      <c r="AV131" s="27"/>
      <c r="AW131" s="27"/>
      <c r="AY131" s="189"/>
      <c r="AZ131" s="189"/>
      <c r="BA131" s="205"/>
      <c r="BC131" s="189"/>
      <c r="BE131" s="57"/>
    </row>
    <row r="132" spans="1:57">
      <c r="A132" s="19">
        <f>[1]!_xludf.edate(A131,1)</f>
        <v>41000</v>
      </c>
      <c r="B132" s="21">
        <f t="shared" si="10"/>
        <v>30</v>
      </c>
      <c r="C132" s="20">
        <f>IF(Control!$C$10="Physical",Model!A133+24,Model!A133)</f>
        <v>41030</v>
      </c>
      <c r="E132" s="22">
        <f>IF($A132&lt;Collar!$C$9,IF(Collar!$F$26="Flat",Collar!$C$10,VLOOKUP(Model!$A132,Collar!$B$31:$D$184,3)),0)</f>
        <v>0</v>
      </c>
      <c r="F132" s="22">
        <f t="shared" si="8"/>
        <v>0</v>
      </c>
      <c r="G132" s="26">
        <f t="shared" ca="1" si="6"/>
        <v>0</v>
      </c>
      <c r="H132" s="60">
        <f>A132-1-Collar!$C$13</f>
        <v>3799</v>
      </c>
      <c r="I132" s="24">
        <f t="shared" si="7"/>
        <v>5.13330491013861E-2</v>
      </c>
      <c r="J132" s="25">
        <f t="shared" ca="1" si="9"/>
        <v>0.58846611016826122</v>
      </c>
      <c r="K132" s="200"/>
      <c r="L132" s="23"/>
      <c r="M132" s="23"/>
      <c r="N132" s="57"/>
      <c r="O132" s="57"/>
      <c r="P132" s="61"/>
      <c r="Q132" s="24"/>
      <c r="S132" s="25"/>
      <c r="T132" s="62"/>
      <c r="U132" s="27"/>
      <c r="V132" s="64"/>
      <c r="W132" s="170"/>
      <c r="X132" s="170"/>
      <c r="Y132" s="170"/>
      <c r="AA132" s="183"/>
      <c r="AB132" s="183"/>
      <c r="AC132" s="184"/>
      <c r="AD132" s="185"/>
      <c r="AE132" s="186"/>
      <c r="AF132" s="187"/>
      <c r="AG132" s="188"/>
      <c r="AH132" s="189"/>
      <c r="AI132" s="27"/>
      <c r="AJ132" s="28"/>
      <c r="AP132" s="26"/>
      <c r="AQ132" s="26"/>
      <c r="AR132" s="26"/>
      <c r="AS132" s="27"/>
      <c r="AT132" s="27"/>
      <c r="AU132" s="27"/>
      <c r="AV132" s="27"/>
      <c r="AW132" s="27"/>
      <c r="AY132" s="189"/>
      <c r="AZ132" s="189"/>
      <c r="BA132" s="205"/>
      <c r="BC132" s="189"/>
      <c r="BE132" s="57"/>
    </row>
    <row r="133" spans="1:57">
      <c r="A133" s="19">
        <f>[1]!_xludf.edate(A132,1)</f>
        <v>41030</v>
      </c>
      <c r="B133" s="21">
        <f t="shared" si="10"/>
        <v>31</v>
      </c>
      <c r="C133" s="20">
        <f>IF(Control!$C$10="Physical",Model!A134+24,Model!A134)</f>
        <v>41061</v>
      </c>
      <c r="E133" s="22">
        <f>IF($A133&lt;Collar!$C$9,IF(Collar!$F$26="Flat",Collar!$C$10,VLOOKUP(Model!$A133,Collar!$B$31:$D$184,3)),0)</f>
        <v>0</v>
      </c>
      <c r="F133" s="22">
        <f t="shared" si="8"/>
        <v>0</v>
      </c>
      <c r="G133" s="26">
        <f t="shared" ca="1" si="6"/>
        <v>0</v>
      </c>
      <c r="H133" s="60">
        <f>A133-1-Collar!$C$13</f>
        <v>3829</v>
      </c>
      <c r="I133" s="24">
        <f t="shared" si="7"/>
        <v>5.1387991987769298E-2</v>
      </c>
      <c r="J133" s="25">
        <f t="shared" ca="1" si="9"/>
        <v>0.58560914055559066</v>
      </c>
      <c r="K133" s="200"/>
      <c r="L133" s="23"/>
      <c r="M133" s="23"/>
      <c r="N133" s="57"/>
      <c r="O133" s="57"/>
      <c r="P133" s="61"/>
      <c r="Q133" s="24"/>
      <c r="S133" s="25"/>
      <c r="T133" s="62"/>
      <c r="U133" s="27"/>
      <c r="V133" s="64"/>
      <c r="W133" s="170"/>
      <c r="X133" s="170"/>
      <c r="Y133" s="170"/>
      <c r="AA133" s="183"/>
      <c r="AB133" s="183"/>
      <c r="AC133" s="184"/>
      <c r="AD133" s="185"/>
      <c r="AE133" s="186"/>
      <c r="AF133" s="187"/>
      <c r="AG133" s="188"/>
      <c r="AH133" s="189"/>
      <c r="AI133" s="27"/>
      <c r="AJ133" s="28"/>
      <c r="AP133" s="26"/>
      <c r="AQ133" s="26"/>
      <c r="AR133" s="26"/>
      <c r="AS133" s="27"/>
      <c r="AT133" s="27"/>
      <c r="AU133" s="27"/>
      <c r="AV133" s="27"/>
      <c r="AW133" s="27"/>
      <c r="AY133" s="189"/>
      <c r="AZ133" s="189"/>
      <c r="BA133" s="205"/>
      <c r="BC133" s="189"/>
      <c r="BE133" s="57"/>
    </row>
    <row r="134" spans="1:57">
      <c r="A134" s="19">
        <f>[1]!_xludf.edate(A133,1)</f>
        <v>41061</v>
      </c>
      <c r="B134" s="21">
        <f t="shared" si="10"/>
        <v>30</v>
      </c>
      <c r="C134" s="20">
        <f>IF(Control!$C$10="Physical",Model!A135+24,Model!A135)</f>
        <v>41091</v>
      </c>
      <c r="E134" s="22">
        <f>IF($A134&lt;Collar!$C$9,IF(Collar!$F$26="Flat",Collar!$C$10,VLOOKUP(Model!$A134,Collar!$B$31:$D$184,3)),0)</f>
        <v>0</v>
      </c>
      <c r="F134" s="22">
        <f t="shared" si="8"/>
        <v>0</v>
      </c>
      <c r="G134" s="26">
        <f t="shared" ca="1" si="6"/>
        <v>0</v>
      </c>
      <c r="H134" s="60">
        <f>A134-1-Collar!$C$13</f>
        <v>3860</v>
      </c>
      <c r="I134" s="24">
        <f t="shared" si="7"/>
        <v>5.1441162523937899E-2</v>
      </c>
      <c r="J134" s="25">
        <f t="shared" ca="1" si="9"/>
        <v>0.58285250075352291</v>
      </c>
      <c r="K134" s="200"/>
      <c r="L134" s="23"/>
      <c r="M134" s="23"/>
      <c r="N134" s="57"/>
      <c r="O134" s="57"/>
      <c r="P134" s="61"/>
      <c r="Q134" s="24"/>
      <c r="S134" s="25"/>
      <c r="T134" s="62"/>
      <c r="U134" s="27"/>
      <c r="V134" s="64"/>
      <c r="W134" s="170"/>
      <c r="X134" s="170"/>
      <c r="Y134" s="170"/>
      <c r="AA134" s="183"/>
      <c r="AB134" s="183"/>
      <c r="AC134" s="184"/>
      <c r="AD134" s="185"/>
      <c r="AE134" s="186"/>
      <c r="AF134" s="187"/>
      <c r="AG134" s="188"/>
      <c r="AH134" s="189"/>
      <c r="AI134" s="27"/>
      <c r="AJ134" s="28"/>
      <c r="AP134" s="26"/>
      <c r="AQ134" s="26"/>
      <c r="AR134" s="26"/>
      <c r="AS134" s="27"/>
      <c r="AT134" s="27"/>
      <c r="AU134" s="27"/>
      <c r="AV134" s="27"/>
      <c r="AW134" s="27"/>
      <c r="AY134" s="189"/>
      <c r="AZ134" s="189"/>
      <c r="BA134" s="205"/>
      <c r="BC134" s="189"/>
      <c r="BE134" s="57"/>
    </row>
    <row r="135" spans="1:57">
      <c r="A135" s="19">
        <f>[1]!_xludf.edate(A134,1)</f>
        <v>41091</v>
      </c>
      <c r="B135" s="21">
        <f t="shared" si="10"/>
        <v>31</v>
      </c>
      <c r="C135" s="20">
        <f>IF(Control!$C$10="Physical",Model!A136+24,Model!A136)</f>
        <v>41122</v>
      </c>
      <c r="E135" s="22">
        <f>IF($A135&lt;Collar!$C$9,IF(Collar!$F$26="Flat",Collar!$C$10,VLOOKUP(Model!$A135,Collar!$B$31:$D$184,3)),0)</f>
        <v>0</v>
      </c>
      <c r="F135" s="22">
        <f t="shared" si="8"/>
        <v>0</v>
      </c>
      <c r="G135" s="26">
        <f t="shared" ca="1" si="6"/>
        <v>0</v>
      </c>
      <c r="H135" s="60">
        <f>A135-1-Collar!$C$13</f>
        <v>3890</v>
      </c>
      <c r="I135" s="24">
        <f t="shared" si="7"/>
        <v>5.1496105412302602E-2</v>
      </c>
      <c r="J135" s="25">
        <f t="shared" ca="1" si="9"/>
        <v>0.58001242457494517</v>
      </c>
      <c r="K135" s="200"/>
      <c r="L135" s="23"/>
      <c r="M135" s="23"/>
      <c r="N135" s="57"/>
      <c r="O135" s="57"/>
      <c r="P135" s="61"/>
      <c r="Q135" s="24"/>
      <c r="S135" s="25"/>
      <c r="T135" s="62"/>
      <c r="U135" s="27"/>
      <c r="V135" s="64"/>
      <c r="W135" s="170"/>
      <c r="X135" s="170"/>
      <c r="Y135" s="170"/>
      <c r="AA135" s="183"/>
      <c r="AB135" s="183"/>
      <c r="AC135" s="184"/>
      <c r="AD135" s="185"/>
      <c r="AE135" s="186"/>
      <c r="AF135" s="187"/>
      <c r="AG135" s="188"/>
      <c r="AH135" s="189"/>
      <c r="AI135" s="27"/>
      <c r="AJ135" s="28"/>
      <c r="AP135" s="26"/>
      <c r="AQ135" s="26"/>
      <c r="AR135" s="26"/>
      <c r="AS135" s="27"/>
      <c r="AT135" s="27"/>
      <c r="AU135" s="27"/>
      <c r="AV135" s="27"/>
      <c r="AW135" s="27"/>
      <c r="AY135" s="189"/>
      <c r="AZ135" s="189"/>
      <c r="BA135" s="205"/>
      <c r="BC135" s="189"/>
      <c r="BE135" s="57"/>
    </row>
    <row r="136" spans="1:57">
      <c r="A136" s="19">
        <f>[1]!_xludf.edate(A135,1)</f>
        <v>41122</v>
      </c>
      <c r="B136" s="21">
        <f t="shared" si="10"/>
        <v>31</v>
      </c>
      <c r="C136" s="20">
        <f>IF(Control!$C$10="Physical",Model!A137+24,Model!A137)</f>
        <v>41153</v>
      </c>
      <c r="E136" s="22">
        <f>IF($A136&lt;Collar!$C$9,IF(Collar!$F$26="Flat",Collar!$C$10,VLOOKUP(Model!$A136,Collar!$B$31:$D$184,3)),0)</f>
        <v>0</v>
      </c>
      <c r="F136" s="22">
        <f t="shared" si="8"/>
        <v>0</v>
      </c>
      <c r="G136" s="26">
        <f t="shared" ref="G136:G199" ca="1" si="11">$B136*$E136*$J136</f>
        <v>0</v>
      </c>
      <c r="H136" s="60">
        <f>A136-1-Collar!$C$13</f>
        <v>3921</v>
      </c>
      <c r="I136" s="24">
        <f t="shared" ref="I136:I199" si="12">VLOOKUP($C136,Curve_Fetch,2)+Cost_of_Funds</f>
        <v>5.1551048301675E-2</v>
      </c>
      <c r="J136" s="25">
        <f t="shared" ca="1" si="9"/>
        <v>0.57718094824454547</v>
      </c>
      <c r="K136" s="200"/>
      <c r="L136" s="23"/>
      <c r="M136" s="23"/>
      <c r="N136" s="57"/>
      <c r="O136" s="57"/>
      <c r="P136" s="61"/>
      <c r="Q136" s="24"/>
      <c r="S136" s="25"/>
      <c r="T136" s="62"/>
      <c r="U136" s="27"/>
      <c r="V136" s="64"/>
      <c r="W136" s="170"/>
      <c r="X136" s="170"/>
      <c r="Y136" s="170"/>
      <c r="AA136" s="183"/>
      <c r="AB136" s="183"/>
      <c r="AC136" s="184"/>
      <c r="AD136" s="185"/>
      <c r="AE136" s="186"/>
      <c r="AF136" s="187"/>
      <c r="AG136" s="188"/>
      <c r="AH136" s="189"/>
      <c r="AI136" s="27"/>
      <c r="AJ136" s="28"/>
      <c r="AP136" s="26"/>
      <c r="AQ136" s="26"/>
      <c r="AR136" s="26"/>
      <c r="AS136" s="27"/>
      <c r="AT136" s="27"/>
      <c r="AU136" s="27"/>
      <c r="AV136" s="27"/>
      <c r="AW136" s="27"/>
      <c r="AY136" s="189"/>
      <c r="AZ136" s="189"/>
      <c r="BA136" s="205"/>
      <c r="BC136" s="189"/>
      <c r="BE136" s="57"/>
    </row>
    <row r="137" spans="1:57">
      <c r="A137" s="19">
        <f>[1]!_xludf.edate(A136,1)</f>
        <v>41153</v>
      </c>
      <c r="B137" s="21">
        <f t="shared" si="10"/>
        <v>30</v>
      </c>
      <c r="C137" s="20">
        <f>IF(Control!$C$10="Physical",Model!A138+24,Model!A138)</f>
        <v>41183</v>
      </c>
      <c r="E137" s="22">
        <f>IF($A137&lt;Collar!$C$9,IF(Collar!$F$26="Flat",Collar!$C$10,VLOOKUP(Model!$A137,Collar!$B$31:$D$184,3)),0)</f>
        <v>0</v>
      </c>
      <c r="F137" s="22">
        <f t="shared" ref="F137:F200" si="13">E137*B137</f>
        <v>0</v>
      </c>
      <c r="G137" s="26">
        <f t="shared" ca="1" si="11"/>
        <v>0</v>
      </c>
      <c r="H137" s="60">
        <f>A137-1-Collar!$C$13</f>
        <v>3952</v>
      </c>
      <c r="I137" s="24">
        <f t="shared" si="12"/>
        <v>5.1604218840736397E-2</v>
      </c>
      <c r="J137" s="25">
        <f t="shared" ref="J137:J200" ca="1" si="14">1/(1+I137/2)^(2*(C137-Val_Date)/365.25)</f>
        <v>0.57444900701444201</v>
      </c>
      <c r="K137" s="200"/>
      <c r="L137" s="23"/>
      <c r="M137" s="23"/>
      <c r="N137" s="57"/>
      <c r="O137" s="57"/>
      <c r="P137" s="61"/>
      <c r="Q137" s="24"/>
      <c r="S137" s="25"/>
      <c r="T137" s="62"/>
      <c r="U137" s="27"/>
      <c r="V137" s="64"/>
      <c r="W137" s="170"/>
      <c r="X137" s="170"/>
      <c r="Y137" s="170"/>
      <c r="AA137" s="183"/>
      <c r="AB137" s="183"/>
      <c r="AC137" s="184"/>
      <c r="AD137" s="185"/>
      <c r="AE137" s="186"/>
      <c r="AF137" s="187"/>
      <c r="AG137" s="188"/>
      <c r="AH137" s="189"/>
      <c r="AI137" s="27"/>
      <c r="AJ137" s="28"/>
      <c r="AP137" s="26"/>
      <c r="AQ137" s="26"/>
      <c r="AR137" s="26"/>
      <c r="AS137" s="27"/>
      <c r="AT137" s="27"/>
      <c r="AU137" s="27"/>
      <c r="AV137" s="27"/>
      <c r="AW137" s="27"/>
      <c r="AY137" s="189"/>
      <c r="AZ137" s="189"/>
      <c r="BA137" s="205"/>
      <c r="BC137" s="189"/>
      <c r="BE137" s="57"/>
    </row>
    <row r="138" spans="1:57">
      <c r="A138" s="19">
        <f>[1]!_xludf.edate(A137,1)</f>
        <v>41183</v>
      </c>
      <c r="B138" s="21">
        <f t="shared" ref="B138:B201" si="15">A139-A138</f>
        <v>31</v>
      </c>
      <c r="C138" s="20">
        <f>IF(Control!$C$10="Physical",Model!A139+24,Model!A139)</f>
        <v>41214</v>
      </c>
      <c r="E138" s="22">
        <f>IF($A138&lt;Collar!$C$9,IF(Collar!$F$26="Flat",Collar!$C$10,VLOOKUP(Model!$A138,Collar!$B$31:$D$184,3)),0)</f>
        <v>0</v>
      </c>
      <c r="F138" s="22">
        <f t="shared" si="13"/>
        <v>0</v>
      </c>
      <c r="G138" s="26">
        <f t="shared" ca="1" si="11"/>
        <v>0</v>
      </c>
      <c r="H138" s="60">
        <f>A138-1-Collar!$C$13</f>
        <v>3982</v>
      </c>
      <c r="I138" s="24">
        <f t="shared" si="12"/>
        <v>5.1659161732090703E-2</v>
      </c>
      <c r="J138" s="25">
        <f t="shared" ca="1" si="14"/>
        <v>0.57163448044736409</v>
      </c>
      <c r="K138" s="200"/>
      <c r="L138" s="23"/>
      <c r="M138" s="23"/>
      <c r="N138" s="57"/>
      <c r="O138" s="57"/>
      <c r="P138" s="61"/>
      <c r="Q138" s="24"/>
      <c r="S138" s="25"/>
      <c r="T138" s="62"/>
      <c r="U138" s="27"/>
      <c r="V138" s="64"/>
      <c r="W138" s="170"/>
      <c r="X138" s="170"/>
      <c r="Y138" s="170"/>
      <c r="AA138" s="183"/>
      <c r="AB138" s="183"/>
      <c r="AC138" s="184"/>
      <c r="AD138" s="185"/>
      <c r="AE138" s="186"/>
      <c r="AF138" s="187"/>
      <c r="AG138" s="188"/>
      <c r="AH138" s="189"/>
      <c r="AI138" s="27"/>
      <c r="AJ138" s="28"/>
      <c r="AP138" s="26"/>
      <c r="AQ138" s="26"/>
      <c r="AR138" s="26"/>
      <c r="AS138" s="27"/>
      <c r="AT138" s="27"/>
      <c r="AU138" s="27"/>
      <c r="AV138" s="27"/>
      <c r="AW138" s="27"/>
      <c r="AY138" s="189"/>
      <c r="AZ138" s="189"/>
      <c r="BA138" s="205"/>
      <c r="BC138" s="189"/>
      <c r="BE138" s="57"/>
    </row>
    <row r="139" spans="1:57">
      <c r="A139" s="19">
        <f>[1]!_xludf.edate(A138,1)</f>
        <v>41214</v>
      </c>
      <c r="B139" s="21">
        <f t="shared" si="15"/>
        <v>30</v>
      </c>
      <c r="C139" s="20">
        <f>IF(Control!$C$10="Physical",Model!A140+24,Model!A140)</f>
        <v>41244</v>
      </c>
      <c r="E139" s="22">
        <f>IF($A139&lt;Collar!$C$9,IF(Collar!$F$26="Flat",Collar!$C$10,VLOOKUP(Model!$A139,Collar!$B$31:$D$184,3)),0)</f>
        <v>0</v>
      </c>
      <c r="F139" s="22">
        <f t="shared" si="13"/>
        <v>0</v>
      </c>
      <c r="G139" s="26">
        <f t="shared" ca="1" si="11"/>
        <v>0</v>
      </c>
      <c r="H139" s="60">
        <f>A139-1-Collar!$C$13</f>
        <v>4013</v>
      </c>
      <c r="I139" s="24">
        <f t="shared" si="12"/>
        <v>5.1712332273069303E-2</v>
      </c>
      <c r="J139" s="25">
        <f t="shared" ca="1" si="14"/>
        <v>0.56891895923769131</v>
      </c>
      <c r="K139" s="200"/>
      <c r="L139" s="23"/>
      <c r="M139" s="23"/>
      <c r="N139" s="57"/>
      <c r="O139" s="57"/>
      <c r="P139" s="61"/>
      <c r="Q139" s="24"/>
      <c r="S139" s="25"/>
      <c r="T139" s="62"/>
      <c r="U139" s="27"/>
      <c r="V139" s="64"/>
      <c r="W139" s="170"/>
      <c r="X139" s="170"/>
      <c r="Y139" s="170"/>
      <c r="AA139" s="183"/>
      <c r="AB139" s="183"/>
      <c r="AC139" s="184"/>
      <c r="AD139" s="185"/>
      <c r="AE139" s="186"/>
      <c r="AF139" s="187"/>
      <c r="AG139" s="188"/>
      <c r="AH139" s="189"/>
      <c r="AI139" s="27"/>
      <c r="AJ139" s="28"/>
      <c r="AP139" s="26"/>
      <c r="AQ139" s="26"/>
      <c r="AR139" s="26"/>
      <c r="AS139" s="27"/>
      <c r="AT139" s="27"/>
      <c r="AU139" s="27"/>
      <c r="AV139" s="27"/>
      <c r="AW139" s="27"/>
      <c r="AY139" s="189"/>
      <c r="AZ139" s="189"/>
      <c r="BA139" s="205"/>
      <c r="BC139" s="189"/>
      <c r="BE139" s="57"/>
    </row>
    <row r="140" spans="1:57">
      <c r="A140" s="19">
        <f>[1]!_xludf.edate(A139,1)</f>
        <v>41244</v>
      </c>
      <c r="B140" s="21">
        <f t="shared" si="15"/>
        <v>31</v>
      </c>
      <c r="C140" s="20">
        <f>IF(Control!$C$10="Physical",Model!A141+24,Model!A141)</f>
        <v>41275</v>
      </c>
      <c r="E140" s="22">
        <f>IF($A140&lt;Collar!$C$9,IF(Collar!$F$26="Flat",Collar!$C$10,VLOOKUP(Model!$A140,Collar!$B$31:$D$184,3)),0)</f>
        <v>0</v>
      </c>
      <c r="F140" s="22">
        <f t="shared" si="13"/>
        <v>0</v>
      </c>
      <c r="G140" s="26">
        <f t="shared" ca="1" si="11"/>
        <v>0</v>
      </c>
      <c r="H140" s="60">
        <f>A140-1-Collar!$C$13</f>
        <v>4043</v>
      </c>
      <c r="I140" s="24">
        <f t="shared" si="12"/>
        <v>5.17672751664051E-2</v>
      </c>
      <c r="J140" s="25">
        <f t="shared" ca="1" si="14"/>
        <v>0.56612141707645247</v>
      </c>
      <c r="K140" s="200"/>
      <c r="L140" s="23"/>
      <c r="M140" s="23"/>
      <c r="N140" s="57"/>
      <c r="O140" s="57"/>
      <c r="P140" s="61"/>
      <c r="Q140" s="24"/>
      <c r="S140" s="25"/>
      <c r="T140" s="62"/>
      <c r="U140" s="27"/>
      <c r="V140" s="64"/>
      <c r="W140" s="170"/>
      <c r="X140" s="170"/>
      <c r="Y140" s="170"/>
      <c r="AA140" s="183"/>
      <c r="AB140" s="183"/>
      <c r="AC140" s="184"/>
      <c r="AD140" s="185"/>
      <c r="AE140" s="186"/>
      <c r="AF140" s="187"/>
      <c r="AG140" s="188"/>
      <c r="AH140" s="189"/>
      <c r="AI140" s="27"/>
      <c r="AJ140" s="28"/>
      <c r="AP140" s="26"/>
      <c r="AQ140" s="26"/>
      <c r="AR140" s="26"/>
      <c r="AS140" s="27"/>
      <c r="AT140" s="27"/>
      <c r="AU140" s="27"/>
      <c r="AV140" s="27"/>
      <c r="AW140" s="27"/>
      <c r="AY140" s="189"/>
      <c r="AZ140" s="189"/>
      <c r="BA140" s="205"/>
      <c r="BC140" s="189"/>
      <c r="BE140" s="57"/>
    </row>
    <row r="141" spans="1:57">
      <c r="A141" s="19">
        <f>[1]!_xludf.edate(A140,1)</f>
        <v>41275</v>
      </c>
      <c r="B141" s="21">
        <f t="shared" si="15"/>
        <v>31</v>
      </c>
      <c r="C141" s="20">
        <f>IF(Control!$C$10="Physical",Model!A142+24,Model!A142)</f>
        <v>41306</v>
      </c>
      <c r="E141" s="22">
        <f>IF($A141&lt;Collar!$C$9,IF(Collar!$F$26="Flat",Collar!$C$10,VLOOKUP(Model!$A141,Collar!$B$31:$D$184,3)),0)</f>
        <v>0</v>
      </c>
      <c r="F141" s="22">
        <f t="shared" si="13"/>
        <v>0</v>
      </c>
      <c r="G141" s="26">
        <f t="shared" ca="1" si="11"/>
        <v>0</v>
      </c>
      <c r="H141" s="60">
        <f>A141-1-Collar!$C$13</f>
        <v>4074</v>
      </c>
      <c r="I141" s="24">
        <f t="shared" si="12"/>
        <v>5.1822218060747702E-2</v>
      </c>
      <c r="J141" s="25">
        <f t="shared" ca="1" si="14"/>
        <v>0.56333251892463965</v>
      </c>
      <c r="K141" s="200"/>
      <c r="L141" s="23"/>
      <c r="M141" s="23"/>
      <c r="N141" s="57"/>
      <c r="O141" s="57"/>
      <c r="P141" s="61"/>
      <c r="Q141" s="24"/>
      <c r="S141" s="25"/>
      <c r="T141" s="62"/>
      <c r="U141" s="27"/>
      <c r="V141" s="64"/>
      <c r="W141" s="170"/>
      <c r="X141" s="170"/>
      <c r="Y141" s="170"/>
      <c r="AA141" s="183"/>
      <c r="AB141" s="183"/>
      <c r="AC141" s="184"/>
      <c r="AD141" s="185"/>
      <c r="AE141" s="186"/>
      <c r="AF141" s="187"/>
      <c r="AG141" s="188"/>
      <c r="AH141" s="189"/>
      <c r="AI141" s="27"/>
      <c r="AJ141" s="28"/>
      <c r="AP141" s="26"/>
      <c r="AQ141" s="26"/>
      <c r="AR141" s="26"/>
      <c r="AS141" s="27"/>
      <c r="AT141" s="27"/>
      <c r="AU141" s="27"/>
      <c r="AV141" s="27"/>
      <c r="AW141" s="27"/>
      <c r="AY141" s="189"/>
      <c r="AZ141" s="189"/>
      <c r="BA141" s="205"/>
      <c r="BC141" s="189"/>
      <c r="BE141" s="57"/>
    </row>
    <row r="142" spans="1:57">
      <c r="A142" s="19">
        <f>[1]!_xludf.edate(A141,1)</f>
        <v>41306</v>
      </c>
      <c r="B142" s="21">
        <f t="shared" si="15"/>
        <v>28</v>
      </c>
      <c r="C142" s="20">
        <f>IF(Control!$C$10="Physical",Model!A143+24,Model!A143)</f>
        <v>41334</v>
      </c>
      <c r="E142" s="22">
        <f>IF($A142&lt;Collar!$C$9,IF(Collar!$F$26="Flat",Collar!$C$10,VLOOKUP(Model!$A142,Collar!$B$31:$D$184,3)),0)</f>
        <v>0</v>
      </c>
      <c r="F142" s="22">
        <f t="shared" si="13"/>
        <v>0</v>
      </c>
      <c r="G142" s="26">
        <f t="shared" ca="1" si="11"/>
        <v>0</v>
      </c>
      <c r="H142" s="60">
        <f>A142-1-Collar!$C$13</f>
        <v>4105</v>
      </c>
      <c r="I142" s="24">
        <f t="shared" si="12"/>
        <v>5.1871843901664799E-2</v>
      </c>
      <c r="J142" s="25">
        <f t="shared" ca="1" si="14"/>
        <v>0.56082095060853943</v>
      </c>
      <c r="K142" s="200"/>
      <c r="L142" s="23"/>
      <c r="M142" s="23"/>
      <c r="N142" s="57"/>
      <c r="O142" s="57"/>
      <c r="P142" s="61"/>
      <c r="Q142" s="24"/>
      <c r="S142" s="25"/>
      <c r="T142" s="62"/>
      <c r="U142" s="27"/>
      <c r="V142" s="64"/>
      <c r="W142" s="170"/>
      <c r="X142" s="170"/>
      <c r="Y142" s="170"/>
      <c r="AA142" s="183"/>
      <c r="AB142" s="183"/>
      <c r="AC142" s="184"/>
      <c r="AD142" s="185"/>
      <c r="AE142" s="186"/>
      <c r="AF142" s="187"/>
      <c r="AG142" s="188"/>
      <c r="AH142" s="189"/>
      <c r="AI142" s="27"/>
      <c r="AJ142" s="28"/>
      <c r="AP142" s="26"/>
      <c r="AQ142" s="26"/>
      <c r="AR142" s="26"/>
      <c r="AS142" s="27"/>
      <c r="AT142" s="27"/>
      <c r="AU142" s="27"/>
      <c r="AV142" s="27"/>
      <c r="AW142" s="27"/>
      <c r="AY142" s="189"/>
      <c r="AZ142" s="189"/>
      <c r="BA142" s="205"/>
      <c r="BC142" s="189"/>
      <c r="BE142" s="57"/>
    </row>
    <row r="143" spans="1:57">
      <c r="A143" s="19">
        <f>[1]!_xludf.edate(A142,1)</f>
        <v>41334</v>
      </c>
      <c r="B143" s="21">
        <f t="shared" si="15"/>
        <v>31</v>
      </c>
      <c r="C143" s="20">
        <f>IF(Control!$C$10="Physical",Model!A144+24,Model!A144)</f>
        <v>41365</v>
      </c>
      <c r="E143" s="22">
        <f>IF($A143&lt;Collar!$C$9,IF(Collar!$F$26="Flat",Collar!$C$10,VLOOKUP(Model!$A143,Collar!$B$31:$D$184,3)),0)</f>
        <v>0</v>
      </c>
      <c r="F143" s="22">
        <f t="shared" si="13"/>
        <v>0</v>
      </c>
      <c r="G143" s="26">
        <f t="shared" ca="1" si="11"/>
        <v>0</v>
      </c>
      <c r="H143" s="60">
        <f>A143-1-Collar!$C$13</f>
        <v>4133</v>
      </c>
      <c r="I143" s="24">
        <f t="shared" si="12"/>
        <v>5.1926786797924097E-2</v>
      </c>
      <c r="J143" s="25">
        <f t="shared" ca="1" si="14"/>
        <v>0.55804852614718947</v>
      </c>
      <c r="K143" s="200"/>
      <c r="L143" s="23"/>
      <c r="M143" s="23"/>
      <c r="N143" s="57"/>
      <c r="O143" s="57"/>
      <c r="P143" s="61"/>
      <c r="Q143" s="24"/>
      <c r="S143" s="25"/>
      <c r="T143" s="62"/>
      <c r="U143" s="27"/>
      <c r="V143" s="64"/>
      <c r="W143" s="170"/>
      <c r="X143" s="170"/>
      <c r="Y143" s="170"/>
      <c r="AA143" s="183"/>
      <c r="AB143" s="183"/>
      <c r="AC143" s="184"/>
      <c r="AD143" s="185"/>
      <c r="AE143" s="186"/>
      <c r="AF143" s="187"/>
      <c r="AG143" s="188"/>
      <c r="AH143" s="189"/>
      <c r="AI143" s="27"/>
      <c r="AJ143" s="28"/>
      <c r="AP143" s="26"/>
      <c r="AQ143" s="26"/>
      <c r="AR143" s="26"/>
      <c r="AS143" s="27"/>
      <c r="AT143" s="27"/>
      <c r="AU143" s="27"/>
      <c r="AV143" s="27"/>
      <c r="AW143" s="27"/>
      <c r="AY143" s="189"/>
      <c r="AZ143" s="189"/>
      <c r="BA143" s="205"/>
      <c r="BC143" s="189"/>
      <c r="BE143" s="57"/>
    </row>
    <row r="144" spans="1:57">
      <c r="A144" s="19">
        <f>[1]!_xludf.edate(A143,1)</f>
        <v>41365</v>
      </c>
      <c r="B144" s="21">
        <f t="shared" si="15"/>
        <v>30</v>
      </c>
      <c r="C144" s="20">
        <f>IF(Control!$C$10="Physical",Model!A145+24,Model!A145)</f>
        <v>41395</v>
      </c>
      <c r="E144" s="22">
        <f>IF($A144&lt;Collar!$C$9,IF(Collar!$F$26="Flat",Collar!$C$10,VLOOKUP(Model!$A144,Collar!$B$31:$D$184,3)),0)</f>
        <v>0</v>
      </c>
      <c r="F144" s="22">
        <f t="shared" si="13"/>
        <v>0</v>
      </c>
      <c r="G144" s="26">
        <f t="shared" ca="1" si="11"/>
        <v>0</v>
      </c>
      <c r="H144" s="60">
        <f>A144-1-Collar!$C$13</f>
        <v>4164</v>
      </c>
      <c r="I144" s="24">
        <f t="shared" si="12"/>
        <v>5.1979957343649498E-2</v>
      </c>
      <c r="J144" s="25">
        <f t="shared" ca="1" si="14"/>
        <v>0.55537378660743597</v>
      </c>
      <c r="K144" s="200"/>
      <c r="L144" s="23"/>
      <c r="M144" s="23"/>
      <c r="N144" s="57"/>
      <c r="O144" s="57"/>
      <c r="P144" s="61"/>
      <c r="Q144" s="24"/>
      <c r="S144" s="25"/>
      <c r="T144" s="62"/>
      <c r="U144" s="27"/>
      <c r="V144" s="64"/>
      <c r="W144" s="170"/>
      <c r="X144" s="170"/>
      <c r="Y144" s="170"/>
      <c r="AA144" s="183"/>
      <c r="AB144" s="183"/>
      <c r="AC144" s="184"/>
      <c r="AD144" s="185"/>
      <c r="AE144" s="186"/>
      <c r="AF144" s="187"/>
      <c r="AG144" s="188"/>
      <c r="AH144" s="189"/>
      <c r="AI144" s="27"/>
      <c r="AJ144" s="28"/>
      <c r="AP144" s="26"/>
      <c r="AQ144" s="26"/>
      <c r="AR144" s="26"/>
      <c r="AS144" s="27"/>
      <c r="AT144" s="27"/>
      <c r="AU144" s="27"/>
      <c r="AV144" s="27"/>
      <c r="AW144" s="27"/>
      <c r="AY144" s="189"/>
      <c r="AZ144" s="189"/>
      <c r="BA144" s="205"/>
      <c r="BC144" s="189"/>
      <c r="BE144" s="57"/>
    </row>
    <row r="145" spans="1:57">
      <c r="A145" s="19">
        <f>[1]!_xludf.edate(A144,1)</f>
        <v>41395</v>
      </c>
      <c r="B145" s="21">
        <f t="shared" si="15"/>
        <v>31</v>
      </c>
      <c r="C145" s="20">
        <f>IF(Control!$C$10="Physical",Model!A146+24,Model!A146)</f>
        <v>41426</v>
      </c>
      <c r="E145" s="22">
        <f>IF($A145&lt;Collar!$C$9,IF(Collar!$F$26="Flat",Collar!$C$10,VLOOKUP(Model!$A145,Collar!$B$31:$D$184,3)),0)</f>
        <v>0</v>
      </c>
      <c r="F145" s="22">
        <f t="shared" si="13"/>
        <v>0</v>
      </c>
      <c r="G145" s="26">
        <f t="shared" ca="1" si="11"/>
        <v>0</v>
      </c>
      <c r="H145" s="60">
        <f>A145-1-Collar!$C$13</f>
        <v>4194</v>
      </c>
      <c r="I145" s="24">
        <f t="shared" si="12"/>
        <v>5.2034900241890301E-2</v>
      </c>
      <c r="J145" s="25">
        <f t="shared" ca="1" si="14"/>
        <v>0.55261842313999054</v>
      </c>
      <c r="K145" s="200"/>
      <c r="L145" s="23"/>
      <c r="M145" s="23"/>
      <c r="N145" s="57"/>
      <c r="O145" s="57"/>
      <c r="P145" s="61"/>
      <c r="Q145" s="24"/>
      <c r="S145" s="25"/>
      <c r="T145" s="62"/>
      <c r="U145" s="27"/>
      <c r="V145" s="64"/>
      <c r="W145" s="170"/>
      <c r="X145" s="170"/>
      <c r="Y145" s="170"/>
      <c r="AA145" s="183"/>
      <c r="AB145" s="183"/>
      <c r="AC145" s="184"/>
      <c r="AD145" s="185"/>
      <c r="AE145" s="186"/>
      <c r="AF145" s="187"/>
      <c r="AG145" s="188"/>
      <c r="AH145" s="189"/>
      <c r="AI145" s="27"/>
      <c r="AJ145" s="28"/>
      <c r="AP145" s="26"/>
      <c r="AQ145" s="26"/>
      <c r="AR145" s="26"/>
      <c r="AS145" s="27"/>
      <c r="AT145" s="27"/>
      <c r="AU145" s="27"/>
      <c r="AV145" s="27"/>
      <c r="AW145" s="27"/>
      <c r="AY145" s="189"/>
      <c r="AZ145" s="189"/>
      <c r="BA145" s="205"/>
      <c r="BC145" s="189"/>
      <c r="BE145" s="57"/>
    </row>
    <row r="146" spans="1:57">
      <c r="A146" s="19">
        <f>[1]!_xludf.edate(A145,1)</f>
        <v>41426</v>
      </c>
      <c r="B146" s="21">
        <f t="shared" si="15"/>
        <v>30</v>
      </c>
      <c r="C146" s="20">
        <f>IF(Control!$C$10="Physical",Model!A147+24,Model!A147)</f>
        <v>41456</v>
      </c>
      <c r="E146" s="22">
        <f>IF($A146&lt;Collar!$C$9,IF(Collar!$F$26="Flat",Collar!$C$10,VLOOKUP(Model!$A146,Collar!$B$31:$D$184,3)),0)</f>
        <v>0</v>
      </c>
      <c r="F146" s="22">
        <f t="shared" si="13"/>
        <v>0</v>
      </c>
      <c r="G146" s="26">
        <f t="shared" ca="1" si="11"/>
        <v>0</v>
      </c>
      <c r="H146" s="60">
        <f>A146-1-Collar!$C$13</f>
        <v>4225</v>
      </c>
      <c r="I146" s="24">
        <f t="shared" si="12"/>
        <v>5.2088070789533703E-2</v>
      </c>
      <c r="J146" s="25">
        <f t="shared" ca="1" si="14"/>
        <v>0.54996020769340381</v>
      </c>
      <c r="K146" s="200"/>
      <c r="L146" s="23"/>
      <c r="M146" s="23"/>
      <c r="N146" s="57"/>
      <c r="O146" s="57"/>
      <c r="P146" s="61"/>
      <c r="Q146" s="24"/>
      <c r="S146" s="25"/>
      <c r="T146" s="62"/>
      <c r="U146" s="27"/>
      <c r="V146" s="64"/>
      <c r="W146" s="170"/>
      <c r="X146" s="170"/>
      <c r="Y146" s="170"/>
      <c r="AA146" s="183"/>
      <c r="AB146" s="183"/>
      <c r="AC146" s="184"/>
      <c r="AD146" s="185"/>
      <c r="AE146" s="186"/>
      <c r="AF146" s="187"/>
      <c r="AG146" s="188"/>
      <c r="AH146" s="189"/>
      <c r="AI146" s="27"/>
      <c r="AJ146" s="28"/>
      <c r="AP146" s="26"/>
      <c r="AQ146" s="26"/>
      <c r="AR146" s="26"/>
      <c r="AS146" s="27"/>
      <c r="AT146" s="27"/>
      <c r="AU146" s="27"/>
      <c r="AV146" s="27"/>
      <c r="AW146" s="27"/>
      <c r="AY146" s="189"/>
      <c r="AZ146" s="189"/>
      <c r="BA146" s="205"/>
      <c r="BC146" s="189"/>
      <c r="BE146" s="57"/>
    </row>
    <row r="147" spans="1:57">
      <c r="A147" s="19">
        <f>[1]!_xludf.edate(A146,1)</f>
        <v>41456</v>
      </c>
      <c r="B147" s="21">
        <f t="shared" si="15"/>
        <v>31</v>
      </c>
      <c r="C147" s="20">
        <f>IF(Control!$C$10="Physical",Model!A148+24,Model!A148)</f>
        <v>41487</v>
      </c>
      <c r="E147" s="22">
        <f>IF($A147&lt;Collar!$C$9,IF(Collar!$F$26="Flat",Collar!$C$10,VLOOKUP(Model!$A147,Collar!$B$31:$D$184,3)),0)</f>
        <v>0</v>
      </c>
      <c r="F147" s="22">
        <f t="shared" si="13"/>
        <v>0</v>
      </c>
      <c r="G147" s="26">
        <f t="shared" ca="1" si="11"/>
        <v>0</v>
      </c>
      <c r="H147" s="60">
        <f>A147-1-Collar!$C$13</f>
        <v>4255</v>
      </c>
      <c r="I147" s="24">
        <f t="shared" si="12"/>
        <v>5.2143013689755199E-2</v>
      </c>
      <c r="J147" s="25">
        <f t="shared" ca="1" si="14"/>
        <v>0.54722193249934037</v>
      </c>
      <c r="K147" s="200"/>
      <c r="L147" s="23"/>
      <c r="M147" s="23"/>
      <c r="N147" s="57"/>
      <c r="O147" s="57"/>
      <c r="P147" s="61"/>
      <c r="Q147" s="24"/>
      <c r="S147" s="25"/>
      <c r="T147" s="62"/>
      <c r="U147" s="27"/>
      <c r="V147" s="64"/>
      <c r="W147" s="170"/>
      <c r="X147" s="170"/>
      <c r="Y147" s="170"/>
      <c r="AA147" s="183"/>
      <c r="AB147" s="183"/>
      <c r="AC147" s="184"/>
      <c r="AD147" s="185"/>
      <c r="AE147" s="186"/>
      <c r="AF147" s="187"/>
      <c r="AG147" s="188"/>
      <c r="AH147" s="189"/>
      <c r="AI147" s="27"/>
      <c r="AJ147" s="28"/>
      <c r="AP147" s="26"/>
      <c r="AQ147" s="26"/>
      <c r="AR147" s="26"/>
      <c r="AS147" s="27"/>
      <c r="AT147" s="27"/>
      <c r="AU147" s="27"/>
      <c r="AV147" s="27"/>
      <c r="AW147" s="27"/>
      <c r="AY147" s="189"/>
      <c r="AZ147" s="189"/>
      <c r="BA147" s="205"/>
      <c r="BC147" s="189"/>
      <c r="BE147" s="57"/>
    </row>
    <row r="148" spans="1:57">
      <c r="A148" s="19">
        <f>[1]!_xludf.edate(A147,1)</f>
        <v>41487</v>
      </c>
      <c r="B148" s="21">
        <f t="shared" si="15"/>
        <v>31</v>
      </c>
      <c r="C148" s="20">
        <f>IF(Control!$C$10="Physical",Model!A149+24,Model!A149)</f>
        <v>41518</v>
      </c>
      <c r="E148" s="22">
        <f>IF($A148&lt;Collar!$C$9,IF(Collar!$F$26="Flat",Collar!$C$10,VLOOKUP(Model!$A148,Collar!$B$31:$D$184,3)),0)</f>
        <v>0</v>
      </c>
      <c r="F148" s="22">
        <f t="shared" si="13"/>
        <v>0</v>
      </c>
      <c r="G148" s="26">
        <f t="shared" ca="1" si="11"/>
        <v>0</v>
      </c>
      <c r="H148" s="60">
        <f>A148-1-Collar!$C$13</f>
        <v>4286</v>
      </c>
      <c r="I148" s="24">
        <f t="shared" si="12"/>
        <v>5.2197956590984203E-2</v>
      </c>
      <c r="J148" s="25">
        <f t="shared" ca="1" si="14"/>
        <v>0.54449235129660778</v>
      </c>
      <c r="K148" s="200"/>
      <c r="L148" s="23"/>
      <c r="M148" s="23"/>
      <c r="N148" s="57"/>
      <c r="O148" s="57"/>
      <c r="P148" s="61"/>
      <c r="Q148" s="24"/>
      <c r="S148" s="25"/>
      <c r="T148" s="62"/>
      <c r="U148" s="27"/>
      <c r="V148" s="64"/>
      <c r="W148" s="170"/>
      <c r="X148" s="170"/>
      <c r="Y148" s="170"/>
      <c r="AA148" s="183"/>
      <c r="AB148" s="183"/>
      <c r="AC148" s="184"/>
      <c r="AD148" s="185"/>
      <c r="AE148" s="186"/>
      <c r="AF148" s="187"/>
      <c r="AG148" s="188"/>
      <c r="AH148" s="189"/>
      <c r="AI148" s="27"/>
      <c r="AJ148" s="28"/>
      <c r="AP148" s="26"/>
      <c r="AQ148" s="26"/>
      <c r="AR148" s="26"/>
      <c r="AS148" s="27"/>
      <c r="AT148" s="27"/>
      <c r="AU148" s="27"/>
      <c r="AV148" s="27"/>
      <c r="AW148" s="27"/>
      <c r="AY148" s="189"/>
      <c r="AZ148" s="189"/>
      <c r="BA148" s="205"/>
      <c r="BC148" s="189"/>
      <c r="BE148" s="57"/>
    </row>
    <row r="149" spans="1:57">
      <c r="A149" s="19">
        <f>[1]!_xludf.edate(A148,1)</f>
        <v>41518</v>
      </c>
      <c r="B149" s="21">
        <f t="shared" si="15"/>
        <v>30</v>
      </c>
      <c r="C149" s="20">
        <f>IF(Control!$C$10="Physical",Model!A150+24,Model!A150)</f>
        <v>41548</v>
      </c>
      <c r="E149" s="22">
        <f>IF($A149&lt;Collar!$C$9,IF(Collar!$F$26="Flat",Collar!$C$10,VLOOKUP(Model!$A149,Collar!$B$31:$D$184,3)),0)</f>
        <v>0</v>
      </c>
      <c r="F149" s="22">
        <f t="shared" si="13"/>
        <v>0</v>
      </c>
      <c r="G149" s="26">
        <f t="shared" ca="1" si="11"/>
        <v>0</v>
      </c>
      <c r="H149" s="60">
        <f>A149-1-Collar!$C$13</f>
        <v>4317</v>
      </c>
      <c r="I149" s="24">
        <f t="shared" si="12"/>
        <v>5.2251127141519103E-2</v>
      </c>
      <c r="J149" s="25">
        <f t="shared" ca="1" si="14"/>
        <v>0.54185910481394817</v>
      </c>
      <c r="K149" s="200"/>
      <c r="L149" s="23"/>
      <c r="M149" s="23"/>
      <c r="N149" s="57"/>
      <c r="O149" s="57"/>
      <c r="P149" s="61"/>
      <c r="Q149" s="24"/>
      <c r="S149" s="25"/>
      <c r="T149" s="62"/>
      <c r="U149" s="27"/>
      <c r="V149" s="64"/>
      <c r="W149" s="170"/>
      <c r="X149" s="170"/>
      <c r="Y149" s="170"/>
      <c r="AA149" s="183"/>
      <c r="AB149" s="183"/>
      <c r="AC149" s="184"/>
      <c r="AD149" s="185"/>
      <c r="AE149" s="186"/>
      <c r="AF149" s="187"/>
      <c r="AG149" s="188"/>
      <c r="AH149" s="189"/>
      <c r="AI149" s="27"/>
      <c r="AJ149" s="28"/>
      <c r="AP149" s="26"/>
      <c r="AQ149" s="26"/>
      <c r="AR149" s="26"/>
      <c r="AS149" s="27"/>
      <c r="AT149" s="27"/>
      <c r="AU149" s="27"/>
      <c r="AV149" s="27"/>
      <c r="AW149" s="27"/>
      <c r="AY149" s="189"/>
      <c r="AZ149" s="189"/>
      <c r="BA149" s="205"/>
      <c r="BC149" s="189"/>
      <c r="BE149" s="57"/>
    </row>
    <row r="150" spans="1:57">
      <c r="A150" s="19">
        <f>[1]!_xludf.edate(A149,1)</f>
        <v>41548</v>
      </c>
      <c r="B150" s="21">
        <f t="shared" si="15"/>
        <v>31</v>
      </c>
      <c r="C150" s="20">
        <f>IF(Control!$C$10="Physical",Model!A151+24,Model!A151)</f>
        <v>41579</v>
      </c>
      <c r="E150" s="22">
        <f>IF($A150&lt;Collar!$C$9,IF(Collar!$F$26="Flat",Collar!$C$10,VLOOKUP(Model!$A150,Collar!$B$31:$D$184,3)),0)</f>
        <v>0</v>
      </c>
      <c r="F150" s="22">
        <f t="shared" si="13"/>
        <v>0</v>
      </c>
      <c r="G150" s="26">
        <f t="shared" ca="1" si="11"/>
        <v>0</v>
      </c>
      <c r="H150" s="60">
        <f>A150-1-Collar!$C$13</f>
        <v>4347</v>
      </c>
      <c r="I150" s="24">
        <f t="shared" si="12"/>
        <v>5.2306070044728897E-2</v>
      </c>
      <c r="J150" s="25">
        <f t="shared" ca="1" si="14"/>
        <v>0.53914664909650867</v>
      </c>
      <c r="K150" s="200"/>
      <c r="L150" s="23"/>
      <c r="M150" s="23"/>
      <c r="N150" s="57"/>
      <c r="O150" s="57"/>
      <c r="P150" s="61"/>
      <c r="Q150" s="24"/>
      <c r="S150" s="25"/>
      <c r="T150" s="62"/>
      <c r="U150" s="27"/>
      <c r="V150" s="64"/>
      <c r="W150" s="170"/>
      <c r="X150" s="170"/>
      <c r="Y150" s="170"/>
      <c r="AA150" s="183"/>
      <c r="AB150" s="183"/>
      <c r="AC150" s="184"/>
      <c r="AD150" s="185"/>
      <c r="AE150" s="186"/>
      <c r="AF150" s="187"/>
      <c r="AG150" s="188"/>
      <c r="AH150" s="189"/>
      <c r="AI150" s="27"/>
      <c r="AJ150" s="28"/>
      <c r="AP150" s="26"/>
      <c r="AQ150" s="26"/>
      <c r="AR150" s="26"/>
      <c r="AS150" s="27"/>
      <c r="AT150" s="27"/>
      <c r="AU150" s="27"/>
      <c r="AV150" s="27"/>
      <c r="AW150" s="27"/>
      <c r="AY150" s="189"/>
      <c r="AZ150" s="189"/>
      <c r="BA150" s="205"/>
      <c r="BC150" s="189"/>
      <c r="BE150" s="57"/>
    </row>
    <row r="151" spans="1:57">
      <c r="A151" s="19">
        <f>[1]!_xludf.edate(A150,1)</f>
        <v>41579</v>
      </c>
      <c r="B151" s="21">
        <f t="shared" si="15"/>
        <v>30</v>
      </c>
      <c r="C151" s="20">
        <f>IF(Control!$C$10="Physical",Model!A152+24,Model!A152)</f>
        <v>41609</v>
      </c>
      <c r="E151" s="22">
        <f>IF($A151&lt;Collar!$C$9,IF(Collar!$F$26="Flat",Collar!$C$10,VLOOKUP(Model!$A151,Collar!$B$31:$D$184,3)),0)</f>
        <v>0</v>
      </c>
      <c r="F151" s="22">
        <f t="shared" si="13"/>
        <v>0</v>
      </c>
      <c r="G151" s="26">
        <f t="shared" ca="1" si="11"/>
        <v>0</v>
      </c>
      <c r="H151" s="60">
        <f>A151-1-Collar!$C$13</f>
        <v>4378</v>
      </c>
      <c r="I151" s="24">
        <f t="shared" si="12"/>
        <v>5.2359240597180903E-2</v>
      </c>
      <c r="J151" s="25">
        <f t="shared" ca="1" si="14"/>
        <v>0.53652998660269557</v>
      </c>
      <c r="K151" s="200"/>
      <c r="L151" s="23"/>
      <c r="M151" s="23"/>
      <c r="N151" s="57"/>
      <c r="O151" s="57"/>
      <c r="P151" s="61"/>
      <c r="Q151" s="24"/>
      <c r="S151" s="25"/>
      <c r="T151" s="62"/>
      <c r="U151" s="27"/>
      <c r="V151" s="64"/>
      <c r="W151" s="170"/>
      <c r="X151" s="170"/>
      <c r="Y151" s="170"/>
      <c r="AA151" s="183"/>
      <c r="AB151" s="183"/>
      <c r="AC151" s="184"/>
      <c r="AD151" s="185"/>
      <c r="AE151" s="186"/>
      <c r="AF151" s="187"/>
      <c r="AG151" s="188"/>
      <c r="AH151" s="189"/>
      <c r="AI151" s="27"/>
      <c r="AJ151" s="28"/>
      <c r="AP151" s="26"/>
      <c r="AQ151" s="26"/>
      <c r="AR151" s="26"/>
      <c r="AS151" s="27"/>
      <c r="AT151" s="27"/>
      <c r="AU151" s="27"/>
      <c r="AV151" s="27"/>
      <c r="AW151" s="27"/>
      <c r="AY151" s="189"/>
      <c r="AZ151" s="189"/>
      <c r="BA151" s="205"/>
      <c r="BC151" s="189"/>
      <c r="BE151" s="57"/>
    </row>
    <row r="152" spans="1:57">
      <c r="A152" s="19">
        <f>[1]!_xludf.edate(A151,1)</f>
        <v>41609</v>
      </c>
      <c r="B152" s="21">
        <f t="shared" si="15"/>
        <v>31</v>
      </c>
      <c r="C152" s="20">
        <f>IF(Control!$C$10="Physical",Model!A153+24,Model!A153)</f>
        <v>41640</v>
      </c>
      <c r="E152" s="22">
        <f>IF($A152&lt;Collar!$C$9,IF(Collar!$F$26="Flat",Collar!$C$10,VLOOKUP(Model!$A152,Collar!$B$31:$D$184,3)),0)</f>
        <v>0</v>
      </c>
      <c r="F152" s="22">
        <f t="shared" si="13"/>
        <v>0</v>
      </c>
      <c r="G152" s="26">
        <f t="shared" ca="1" si="11"/>
        <v>0</v>
      </c>
      <c r="H152" s="60">
        <f>A152-1-Collar!$C$13</f>
        <v>4408</v>
      </c>
      <c r="I152" s="24">
        <f t="shared" si="12"/>
        <v>5.2414183502372202E-2</v>
      </c>
      <c r="J152" s="25">
        <f t="shared" ca="1" si="14"/>
        <v>0.5338346784624588</v>
      </c>
      <c r="K152" s="200"/>
      <c r="L152" s="23"/>
      <c r="M152" s="23"/>
      <c r="N152" s="57"/>
      <c r="O152" s="57"/>
      <c r="P152" s="61"/>
      <c r="Q152" s="24"/>
      <c r="S152" s="25"/>
      <c r="T152" s="62"/>
      <c r="U152" s="27"/>
      <c r="V152" s="64"/>
      <c r="W152" s="170"/>
      <c r="X152" s="170"/>
      <c r="Y152" s="170"/>
      <c r="AA152" s="183"/>
      <c r="AB152" s="183"/>
      <c r="AC152" s="184"/>
      <c r="AD152" s="185"/>
      <c r="AE152" s="186"/>
      <c r="AF152" s="187"/>
      <c r="AG152" s="188"/>
      <c r="AH152" s="189"/>
      <c r="AI152" s="27"/>
      <c r="AJ152" s="28"/>
      <c r="AP152" s="26"/>
      <c r="AQ152" s="26"/>
      <c r="AR152" s="26"/>
      <c r="AS152" s="27"/>
      <c r="AT152" s="27"/>
      <c r="AU152" s="27"/>
      <c r="AV152" s="27"/>
      <c r="AW152" s="27"/>
      <c r="AY152" s="189"/>
      <c r="AZ152" s="189"/>
      <c r="BA152" s="205"/>
      <c r="BC152" s="189"/>
      <c r="BE152" s="57"/>
    </row>
    <row r="153" spans="1:57">
      <c r="A153" s="19">
        <f>[1]!_xludf.edate(A152,1)</f>
        <v>41640</v>
      </c>
      <c r="B153" s="21">
        <f t="shared" si="15"/>
        <v>31</v>
      </c>
      <c r="C153" s="20">
        <f>IF(Control!$C$10="Physical",Model!A154+24,Model!A154)</f>
        <v>41671</v>
      </c>
      <c r="E153" s="22">
        <f>IF($A153&lt;Collar!$C$9,IF(Collar!$F$26="Flat",Collar!$C$10,VLOOKUP(Model!$A153,Collar!$B$31:$D$184,3)),0)</f>
        <v>0</v>
      </c>
      <c r="F153" s="22">
        <f t="shared" si="13"/>
        <v>0</v>
      </c>
      <c r="G153" s="26">
        <f t="shared" ca="1" si="11"/>
        <v>0</v>
      </c>
      <c r="H153" s="60">
        <f>A153-1-Collar!$C$13</f>
        <v>4439</v>
      </c>
      <c r="I153" s="24">
        <f t="shared" si="12"/>
        <v>5.2469126408569697E-2</v>
      </c>
      <c r="J153" s="25">
        <f t="shared" ca="1" si="14"/>
        <v>0.53114809247738626</v>
      </c>
      <c r="K153" s="200"/>
      <c r="L153" s="23"/>
      <c r="M153" s="23"/>
      <c r="N153" s="57"/>
      <c r="O153" s="57"/>
      <c r="P153" s="61"/>
      <c r="Q153" s="24"/>
      <c r="S153" s="25"/>
      <c r="T153" s="62"/>
      <c r="U153" s="27"/>
      <c r="V153" s="64"/>
      <c r="W153" s="170"/>
      <c r="X153" s="170"/>
      <c r="Y153" s="170"/>
      <c r="AA153" s="183"/>
      <c r="AB153" s="183"/>
      <c r="AC153" s="184"/>
      <c r="AD153" s="185"/>
      <c r="AE153" s="186"/>
      <c r="AF153" s="187"/>
      <c r="AG153" s="188"/>
      <c r="AH153" s="189"/>
      <c r="AI153" s="27"/>
      <c r="AJ153" s="28"/>
      <c r="AP153" s="26"/>
      <c r="AQ153" s="26"/>
      <c r="AR153" s="26"/>
      <c r="AS153" s="27"/>
      <c r="AT153" s="27"/>
      <c r="AU153" s="27"/>
      <c r="AV153" s="27"/>
      <c r="AW153" s="27"/>
      <c r="AY153" s="189"/>
      <c r="AZ153" s="189"/>
      <c r="BA153" s="205"/>
      <c r="BC153" s="189"/>
      <c r="BE153" s="57"/>
    </row>
    <row r="154" spans="1:57">
      <c r="A154" s="19">
        <f>[1]!_xludf.edate(A153,1)</f>
        <v>41671</v>
      </c>
      <c r="B154" s="21">
        <f t="shared" si="15"/>
        <v>28</v>
      </c>
      <c r="C154" s="20">
        <f>IF(Control!$C$10="Physical",Model!A155+24,Model!A155)</f>
        <v>41699</v>
      </c>
      <c r="E154" s="22">
        <f>IF($A154&lt;Collar!$C$9,IF(Collar!$F$26="Flat",Collar!$C$10,VLOOKUP(Model!$A154,Collar!$B$31:$D$184,3)),0)</f>
        <v>0</v>
      </c>
      <c r="F154" s="22">
        <f t="shared" si="13"/>
        <v>0</v>
      </c>
      <c r="G154" s="26">
        <f t="shared" ca="1" si="11"/>
        <v>0</v>
      </c>
      <c r="H154" s="60">
        <f>A154-1-Collar!$C$13</f>
        <v>4470</v>
      </c>
      <c r="I154" s="24">
        <f t="shared" si="12"/>
        <v>5.2518752260194201E-2</v>
      </c>
      <c r="J154" s="25">
        <f t="shared" ca="1" si="14"/>
        <v>0.52872899965495235</v>
      </c>
      <c r="K154" s="200"/>
      <c r="L154" s="23"/>
      <c r="M154" s="23"/>
      <c r="N154" s="57"/>
      <c r="O154" s="57"/>
      <c r="P154" s="61"/>
      <c r="Q154" s="24"/>
      <c r="S154" s="25"/>
      <c r="T154" s="62"/>
      <c r="U154" s="27"/>
      <c r="V154" s="64"/>
      <c r="W154" s="170"/>
      <c r="X154" s="170"/>
      <c r="Y154" s="170"/>
      <c r="AA154" s="183"/>
      <c r="AB154" s="183"/>
      <c r="AC154" s="184"/>
      <c r="AD154" s="185"/>
      <c r="AE154" s="186"/>
      <c r="AF154" s="187"/>
      <c r="AG154" s="188"/>
      <c r="AH154" s="189"/>
      <c r="AI154" s="27"/>
      <c r="AJ154" s="28"/>
      <c r="AP154" s="26"/>
      <c r="AQ154" s="26"/>
      <c r="AR154" s="26"/>
      <c r="AS154" s="27"/>
      <c r="AT154" s="27"/>
      <c r="AU154" s="27"/>
      <c r="AV154" s="27"/>
      <c r="AW154" s="27"/>
      <c r="AY154" s="189"/>
      <c r="AZ154" s="189"/>
      <c r="BA154" s="205"/>
      <c r="BC154" s="189"/>
      <c r="BE154" s="57"/>
    </row>
    <row r="155" spans="1:57">
      <c r="A155" s="19">
        <f>[1]!_xludf.edate(A154,1)</f>
        <v>41699</v>
      </c>
      <c r="B155" s="21">
        <f t="shared" si="15"/>
        <v>31</v>
      </c>
      <c r="C155" s="20">
        <f>IF(Control!$C$10="Physical",Model!A156+24,Model!A156)</f>
        <v>41730</v>
      </c>
      <c r="E155" s="22">
        <f>IF($A155&lt;Collar!$C$9,IF(Collar!$F$26="Flat",Collar!$C$10,VLOOKUP(Model!$A155,Collar!$B$31:$D$184,3)),0)</f>
        <v>0</v>
      </c>
      <c r="F155" s="22">
        <f t="shared" si="13"/>
        <v>0</v>
      </c>
      <c r="G155" s="26">
        <f t="shared" ca="1" si="11"/>
        <v>0</v>
      </c>
      <c r="H155" s="60">
        <f>A155-1-Collar!$C$13</f>
        <v>4498</v>
      </c>
      <c r="I155" s="24">
        <f t="shared" si="12"/>
        <v>5.2573695168308003E-2</v>
      </c>
      <c r="J155" s="25">
        <f t="shared" ca="1" si="14"/>
        <v>0.52605902725455078</v>
      </c>
      <c r="K155" s="200"/>
      <c r="L155" s="23"/>
      <c r="M155" s="23"/>
      <c r="N155" s="57"/>
      <c r="O155" s="57"/>
      <c r="P155" s="61"/>
      <c r="Q155" s="24"/>
      <c r="S155" s="25"/>
      <c r="T155" s="62"/>
      <c r="U155" s="27"/>
      <c r="V155" s="64"/>
      <c r="W155" s="170"/>
      <c r="X155" s="170"/>
      <c r="Y155" s="170"/>
      <c r="AA155" s="183"/>
      <c r="AB155" s="183"/>
      <c r="AC155" s="184"/>
      <c r="AD155" s="185"/>
      <c r="AE155" s="186"/>
      <c r="AF155" s="187"/>
      <c r="AG155" s="188"/>
      <c r="AH155" s="189"/>
      <c r="AI155" s="27"/>
      <c r="AJ155" s="28"/>
      <c r="AP155" s="26"/>
      <c r="AQ155" s="26"/>
      <c r="AR155" s="26"/>
      <c r="AS155" s="27"/>
      <c r="AT155" s="27"/>
      <c r="AU155" s="27"/>
      <c r="AV155" s="27"/>
      <c r="AW155" s="27"/>
      <c r="AY155" s="189"/>
      <c r="AZ155" s="189"/>
      <c r="BA155" s="205"/>
      <c r="BC155" s="189"/>
      <c r="BE155" s="57"/>
    </row>
    <row r="156" spans="1:57">
      <c r="A156" s="19">
        <f>[1]!_xludf.edate(A155,1)</f>
        <v>41730</v>
      </c>
      <c r="B156" s="21">
        <f t="shared" si="15"/>
        <v>30</v>
      </c>
      <c r="C156" s="20">
        <f>IF(Control!$C$10="Physical",Model!A157+24,Model!A157)</f>
        <v>41760</v>
      </c>
      <c r="E156" s="22">
        <f>IF($A156&lt;Collar!$C$9,IF(Collar!$F$26="Flat",Collar!$C$10,VLOOKUP(Model!$A156,Collar!$B$31:$D$184,3)),0)</f>
        <v>0</v>
      </c>
      <c r="F156" s="22">
        <f t="shared" si="13"/>
        <v>0</v>
      </c>
      <c r="G156" s="26">
        <f t="shared" ca="1" si="11"/>
        <v>0</v>
      </c>
      <c r="H156" s="60">
        <f>A156-1-Collar!$C$13</f>
        <v>4529</v>
      </c>
      <c r="I156" s="24">
        <f t="shared" si="12"/>
        <v>5.2626865725505102E-2</v>
      </c>
      <c r="J156" s="25">
        <f t="shared" ca="1" si="14"/>
        <v>0.52348350049279935</v>
      </c>
      <c r="K156" s="200"/>
      <c r="L156" s="23"/>
      <c r="M156" s="23"/>
      <c r="N156" s="57"/>
      <c r="O156" s="57"/>
      <c r="P156" s="61"/>
      <c r="Q156" s="24"/>
      <c r="S156" s="25"/>
      <c r="T156" s="62"/>
      <c r="U156" s="27"/>
      <c r="V156" s="64"/>
      <c r="W156" s="170"/>
      <c r="X156" s="170"/>
      <c r="Y156" s="170"/>
      <c r="AA156" s="183"/>
      <c r="AB156" s="183"/>
      <c r="AC156" s="184"/>
      <c r="AD156" s="185"/>
      <c r="AE156" s="186"/>
      <c r="AF156" s="187"/>
      <c r="AG156" s="188"/>
      <c r="AH156" s="189"/>
      <c r="AI156" s="27"/>
      <c r="AJ156" s="28"/>
      <c r="AP156" s="26"/>
      <c r="AQ156" s="26"/>
      <c r="AR156" s="26"/>
      <c r="AS156" s="27"/>
      <c r="AT156" s="27"/>
      <c r="AU156" s="27"/>
      <c r="AV156" s="27"/>
      <c r="AW156" s="27"/>
      <c r="AY156" s="189"/>
      <c r="AZ156" s="189"/>
      <c r="BA156" s="205"/>
      <c r="BC156" s="189"/>
      <c r="BE156" s="57"/>
    </row>
    <row r="157" spans="1:57">
      <c r="A157" s="19">
        <f>[1]!_xludf.edate(A156,1)</f>
        <v>41760</v>
      </c>
      <c r="B157" s="21">
        <f t="shared" si="15"/>
        <v>31</v>
      </c>
      <c r="C157" s="20">
        <f>IF(Control!$C$10="Physical",Model!A158+24,Model!A158)</f>
        <v>41791</v>
      </c>
      <c r="E157" s="22">
        <f>IF($A157&lt;Collar!$C$9,IF(Collar!$F$26="Flat",Collar!$C$10,VLOOKUP(Model!$A157,Collar!$B$31:$D$184,3)),0)</f>
        <v>0</v>
      </c>
      <c r="F157" s="22">
        <f t="shared" si="13"/>
        <v>0</v>
      </c>
      <c r="G157" s="26">
        <f t="shared" ca="1" si="11"/>
        <v>0</v>
      </c>
      <c r="H157" s="60">
        <f>A157-1-Collar!$C$13</f>
        <v>4559</v>
      </c>
      <c r="I157" s="24">
        <f t="shared" si="12"/>
        <v>5.2681808635599597E-2</v>
      </c>
      <c r="J157" s="25">
        <f t="shared" ca="1" si="14"/>
        <v>0.52083072162730326</v>
      </c>
      <c r="K157" s="200"/>
      <c r="L157" s="23"/>
      <c r="M157" s="23"/>
      <c r="N157" s="57"/>
      <c r="O157" s="57"/>
      <c r="P157" s="61"/>
      <c r="Q157" s="24"/>
      <c r="S157" s="25"/>
      <c r="T157" s="62"/>
      <c r="U157" s="27"/>
      <c r="V157" s="64"/>
      <c r="W157" s="170"/>
      <c r="X157" s="170"/>
      <c r="Y157" s="170"/>
      <c r="AA157" s="183"/>
      <c r="AB157" s="183"/>
      <c r="AC157" s="184"/>
      <c r="AD157" s="185"/>
      <c r="AE157" s="186"/>
      <c r="AF157" s="187"/>
      <c r="AG157" s="188"/>
      <c r="AH157" s="189"/>
      <c r="AI157" s="27"/>
      <c r="AJ157" s="28"/>
      <c r="AP157" s="26"/>
      <c r="AQ157" s="26"/>
      <c r="AR157" s="26"/>
      <c r="AS157" s="27"/>
      <c r="AT157" s="27"/>
      <c r="AU157" s="27"/>
      <c r="AV157" s="27"/>
      <c r="AW157" s="27"/>
      <c r="AY157" s="189"/>
      <c r="AZ157" s="189"/>
      <c r="BA157" s="205"/>
      <c r="BC157" s="189"/>
      <c r="BE157" s="57"/>
    </row>
    <row r="158" spans="1:57">
      <c r="A158" s="19">
        <f>[1]!_xludf.edate(A157,1)</f>
        <v>41791</v>
      </c>
      <c r="B158" s="21">
        <f t="shared" si="15"/>
        <v>30</v>
      </c>
      <c r="C158" s="20">
        <f>IF(Control!$C$10="Physical",Model!A159+24,Model!A159)</f>
        <v>41821</v>
      </c>
      <c r="E158" s="22">
        <f>IF($A158&lt;Collar!$C$9,IF(Collar!$F$26="Flat",Collar!$C$10,VLOOKUP(Model!$A158,Collar!$B$31:$D$184,3)),0)</f>
        <v>0</v>
      </c>
      <c r="F158" s="22">
        <f t="shared" si="13"/>
        <v>0</v>
      </c>
      <c r="G158" s="26">
        <f t="shared" ca="1" si="11"/>
        <v>0</v>
      </c>
      <c r="H158" s="60">
        <f>A158-1-Collar!$C$13</f>
        <v>4590</v>
      </c>
      <c r="I158" s="24">
        <f t="shared" si="12"/>
        <v>5.2734979194714302E-2</v>
      </c>
      <c r="J158" s="25">
        <f t="shared" ca="1" si="14"/>
        <v>0.51827184131111625</v>
      </c>
      <c r="K158" s="200"/>
      <c r="L158" s="23"/>
      <c r="M158" s="23"/>
      <c r="N158" s="57"/>
      <c r="O158" s="57"/>
      <c r="P158" s="61"/>
      <c r="Q158" s="24"/>
      <c r="S158" s="25"/>
      <c r="T158" s="62"/>
      <c r="U158" s="27"/>
      <c r="V158" s="64"/>
      <c r="W158" s="170"/>
      <c r="X158" s="170"/>
      <c r="Y158" s="170"/>
      <c r="AA158" s="183"/>
      <c r="AB158" s="183"/>
      <c r="AC158" s="184"/>
      <c r="AD158" s="185"/>
      <c r="AE158" s="186"/>
      <c r="AF158" s="187"/>
      <c r="AG158" s="188"/>
      <c r="AH158" s="189"/>
      <c r="AI158" s="27"/>
      <c r="AJ158" s="28"/>
      <c r="AP158" s="26"/>
      <c r="AQ158" s="26"/>
      <c r="AR158" s="26"/>
      <c r="AS158" s="27"/>
      <c r="AT158" s="27"/>
      <c r="AU158" s="27"/>
      <c r="AV158" s="27"/>
      <c r="AW158" s="27"/>
      <c r="AY158" s="189"/>
      <c r="AZ158" s="189"/>
      <c r="BA158" s="205"/>
      <c r="BC158" s="189"/>
      <c r="BE158" s="57"/>
    </row>
    <row r="159" spans="1:57">
      <c r="A159" s="19">
        <f>[1]!_xludf.edate(A158,1)</f>
        <v>41821</v>
      </c>
      <c r="B159" s="21">
        <f t="shared" si="15"/>
        <v>31</v>
      </c>
      <c r="C159" s="20">
        <f>IF(Control!$C$10="Physical",Model!A160+24,Model!A160)</f>
        <v>41852</v>
      </c>
      <c r="E159" s="22">
        <f>IF($A159&lt;Collar!$C$9,IF(Collar!$F$26="Flat",Collar!$C$10,VLOOKUP(Model!$A159,Collar!$B$31:$D$184,3)),0)</f>
        <v>0</v>
      </c>
      <c r="F159" s="22">
        <f t="shared" si="13"/>
        <v>0</v>
      </c>
      <c r="G159" s="26">
        <f t="shared" ca="1" si="11"/>
        <v>0</v>
      </c>
      <c r="H159" s="60">
        <f>A159-1-Collar!$C$13</f>
        <v>4620</v>
      </c>
      <c r="I159" s="24">
        <f t="shared" si="12"/>
        <v>5.27899221067889E-2</v>
      </c>
      <c r="J159" s="25">
        <f t="shared" ca="1" si="14"/>
        <v>0.51563627106591392</v>
      </c>
      <c r="K159" s="200"/>
      <c r="L159" s="23"/>
      <c r="M159" s="23"/>
      <c r="N159" s="57"/>
      <c r="O159" s="57"/>
      <c r="P159" s="61"/>
      <c r="Q159" s="24"/>
      <c r="S159" s="25"/>
      <c r="T159" s="62"/>
      <c r="U159" s="27"/>
      <c r="V159" s="64"/>
      <c r="W159" s="170"/>
      <c r="X159" s="170"/>
      <c r="Y159" s="170"/>
      <c r="AA159" s="183"/>
      <c r="AB159" s="183"/>
      <c r="AC159" s="184"/>
      <c r="AD159" s="185"/>
      <c r="AE159" s="186"/>
      <c r="AF159" s="187"/>
      <c r="AG159" s="188"/>
      <c r="AH159" s="189"/>
      <c r="AI159" s="27"/>
      <c r="AJ159" s="28"/>
      <c r="AP159" s="26"/>
      <c r="AQ159" s="26"/>
      <c r="AR159" s="26"/>
      <c r="AS159" s="27"/>
      <c r="AT159" s="27"/>
      <c r="AU159" s="27"/>
      <c r="AV159" s="27"/>
      <c r="AW159" s="27"/>
      <c r="AY159" s="189"/>
      <c r="AZ159" s="189"/>
      <c r="BA159" s="205"/>
      <c r="BC159" s="189"/>
      <c r="BE159" s="57"/>
    </row>
    <row r="160" spans="1:57">
      <c r="A160" s="19">
        <f>[1]!_xludf.edate(A159,1)</f>
        <v>41852</v>
      </c>
      <c r="B160" s="21">
        <f t="shared" si="15"/>
        <v>31</v>
      </c>
      <c r="C160" s="20">
        <f>IF(Control!$C$10="Physical",Model!A161+24,Model!A161)</f>
        <v>41883</v>
      </c>
      <c r="E160" s="22">
        <f>IF($A160&lt;Collar!$C$9,IF(Collar!$F$26="Flat",Collar!$C$10,VLOOKUP(Model!$A160,Collar!$B$31:$D$184,3)),0)</f>
        <v>0</v>
      </c>
      <c r="F160" s="22">
        <f t="shared" si="13"/>
        <v>0</v>
      </c>
      <c r="G160" s="26">
        <f t="shared" ca="1" si="11"/>
        <v>0</v>
      </c>
      <c r="H160" s="60">
        <f>A160-1-Collar!$C$13</f>
        <v>4651</v>
      </c>
      <c r="I160" s="24">
        <f t="shared" si="12"/>
        <v>5.28448650198707E-2</v>
      </c>
      <c r="J160" s="25">
        <f t="shared" ca="1" si="14"/>
        <v>0.51300945133244691</v>
      </c>
      <c r="K160" s="200"/>
      <c r="L160" s="23"/>
      <c r="M160" s="23"/>
      <c r="N160" s="57"/>
      <c r="O160" s="57"/>
      <c r="P160" s="61"/>
      <c r="Q160" s="24"/>
      <c r="S160" s="25"/>
      <c r="T160" s="62"/>
      <c r="U160" s="27"/>
      <c r="V160" s="64"/>
      <c r="W160" s="170"/>
      <c r="X160" s="170"/>
      <c r="Y160" s="170"/>
      <c r="AA160" s="183"/>
      <c r="AB160" s="183"/>
      <c r="AC160" s="184"/>
      <c r="AD160" s="185"/>
      <c r="AE160" s="186"/>
      <c r="AF160" s="187"/>
      <c r="AG160" s="188"/>
      <c r="AH160" s="189"/>
      <c r="AI160" s="27"/>
      <c r="AJ160" s="28"/>
      <c r="AP160" s="26"/>
      <c r="AQ160" s="26"/>
      <c r="AR160" s="26"/>
      <c r="AS160" s="27"/>
      <c r="AT160" s="27"/>
      <c r="AU160" s="27"/>
      <c r="AV160" s="27"/>
      <c r="AW160" s="27"/>
      <c r="AY160" s="189"/>
      <c r="AZ160" s="189"/>
      <c r="BA160" s="205"/>
      <c r="BC160" s="189"/>
      <c r="BE160" s="57"/>
    </row>
    <row r="161" spans="1:57">
      <c r="A161" s="19">
        <f>[1]!_xludf.edate(A160,1)</f>
        <v>41883</v>
      </c>
      <c r="B161" s="21">
        <f t="shared" si="15"/>
        <v>30</v>
      </c>
      <c r="C161" s="20">
        <f>IF(Control!$C$10="Physical",Model!A162+24,Model!A162)</f>
        <v>41913</v>
      </c>
      <c r="E161" s="22">
        <f>IF($A161&lt;Collar!$C$9,IF(Collar!$F$26="Flat",Collar!$C$10,VLOOKUP(Model!$A161,Collar!$B$31:$D$184,3)),0)</f>
        <v>0</v>
      </c>
      <c r="F161" s="22">
        <f t="shared" si="13"/>
        <v>0</v>
      </c>
      <c r="G161" s="26">
        <f t="shared" ca="1" si="11"/>
        <v>0</v>
      </c>
      <c r="H161" s="60">
        <f>A161-1-Collar!$C$13</f>
        <v>4682</v>
      </c>
      <c r="I161" s="24">
        <f t="shared" si="12"/>
        <v>5.2898035581876002E-2</v>
      </c>
      <c r="J161" s="25">
        <f t="shared" ca="1" si="14"/>
        <v>0.5104757023201425</v>
      </c>
      <c r="K161" s="200"/>
      <c r="L161" s="23"/>
      <c r="M161" s="23"/>
      <c r="N161" s="57"/>
      <c r="O161" s="57"/>
      <c r="P161" s="61"/>
      <c r="Q161" s="24"/>
      <c r="S161" s="25"/>
      <c r="T161" s="62"/>
      <c r="U161" s="27"/>
      <c r="V161" s="64"/>
      <c r="W161" s="170"/>
      <c r="X161" s="170"/>
      <c r="Y161" s="170"/>
      <c r="AA161" s="183"/>
      <c r="AB161" s="183"/>
      <c r="AC161" s="184"/>
      <c r="AD161" s="185"/>
      <c r="AE161" s="186"/>
      <c r="AF161" s="187"/>
      <c r="AG161" s="188"/>
      <c r="AH161" s="189"/>
      <c r="AI161" s="27"/>
      <c r="AJ161" s="28"/>
      <c r="AP161" s="26"/>
      <c r="AQ161" s="26"/>
      <c r="AR161" s="26"/>
      <c r="AS161" s="27"/>
      <c r="AT161" s="27"/>
      <c r="AU161" s="27"/>
      <c r="AV161" s="27"/>
      <c r="AW161" s="27"/>
      <c r="AY161" s="189"/>
      <c r="AZ161" s="189"/>
      <c r="BA161" s="205"/>
      <c r="BC161" s="189"/>
      <c r="BE161" s="57"/>
    </row>
    <row r="162" spans="1:57">
      <c r="A162" s="19">
        <f>[1]!_xludf.edate(A161,1)</f>
        <v>41913</v>
      </c>
      <c r="B162" s="21">
        <f t="shared" si="15"/>
        <v>31</v>
      </c>
      <c r="C162" s="20">
        <f>IF(Control!$C$10="Physical",Model!A163+24,Model!A163)</f>
        <v>41944</v>
      </c>
      <c r="E162" s="22">
        <f>IF($A162&lt;Collar!$C$9,IF(Collar!$F$26="Flat",Collar!$C$10,VLOOKUP(Model!$A162,Collar!$B$31:$D$184,3)),0)</f>
        <v>0</v>
      </c>
      <c r="F162" s="22">
        <f t="shared" si="13"/>
        <v>0</v>
      </c>
      <c r="G162" s="26">
        <f t="shared" ca="1" si="11"/>
        <v>0</v>
      </c>
      <c r="H162" s="60">
        <f>A162-1-Collar!$C$13</f>
        <v>4712</v>
      </c>
      <c r="I162" s="24">
        <f t="shared" si="12"/>
        <v>5.29529784969376E-2</v>
      </c>
      <c r="J162" s="25">
        <f t="shared" ca="1" si="14"/>
        <v>0.50786611022698935</v>
      </c>
      <c r="K162" s="200"/>
      <c r="L162" s="23"/>
      <c r="M162" s="23"/>
      <c r="N162" s="57"/>
      <c r="O162" s="57"/>
      <c r="P162" s="61"/>
      <c r="Q162" s="24"/>
      <c r="S162" s="25"/>
      <c r="T162" s="62"/>
      <c r="U162" s="27"/>
      <c r="V162" s="64"/>
      <c r="W162" s="170"/>
      <c r="X162" s="170"/>
      <c r="Y162" s="170"/>
      <c r="AA162" s="183"/>
      <c r="AB162" s="183"/>
      <c r="AC162" s="184"/>
      <c r="AD162" s="185"/>
      <c r="AE162" s="186"/>
      <c r="AF162" s="187"/>
      <c r="AG162" s="188"/>
      <c r="AH162" s="189"/>
      <c r="AI162" s="27"/>
      <c r="AJ162" s="28"/>
      <c r="AP162" s="26"/>
      <c r="AQ162" s="26"/>
      <c r="AR162" s="26"/>
      <c r="AS162" s="27"/>
      <c r="AT162" s="27"/>
      <c r="AU162" s="27"/>
      <c r="AV162" s="27"/>
      <c r="AW162" s="27"/>
      <c r="AY162" s="189"/>
      <c r="AZ162" s="189"/>
      <c r="BA162" s="205"/>
      <c r="BC162" s="189"/>
      <c r="BE162" s="57"/>
    </row>
    <row r="163" spans="1:57">
      <c r="A163" s="19">
        <f>[1]!_xludf.edate(A162,1)</f>
        <v>41944</v>
      </c>
      <c r="B163" s="21">
        <f t="shared" si="15"/>
        <v>30</v>
      </c>
      <c r="C163" s="20">
        <f>IF(Control!$C$10="Physical",Model!A164+24,Model!A164)</f>
        <v>41974</v>
      </c>
      <c r="E163" s="22">
        <f>IF($A163&lt;Collar!$C$9,IF(Collar!$F$26="Flat",Collar!$C$10,VLOOKUP(Model!$A163,Collar!$B$31:$D$184,3)),0)</f>
        <v>0</v>
      </c>
      <c r="F163" s="22">
        <f t="shared" si="13"/>
        <v>0</v>
      </c>
      <c r="G163" s="26">
        <f t="shared" ca="1" si="11"/>
        <v>0</v>
      </c>
      <c r="H163" s="60">
        <f>A163-1-Collar!$C$13</f>
        <v>4743</v>
      </c>
      <c r="I163" s="24">
        <f t="shared" si="12"/>
        <v>5.30061490608595E-2</v>
      </c>
      <c r="J163" s="25">
        <f t="shared" ca="1" si="14"/>
        <v>0.50534903827838418</v>
      </c>
      <c r="K163" s="200"/>
      <c r="L163" s="23"/>
      <c r="M163" s="23"/>
      <c r="N163" s="57"/>
      <c r="O163" s="57"/>
      <c r="P163" s="61"/>
      <c r="Q163" s="24"/>
      <c r="S163" s="25"/>
      <c r="T163" s="62"/>
      <c r="U163" s="27"/>
      <c r="V163" s="64"/>
      <c r="W163" s="170"/>
      <c r="X163" s="170"/>
      <c r="Y163" s="170"/>
      <c r="AA163" s="183"/>
      <c r="AB163" s="183"/>
      <c r="AC163" s="184"/>
      <c r="AD163" s="185"/>
      <c r="AE163" s="186"/>
      <c r="AF163" s="187"/>
      <c r="AG163" s="188"/>
      <c r="AH163" s="189"/>
      <c r="AI163" s="27"/>
      <c r="AJ163" s="28"/>
      <c r="AP163" s="26"/>
      <c r="AQ163" s="26"/>
      <c r="AR163" s="26"/>
      <c r="AS163" s="27"/>
      <c r="AT163" s="27"/>
      <c r="AU163" s="27"/>
      <c r="AV163" s="27"/>
      <c r="AW163" s="27"/>
      <c r="AY163" s="189"/>
      <c r="AZ163" s="189"/>
      <c r="BA163" s="205"/>
      <c r="BC163" s="189"/>
      <c r="BE163" s="57"/>
    </row>
    <row r="164" spans="1:57">
      <c r="A164" s="19">
        <f>[1]!_xludf.edate(A163,1)</f>
        <v>41974</v>
      </c>
      <c r="B164" s="21">
        <f t="shared" si="15"/>
        <v>31</v>
      </c>
      <c r="C164" s="20">
        <f>IF(Control!$C$10="Physical",Model!A165+24,Model!A165)</f>
        <v>42005</v>
      </c>
      <c r="E164" s="22">
        <f>IF($A164&lt;Collar!$C$9,IF(Collar!$F$26="Flat",Collar!$C$10,VLOOKUP(Model!$A164,Collar!$B$31:$D$184,3)),0)</f>
        <v>0</v>
      </c>
      <c r="F164" s="22">
        <f t="shared" si="13"/>
        <v>0</v>
      </c>
      <c r="G164" s="26">
        <f t="shared" ca="1" si="11"/>
        <v>0</v>
      </c>
      <c r="H164" s="60">
        <f>A164-1-Collar!$C$13</f>
        <v>4773</v>
      </c>
      <c r="I164" s="24">
        <f t="shared" si="12"/>
        <v>5.3061091977902201E-2</v>
      </c>
      <c r="J164" s="25">
        <f t="shared" ca="1" si="14"/>
        <v>0.50275668398907147</v>
      </c>
      <c r="K164" s="200"/>
      <c r="L164" s="23"/>
      <c r="M164" s="23"/>
      <c r="N164" s="57"/>
      <c r="O164" s="57"/>
      <c r="P164" s="61"/>
      <c r="Q164" s="24"/>
      <c r="S164" s="25"/>
      <c r="T164" s="62"/>
      <c r="U164" s="27"/>
      <c r="V164" s="64"/>
      <c r="W164" s="170"/>
      <c r="X164" s="170"/>
      <c r="Y164" s="170"/>
      <c r="AA164" s="183"/>
      <c r="AB164" s="183"/>
      <c r="AC164" s="184"/>
      <c r="AD164" s="185"/>
      <c r="AE164" s="186"/>
      <c r="AF164" s="187"/>
      <c r="AG164" s="188"/>
      <c r="AH164" s="189"/>
      <c r="AI164" s="27"/>
      <c r="AJ164" s="28"/>
      <c r="AP164" s="26"/>
      <c r="AQ164" s="26"/>
      <c r="AR164" s="26"/>
      <c r="AS164" s="27"/>
      <c r="AT164" s="27"/>
      <c r="AU164" s="27"/>
      <c r="AV164" s="27"/>
      <c r="AW164" s="27"/>
      <c r="AY164" s="189"/>
      <c r="AZ164" s="189"/>
      <c r="BA164" s="205"/>
      <c r="BC164" s="189"/>
      <c r="BE164" s="57"/>
    </row>
    <row r="165" spans="1:57">
      <c r="A165" s="19">
        <f>[1]!_xludf.edate(A164,1)</f>
        <v>42005</v>
      </c>
      <c r="B165" s="21">
        <f t="shared" si="15"/>
        <v>31</v>
      </c>
      <c r="C165" s="20">
        <f>IF(Control!$C$10="Physical",Model!A166+24,Model!A166)</f>
        <v>42036</v>
      </c>
      <c r="E165" s="22">
        <f>IF($A165&lt;Collar!$C$9,IF(Collar!$F$26="Flat",Collar!$C$10,VLOOKUP(Model!$A165,Collar!$B$31:$D$184,3)),0)</f>
        <v>0</v>
      </c>
      <c r="F165" s="22">
        <f t="shared" si="13"/>
        <v>0</v>
      </c>
      <c r="G165" s="26">
        <f t="shared" ca="1" si="11"/>
        <v>0</v>
      </c>
      <c r="H165" s="60">
        <f>A165-1-Collar!$C$13</f>
        <v>4804</v>
      </c>
      <c r="I165" s="24">
        <f t="shared" si="12"/>
        <v>5.3116034895951202E-2</v>
      </c>
      <c r="J165" s="25">
        <f t="shared" ca="1" si="14"/>
        <v>0.50017309317097502</v>
      </c>
      <c r="K165" s="200"/>
      <c r="L165" s="23"/>
      <c r="M165" s="23"/>
      <c r="N165" s="57"/>
      <c r="O165" s="57"/>
      <c r="P165" s="61"/>
      <c r="Q165" s="24"/>
      <c r="S165" s="25"/>
      <c r="T165" s="62"/>
      <c r="U165" s="27"/>
      <c r="V165" s="64"/>
      <c r="W165" s="170"/>
      <c r="X165" s="170"/>
      <c r="Y165" s="170"/>
      <c r="AA165" s="183"/>
      <c r="AB165" s="183"/>
      <c r="AC165" s="184"/>
      <c r="AD165" s="185"/>
      <c r="AE165" s="186"/>
      <c r="AF165" s="187"/>
      <c r="AG165" s="188"/>
      <c r="AH165" s="189"/>
      <c r="AI165" s="27"/>
      <c r="AJ165" s="28"/>
      <c r="AP165" s="26"/>
      <c r="AQ165" s="26"/>
      <c r="AR165" s="26"/>
      <c r="AS165" s="27"/>
      <c r="AT165" s="27"/>
      <c r="AU165" s="27"/>
      <c r="AV165" s="27"/>
      <c r="AW165" s="27"/>
      <c r="AY165" s="189"/>
      <c r="AZ165" s="189"/>
      <c r="BA165" s="205"/>
      <c r="BC165" s="189"/>
      <c r="BE165" s="57"/>
    </row>
    <row r="166" spans="1:57">
      <c r="A166" s="19">
        <f>[1]!_xludf.edate(A165,1)</f>
        <v>42036</v>
      </c>
      <c r="B166" s="21">
        <f t="shared" si="15"/>
        <v>28</v>
      </c>
      <c r="C166" s="20">
        <f>IF(Control!$C$10="Physical",Model!A167+24,Model!A167)</f>
        <v>42064</v>
      </c>
      <c r="E166" s="22">
        <f>IF($A166&lt;Collar!$C$9,IF(Collar!$F$26="Flat",Collar!$C$10,VLOOKUP(Model!$A166,Collar!$B$31:$D$184,3)),0)</f>
        <v>0</v>
      </c>
      <c r="F166" s="22">
        <f t="shared" si="13"/>
        <v>0</v>
      </c>
      <c r="G166" s="26">
        <f t="shared" ca="1" si="11"/>
        <v>0</v>
      </c>
      <c r="H166" s="60">
        <f>A166-1-Collar!$C$13</f>
        <v>4835</v>
      </c>
      <c r="I166" s="24">
        <f t="shared" si="12"/>
        <v>5.3165660758279602E-2</v>
      </c>
      <c r="J166" s="25">
        <f t="shared" ca="1" si="14"/>
        <v>0.4978470612255369</v>
      </c>
      <c r="K166" s="200"/>
      <c r="L166" s="23"/>
      <c r="M166" s="23"/>
      <c r="N166" s="57"/>
      <c r="O166" s="57"/>
      <c r="P166" s="61"/>
      <c r="Q166" s="24"/>
      <c r="S166" s="25"/>
      <c r="T166" s="62"/>
      <c r="U166" s="27"/>
      <c r="V166" s="64"/>
      <c r="W166" s="170"/>
      <c r="X166" s="170"/>
      <c r="Y166" s="170"/>
      <c r="AA166" s="183"/>
      <c r="AB166" s="183"/>
      <c r="AC166" s="184"/>
      <c r="AD166" s="185"/>
      <c r="AE166" s="186"/>
      <c r="AF166" s="187"/>
      <c r="AG166" s="188"/>
      <c r="AH166" s="189"/>
      <c r="AI166" s="27"/>
      <c r="AJ166" s="28"/>
      <c r="AP166" s="26"/>
      <c r="AQ166" s="26"/>
      <c r="AR166" s="26"/>
      <c r="AS166" s="27"/>
      <c r="AT166" s="27"/>
      <c r="AU166" s="27"/>
      <c r="AV166" s="27"/>
      <c r="AW166" s="27"/>
      <c r="AY166" s="189"/>
      <c r="AZ166" s="189"/>
      <c r="BA166" s="205"/>
      <c r="BC166" s="189"/>
      <c r="BE166" s="57"/>
    </row>
    <row r="167" spans="1:57">
      <c r="A167" s="19">
        <f>[1]!_xludf.edate(A166,1)</f>
        <v>42064</v>
      </c>
      <c r="B167" s="21">
        <f t="shared" si="15"/>
        <v>31</v>
      </c>
      <c r="C167" s="20">
        <f>IF(Control!$C$10="Physical",Model!A168+24,Model!A168)</f>
        <v>42095</v>
      </c>
      <c r="E167" s="22">
        <f>IF($A167&lt;Collar!$C$9,IF(Collar!$F$26="Flat",Collar!$C$10,VLOOKUP(Model!$A167,Collar!$B$31:$D$184,3)),0)</f>
        <v>0</v>
      </c>
      <c r="F167" s="22">
        <f t="shared" si="13"/>
        <v>0</v>
      </c>
      <c r="G167" s="26">
        <f t="shared" ca="1" si="11"/>
        <v>0</v>
      </c>
      <c r="H167" s="60">
        <f>A167-1-Collar!$C$13</f>
        <v>4863</v>
      </c>
      <c r="I167" s="24">
        <f t="shared" si="12"/>
        <v>5.3220603678244299E-2</v>
      </c>
      <c r="J167" s="25">
        <f t="shared" ca="1" si="14"/>
        <v>0.49528015424287664</v>
      </c>
      <c r="K167" s="200"/>
      <c r="L167" s="23"/>
      <c r="M167" s="23"/>
      <c r="N167" s="57"/>
      <c r="O167" s="57"/>
      <c r="P167" s="61"/>
      <c r="Q167" s="24"/>
      <c r="S167" s="25"/>
      <c r="T167" s="62"/>
      <c r="U167" s="27"/>
      <c r="V167" s="64"/>
      <c r="W167" s="170"/>
      <c r="X167" s="170"/>
      <c r="Y167" s="170"/>
      <c r="AA167" s="183"/>
      <c r="AB167" s="183"/>
      <c r="AC167" s="184"/>
      <c r="AD167" s="185"/>
      <c r="AE167" s="186"/>
      <c r="AF167" s="187"/>
      <c r="AG167" s="188"/>
      <c r="AH167" s="189"/>
      <c r="AI167" s="27"/>
      <c r="AJ167" s="28"/>
      <c r="AP167" s="26"/>
      <c r="AQ167" s="26"/>
      <c r="AR167" s="26"/>
      <c r="AS167" s="27"/>
      <c r="AT167" s="27"/>
      <c r="AU167" s="27"/>
      <c r="AV167" s="27"/>
      <c r="AW167" s="27"/>
      <c r="AY167" s="189"/>
      <c r="AZ167" s="189"/>
      <c r="BA167" s="205"/>
      <c r="BC167" s="189"/>
      <c r="BE167" s="57"/>
    </row>
    <row r="168" spans="1:57">
      <c r="A168" s="19">
        <f>[1]!_xludf.edate(A167,1)</f>
        <v>42095</v>
      </c>
      <c r="B168" s="21">
        <f t="shared" si="15"/>
        <v>30</v>
      </c>
      <c r="C168" s="20">
        <f>IF(Control!$C$10="Physical",Model!A169+24,Model!A169)</f>
        <v>42125</v>
      </c>
      <c r="E168" s="22">
        <f>IF($A168&lt;Collar!$C$9,IF(Collar!$F$26="Flat",Collar!$C$10,VLOOKUP(Model!$A168,Collar!$B$31:$D$184,3)),0)</f>
        <v>0</v>
      </c>
      <c r="F168" s="22">
        <f t="shared" si="13"/>
        <v>0</v>
      </c>
      <c r="G168" s="26">
        <f t="shared" ca="1" si="11"/>
        <v>0</v>
      </c>
      <c r="H168" s="60">
        <f>A168-1-Collar!$C$13</f>
        <v>4894</v>
      </c>
      <c r="I168" s="24">
        <f t="shared" si="12"/>
        <v>5.32737742469096E-2</v>
      </c>
      <c r="J168" s="25">
        <f t="shared" ca="1" si="14"/>
        <v>0.49280439921526414</v>
      </c>
      <c r="K168" s="200"/>
      <c r="L168" s="23"/>
      <c r="M168" s="23"/>
      <c r="N168" s="57"/>
      <c r="O168" s="57"/>
      <c r="P168" s="61"/>
      <c r="Q168" s="24"/>
      <c r="S168" s="25"/>
      <c r="T168" s="62"/>
      <c r="U168" s="27"/>
      <c r="V168" s="64"/>
      <c r="W168" s="170"/>
      <c r="X168" s="170"/>
      <c r="Y168" s="170"/>
      <c r="AA168" s="183"/>
      <c r="AB168" s="183"/>
      <c r="AC168" s="184"/>
      <c r="AD168" s="185"/>
      <c r="AE168" s="186"/>
      <c r="AF168" s="187"/>
      <c r="AG168" s="188"/>
      <c r="AH168" s="189"/>
      <c r="AI168" s="27"/>
      <c r="AJ168" s="28"/>
      <c r="AP168" s="26"/>
      <c r="AQ168" s="26"/>
      <c r="AR168" s="26"/>
      <c r="AS168" s="27"/>
      <c r="AT168" s="27"/>
      <c r="AU168" s="27"/>
      <c r="AV168" s="27"/>
      <c r="AW168" s="27"/>
      <c r="AY168" s="189"/>
      <c r="AZ168" s="189"/>
      <c r="BA168" s="205"/>
      <c r="BC168" s="189"/>
      <c r="BE168" s="57"/>
    </row>
    <row r="169" spans="1:57">
      <c r="A169" s="19">
        <f>[1]!_xludf.edate(A168,1)</f>
        <v>42125</v>
      </c>
      <c r="B169" s="21">
        <f t="shared" si="15"/>
        <v>31</v>
      </c>
      <c r="C169" s="20">
        <f>IF(Control!$C$10="Physical",Model!A170+24,Model!A170)</f>
        <v>42156</v>
      </c>
      <c r="E169" s="22">
        <f>IF($A169&lt;Collar!$C$9,IF(Collar!$F$26="Flat",Collar!$C$10,VLOOKUP(Model!$A169,Collar!$B$31:$D$184,3)),0)</f>
        <v>0</v>
      </c>
      <c r="F169" s="22">
        <f t="shared" si="13"/>
        <v>0</v>
      </c>
      <c r="G169" s="26">
        <f t="shared" ca="1" si="11"/>
        <v>0</v>
      </c>
      <c r="H169" s="60">
        <f>A169-1-Collar!$C$13</f>
        <v>4924</v>
      </c>
      <c r="I169" s="24">
        <f t="shared" si="12"/>
        <v>5.3328717168854102E-2</v>
      </c>
      <c r="J169" s="25">
        <f t="shared" ca="1" si="14"/>
        <v>0.49025474693216559</v>
      </c>
      <c r="K169" s="200"/>
      <c r="L169" s="23"/>
      <c r="M169" s="23"/>
      <c r="N169" s="57"/>
      <c r="O169" s="57"/>
      <c r="P169" s="61"/>
      <c r="Q169" s="24"/>
      <c r="S169" s="25"/>
      <c r="T169" s="62"/>
      <c r="U169" s="27"/>
      <c r="V169" s="64"/>
      <c r="W169" s="170"/>
      <c r="X169" s="170"/>
      <c r="Y169" s="170"/>
      <c r="AA169" s="183"/>
      <c r="AB169" s="183"/>
      <c r="AC169" s="184"/>
      <c r="AD169" s="185"/>
      <c r="AE169" s="186"/>
      <c r="AF169" s="187"/>
      <c r="AG169" s="188"/>
      <c r="AH169" s="189"/>
      <c r="AI169" s="27"/>
      <c r="AJ169" s="28"/>
      <c r="AP169" s="26"/>
      <c r="AQ169" s="26"/>
      <c r="AR169" s="26"/>
      <c r="AS169" s="27"/>
      <c r="AT169" s="27"/>
      <c r="AU169" s="27"/>
      <c r="AV169" s="27"/>
      <c r="AW169" s="27"/>
      <c r="AY169" s="189"/>
      <c r="AZ169" s="189"/>
      <c r="BA169" s="205"/>
      <c r="BC169" s="189"/>
      <c r="BE169" s="57"/>
    </row>
    <row r="170" spans="1:57">
      <c r="A170" s="19">
        <f>[1]!_xludf.edate(A169,1)</f>
        <v>42156</v>
      </c>
      <c r="B170" s="21">
        <f t="shared" si="15"/>
        <v>30</v>
      </c>
      <c r="C170" s="20">
        <f>IF(Control!$C$10="Physical",Model!A171+24,Model!A171)</f>
        <v>42186</v>
      </c>
      <c r="E170" s="22">
        <f>IF($A170&lt;Collar!$C$9,IF(Collar!$F$26="Flat",Collar!$C$10,VLOOKUP(Model!$A170,Collar!$B$31:$D$184,3)),0)</f>
        <v>0</v>
      </c>
      <c r="F170" s="22">
        <f t="shared" si="13"/>
        <v>0</v>
      </c>
      <c r="G170" s="26">
        <f t="shared" ca="1" si="11"/>
        <v>0</v>
      </c>
      <c r="H170" s="60">
        <f>A170-1-Collar!$C$13</f>
        <v>4955</v>
      </c>
      <c r="I170" s="24">
        <f t="shared" si="12"/>
        <v>5.3381887739436099E-2</v>
      </c>
      <c r="J170" s="25">
        <f t="shared" ca="1" si="14"/>
        <v>0.48779569193972377</v>
      </c>
      <c r="K170" s="200"/>
      <c r="L170" s="23"/>
      <c r="M170" s="23"/>
      <c r="N170" s="57"/>
      <c r="O170" s="57"/>
      <c r="P170" s="61"/>
      <c r="Q170" s="24"/>
      <c r="S170" s="25"/>
      <c r="T170" s="62"/>
      <c r="U170" s="27"/>
      <c r="V170" s="64"/>
      <c r="W170" s="170"/>
      <c r="X170" s="170"/>
      <c r="Y170" s="170"/>
      <c r="AA170" s="183"/>
      <c r="AB170" s="183"/>
      <c r="AC170" s="184"/>
      <c r="AD170" s="185"/>
      <c r="AE170" s="186"/>
      <c r="AF170" s="187"/>
      <c r="AG170" s="188"/>
      <c r="AH170" s="189"/>
      <c r="AI170" s="27"/>
      <c r="AJ170" s="28"/>
      <c r="AP170" s="26"/>
      <c r="AQ170" s="26"/>
      <c r="AR170" s="26"/>
      <c r="AS170" s="27"/>
      <c r="AT170" s="27"/>
      <c r="AU170" s="27"/>
      <c r="AV170" s="27"/>
      <c r="AW170" s="27"/>
      <c r="AY170" s="189"/>
      <c r="AZ170" s="189"/>
      <c r="BA170" s="205"/>
      <c r="BC170" s="189"/>
      <c r="BE170" s="57"/>
    </row>
    <row r="171" spans="1:57">
      <c r="A171" s="19">
        <f>[1]!_xludf.edate(A170,1)</f>
        <v>42186</v>
      </c>
      <c r="B171" s="21">
        <f t="shared" si="15"/>
        <v>31</v>
      </c>
      <c r="C171" s="20">
        <f>IF(Control!$C$10="Physical",Model!A172+24,Model!A172)</f>
        <v>42217</v>
      </c>
      <c r="E171" s="22">
        <f>IF($A171&lt;Collar!$C$9,IF(Collar!$F$26="Flat",Collar!$C$10,VLOOKUP(Model!$A171,Collar!$B$31:$D$184,3)),0)</f>
        <v>0</v>
      </c>
      <c r="F171" s="22">
        <f t="shared" si="13"/>
        <v>0</v>
      </c>
      <c r="G171" s="26">
        <f t="shared" ca="1" si="11"/>
        <v>0</v>
      </c>
      <c r="H171" s="60">
        <f>A171-1-Collar!$C$13</f>
        <v>4985</v>
      </c>
      <c r="I171" s="24">
        <f t="shared" si="12"/>
        <v>5.3436830663360399E-2</v>
      </c>
      <c r="J171" s="25">
        <f t="shared" ca="1" si="14"/>
        <v>0.48526329789191935</v>
      </c>
      <c r="K171" s="200"/>
      <c r="L171" s="23"/>
      <c r="M171" s="23"/>
      <c r="N171" s="57"/>
      <c r="O171" s="57"/>
      <c r="P171" s="61"/>
      <c r="Q171" s="24"/>
      <c r="S171" s="25"/>
      <c r="T171" s="62"/>
      <c r="U171" s="27"/>
      <c r="V171" s="64"/>
      <c r="W171" s="170"/>
      <c r="X171" s="170"/>
      <c r="Y171" s="170"/>
      <c r="AA171" s="183"/>
      <c r="AB171" s="183"/>
      <c r="AC171" s="184"/>
      <c r="AD171" s="185"/>
      <c r="AE171" s="186"/>
      <c r="AF171" s="187"/>
      <c r="AG171" s="188"/>
      <c r="AH171" s="189"/>
      <c r="AI171" s="27"/>
      <c r="AJ171" s="28"/>
      <c r="AP171" s="26"/>
      <c r="AQ171" s="26"/>
      <c r="AR171" s="26"/>
      <c r="AS171" s="27"/>
      <c r="AT171" s="27"/>
      <c r="AU171" s="27"/>
      <c r="AV171" s="27"/>
      <c r="AW171" s="27"/>
      <c r="AY171" s="189"/>
      <c r="AZ171" s="189"/>
      <c r="BA171" s="205"/>
      <c r="BC171" s="189"/>
      <c r="BE171" s="57"/>
    </row>
    <row r="172" spans="1:57">
      <c r="A172" s="19">
        <f>[1]!_xludf.edate(A171,1)</f>
        <v>42217</v>
      </c>
      <c r="B172" s="21">
        <f t="shared" si="15"/>
        <v>31</v>
      </c>
      <c r="C172" s="20">
        <f>IF(Control!$C$10="Physical",Model!A173+24,Model!A173)</f>
        <v>42248</v>
      </c>
      <c r="E172" s="22">
        <f>IF($A172&lt;Collar!$C$9,IF(Collar!$F$26="Flat",Collar!$C$10,VLOOKUP(Model!$A172,Collar!$B$31:$D$184,3)),0)</f>
        <v>0</v>
      </c>
      <c r="F172" s="22">
        <f t="shared" si="13"/>
        <v>0</v>
      </c>
      <c r="G172" s="26">
        <f t="shared" ca="1" si="11"/>
        <v>0</v>
      </c>
      <c r="H172" s="60">
        <f>A172-1-Collar!$C$13</f>
        <v>5016</v>
      </c>
      <c r="I172" s="24">
        <f t="shared" si="12"/>
        <v>5.3491773588290902E-2</v>
      </c>
      <c r="J172" s="25">
        <f t="shared" ca="1" si="14"/>
        <v>0.48273967517941119</v>
      </c>
      <c r="K172" s="200"/>
      <c r="L172" s="23"/>
      <c r="M172" s="23"/>
      <c r="N172" s="57"/>
      <c r="O172" s="57"/>
      <c r="P172" s="61"/>
      <c r="Q172" s="24"/>
      <c r="S172" s="25"/>
      <c r="T172" s="62"/>
      <c r="U172" s="27"/>
      <c r="V172" s="64"/>
      <c r="W172" s="170"/>
      <c r="X172" s="170"/>
      <c r="Y172" s="170"/>
      <c r="AA172" s="183"/>
      <c r="AB172" s="183"/>
      <c r="AC172" s="184"/>
      <c r="AD172" s="185"/>
      <c r="AE172" s="186"/>
      <c r="AF172" s="187"/>
      <c r="AG172" s="188"/>
      <c r="AH172" s="189"/>
      <c r="AI172" s="27"/>
      <c r="AJ172" s="28"/>
      <c r="AP172" s="26"/>
      <c r="AQ172" s="26"/>
      <c r="AR172" s="26"/>
      <c r="AS172" s="27"/>
      <c r="AT172" s="27"/>
      <c r="AU172" s="27"/>
      <c r="AV172" s="27"/>
      <c r="AW172" s="27"/>
      <c r="AY172" s="189"/>
      <c r="AZ172" s="189"/>
      <c r="BA172" s="205"/>
      <c r="BC172" s="189"/>
      <c r="BE172" s="57"/>
    </row>
    <row r="173" spans="1:57">
      <c r="A173" s="19">
        <f>[1]!_xludf.edate(A172,1)</f>
        <v>42248</v>
      </c>
      <c r="B173" s="21">
        <f t="shared" si="15"/>
        <v>30</v>
      </c>
      <c r="C173" s="20">
        <f>IF(Control!$C$10="Physical",Model!A174+24,Model!A174)</f>
        <v>42278</v>
      </c>
      <c r="E173" s="22">
        <f>IF($A173&lt;Collar!$C$9,IF(Collar!$F$26="Flat",Collar!$C$10,VLOOKUP(Model!$A173,Collar!$B$31:$D$184,3)),0)</f>
        <v>0</v>
      </c>
      <c r="F173" s="22">
        <f t="shared" si="13"/>
        <v>0</v>
      </c>
      <c r="G173" s="26">
        <f t="shared" ca="1" si="11"/>
        <v>0</v>
      </c>
      <c r="H173" s="60">
        <f>A173-1-Collar!$C$13</f>
        <v>5047</v>
      </c>
      <c r="I173" s="24">
        <f t="shared" si="12"/>
        <v>5.3544944161763003E-2</v>
      </c>
      <c r="J173" s="25">
        <f t="shared" ca="1" si="14"/>
        <v>0.48030581130987005</v>
      </c>
      <c r="K173" s="200"/>
      <c r="L173" s="23"/>
      <c r="M173" s="23"/>
      <c r="N173" s="57"/>
      <c r="O173" s="57"/>
      <c r="P173" s="61"/>
      <c r="Q173" s="24"/>
      <c r="S173" s="25"/>
      <c r="T173" s="62"/>
      <c r="U173" s="27"/>
      <c r="V173" s="64"/>
      <c r="W173" s="170"/>
      <c r="X173" s="170"/>
      <c r="Y173" s="170"/>
      <c r="AA173" s="183"/>
      <c r="AB173" s="183"/>
      <c r="AC173" s="184"/>
      <c r="AD173" s="185"/>
      <c r="AE173" s="186"/>
      <c r="AF173" s="187"/>
      <c r="AG173" s="188"/>
      <c r="AH173" s="189"/>
      <c r="AI173" s="27"/>
      <c r="AJ173" s="28"/>
      <c r="AP173" s="26"/>
      <c r="AQ173" s="26"/>
      <c r="AR173" s="26"/>
      <c r="AS173" s="27"/>
      <c r="AT173" s="27"/>
      <c r="AU173" s="27"/>
      <c r="AV173" s="27"/>
      <c r="AW173" s="27"/>
      <c r="AY173" s="189"/>
      <c r="AZ173" s="189"/>
      <c r="BA173" s="205"/>
      <c r="BC173" s="189"/>
      <c r="BE173" s="57"/>
    </row>
    <row r="174" spans="1:57">
      <c r="A174" s="19">
        <f>[1]!_xludf.edate(A173,1)</f>
        <v>42278</v>
      </c>
      <c r="B174" s="21">
        <f t="shared" si="15"/>
        <v>31</v>
      </c>
      <c r="C174" s="20">
        <f>IF(Control!$C$10="Physical",Model!A175+24,Model!A175)</f>
        <v>42309</v>
      </c>
      <c r="E174" s="22">
        <f>IF($A174&lt;Collar!$C$9,IF(Collar!$F$26="Flat",Collar!$C$10,VLOOKUP(Model!$A174,Collar!$B$31:$D$184,3)),0)</f>
        <v>0</v>
      </c>
      <c r="F174" s="22">
        <f t="shared" si="13"/>
        <v>0</v>
      </c>
      <c r="G174" s="26">
        <f t="shared" ca="1" si="11"/>
        <v>0</v>
      </c>
      <c r="H174" s="60">
        <f>A174-1-Collar!$C$13</f>
        <v>5077</v>
      </c>
      <c r="I174" s="24">
        <f t="shared" si="12"/>
        <v>5.3599887088673401E-2</v>
      </c>
      <c r="J174" s="25">
        <f t="shared" ca="1" si="14"/>
        <v>0.47779944864389334</v>
      </c>
      <c r="K174" s="200"/>
      <c r="L174" s="23"/>
      <c r="M174" s="23"/>
      <c r="N174" s="57"/>
      <c r="O174" s="57"/>
      <c r="P174" s="61"/>
      <c r="Q174" s="24"/>
      <c r="S174" s="25"/>
      <c r="T174" s="62"/>
      <c r="U174" s="27"/>
      <c r="V174" s="64"/>
      <c r="W174" s="170"/>
      <c r="X174" s="170"/>
      <c r="Y174" s="170"/>
      <c r="AA174" s="183"/>
      <c r="AB174" s="183"/>
      <c r="AC174" s="184"/>
      <c r="AD174" s="185"/>
      <c r="AE174" s="186"/>
      <c r="AF174" s="187"/>
      <c r="AG174" s="188"/>
      <c r="AH174" s="189"/>
      <c r="AI174" s="27"/>
      <c r="AJ174" s="28"/>
      <c r="AP174" s="26"/>
      <c r="AQ174" s="26"/>
      <c r="AR174" s="26"/>
      <c r="AS174" s="27"/>
      <c r="AT174" s="27"/>
      <c r="AU174" s="27"/>
      <c r="AV174" s="27"/>
      <c r="AW174" s="27"/>
      <c r="AY174" s="189"/>
      <c r="AZ174" s="189"/>
      <c r="BA174" s="205"/>
      <c r="BC174" s="189"/>
      <c r="BE174" s="57"/>
    </row>
    <row r="175" spans="1:57">
      <c r="A175" s="19">
        <f>[1]!_xludf.edate(A174,1)</f>
        <v>42309</v>
      </c>
      <c r="B175" s="21">
        <f t="shared" si="15"/>
        <v>30</v>
      </c>
      <c r="C175" s="20">
        <f>IF(Control!$C$10="Physical",Model!A176+24,Model!A176)</f>
        <v>42339</v>
      </c>
      <c r="E175" s="22">
        <f>IF($A175&lt;Collar!$C$9,IF(Collar!$F$26="Flat",Collar!$C$10,VLOOKUP(Model!$A175,Collar!$B$31:$D$184,3)),0)</f>
        <v>0</v>
      </c>
      <c r="F175" s="22">
        <f t="shared" si="13"/>
        <v>0</v>
      </c>
      <c r="G175" s="26">
        <f t="shared" ca="1" si="11"/>
        <v>0</v>
      </c>
      <c r="H175" s="60">
        <f>A175-1-Collar!$C$13</f>
        <v>5108</v>
      </c>
      <c r="I175" s="24">
        <f t="shared" si="12"/>
        <v>5.3653057664060803E-2</v>
      </c>
      <c r="J175" s="25">
        <f t="shared" ca="1" si="14"/>
        <v>0.47538228773225494</v>
      </c>
      <c r="K175" s="200"/>
      <c r="L175" s="23"/>
      <c r="M175" s="23"/>
      <c r="N175" s="57"/>
      <c r="O175" s="57"/>
      <c r="P175" s="61"/>
      <c r="Q175" s="24"/>
      <c r="S175" s="25"/>
      <c r="T175" s="62"/>
      <c r="U175" s="27"/>
      <c r="V175" s="64"/>
      <c r="W175" s="170"/>
      <c r="X175" s="170"/>
      <c r="Y175" s="170"/>
      <c r="AA175" s="183"/>
      <c r="AB175" s="183"/>
      <c r="AC175" s="184"/>
      <c r="AD175" s="185"/>
      <c r="AE175" s="186"/>
      <c r="AF175" s="187"/>
      <c r="AG175" s="188"/>
      <c r="AH175" s="189"/>
      <c r="AI175" s="27"/>
      <c r="AJ175" s="28"/>
      <c r="AP175" s="26"/>
      <c r="AQ175" s="26"/>
      <c r="AR175" s="26"/>
      <c r="AS175" s="27"/>
      <c r="AT175" s="27"/>
      <c r="AU175" s="27"/>
      <c r="AV175" s="27"/>
      <c r="AW175" s="27"/>
      <c r="AY175" s="189"/>
      <c r="AZ175" s="189"/>
      <c r="BA175" s="205"/>
      <c r="BC175" s="189"/>
      <c r="BE175" s="57"/>
    </row>
    <row r="176" spans="1:57">
      <c r="A176" s="19">
        <f>[1]!_xludf.edate(A175,1)</f>
        <v>42339</v>
      </c>
      <c r="B176" s="21">
        <f t="shared" si="15"/>
        <v>31</v>
      </c>
      <c r="C176" s="20">
        <f>IF(Control!$C$10="Physical",Model!A177+24,Model!A177)</f>
        <v>42370</v>
      </c>
      <c r="E176" s="22">
        <f>IF($A176&lt;Collar!$C$9,IF(Collar!$F$26="Flat",Collar!$C$10,VLOOKUP(Model!$A176,Collar!$B$31:$D$184,3)),0)</f>
        <v>0</v>
      </c>
      <c r="F176" s="22">
        <f t="shared" si="13"/>
        <v>0</v>
      </c>
      <c r="G176" s="26">
        <f t="shared" ca="1" si="11"/>
        <v>0</v>
      </c>
      <c r="H176" s="60">
        <f>A176-1-Collar!$C$13</f>
        <v>5138</v>
      </c>
      <c r="I176" s="24">
        <f t="shared" si="12"/>
        <v>5.3708000592951298E-2</v>
      </c>
      <c r="J176" s="25">
        <f t="shared" ca="1" si="14"/>
        <v>0.47289318400693175</v>
      </c>
      <c r="K176" s="200"/>
      <c r="L176" s="23"/>
      <c r="M176" s="23"/>
      <c r="N176" s="57"/>
      <c r="O176" s="57"/>
      <c r="P176" s="61"/>
      <c r="Q176" s="24"/>
      <c r="S176" s="25"/>
      <c r="T176" s="62"/>
      <c r="U176" s="27"/>
      <c r="V176" s="64"/>
      <c r="W176" s="170"/>
      <c r="X176" s="170"/>
      <c r="Y176" s="170"/>
      <c r="AA176" s="183"/>
      <c r="AB176" s="183"/>
      <c r="AC176" s="184"/>
      <c r="AD176" s="185"/>
      <c r="AE176" s="186"/>
      <c r="AF176" s="187"/>
      <c r="AG176" s="188"/>
      <c r="AH176" s="189"/>
      <c r="AI176" s="27"/>
      <c r="AJ176" s="28"/>
      <c r="AP176" s="26"/>
      <c r="AQ176" s="26"/>
      <c r="AR176" s="26"/>
      <c r="AS176" s="27"/>
      <c r="AT176" s="27"/>
      <c r="AU176" s="27"/>
      <c r="AV176" s="27"/>
      <c r="AW176" s="27"/>
      <c r="AY176" s="189"/>
      <c r="AZ176" s="189"/>
      <c r="BA176" s="205"/>
      <c r="BC176" s="189"/>
      <c r="BE176" s="57"/>
    </row>
    <row r="177" spans="1:57">
      <c r="A177" s="19">
        <f>[1]!_xludf.edate(A176,1)</f>
        <v>42370</v>
      </c>
      <c r="B177" s="21">
        <f t="shared" si="15"/>
        <v>31</v>
      </c>
      <c r="C177" s="20">
        <f>IF(Control!$C$10="Physical",Model!A178+24,Model!A178)</f>
        <v>42401</v>
      </c>
      <c r="E177" s="22">
        <f>IF($A177&lt;Collar!$C$9,IF(Collar!$F$26="Flat",Collar!$C$10,VLOOKUP(Model!$A177,Collar!$B$31:$D$184,3)),0)</f>
        <v>0</v>
      </c>
      <c r="F177" s="22">
        <f t="shared" si="13"/>
        <v>0</v>
      </c>
      <c r="G177" s="26">
        <f t="shared" ca="1" si="11"/>
        <v>0</v>
      </c>
      <c r="H177" s="60">
        <f>A177-1-Collar!$C$13</f>
        <v>5169</v>
      </c>
      <c r="I177" s="24">
        <f t="shared" si="12"/>
        <v>5.3762943522847703E-2</v>
      </c>
      <c r="J177" s="25">
        <f t="shared" ca="1" si="14"/>
        <v>0.4704128502119469</v>
      </c>
      <c r="K177" s="200"/>
      <c r="L177" s="23"/>
      <c r="M177" s="23"/>
      <c r="N177" s="57"/>
      <c r="O177" s="57"/>
      <c r="P177" s="61"/>
      <c r="Q177" s="24"/>
      <c r="S177" s="25"/>
      <c r="T177" s="62"/>
      <c r="U177" s="27"/>
      <c r="V177" s="64"/>
      <c r="W177" s="170"/>
      <c r="X177" s="170"/>
      <c r="Y177" s="170"/>
      <c r="AA177" s="183"/>
      <c r="AB177" s="183"/>
      <c r="AC177" s="184"/>
      <c r="AD177" s="185"/>
      <c r="AE177" s="186"/>
      <c r="AF177" s="187"/>
      <c r="AG177" s="188"/>
      <c r="AH177" s="189"/>
      <c r="AI177" s="27"/>
      <c r="AJ177" s="28"/>
      <c r="AP177" s="26"/>
      <c r="AQ177" s="26"/>
      <c r="AR177" s="26"/>
      <c r="AS177" s="27"/>
      <c r="AT177" s="27"/>
      <c r="AU177" s="27"/>
      <c r="AV177" s="27"/>
      <c r="AW177" s="27"/>
      <c r="AY177" s="189"/>
      <c r="AZ177" s="189"/>
      <c r="BA177" s="205"/>
      <c r="BC177" s="189"/>
      <c r="BE177" s="57"/>
    </row>
    <row r="178" spans="1:57">
      <c r="A178" s="19">
        <f>[1]!_xludf.edate(A177,1)</f>
        <v>42401</v>
      </c>
      <c r="B178" s="21">
        <f t="shared" si="15"/>
        <v>29</v>
      </c>
      <c r="C178" s="20">
        <f>IF(Control!$C$10="Physical",Model!A179+24,Model!A179)</f>
        <v>42430</v>
      </c>
      <c r="E178" s="22">
        <f>IF($A178&lt;Collar!$C$9,IF(Collar!$F$26="Flat",Collar!$C$10,VLOOKUP(Model!$A178,Collar!$B$31:$D$184,3)),0)</f>
        <v>0</v>
      </c>
      <c r="F178" s="22">
        <f t="shared" si="13"/>
        <v>0</v>
      </c>
      <c r="G178" s="26">
        <f t="shared" ca="1" si="11"/>
        <v>0</v>
      </c>
      <c r="H178" s="60">
        <f>A178-1-Collar!$C$13</f>
        <v>5200</v>
      </c>
      <c r="I178" s="24">
        <f t="shared" si="12"/>
        <v>5.3814341748500603E-2</v>
      </c>
      <c r="J178" s="25">
        <f t="shared" ca="1" si="14"/>
        <v>0.46810047655606257</v>
      </c>
      <c r="K178" s="200"/>
      <c r="L178" s="23"/>
      <c r="M178" s="23"/>
      <c r="N178" s="57"/>
      <c r="O178" s="57"/>
      <c r="P178" s="61"/>
      <c r="Q178" s="24"/>
      <c r="S178" s="25"/>
      <c r="T178" s="62"/>
      <c r="U178" s="27"/>
      <c r="V178" s="64"/>
      <c r="W178" s="170"/>
      <c r="X178" s="170"/>
      <c r="Y178" s="170"/>
      <c r="AA178" s="183"/>
      <c r="AB178" s="183"/>
      <c r="AC178" s="184"/>
      <c r="AD178" s="185"/>
      <c r="AE178" s="186"/>
      <c r="AF178" s="187"/>
      <c r="AG178" s="188"/>
      <c r="AH178" s="189"/>
      <c r="AI178" s="27"/>
      <c r="AJ178" s="28"/>
      <c r="AP178" s="26"/>
      <c r="AQ178" s="26"/>
      <c r="AR178" s="26"/>
      <c r="AS178" s="27"/>
      <c r="AT178" s="27"/>
      <c r="AU178" s="27"/>
      <c r="AV178" s="27"/>
      <c r="AW178" s="27"/>
      <c r="AY178" s="189"/>
      <c r="AZ178" s="189"/>
      <c r="BA178" s="205"/>
      <c r="BC178" s="189"/>
      <c r="BE178" s="57"/>
    </row>
    <row r="179" spans="1:57">
      <c r="A179" s="19">
        <f>[1]!_xludf.edate(A178,1)</f>
        <v>42430</v>
      </c>
      <c r="B179" s="21">
        <f t="shared" si="15"/>
        <v>31</v>
      </c>
      <c r="C179" s="20">
        <f>IF(Control!$C$10="Physical",Model!A180+24,Model!A180)</f>
        <v>42461</v>
      </c>
      <c r="E179" s="22">
        <f>IF($A179&lt;Collar!$C$9,IF(Collar!$F$26="Flat",Collar!$C$10,VLOOKUP(Model!$A179,Collar!$B$31:$D$184,3)),0)</f>
        <v>0</v>
      </c>
      <c r="F179" s="22">
        <f t="shared" si="13"/>
        <v>0</v>
      </c>
      <c r="G179" s="26">
        <f t="shared" ca="1" si="11"/>
        <v>0</v>
      </c>
      <c r="H179" s="60">
        <f>A179-1-Collar!$C$13</f>
        <v>5229</v>
      </c>
      <c r="I179" s="24">
        <f t="shared" si="12"/>
        <v>5.3869284680344402E-2</v>
      </c>
      <c r="J179" s="25">
        <f t="shared" ca="1" si="14"/>
        <v>0.4656371137941156</v>
      </c>
      <c r="K179" s="200"/>
      <c r="L179" s="23"/>
      <c r="M179" s="23"/>
      <c r="N179" s="57"/>
      <c r="O179" s="57"/>
      <c r="P179" s="61"/>
      <c r="Q179" s="24"/>
      <c r="S179" s="25"/>
      <c r="T179" s="62"/>
      <c r="U179" s="27"/>
      <c r="V179" s="64"/>
      <c r="W179" s="170"/>
      <c r="X179" s="170"/>
      <c r="Y179" s="170"/>
      <c r="AA179" s="183"/>
      <c r="AB179" s="183"/>
      <c r="AC179" s="184"/>
      <c r="AD179" s="185"/>
      <c r="AE179" s="186"/>
      <c r="AF179" s="187"/>
      <c r="AG179" s="188"/>
      <c r="AH179" s="189"/>
      <c r="AI179" s="27"/>
      <c r="AJ179" s="28"/>
      <c r="AP179" s="26"/>
      <c r="AQ179" s="26"/>
      <c r="AR179" s="26"/>
      <c r="AS179" s="27"/>
      <c r="AT179" s="27"/>
      <c r="AU179" s="27"/>
      <c r="AV179" s="27"/>
      <c r="AW179" s="27"/>
      <c r="AY179" s="189"/>
      <c r="AZ179" s="189"/>
      <c r="BA179" s="205"/>
      <c r="BC179" s="189"/>
      <c r="BE179" s="57"/>
    </row>
    <row r="180" spans="1:57">
      <c r="A180" s="19">
        <f>[1]!_xludf.edate(A179,1)</f>
        <v>42461</v>
      </c>
      <c r="B180" s="21">
        <f t="shared" si="15"/>
        <v>30</v>
      </c>
      <c r="C180" s="20">
        <f>IF(Control!$C$10="Physical",Model!A181+24,Model!A181)</f>
        <v>42491</v>
      </c>
      <c r="E180" s="22">
        <f>IF($A180&lt;Collar!$C$9,IF(Collar!$F$26="Flat",Collar!$C$10,VLOOKUP(Model!$A180,Collar!$B$31:$D$184,3)),0)</f>
        <v>0</v>
      </c>
      <c r="F180" s="22">
        <f t="shared" si="13"/>
        <v>0</v>
      </c>
      <c r="G180" s="26">
        <f t="shared" ca="1" si="11"/>
        <v>0</v>
      </c>
      <c r="H180" s="60">
        <f>A180-1-Collar!$C$13</f>
        <v>5260</v>
      </c>
      <c r="I180" s="24">
        <f t="shared" si="12"/>
        <v>5.3922455260505799E-2</v>
      </c>
      <c r="J180" s="25">
        <f t="shared" ca="1" si="14"/>
        <v>0.46326156109837885</v>
      </c>
      <c r="K180" s="200"/>
      <c r="L180" s="23"/>
      <c r="M180" s="23"/>
      <c r="N180" s="57"/>
      <c r="O180" s="57"/>
      <c r="P180" s="61"/>
      <c r="Q180" s="24"/>
      <c r="S180" s="25"/>
      <c r="T180" s="62"/>
      <c r="U180" s="27"/>
      <c r="V180" s="64"/>
      <c r="W180" s="170"/>
      <c r="X180" s="170"/>
      <c r="Y180" s="170"/>
      <c r="AA180" s="183"/>
      <c r="AB180" s="183"/>
      <c r="AC180" s="184"/>
      <c r="AD180" s="185"/>
      <c r="AE180" s="186"/>
      <c r="AF180" s="187"/>
      <c r="AG180" s="188"/>
      <c r="AH180" s="189"/>
      <c r="AI180" s="27"/>
      <c r="AJ180" s="28"/>
      <c r="AP180" s="26"/>
      <c r="AQ180" s="26"/>
      <c r="AR180" s="26"/>
      <c r="AS180" s="27"/>
      <c r="AT180" s="27"/>
      <c r="AU180" s="27"/>
      <c r="AV180" s="27"/>
      <c r="AW180" s="27"/>
      <c r="AY180" s="189"/>
      <c r="AZ180" s="189"/>
      <c r="BA180" s="205"/>
      <c r="BC180" s="189"/>
      <c r="BE180" s="57"/>
    </row>
    <row r="181" spans="1:57">
      <c r="A181" s="19">
        <f>[1]!_xludf.edate(A180,1)</f>
        <v>42491</v>
      </c>
      <c r="B181" s="21">
        <f t="shared" si="15"/>
        <v>31</v>
      </c>
      <c r="C181" s="20">
        <f>IF(Control!$C$10="Physical",Model!A182+24,Model!A182)</f>
        <v>42522</v>
      </c>
      <c r="E181" s="22">
        <f>IF($A181&lt;Collar!$C$9,IF(Collar!$F$26="Flat",Collar!$C$10,VLOOKUP(Model!$A181,Collar!$B$31:$D$184,3)),0)</f>
        <v>0</v>
      </c>
      <c r="F181" s="22">
        <f t="shared" si="13"/>
        <v>0</v>
      </c>
      <c r="G181" s="26">
        <f t="shared" ca="1" si="11"/>
        <v>0</v>
      </c>
      <c r="H181" s="60">
        <f>A181-1-Collar!$C$13</f>
        <v>5290</v>
      </c>
      <c r="I181" s="24">
        <f t="shared" si="12"/>
        <v>5.3977398194328799E-2</v>
      </c>
      <c r="J181" s="25">
        <f t="shared" ca="1" si="14"/>
        <v>0.46081544665899149</v>
      </c>
      <c r="K181" s="200"/>
      <c r="L181" s="23"/>
      <c r="M181" s="23"/>
      <c r="N181" s="57"/>
      <c r="O181" s="57"/>
      <c r="P181" s="61"/>
      <c r="Q181" s="24"/>
      <c r="S181" s="25"/>
      <c r="T181" s="62"/>
      <c r="U181" s="27"/>
      <c r="V181" s="64"/>
      <c r="W181" s="170"/>
      <c r="X181" s="170"/>
      <c r="Y181" s="170"/>
      <c r="AA181" s="183"/>
      <c r="AB181" s="183"/>
      <c r="AC181" s="184"/>
      <c r="AD181" s="185"/>
      <c r="AE181" s="186"/>
      <c r="AF181" s="187"/>
      <c r="AG181" s="188"/>
      <c r="AH181" s="189"/>
      <c r="AI181" s="27"/>
      <c r="AJ181" s="28"/>
      <c r="AP181" s="26"/>
      <c r="AQ181" s="26"/>
      <c r="AR181" s="26"/>
      <c r="AS181" s="27"/>
      <c r="AT181" s="27"/>
      <c r="AU181" s="27"/>
      <c r="AV181" s="27"/>
      <c r="AW181" s="27"/>
      <c r="AY181" s="189"/>
      <c r="AZ181" s="189"/>
      <c r="BA181" s="205"/>
      <c r="BC181" s="189"/>
      <c r="BE181" s="57"/>
    </row>
    <row r="182" spans="1:57">
      <c r="A182" s="19">
        <f>[1]!_xludf.edate(A181,1)</f>
        <v>42522</v>
      </c>
      <c r="B182" s="21">
        <f t="shared" si="15"/>
        <v>30</v>
      </c>
      <c r="C182" s="20">
        <f>IF(Control!$C$10="Physical",Model!A183+24,Model!A183)</f>
        <v>42552</v>
      </c>
      <c r="E182" s="22">
        <f>IF($A182&lt;Collar!$C$9,IF(Collar!$F$26="Flat",Collar!$C$10,VLOOKUP(Model!$A182,Collar!$B$31:$D$184,3)),0)</f>
        <v>0</v>
      </c>
      <c r="F182" s="22">
        <f t="shared" si="13"/>
        <v>0</v>
      </c>
      <c r="G182" s="26">
        <f t="shared" ca="1" si="11"/>
        <v>0</v>
      </c>
      <c r="H182" s="60">
        <f>A182-1-Collar!$C$13</f>
        <v>5321</v>
      </c>
      <c r="I182" s="24">
        <f t="shared" si="12"/>
        <v>5.4030568776406003E-2</v>
      </c>
      <c r="J182" s="25">
        <f t="shared" ca="1" si="14"/>
        <v>0.4584565825381669</v>
      </c>
      <c r="K182" s="200"/>
      <c r="L182" s="23"/>
      <c r="M182" s="23"/>
      <c r="N182" s="57"/>
      <c r="O182" s="57"/>
      <c r="P182" s="61"/>
      <c r="Q182" s="24"/>
      <c r="S182" s="25"/>
      <c r="T182" s="62"/>
      <c r="U182" s="27"/>
      <c r="V182" s="64"/>
      <c r="W182" s="170"/>
      <c r="X182" s="170"/>
      <c r="Y182" s="170"/>
      <c r="AA182" s="183"/>
      <c r="AB182" s="183"/>
      <c r="AC182" s="184"/>
      <c r="AD182" s="185"/>
      <c r="AE182" s="186"/>
      <c r="AF182" s="187"/>
      <c r="AG182" s="188"/>
      <c r="AH182" s="189"/>
      <c r="AI182" s="27"/>
      <c r="AJ182" s="28"/>
      <c r="AP182" s="26"/>
      <c r="AQ182" s="26"/>
      <c r="AR182" s="26"/>
      <c r="AS182" s="27"/>
      <c r="AT182" s="27"/>
      <c r="AU182" s="27"/>
      <c r="AV182" s="27"/>
      <c r="AW182" s="27"/>
      <c r="AY182" s="189"/>
      <c r="AZ182" s="189"/>
      <c r="BA182" s="205"/>
      <c r="BC182" s="189"/>
      <c r="BE182" s="57"/>
    </row>
    <row r="183" spans="1:57">
      <c r="A183" s="19">
        <f>[1]!_xludf.edate(A182,1)</f>
        <v>42552</v>
      </c>
      <c r="B183" s="21">
        <f t="shared" si="15"/>
        <v>31</v>
      </c>
      <c r="C183" s="20">
        <f>IF(Control!$C$10="Physical",Model!A184+24,Model!A184)</f>
        <v>42583</v>
      </c>
      <c r="E183" s="22">
        <f>IF($A183&lt;Collar!$C$9,IF(Collar!$F$26="Flat",Collar!$C$10,VLOOKUP(Model!$A183,Collar!$B$31:$D$184,3)),0)</f>
        <v>0</v>
      </c>
      <c r="F183" s="22">
        <f t="shared" si="13"/>
        <v>0</v>
      </c>
      <c r="G183" s="26">
        <f t="shared" ca="1" si="11"/>
        <v>0</v>
      </c>
      <c r="H183" s="60">
        <f>A183-1-Collar!$C$13</f>
        <v>5351</v>
      </c>
      <c r="I183" s="24">
        <f t="shared" si="12"/>
        <v>5.4085511712208802E-2</v>
      </c>
      <c r="J183" s="25">
        <f t="shared" ca="1" si="14"/>
        <v>0.45602770905564349</v>
      </c>
      <c r="K183" s="200"/>
      <c r="L183" s="23"/>
      <c r="M183" s="23"/>
      <c r="N183" s="57"/>
      <c r="O183" s="57"/>
      <c r="P183" s="61"/>
      <c r="Q183" s="24"/>
      <c r="S183" s="25"/>
      <c r="T183" s="62"/>
      <c r="U183" s="27"/>
      <c r="V183" s="64"/>
      <c r="W183" s="170"/>
      <c r="X183" s="170"/>
      <c r="Y183" s="170"/>
      <c r="AA183" s="183"/>
      <c r="AB183" s="183"/>
      <c r="AC183" s="184"/>
      <c r="AD183" s="185"/>
      <c r="AE183" s="186"/>
      <c r="AF183" s="187"/>
      <c r="AG183" s="188"/>
      <c r="AH183" s="189"/>
      <c r="AI183" s="27"/>
      <c r="AJ183" s="28"/>
      <c r="AP183" s="26"/>
      <c r="AQ183" s="26"/>
      <c r="AR183" s="26"/>
      <c r="AS183" s="27"/>
      <c r="AT183" s="27"/>
      <c r="AU183" s="27"/>
      <c r="AV183" s="27"/>
      <c r="AW183" s="27"/>
      <c r="AY183" s="189"/>
      <c r="AZ183" s="189"/>
      <c r="BA183" s="205"/>
      <c r="BC183" s="189"/>
      <c r="BE183" s="57"/>
    </row>
    <row r="184" spans="1:57">
      <c r="A184" s="19">
        <f>[1]!_xludf.edate(A183,1)</f>
        <v>42583</v>
      </c>
      <c r="B184" s="21">
        <f t="shared" si="15"/>
        <v>31</v>
      </c>
      <c r="C184" s="20">
        <f>IF(Control!$C$10="Physical",Model!A185+24,Model!A185)</f>
        <v>42614</v>
      </c>
      <c r="E184" s="22">
        <f>IF($A184&lt;Collar!$C$9,IF(Collar!$F$26="Flat",Collar!$C$10,VLOOKUP(Model!$A184,Collar!$B$31:$D$184,3)),0)</f>
        <v>0</v>
      </c>
      <c r="F184" s="22">
        <f t="shared" si="13"/>
        <v>0</v>
      </c>
      <c r="G184" s="26">
        <f t="shared" ca="1" si="11"/>
        <v>0</v>
      </c>
      <c r="H184" s="60">
        <f>A184-1-Collar!$C$13</f>
        <v>5382</v>
      </c>
      <c r="I184" s="24">
        <f t="shared" si="12"/>
        <v>5.41404546490174E-2</v>
      </c>
      <c r="J184" s="25">
        <f t="shared" ca="1" si="14"/>
        <v>0.45360759398701272</v>
      </c>
      <c r="K184" s="200"/>
      <c r="L184" s="23"/>
      <c r="M184" s="23"/>
      <c r="N184" s="57"/>
      <c r="O184" s="57"/>
      <c r="P184" s="61"/>
      <c r="Q184" s="24"/>
      <c r="S184" s="25"/>
      <c r="T184" s="62"/>
      <c r="U184" s="27"/>
      <c r="V184" s="64"/>
      <c r="W184" s="170"/>
      <c r="X184" s="170"/>
      <c r="Y184" s="170"/>
      <c r="AA184" s="183"/>
      <c r="AB184" s="183"/>
      <c r="AC184" s="184"/>
      <c r="AD184" s="185"/>
      <c r="AE184" s="186"/>
      <c r="AF184" s="187"/>
      <c r="AG184" s="188"/>
      <c r="AH184" s="189"/>
      <c r="AI184" s="27"/>
      <c r="AJ184" s="28"/>
      <c r="AP184" s="26"/>
      <c r="AQ184" s="26"/>
      <c r="AR184" s="26"/>
      <c r="AS184" s="27"/>
      <c r="AT184" s="27"/>
      <c r="AU184" s="27"/>
      <c r="AV184" s="27"/>
      <c r="AW184" s="27"/>
      <c r="AY184" s="189"/>
      <c r="AZ184" s="189"/>
      <c r="BA184" s="205"/>
      <c r="BC184" s="189"/>
      <c r="BE184" s="57"/>
    </row>
    <row r="185" spans="1:57">
      <c r="A185" s="19">
        <f>[1]!_xludf.edate(A184,1)</f>
        <v>42614</v>
      </c>
      <c r="B185" s="21">
        <f t="shared" si="15"/>
        <v>30</v>
      </c>
      <c r="C185" s="20">
        <f>IF(Control!$C$10="Physical",Model!A186+24,Model!A186)</f>
        <v>42644</v>
      </c>
      <c r="E185" s="22">
        <f>IF($A185&lt;Collar!$C$9,IF(Collar!$F$26="Flat",Collar!$C$10,VLOOKUP(Model!$A185,Collar!$B$31:$D$184,3)),0)</f>
        <v>0</v>
      </c>
      <c r="F185" s="22">
        <f t="shared" si="13"/>
        <v>0</v>
      </c>
      <c r="G185" s="26">
        <f t="shared" ca="1" si="11"/>
        <v>0</v>
      </c>
      <c r="H185" s="60">
        <f>A185-1-Collar!$C$13</f>
        <v>5413</v>
      </c>
      <c r="I185" s="24">
        <f t="shared" si="12"/>
        <v>5.4193625233983397E-2</v>
      </c>
      <c r="J185" s="25">
        <f t="shared" ca="1" si="14"/>
        <v>0.45127388389290318</v>
      </c>
      <c r="K185" s="200"/>
      <c r="L185" s="23"/>
      <c r="M185" s="23"/>
      <c r="N185" s="57"/>
      <c r="O185" s="57"/>
      <c r="P185" s="61"/>
      <c r="Q185" s="24"/>
      <c r="S185" s="25"/>
      <c r="T185" s="62"/>
      <c r="U185" s="27"/>
      <c r="V185" s="64"/>
      <c r="W185" s="170"/>
      <c r="X185" s="170"/>
      <c r="Y185" s="170"/>
      <c r="AA185" s="183"/>
      <c r="AB185" s="183"/>
      <c r="AC185" s="184"/>
      <c r="AD185" s="185"/>
      <c r="AE185" s="186"/>
      <c r="AF185" s="187"/>
      <c r="AG185" s="188"/>
      <c r="AH185" s="189"/>
      <c r="AI185" s="27"/>
      <c r="AJ185" s="28"/>
      <c r="AP185" s="26"/>
      <c r="AQ185" s="26"/>
      <c r="AR185" s="26"/>
      <c r="AS185" s="27"/>
      <c r="AT185" s="27"/>
      <c r="AU185" s="27"/>
      <c r="AV185" s="27"/>
      <c r="AW185" s="27"/>
      <c r="AY185" s="189"/>
      <c r="AZ185" s="189"/>
      <c r="BA185" s="205"/>
      <c r="BC185" s="189"/>
      <c r="BE185" s="57"/>
    </row>
    <row r="186" spans="1:57">
      <c r="A186" s="19">
        <f>[1]!_xludf.edate(A185,1)</f>
        <v>42644</v>
      </c>
      <c r="B186" s="21">
        <f t="shared" si="15"/>
        <v>31</v>
      </c>
      <c r="C186" s="20">
        <f>IF(Control!$C$10="Physical",Model!A187+24,Model!A187)</f>
        <v>42675</v>
      </c>
      <c r="E186" s="22">
        <f>IF($A186&lt;Collar!$C$9,IF(Collar!$F$26="Flat",Collar!$C$10,VLOOKUP(Model!$A186,Collar!$B$31:$D$184,3)),0)</f>
        <v>0</v>
      </c>
      <c r="F186" s="22">
        <f t="shared" si="13"/>
        <v>0</v>
      </c>
      <c r="G186" s="26">
        <f t="shared" ca="1" si="11"/>
        <v>0</v>
      </c>
      <c r="H186" s="60">
        <f>A186-1-Collar!$C$13</f>
        <v>5443</v>
      </c>
      <c r="I186" s="24">
        <f t="shared" si="12"/>
        <v>5.4248568172770899E-2</v>
      </c>
      <c r="J186" s="25">
        <f t="shared" ca="1" si="14"/>
        <v>0.44887099537082065</v>
      </c>
      <c r="K186" s="200"/>
      <c r="L186" s="23"/>
      <c r="M186" s="23"/>
      <c r="N186" s="57"/>
      <c r="O186" s="57"/>
      <c r="P186" s="61"/>
      <c r="Q186" s="24"/>
      <c r="S186" s="25"/>
      <c r="T186" s="62"/>
      <c r="U186" s="27"/>
      <c r="V186" s="64"/>
      <c r="W186" s="170"/>
      <c r="X186" s="170"/>
      <c r="Y186" s="170"/>
      <c r="AA186" s="183"/>
      <c r="AB186" s="183"/>
      <c r="AC186" s="184"/>
      <c r="AD186" s="185"/>
      <c r="AE186" s="186"/>
      <c r="AF186" s="187"/>
      <c r="AG186" s="188"/>
      <c r="AH186" s="189"/>
      <c r="AI186" s="27"/>
      <c r="AJ186" s="28"/>
      <c r="AP186" s="26"/>
      <c r="AQ186" s="26"/>
      <c r="AR186" s="26"/>
      <c r="AS186" s="27"/>
      <c r="AT186" s="27"/>
      <c r="AU186" s="27"/>
      <c r="AV186" s="27"/>
      <c r="AW186" s="27"/>
      <c r="AY186" s="189"/>
      <c r="AZ186" s="189"/>
      <c r="BA186" s="205"/>
      <c r="BC186" s="189"/>
      <c r="BE186" s="57"/>
    </row>
    <row r="187" spans="1:57">
      <c r="A187" s="19">
        <f>[1]!_xludf.edate(A186,1)</f>
        <v>42675</v>
      </c>
      <c r="B187" s="21">
        <f t="shared" si="15"/>
        <v>30</v>
      </c>
      <c r="C187" s="20">
        <f>IF(Control!$C$10="Physical",Model!A188+24,Model!A188)</f>
        <v>42705</v>
      </c>
      <c r="E187" s="22">
        <f>IF($A187&lt;Collar!$C$9,IF(Collar!$F$26="Flat",Collar!$C$10,VLOOKUP(Model!$A187,Collar!$B$31:$D$184,3)),0)</f>
        <v>0</v>
      </c>
      <c r="F187" s="22">
        <f t="shared" si="13"/>
        <v>0</v>
      </c>
      <c r="G187" s="26">
        <f t="shared" ca="1" si="11"/>
        <v>0</v>
      </c>
      <c r="H187" s="60">
        <f>A187-1-Collar!$C$13</f>
        <v>5474</v>
      </c>
      <c r="I187" s="24">
        <f t="shared" si="12"/>
        <v>5.4301738759652697E-2</v>
      </c>
      <c r="J187" s="25">
        <f t="shared" ca="1" si="14"/>
        <v>0.44655395066769404</v>
      </c>
      <c r="K187" s="200"/>
      <c r="L187" s="23"/>
      <c r="M187" s="23"/>
      <c r="N187" s="57"/>
      <c r="O187" s="57"/>
      <c r="P187" s="61"/>
      <c r="Q187" s="24"/>
      <c r="S187" s="25"/>
      <c r="T187" s="62"/>
      <c r="U187" s="27"/>
      <c r="V187" s="64"/>
      <c r="W187" s="170"/>
      <c r="X187" s="170"/>
      <c r="Y187" s="170"/>
      <c r="AA187" s="183"/>
      <c r="AB187" s="183"/>
      <c r="AC187" s="184"/>
      <c r="AD187" s="185"/>
      <c r="AE187" s="186"/>
      <c r="AF187" s="187"/>
      <c r="AG187" s="188"/>
      <c r="AH187" s="189"/>
      <c r="AI187" s="27"/>
      <c r="AJ187" s="28"/>
      <c r="AP187" s="26"/>
      <c r="AQ187" s="26"/>
      <c r="AR187" s="26"/>
      <c r="AS187" s="27"/>
      <c r="AT187" s="27"/>
      <c r="AU187" s="27"/>
      <c r="AV187" s="27"/>
      <c r="AW187" s="27"/>
      <c r="AY187" s="189"/>
      <c r="AZ187" s="189"/>
      <c r="BA187" s="205"/>
      <c r="BC187" s="189"/>
      <c r="BE187" s="57"/>
    </row>
    <row r="188" spans="1:57">
      <c r="A188" s="19">
        <f>[1]!_xludf.edate(A187,1)</f>
        <v>42705</v>
      </c>
      <c r="B188" s="21">
        <f t="shared" si="15"/>
        <v>31</v>
      </c>
      <c r="C188" s="20">
        <f>IF(Control!$C$10="Physical",Model!A189+24,Model!A189)</f>
        <v>42736</v>
      </c>
      <c r="E188" s="22">
        <f>IF($A188&lt;Collar!$C$9,IF(Collar!$F$26="Flat",Collar!$C$10,VLOOKUP(Model!$A188,Collar!$B$31:$D$184,3)),0)</f>
        <v>0</v>
      </c>
      <c r="F188" s="22">
        <f t="shared" si="13"/>
        <v>0</v>
      </c>
      <c r="G188" s="26">
        <f t="shared" ca="1" si="11"/>
        <v>0</v>
      </c>
      <c r="H188" s="60">
        <f>A188-1-Collar!$C$13</f>
        <v>5504</v>
      </c>
      <c r="I188" s="24">
        <f t="shared" si="12"/>
        <v>5.4356681700419497E-2</v>
      </c>
      <c r="J188" s="25">
        <f t="shared" ca="1" si="14"/>
        <v>0.44416827697750266</v>
      </c>
      <c r="K188" s="200"/>
      <c r="L188" s="23"/>
      <c r="M188" s="23"/>
      <c r="N188" s="57"/>
      <c r="O188" s="57"/>
      <c r="P188" s="61"/>
      <c r="Q188" s="24"/>
      <c r="S188" s="25"/>
      <c r="T188" s="62"/>
      <c r="U188" s="27"/>
      <c r="V188" s="64"/>
      <c r="W188" s="170"/>
      <c r="X188" s="170"/>
      <c r="Y188" s="170"/>
      <c r="AA188" s="183"/>
      <c r="AB188" s="183"/>
      <c r="AC188" s="184"/>
      <c r="AD188" s="185"/>
      <c r="AE188" s="186"/>
      <c r="AF188" s="187"/>
      <c r="AG188" s="188"/>
      <c r="AH188" s="189"/>
      <c r="AI188" s="27"/>
      <c r="AJ188" s="28"/>
      <c r="AP188" s="26"/>
      <c r="AQ188" s="26"/>
      <c r="AR188" s="26"/>
      <c r="AS188" s="27"/>
      <c r="AT188" s="27"/>
      <c r="AU188" s="27"/>
      <c r="AV188" s="27"/>
      <c r="AW188" s="27"/>
      <c r="AY188" s="189"/>
      <c r="AZ188" s="189"/>
      <c r="BA188" s="205"/>
      <c r="BC188" s="189"/>
      <c r="BE188" s="57"/>
    </row>
    <row r="189" spans="1:57">
      <c r="A189" s="19">
        <f>[1]!_xludf.edate(A188,1)</f>
        <v>42736</v>
      </c>
      <c r="B189" s="21">
        <f t="shared" si="15"/>
        <v>31</v>
      </c>
      <c r="C189" s="20">
        <f>IF(Control!$C$10="Physical",Model!A190+24,Model!A190)</f>
        <v>42767</v>
      </c>
      <c r="E189" s="22">
        <f>IF($A189&lt;Collar!$C$9,IF(Collar!$F$26="Flat",Collar!$C$10,VLOOKUP(Model!$A189,Collar!$B$31:$D$184,3)),0)</f>
        <v>0</v>
      </c>
      <c r="F189" s="22">
        <f t="shared" si="13"/>
        <v>0</v>
      </c>
      <c r="G189" s="26">
        <f t="shared" ca="1" si="11"/>
        <v>0</v>
      </c>
      <c r="H189" s="60">
        <f>A189-1-Collar!$C$13</f>
        <v>5535</v>
      </c>
      <c r="I189" s="24">
        <f t="shared" si="12"/>
        <v>5.4411624642192603E-2</v>
      </c>
      <c r="J189" s="25">
        <f t="shared" ca="1" si="14"/>
        <v>0.44179134677383647</v>
      </c>
      <c r="K189" s="200"/>
      <c r="L189" s="23"/>
      <c r="M189" s="23"/>
      <c r="N189" s="57"/>
      <c r="O189" s="57"/>
      <c r="P189" s="61"/>
      <c r="Q189" s="24"/>
      <c r="S189" s="25"/>
      <c r="T189" s="62"/>
      <c r="U189" s="27"/>
      <c r="V189" s="64"/>
      <c r="W189" s="170"/>
      <c r="X189" s="170"/>
      <c r="Y189" s="170"/>
      <c r="AA189" s="183"/>
      <c r="AB189" s="183"/>
      <c r="AC189" s="184"/>
      <c r="AD189" s="185"/>
      <c r="AE189" s="186"/>
      <c r="AF189" s="187"/>
      <c r="AG189" s="188"/>
      <c r="AH189" s="189"/>
      <c r="AI189" s="27"/>
      <c r="AJ189" s="28"/>
      <c r="AP189" s="26"/>
      <c r="AQ189" s="26"/>
      <c r="AR189" s="26"/>
      <c r="AS189" s="27"/>
      <c r="AT189" s="27"/>
      <c r="AU189" s="27"/>
      <c r="AV189" s="27"/>
      <c r="AW189" s="27"/>
      <c r="AY189" s="189"/>
      <c r="AZ189" s="189"/>
      <c r="BA189" s="205"/>
      <c r="BC189" s="189"/>
      <c r="BE189" s="57"/>
    </row>
    <row r="190" spans="1:57">
      <c r="A190" s="19">
        <f>[1]!_xludf.edate(A189,1)</f>
        <v>42767</v>
      </c>
      <c r="B190" s="21">
        <f t="shared" si="15"/>
        <v>28</v>
      </c>
      <c r="C190" s="20">
        <f>IF(Control!$C$10="Physical",Model!A191+24,Model!A191)</f>
        <v>42795</v>
      </c>
      <c r="E190" s="22">
        <f>IF($A190&lt;Collar!$C$9,IF(Collar!$F$26="Flat",Collar!$C$10,VLOOKUP(Model!$A190,Collar!$B$31:$D$184,3)),0)</f>
        <v>0</v>
      </c>
      <c r="F190" s="22">
        <f t="shared" si="13"/>
        <v>0</v>
      </c>
      <c r="G190" s="26">
        <f t="shared" ca="1" si="11"/>
        <v>0</v>
      </c>
      <c r="H190" s="60">
        <f>A190-1-Collar!$C$13</f>
        <v>5566</v>
      </c>
      <c r="I190" s="24">
        <f t="shared" si="12"/>
        <v>5.4461250525948302E-2</v>
      </c>
      <c r="J190" s="25">
        <f t="shared" ca="1" si="14"/>
        <v>0.43965195422567555</v>
      </c>
      <c r="K190" s="200"/>
      <c r="L190" s="23"/>
      <c r="M190" s="23"/>
      <c r="N190" s="57"/>
      <c r="O190" s="57"/>
      <c r="P190" s="61"/>
      <c r="Q190" s="24"/>
      <c r="S190" s="25"/>
      <c r="T190" s="62"/>
      <c r="U190" s="27"/>
      <c r="V190" s="64"/>
      <c r="W190" s="170"/>
      <c r="X190" s="170"/>
      <c r="Y190" s="170"/>
      <c r="AA190" s="183"/>
      <c r="AB190" s="183"/>
      <c r="AC190" s="184"/>
      <c r="AD190" s="185"/>
      <c r="AE190" s="186"/>
      <c r="AF190" s="187"/>
      <c r="AG190" s="188"/>
      <c r="AH190" s="189"/>
      <c r="AI190" s="27"/>
      <c r="AJ190" s="28"/>
      <c r="AP190" s="26"/>
      <c r="AQ190" s="26"/>
      <c r="AR190" s="26"/>
      <c r="AS190" s="27"/>
      <c r="AT190" s="27"/>
      <c r="AU190" s="27"/>
      <c r="AV190" s="27"/>
      <c r="AW190" s="27"/>
      <c r="AY190" s="189"/>
      <c r="AZ190" s="189"/>
      <c r="BA190" s="205"/>
      <c r="BC190" s="189"/>
      <c r="BE190" s="57"/>
    </row>
    <row r="191" spans="1:57">
      <c r="A191" s="19">
        <f>[1]!_xludf.edate(A190,1)</f>
        <v>42795</v>
      </c>
      <c r="B191" s="21">
        <f t="shared" si="15"/>
        <v>31</v>
      </c>
      <c r="C191" s="20">
        <f>IF(Control!$C$10="Physical",Model!A192+24,Model!A192)</f>
        <v>42826</v>
      </c>
      <c r="E191" s="22">
        <f>IF($A191&lt;Collar!$C$9,IF(Collar!$F$26="Flat",Collar!$C$10,VLOOKUP(Model!$A191,Collar!$B$31:$D$184,3)),0)</f>
        <v>0</v>
      </c>
      <c r="F191" s="22">
        <f t="shared" si="13"/>
        <v>0</v>
      </c>
      <c r="G191" s="26">
        <f t="shared" ca="1" si="11"/>
        <v>0</v>
      </c>
      <c r="H191" s="60">
        <f>A191-1-Collar!$C$13</f>
        <v>5594</v>
      </c>
      <c r="I191" s="24">
        <f t="shared" si="12"/>
        <v>5.4516193469635398E-2</v>
      </c>
      <c r="J191" s="25">
        <f t="shared" ca="1" si="14"/>
        <v>0.43729165448596025</v>
      </c>
      <c r="K191" s="200"/>
      <c r="L191" s="23"/>
      <c r="M191" s="23"/>
      <c r="N191" s="57"/>
      <c r="O191" s="57"/>
      <c r="P191" s="61"/>
      <c r="Q191" s="24"/>
      <c r="S191" s="25"/>
      <c r="T191" s="62"/>
      <c r="U191" s="27"/>
      <c r="V191" s="64"/>
      <c r="W191" s="170"/>
      <c r="X191" s="170"/>
      <c r="Y191" s="170"/>
      <c r="AA191" s="183"/>
      <c r="AB191" s="183"/>
      <c r="AC191" s="184"/>
      <c r="AD191" s="185"/>
      <c r="AE191" s="186"/>
      <c r="AF191" s="187"/>
      <c r="AG191" s="188"/>
      <c r="AH191" s="189"/>
      <c r="AI191" s="27"/>
      <c r="AJ191" s="28"/>
      <c r="AP191" s="26"/>
      <c r="AQ191" s="26"/>
      <c r="AR191" s="26"/>
      <c r="AS191" s="27"/>
      <c r="AT191" s="27"/>
      <c r="AU191" s="27"/>
      <c r="AV191" s="27"/>
      <c r="AW191" s="27"/>
      <c r="AY191" s="189"/>
      <c r="AZ191" s="189"/>
      <c r="BA191" s="205"/>
      <c r="BC191" s="189"/>
      <c r="BE191" s="57"/>
    </row>
    <row r="192" spans="1:57">
      <c r="A192" s="19">
        <f>[1]!_xludf.edate(A191,1)</f>
        <v>42826</v>
      </c>
      <c r="B192" s="21">
        <f t="shared" si="15"/>
        <v>30</v>
      </c>
      <c r="C192" s="20">
        <f>IF(Control!$C$10="Physical",Model!A193+24,Model!A193)</f>
        <v>42856</v>
      </c>
      <c r="E192" s="22">
        <f>IF($A192&lt;Collar!$C$9,IF(Collar!$F$26="Flat",Collar!$C$10,VLOOKUP(Model!$A192,Collar!$B$31:$D$184,3)),0)</f>
        <v>0</v>
      </c>
      <c r="F192" s="22">
        <f t="shared" si="13"/>
        <v>0</v>
      </c>
      <c r="G192" s="26">
        <f t="shared" ca="1" si="11"/>
        <v>0</v>
      </c>
      <c r="H192" s="60">
        <f>A192-1-Collar!$C$13</f>
        <v>5625</v>
      </c>
      <c r="I192" s="24">
        <f t="shared" si="12"/>
        <v>5.4569364061257397E-2</v>
      </c>
      <c r="J192" s="25">
        <f t="shared" ca="1" si="14"/>
        <v>0.43501580769004738</v>
      </c>
      <c r="K192" s="200"/>
      <c r="L192" s="23"/>
      <c r="M192" s="23"/>
      <c r="N192" s="57"/>
      <c r="O192" s="57"/>
      <c r="P192" s="61"/>
      <c r="Q192" s="24"/>
      <c r="S192" s="25"/>
      <c r="T192" s="62"/>
      <c r="U192" s="27"/>
      <c r="V192" s="64"/>
      <c r="W192" s="170"/>
      <c r="X192" s="170"/>
      <c r="Y192" s="170"/>
      <c r="AA192" s="183"/>
      <c r="AB192" s="183"/>
      <c r="AC192" s="184"/>
      <c r="AD192" s="185"/>
      <c r="AE192" s="186"/>
      <c r="AF192" s="187"/>
      <c r="AG192" s="188"/>
      <c r="AH192" s="189"/>
      <c r="AI192" s="27"/>
      <c r="AJ192" s="28"/>
      <c r="AP192" s="26"/>
      <c r="AQ192" s="26"/>
      <c r="AR192" s="26"/>
      <c r="AS192" s="27"/>
      <c r="AT192" s="27"/>
      <c r="AU192" s="27"/>
      <c r="AV192" s="27"/>
      <c r="AW192" s="27"/>
      <c r="AY192" s="189"/>
      <c r="AZ192" s="189"/>
      <c r="BA192" s="205"/>
      <c r="BC192" s="189"/>
      <c r="BE192" s="57"/>
    </row>
    <row r="193" spans="1:57">
      <c r="A193" s="19">
        <f>[1]!_xludf.edate(A192,1)</f>
        <v>42856</v>
      </c>
      <c r="B193" s="21">
        <f t="shared" si="15"/>
        <v>31</v>
      </c>
      <c r="C193" s="20">
        <f>IF(Control!$C$10="Physical",Model!A194+24,Model!A194)</f>
        <v>42887</v>
      </c>
      <c r="E193" s="22">
        <f>IF($A193&lt;Collar!$C$9,IF(Collar!$F$26="Flat",Collar!$C$10,VLOOKUP(Model!$A193,Collar!$B$31:$D$184,3)),0)</f>
        <v>0</v>
      </c>
      <c r="F193" s="22">
        <f t="shared" si="13"/>
        <v>0</v>
      </c>
      <c r="G193" s="26">
        <f t="shared" ca="1" si="11"/>
        <v>0</v>
      </c>
      <c r="H193" s="60">
        <f>A193-1-Collar!$C$13</f>
        <v>5655</v>
      </c>
      <c r="I193" s="24">
        <f t="shared" si="12"/>
        <v>5.4624307006923403E-2</v>
      </c>
      <c r="J193" s="25">
        <f t="shared" ca="1" si="14"/>
        <v>0.4326726865172098</v>
      </c>
      <c r="K193" s="200"/>
      <c r="L193" s="23"/>
      <c r="M193" s="23"/>
      <c r="N193" s="57"/>
      <c r="O193" s="57"/>
      <c r="P193" s="61"/>
      <c r="Q193" s="24"/>
      <c r="S193" s="25"/>
      <c r="T193" s="62"/>
      <c r="U193" s="27"/>
      <c r="V193" s="64"/>
      <c r="W193" s="170"/>
      <c r="X193" s="170"/>
      <c r="Y193" s="170"/>
      <c r="AA193" s="183"/>
      <c r="AB193" s="183"/>
      <c r="AC193" s="184"/>
      <c r="AD193" s="185"/>
      <c r="AE193" s="186"/>
      <c r="AF193" s="187"/>
      <c r="AG193" s="188"/>
      <c r="AH193" s="189"/>
      <c r="AI193" s="27"/>
      <c r="AJ193" s="28"/>
      <c r="AP193" s="26"/>
      <c r="AQ193" s="26"/>
      <c r="AR193" s="26"/>
      <c r="AS193" s="27"/>
      <c r="AT193" s="27"/>
      <c r="AU193" s="27"/>
      <c r="AV193" s="27"/>
      <c r="AW193" s="27"/>
      <c r="AY193" s="189"/>
      <c r="AZ193" s="189"/>
      <c r="BA193" s="205"/>
      <c r="BC193" s="189"/>
      <c r="BE193" s="57"/>
    </row>
    <row r="194" spans="1:57">
      <c r="A194" s="19">
        <f>[1]!_xludf.edate(A193,1)</f>
        <v>42887</v>
      </c>
      <c r="B194" s="21">
        <f t="shared" si="15"/>
        <v>30</v>
      </c>
      <c r="C194" s="20">
        <f>IF(Control!$C$10="Physical",Model!A195+24,Model!A195)</f>
        <v>42917</v>
      </c>
      <c r="E194" s="22">
        <f>IF($A194&lt;Collar!$C$9,IF(Collar!$F$26="Flat",Collar!$C$10,VLOOKUP(Model!$A194,Collar!$B$31:$D$184,3)),0)</f>
        <v>0</v>
      </c>
      <c r="F194" s="22">
        <f t="shared" si="13"/>
        <v>0</v>
      </c>
      <c r="G194" s="26">
        <f t="shared" ca="1" si="11"/>
        <v>0</v>
      </c>
      <c r="H194" s="60">
        <f>A194-1-Collar!$C$13</f>
        <v>5686</v>
      </c>
      <c r="I194" s="24">
        <f t="shared" si="12"/>
        <v>5.4677477600460801E-2</v>
      </c>
      <c r="J194" s="25">
        <f t="shared" ca="1" si="14"/>
        <v>0.43041345585624619</v>
      </c>
      <c r="K194" s="200"/>
      <c r="L194" s="23"/>
      <c r="M194" s="23"/>
      <c r="N194" s="57"/>
      <c r="O194" s="57"/>
      <c r="P194" s="61"/>
      <c r="Q194" s="24"/>
      <c r="S194" s="25"/>
      <c r="T194" s="62"/>
      <c r="U194" s="27"/>
      <c r="V194" s="64"/>
      <c r="W194" s="170"/>
      <c r="X194" s="170"/>
      <c r="Y194" s="170"/>
      <c r="AA194" s="183"/>
      <c r="AB194" s="183"/>
      <c r="AC194" s="184"/>
      <c r="AD194" s="185"/>
      <c r="AE194" s="186"/>
      <c r="AF194" s="187"/>
      <c r="AG194" s="188"/>
      <c r="AH194" s="189"/>
      <c r="AI194" s="27"/>
      <c r="AJ194" s="28"/>
      <c r="AP194" s="26"/>
      <c r="AQ194" s="26"/>
      <c r="AR194" s="26"/>
      <c r="AS194" s="27"/>
      <c r="AT194" s="27"/>
      <c r="AU194" s="27"/>
      <c r="AV194" s="27"/>
      <c r="AW194" s="27"/>
      <c r="AY194" s="189"/>
      <c r="AZ194" s="189"/>
      <c r="BA194" s="205"/>
      <c r="BC194" s="189"/>
      <c r="BE194" s="57"/>
    </row>
    <row r="195" spans="1:57">
      <c r="A195" s="19">
        <f>[1]!_xludf.edate(A194,1)</f>
        <v>42917</v>
      </c>
      <c r="B195" s="21">
        <f t="shared" si="15"/>
        <v>31</v>
      </c>
      <c r="C195" s="20">
        <f>IF(Control!$C$10="Physical",Model!A196+24,Model!A196)</f>
        <v>42948</v>
      </c>
      <c r="E195" s="22">
        <f>IF($A195&lt;Collar!$C$9,IF(Collar!$F$26="Flat",Collar!$C$10,VLOOKUP(Model!$A195,Collar!$B$31:$D$184,3)),0)</f>
        <v>0</v>
      </c>
      <c r="F195" s="22">
        <f t="shared" si="13"/>
        <v>0</v>
      </c>
      <c r="G195" s="26">
        <f t="shared" ca="1" si="11"/>
        <v>0</v>
      </c>
      <c r="H195" s="60">
        <f>A195-1-Collar!$C$13</f>
        <v>5716</v>
      </c>
      <c r="I195" s="24">
        <f t="shared" si="12"/>
        <v>5.4732420548105197E-2</v>
      </c>
      <c r="J195" s="25">
        <f t="shared" ca="1" si="14"/>
        <v>0.42808749571666926</v>
      </c>
      <c r="K195" s="200"/>
      <c r="L195" s="23"/>
      <c r="M195" s="23"/>
      <c r="N195" s="57"/>
      <c r="O195" s="57"/>
      <c r="P195" s="61"/>
      <c r="Q195" s="24"/>
      <c r="S195" s="25"/>
      <c r="T195" s="62"/>
      <c r="U195" s="27"/>
      <c r="V195" s="64"/>
      <c r="W195" s="170"/>
      <c r="X195" s="170"/>
      <c r="Y195" s="170"/>
      <c r="AA195" s="183"/>
      <c r="AB195" s="183"/>
      <c r="AC195" s="184"/>
      <c r="AD195" s="185"/>
      <c r="AE195" s="186"/>
      <c r="AF195" s="187"/>
      <c r="AG195" s="188"/>
      <c r="AH195" s="189"/>
      <c r="AI195" s="27"/>
      <c r="AJ195" s="28"/>
      <c r="AP195" s="26"/>
      <c r="AQ195" s="26"/>
      <c r="AR195" s="26"/>
      <c r="AS195" s="27"/>
      <c r="AT195" s="27"/>
      <c r="AU195" s="27"/>
      <c r="AV195" s="27"/>
      <c r="AW195" s="27"/>
      <c r="AY195" s="189"/>
      <c r="AZ195" s="189"/>
      <c r="BA195" s="205"/>
      <c r="BC195" s="189"/>
      <c r="BE195" s="57"/>
    </row>
    <row r="196" spans="1:57">
      <c r="A196" s="19">
        <f>[1]!_xludf.edate(A195,1)</f>
        <v>42948</v>
      </c>
      <c r="B196" s="21">
        <f t="shared" si="15"/>
        <v>31</v>
      </c>
      <c r="C196" s="20">
        <f>IF(Control!$C$10="Physical",Model!A197+24,Model!A197)</f>
        <v>42979</v>
      </c>
      <c r="E196" s="22">
        <f>IF($A196&lt;Collar!$C$9,IF(Collar!$F$26="Flat",Collar!$C$10,VLOOKUP(Model!$A196,Collar!$B$31:$D$184,3)),0)</f>
        <v>0</v>
      </c>
      <c r="F196" s="22">
        <f t="shared" si="13"/>
        <v>0</v>
      </c>
      <c r="G196" s="26">
        <f t="shared" ca="1" si="11"/>
        <v>0</v>
      </c>
      <c r="H196" s="60">
        <f>A196-1-Collar!$C$13</f>
        <v>5747</v>
      </c>
      <c r="I196" s="24">
        <f t="shared" si="12"/>
        <v>5.4787363496755503E-2</v>
      </c>
      <c r="J196" s="25">
        <f t="shared" ca="1" si="14"/>
        <v>0.42577024951566833</v>
      </c>
      <c r="K196" s="200"/>
      <c r="L196" s="23"/>
      <c r="M196" s="23"/>
      <c r="N196" s="57"/>
      <c r="O196" s="57"/>
      <c r="P196" s="61"/>
      <c r="Q196" s="24"/>
      <c r="S196" s="25"/>
      <c r="T196" s="62"/>
      <c r="U196" s="27"/>
      <c r="V196" s="64"/>
      <c r="W196" s="170"/>
      <c r="X196" s="170"/>
      <c r="Y196" s="170"/>
      <c r="AA196" s="183"/>
      <c r="AB196" s="183"/>
      <c r="AC196" s="184"/>
      <c r="AD196" s="185"/>
      <c r="AE196" s="186"/>
      <c r="AF196" s="187"/>
      <c r="AG196" s="188"/>
      <c r="AH196" s="189"/>
      <c r="AI196" s="27"/>
      <c r="AJ196" s="28"/>
      <c r="AP196" s="26"/>
      <c r="AQ196" s="26"/>
      <c r="AR196" s="26"/>
      <c r="AS196" s="27"/>
      <c r="AT196" s="27"/>
      <c r="AU196" s="27"/>
      <c r="AV196" s="27"/>
      <c r="AW196" s="27"/>
      <c r="AY196" s="189"/>
      <c r="AZ196" s="189"/>
      <c r="BA196" s="205"/>
      <c r="BC196" s="189"/>
      <c r="BE196" s="57"/>
    </row>
    <row r="197" spans="1:57">
      <c r="A197" s="19">
        <f>[1]!_xludf.edate(A196,1)</f>
        <v>42979</v>
      </c>
      <c r="B197" s="21">
        <f t="shared" si="15"/>
        <v>30</v>
      </c>
      <c r="C197" s="20">
        <f>IF(Control!$C$10="Physical",Model!A198+24,Model!A198)</f>
        <v>43009</v>
      </c>
      <c r="E197" s="22">
        <f>IF($A197&lt;Collar!$C$9,IF(Collar!$F$26="Flat",Collar!$C$10,VLOOKUP(Model!$A197,Collar!$B$31:$D$184,3)),0)</f>
        <v>0</v>
      </c>
      <c r="F197" s="22">
        <f t="shared" si="13"/>
        <v>0</v>
      </c>
      <c r="G197" s="26">
        <f t="shared" ca="1" si="11"/>
        <v>0</v>
      </c>
      <c r="H197" s="60">
        <f>A197-1-Collar!$C$13</f>
        <v>5778</v>
      </c>
      <c r="I197" s="24">
        <f t="shared" si="12"/>
        <v>5.4840534093181202E-2</v>
      </c>
      <c r="J197" s="25">
        <f t="shared" ca="1" si="14"/>
        <v>0.42353604516251969</v>
      </c>
      <c r="K197" s="200"/>
      <c r="L197" s="23"/>
      <c r="M197" s="23"/>
      <c r="N197" s="57"/>
      <c r="O197" s="57"/>
      <c r="P197" s="61"/>
      <c r="Q197" s="24"/>
      <c r="S197" s="25"/>
      <c r="T197" s="62"/>
      <c r="U197" s="27"/>
      <c r="V197" s="64"/>
      <c r="W197" s="170"/>
      <c r="X197" s="170"/>
      <c r="Y197" s="170"/>
      <c r="AA197" s="183"/>
      <c r="AB197" s="183"/>
      <c r="AC197" s="184"/>
      <c r="AD197" s="185"/>
      <c r="AE197" s="186"/>
      <c r="AF197" s="187"/>
      <c r="AG197" s="188"/>
      <c r="AH197" s="189"/>
      <c r="AI197" s="27"/>
      <c r="AJ197" s="28"/>
      <c r="AP197" s="26"/>
      <c r="AQ197" s="26"/>
      <c r="AR197" s="26"/>
      <c r="AS197" s="27"/>
      <c r="AT197" s="27"/>
      <c r="AU197" s="27"/>
      <c r="AV197" s="27"/>
      <c r="AW197" s="27"/>
      <c r="AY197" s="189"/>
      <c r="AZ197" s="189"/>
      <c r="BA197" s="205"/>
      <c r="BC197" s="189"/>
      <c r="BE197" s="57"/>
    </row>
    <row r="198" spans="1:57">
      <c r="A198" s="19">
        <f>[1]!_xludf.edate(A197,1)</f>
        <v>43009</v>
      </c>
      <c r="B198" s="21">
        <f t="shared" si="15"/>
        <v>31</v>
      </c>
      <c r="C198" s="20">
        <f>IF(Control!$C$10="Physical",Model!A199+24,Model!A199)</f>
        <v>43040</v>
      </c>
      <c r="E198" s="22">
        <f>IF($A198&lt;Collar!$C$9,IF(Collar!$F$26="Flat",Collar!$C$10,VLOOKUP(Model!$A198,Collar!$B$31:$D$184,3)),0)</f>
        <v>0</v>
      </c>
      <c r="F198" s="22">
        <f t="shared" si="13"/>
        <v>0</v>
      </c>
      <c r="G198" s="26">
        <f t="shared" ca="1" si="11"/>
        <v>0</v>
      </c>
      <c r="H198" s="60">
        <f>A198-1-Collar!$C$13</f>
        <v>5808</v>
      </c>
      <c r="I198" s="24">
        <f t="shared" si="12"/>
        <v>5.4895477043809503E-2</v>
      </c>
      <c r="J198" s="25">
        <f t="shared" ca="1" si="14"/>
        <v>0.42123593047535324</v>
      </c>
      <c r="K198" s="200"/>
      <c r="L198" s="23"/>
      <c r="M198" s="23"/>
      <c r="N198" s="57"/>
      <c r="O198" s="57"/>
      <c r="P198" s="61"/>
      <c r="Q198" s="24"/>
      <c r="S198" s="25"/>
      <c r="T198" s="62"/>
      <c r="U198" s="27"/>
      <c r="V198" s="64"/>
      <c r="W198" s="170"/>
      <c r="X198" s="170"/>
      <c r="Y198" s="170"/>
      <c r="AA198" s="183"/>
      <c r="AB198" s="183"/>
      <c r="AC198" s="184"/>
      <c r="AD198" s="185"/>
      <c r="AE198" s="186"/>
      <c r="AF198" s="187"/>
      <c r="AG198" s="188"/>
      <c r="AH198" s="189"/>
      <c r="AI198" s="27"/>
      <c r="AJ198" s="28"/>
      <c r="AP198" s="26"/>
      <c r="AQ198" s="26"/>
      <c r="AR198" s="26"/>
      <c r="AS198" s="27"/>
      <c r="AT198" s="27"/>
      <c r="AU198" s="27"/>
      <c r="AV198" s="27"/>
      <c r="AW198" s="27"/>
      <c r="AY198" s="189"/>
      <c r="AZ198" s="189"/>
      <c r="BA198" s="205"/>
      <c r="BC198" s="189"/>
      <c r="BE198" s="57"/>
    </row>
    <row r="199" spans="1:57">
      <c r="A199" s="19">
        <f>[1]!_xludf.edate(A198,1)</f>
        <v>43040</v>
      </c>
      <c r="B199" s="21">
        <f t="shared" si="15"/>
        <v>30</v>
      </c>
      <c r="C199" s="20">
        <f>IF(Control!$C$10="Physical",Model!A200+24,Model!A200)</f>
        <v>43070</v>
      </c>
      <c r="E199" s="22">
        <f>IF($A199&lt;Collar!$C$9,IF(Collar!$F$26="Flat",Collar!$C$10,VLOOKUP(Model!$A199,Collar!$B$31:$D$184,3)),0)</f>
        <v>0</v>
      </c>
      <c r="F199" s="22">
        <f t="shared" si="13"/>
        <v>0</v>
      </c>
      <c r="G199" s="26">
        <f t="shared" ca="1" si="11"/>
        <v>0</v>
      </c>
      <c r="H199" s="60">
        <f>A199-1-Collar!$C$13</f>
        <v>5839</v>
      </c>
      <c r="I199" s="24">
        <f t="shared" si="12"/>
        <v>5.49486476421501E-2</v>
      </c>
      <c r="J199" s="25">
        <f t="shared" ca="1" si="14"/>
        <v>0.41901829475687369</v>
      </c>
      <c r="K199" s="200"/>
      <c r="L199" s="23"/>
      <c r="M199" s="23"/>
      <c r="N199" s="57"/>
      <c r="O199" s="57"/>
      <c r="P199" s="61"/>
      <c r="Q199" s="24"/>
      <c r="S199" s="25"/>
      <c r="T199" s="62"/>
      <c r="U199" s="27"/>
      <c r="V199" s="64"/>
      <c r="W199" s="170"/>
      <c r="X199" s="170"/>
      <c r="Y199" s="170"/>
      <c r="AA199" s="183"/>
      <c r="AB199" s="183"/>
      <c r="AC199" s="184"/>
      <c r="AD199" s="185"/>
      <c r="AE199" s="186"/>
      <c r="AF199" s="187"/>
      <c r="AG199" s="188"/>
      <c r="AH199" s="189"/>
      <c r="AI199" s="27"/>
      <c r="AJ199" s="28"/>
      <c r="AP199" s="26"/>
      <c r="AQ199" s="26"/>
      <c r="AR199" s="26"/>
      <c r="AS199" s="27"/>
      <c r="AT199" s="27"/>
      <c r="AU199" s="27"/>
      <c r="AV199" s="27"/>
      <c r="AW199" s="27"/>
      <c r="AY199" s="189"/>
      <c r="AZ199" s="189"/>
      <c r="BA199" s="205"/>
      <c r="BC199" s="189"/>
      <c r="BE199" s="57"/>
    </row>
    <row r="200" spans="1:57">
      <c r="A200" s="19">
        <f>[1]!_xludf.edate(A199,1)</f>
        <v>43070</v>
      </c>
      <c r="B200" s="21">
        <f t="shared" si="15"/>
        <v>31</v>
      </c>
      <c r="C200" s="20">
        <f>IF(Control!$C$10="Physical",Model!A201+24,Model!A201)</f>
        <v>43101</v>
      </c>
      <c r="E200" s="22">
        <f>IF($A200&lt;Collar!$C$9,IF(Collar!$F$26="Flat",Collar!$C$10,VLOOKUP(Model!$A200,Collar!$B$31:$D$184,3)),0)</f>
        <v>0</v>
      </c>
      <c r="F200" s="22">
        <f t="shared" si="13"/>
        <v>0</v>
      </c>
      <c r="G200" s="26">
        <f t="shared" ref="G200:G263" ca="1" si="16">$B200*$E200*$J200</f>
        <v>0</v>
      </c>
      <c r="H200" s="60">
        <f>A200-1-Collar!$C$13</f>
        <v>5869</v>
      </c>
      <c r="I200" s="24">
        <f t="shared" ref="I200:I263" si="17">VLOOKUP($C200,Curve_Fetch,2)+Cost_of_Funds</f>
        <v>5.5003590594757699E-2</v>
      </c>
      <c r="J200" s="25">
        <f t="shared" ca="1" si="14"/>
        <v>0.4167352900015307</v>
      </c>
      <c r="K200" s="200"/>
      <c r="L200" s="23"/>
      <c r="M200" s="23"/>
      <c r="N200" s="57"/>
      <c r="O200" s="57"/>
      <c r="P200" s="61"/>
      <c r="Q200" s="24"/>
      <c r="S200" s="25"/>
      <c r="T200" s="62"/>
      <c r="U200" s="27"/>
      <c r="V200" s="64"/>
      <c r="W200" s="170"/>
      <c r="X200" s="170"/>
      <c r="Y200" s="170"/>
      <c r="AA200" s="183"/>
      <c r="AB200" s="183"/>
      <c r="AC200" s="184"/>
      <c r="AD200" s="185"/>
      <c r="AE200" s="186"/>
      <c r="AF200" s="187"/>
      <c r="AG200" s="188"/>
      <c r="AH200" s="189"/>
      <c r="AI200" s="27"/>
      <c r="AJ200" s="28"/>
      <c r="AP200" s="26"/>
      <c r="AQ200" s="26"/>
      <c r="AR200" s="26"/>
      <c r="AS200" s="27"/>
      <c r="AT200" s="27"/>
      <c r="AU200" s="27"/>
      <c r="AV200" s="27"/>
      <c r="AW200" s="27"/>
      <c r="AY200" s="189"/>
      <c r="AZ200" s="189"/>
      <c r="BA200" s="205"/>
      <c r="BC200" s="189"/>
      <c r="BE200" s="57"/>
    </row>
    <row r="201" spans="1:57">
      <c r="A201" s="19">
        <f>[1]!_xludf.edate(A200,1)</f>
        <v>43101</v>
      </c>
      <c r="B201" s="21">
        <f t="shared" si="15"/>
        <v>31</v>
      </c>
      <c r="C201" s="20">
        <f>IF(Control!$C$10="Physical",Model!A202+24,Model!A202)</f>
        <v>43132</v>
      </c>
      <c r="E201" s="22">
        <f>IF($A201&lt;Collar!$C$9,IF(Collar!$F$26="Flat",Collar!$C$10,VLOOKUP(Model!$A201,Collar!$B$31:$D$184,3)),0)</f>
        <v>0</v>
      </c>
      <c r="F201" s="22">
        <f t="shared" ref="F201:F264" si="18">E201*B201</f>
        <v>0</v>
      </c>
      <c r="G201" s="26">
        <f t="shared" ca="1" si="16"/>
        <v>0</v>
      </c>
      <c r="H201" s="60">
        <f>A201-1-Collar!$C$13</f>
        <v>5900</v>
      </c>
      <c r="I201" s="24">
        <f t="shared" si="17"/>
        <v>5.5058533548370599E-2</v>
      </c>
      <c r="J201" s="25">
        <f t="shared" ref="J201:J264" ca="1" si="19">1/(1+I201/2)^(2*(C201-Val_Date)/365.25)</f>
        <v>0.41446097168002222</v>
      </c>
      <c r="K201" s="200"/>
      <c r="L201" s="23"/>
      <c r="M201" s="23"/>
      <c r="N201" s="57"/>
      <c r="O201" s="57"/>
      <c r="P201" s="61"/>
      <c r="Q201" s="24"/>
      <c r="S201" s="25"/>
      <c r="T201" s="62"/>
      <c r="U201" s="27"/>
      <c r="V201" s="64"/>
      <c r="W201" s="170"/>
      <c r="X201" s="170"/>
      <c r="Y201" s="170"/>
      <c r="AA201" s="183"/>
      <c r="AB201" s="183"/>
      <c r="AC201" s="184"/>
      <c r="AD201" s="185"/>
      <c r="AE201" s="186"/>
      <c r="AF201" s="187"/>
      <c r="AG201" s="188"/>
      <c r="AH201" s="189"/>
      <c r="AI201" s="27"/>
      <c r="AJ201" s="28"/>
      <c r="AP201" s="26"/>
      <c r="AQ201" s="26"/>
      <c r="AR201" s="26"/>
      <c r="AS201" s="27"/>
      <c r="AT201" s="27"/>
      <c r="AU201" s="27"/>
      <c r="AV201" s="27"/>
      <c r="AW201" s="27"/>
      <c r="AY201" s="189"/>
      <c r="AZ201" s="189"/>
      <c r="BA201" s="205"/>
      <c r="BC201" s="189"/>
      <c r="BE201" s="57"/>
    </row>
    <row r="202" spans="1:57">
      <c r="A202" s="19">
        <f>[1]!_xludf.edate(A201,1)</f>
        <v>43132</v>
      </c>
      <c r="B202" s="21">
        <f t="shared" ref="B202:B265" si="20">A203-A202</f>
        <v>28</v>
      </c>
      <c r="C202" s="20">
        <f>IF(Control!$C$10="Physical",Model!A203+24,Model!A203)</f>
        <v>43160</v>
      </c>
      <c r="E202" s="22">
        <f>IF($A202&lt;Collar!$C$9,IF(Collar!$F$26="Flat",Collar!$C$10,VLOOKUP(Model!$A202,Collar!$B$31:$D$184,3)),0)</f>
        <v>0</v>
      </c>
      <c r="F202" s="22">
        <f t="shared" si="18"/>
        <v>0</v>
      </c>
      <c r="G202" s="26">
        <f t="shared" ca="1" si="16"/>
        <v>0</v>
      </c>
      <c r="H202" s="60">
        <f>A202-1-Collar!$C$13</f>
        <v>5931</v>
      </c>
      <c r="I202" s="24">
        <f t="shared" si="17"/>
        <v>5.5108159442820402E-2</v>
      </c>
      <c r="J202" s="25">
        <f t="shared" ca="1" si="19"/>
        <v>0.41241420971293608</v>
      </c>
      <c r="K202" s="200"/>
      <c r="L202" s="23"/>
      <c r="M202" s="23"/>
      <c r="N202" s="57"/>
      <c r="O202" s="57"/>
      <c r="P202" s="61"/>
      <c r="Q202" s="24"/>
      <c r="S202" s="25"/>
      <c r="T202" s="62"/>
      <c r="U202" s="27"/>
      <c r="V202" s="64"/>
      <c r="W202" s="170"/>
      <c r="X202" s="170"/>
      <c r="Y202" s="170"/>
      <c r="AA202" s="183"/>
      <c r="AB202" s="183"/>
      <c r="AC202" s="184"/>
      <c r="AD202" s="185"/>
      <c r="AE202" s="186"/>
      <c r="AF202" s="187"/>
      <c r="AG202" s="188"/>
      <c r="AH202" s="189"/>
      <c r="AI202" s="27"/>
      <c r="AJ202" s="28"/>
      <c r="AP202" s="26"/>
      <c r="AQ202" s="26"/>
      <c r="AR202" s="26"/>
      <c r="AS202" s="27"/>
      <c r="AT202" s="27"/>
      <c r="AU202" s="27"/>
      <c r="AV202" s="27"/>
      <c r="AW202" s="27"/>
      <c r="AY202" s="189"/>
      <c r="AZ202" s="189"/>
      <c r="BA202" s="205"/>
      <c r="BC202" s="189"/>
      <c r="BE202" s="57"/>
    </row>
    <row r="203" spans="1:57">
      <c r="A203" s="19">
        <f>[1]!_xludf.edate(A202,1)</f>
        <v>43160</v>
      </c>
      <c r="B203" s="21">
        <f t="shared" si="20"/>
        <v>31</v>
      </c>
      <c r="C203" s="20">
        <f>IF(Control!$C$10="Physical",Model!A204+24,Model!A204)</f>
        <v>43191</v>
      </c>
      <c r="E203" s="22">
        <f>IF($A203&lt;Collar!$C$9,IF(Collar!$F$26="Flat",Collar!$C$10,VLOOKUP(Model!$A203,Collar!$B$31:$D$184,3)),0)</f>
        <v>0</v>
      </c>
      <c r="F203" s="22">
        <f t="shared" si="18"/>
        <v>0</v>
      </c>
      <c r="G203" s="26">
        <f t="shared" ca="1" si="16"/>
        <v>0</v>
      </c>
      <c r="H203" s="60">
        <f>A203-1-Collar!$C$13</f>
        <v>5959</v>
      </c>
      <c r="I203" s="24">
        <f t="shared" si="17"/>
        <v>5.5163102398347E-2</v>
      </c>
      <c r="J203" s="25">
        <f t="shared" ca="1" si="19"/>
        <v>0.4101564063738532</v>
      </c>
      <c r="K203" s="200"/>
      <c r="L203" s="23"/>
      <c r="M203" s="23"/>
      <c r="N203" s="57"/>
      <c r="O203" s="57"/>
      <c r="P203" s="61"/>
      <c r="Q203" s="24"/>
      <c r="S203" s="25"/>
      <c r="T203" s="62"/>
      <c r="U203" s="27"/>
      <c r="V203" s="64"/>
      <c r="W203" s="170"/>
      <c r="X203" s="170"/>
      <c r="Y203" s="170"/>
      <c r="AA203" s="183"/>
      <c r="AB203" s="183"/>
      <c r="AC203" s="184"/>
      <c r="AD203" s="185"/>
      <c r="AE203" s="186"/>
      <c r="AF203" s="187"/>
      <c r="AG203" s="188"/>
      <c r="AH203" s="189"/>
      <c r="AI203" s="27"/>
      <c r="AJ203" s="28"/>
      <c r="AP203" s="26"/>
      <c r="AQ203" s="26"/>
      <c r="AR203" s="26"/>
      <c r="AS203" s="27"/>
      <c r="AT203" s="27"/>
      <c r="AU203" s="27"/>
      <c r="AV203" s="27"/>
      <c r="AW203" s="27"/>
      <c r="AY203" s="189"/>
      <c r="AZ203" s="189"/>
      <c r="BA203" s="205"/>
      <c r="BC203" s="189"/>
      <c r="BE203" s="57"/>
    </row>
    <row r="204" spans="1:57">
      <c r="A204" s="19">
        <f>[1]!_xludf.edate(A203,1)</f>
        <v>43191</v>
      </c>
      <c r="B204" s="21">
        <f t="shared" si="20"/>
        <v>30</v>
      </c>
      <c r="C204" s="20">
        <f>IF(Control!$C$10="Physical",Model!A205+24,Model!A205)</f>
        <v>43221</v>
      </c>
      <c r="E204" s="22">
        <f>IF($A204&lt;Collar!$C$9,IF(Collar!$F$26="Flat",Collar!$C$10,VLOOKUP(Model!$A204,Collar!$B$31:$D$184,3)),0)</f>
        <v>0</v>
      </c>
      <c r="F204" s="22">
        <f t="shared" si="18"/>
        <v>0</v>
      </c>
      <c r="G204" s="26">
        <f t="shared" ca="1" si="16"/>
        <v>0</v>
      </c>
      <c r="H204" s="60">
        <f>A204-1-Collar!$C$13</f>
        <v>5990</v>
      </c>
      <c r="I204" s="24">
        <f t="shared" si="17"/>
        <v>5.5216273001426099E-2</v>
      </c>
      <c r="J204" s="25">
        <f t="shared" ca="1" si="19"/>
        <v>0.40797968847396893</v>
      </c>
      <c r="K204" s="200"/>
      <c r="L204" s="23"/>
      <c r="M204" s="23"/>
      <c r="N204" s="57"/>
      <c r="O204" s="57"/>
      <c r="P204" s="61"/>
      <c r="Q204" s="24"/>
      <c r="S204" s="25"/>
      <c r="T204" s="62"/>
      <c r="U204" s="27"/>
      <c r="V204" s="64"/>
      <c r="W204" s="170"/>
      <c r="X204" s="170"/>
      <c r="Y204" s="170"/>
      <c r="AA204" s="183"/>
      <c r="AB204" s="183"/>
      <c r="AC204" s="184"/>
      <c r="AD204" s="185"/>
      <c r="AE204" s="186"/>
      <c r="AF204" s="187"/>
      <c r="AG204" s="188"/>
      <c r="AH204" s="189"/>
      <c r="AI204" s="27"/>
      <c r="AJ204" s="28"/>
      <c r="AP204" s="26"/>
      <c r="AQ204" s="26"/>
      <c r="AR204" s="26"/>
      <c r="AS204" s="27"/>
      <c r="AT204" s="27"/>
      <c r="AU204" s="27"/>
      <c r="AV204" s="27"/>
      <c r="AW204" s="27"/>
      <c r="AY204" s="189"/>
      <c r="AZ204" s="189"/>
      <c r="BA204" s="205"/>
      <c r="BC204" s="189"/>
      <c r="BE204" s="57"/>
    </row>
    <row r="205" spans="1:57">
      <c r="A205" s="19">
        <f>[1]!_xludf.edate(A204,1)</f>
        <v>43221</v>
      </c>
      <c r="B205" s="21">
        <f t="shared" si="20"/>
        <v>31</v>
      </c>
      <c r="C205" s="20">
        <f>IF(Control!$C$10="Physical",Model!A206+24,Model!A206)</f>
        <v>43252</v>
      </c>
      <c r="E205" s="22">
        <f>IF($A205&lt;Collar!$C$9,IF(Collar!$F$26="Flat",Collar!$C$10,VLOOKUP(Model!$A205,Collar!$B$31:$D$184,3)),0)</f>
        <v>0</v>
      </c>
      <c r="F205" s="22">
        <f t="shared" si="18"/>
        <v>0</v>
      </c>
      <c r="G205" s="26">
        <f t="shared" ca="1" si="16"/>
        <v>0</v>
      </c>
      <c r="H205" s="60">
        <f>A205-1-Collar!$C$13</f>
        <v>6020</v>
      </c>
      <c r="I205" s="24">
        <f t="shared" si="17"/>
        <v>5.5271215958931003E-2</v>
      </c>
      <c r="J205" s="25">
        <f t="shared" ca="1" si="19"/>
        <v>0.40573893489583995</v>
      </c>
      <c r="K205" s="200"/>
      <c r="L205" s="23"/>
      <c r="M205" s="23"/>
      <c r="N205" s="57"/>
      <c r="O205" s="57"/>
      <c r="P205" s="61"/>
      <c r="Q205" s="24"/>
      <c r="S205" s="25"/>
      <c r="T205" s="62"/>
      <c r="U205" s="27"/>
      <c r="V205" s="64"/>
      <c r="W205" s="170"/>
      <c r="X205" s="170"/>
      <c r="Y205" s="170"/>
      <c r="AA205" s="183"/>
      <c r="AB205" s="183"/>
      <c r="AC205" s="184"/>
      <c r="AD205" s="185"/>
      <c r="AE205" s="186"/>
      <c r="AF205" s="187"/>
      <c r="AG205" s="188"/>
      <c r="AH205" s="189"/>
      <c r="AI205" s="27"/>
      <c r="AJ205" s="28"/>
      <c r="AP205" s="26"/>
      <c r="AQ205" s="26"/>
      <c r="AR205" s="26"/>
      <c r="AS205" s="27"/>
      <c r="AT205" s="27"/>
      <c r="AU205" s="27"/>
      <c r="AV205" s="27"/>
      <c r="AW205" s="27"/>
      <c r="AY205" s="189"/>
      <c r="AZ205" s="189"/>
      <c r="BA205" s="205"/>
      <c r="BC205" s="189"/>
      <c r="BE205" s="57"/>
    </row>
    <row r="206" spans="1:57">
      <c r="A206" s="19">
        <f>[1]!_xludf.edate(A205,1)</f>
        <v>43252</v>
      </c>
      <c r="B206" s="21">
        <f t="shared" si="20"/>
        <v>30</v>
      </c>
      <c r="C206" s="20">
        <f>IF(Control!$C$10="Physical",Model!A207+24,Model!A207)</f>
        <v>43282</v>
      </c>
      <c r="E206" s="22">
        <f>IF($A206&lt;Collar!$C$9,IF(Collar!$F$26="Flat",Collar!$C$10,VLOOKUP(Model!$A206,Collar!$B$31:$D$184,3)),0)</f>
        <v>0</v>
      </c>
      <c r="F206" s="22">
        <f t="shared" si="18"/>
        <v>0</v>
      </c>
      <c r="G206" s="26">
        <f t="shared" ca="1" si="16"/>
        <v>0</v>
      </c>
      <c r="H206" s="60">
        <f>A206-1-Collar!$C$13</f>
        <v>6051</v>
      </c>
      <c r="I206" s="24">
        <f t="shared" si="17"/>
        <v>5.5324386563925E-2</v>
      </c>
      <c r="J206" s="25">
        <f t="shared" ca="1" si="19"/>
        <v>0.40357870389440909</v>
      </c>
      <c r="K206" s="200"/>
      <c r="L206" s="23"/>
      <c r="M206" s="23"/>
      <c r="N206" s="57"/>
      <c r="O206" s="57"/>
      <c r="P206" s="61"/>
      <c r="Q206" s="24"/>
      <c r="S206" s="25"/>
      <c r="T206" s="62"/>
      <c r="U206" s="27"/>
      <c r="V206" s="64"/>
      <c r="W206" s="170"/>
      <c r="X206" s="170"/>
      <c r="Y206" s="170"/>
      <c r="AA206" s="183"/>
      <c r="AB206" s="183"/>
      <c r="AC206" s="184"/>
      <c r="AD206" s="185"/>
      <c r="AE206" s="186"/>
      <c r="AF206" s="187"/>
      <c r="AG206" s="188"/>
      <c r="AH206" s="189"/>
      <c r="AI206" s="27"/>
      <c r="AJ206" s="28"/>
      <c r="AP206" s="26"/>
      <c r="AQ206" s="26"/>
      <c r="AR206" s="26"/>
      <c r="AS206" s="27"/>
      <c r="AT206" s="27"/>
      <c r="AU206" s="27"/>
      <c r="AV206" s="27"/>
      <c r="AW206" s="27"/>
      <c r="AY206" s="189"/>
      <c r="AZ206" s="189"/>
      <c r="BA206" s="205"/>
      <c r="BC206" s="189"/>
      <c r="BE206" s="57"/>
    </row>
    <row r="207" spans="1:57">
      <c r="A207" s="19">
        <f>[1]!_xludf.edate(A206,1)</f>
        <v>43282</v>
      </c>
      <c r="B207" s="21">
        <f t="shared" si="20"/>
        <v>31</v>
      </c>
      <c r="C207" s="20">
        <f>IF(Control!$C$10="Physical",Model!A208+24,Model!A208)</f>
        <v>43313</v>
      </c>
      <c r="E207" s="22">
        <f>IF($A207&lt;Collar!$C$9,IF(Collar!$F$26="Flat",Collar!$C$10,VLOOKUP(Model!$A207,Collar!$B$31:$D$184,3)),0)</f>
        <v>0</v>
      </c>
      <c r="F207" s="22">
        <f t="shared" si="18"/>
        <v>0</v>
      </c>
      <c r="G207" s="26">
        <f t="shared" ca="1" si="16"/>
        <v>0</v>
      </c>
      <c r="H207" s="60">
        <f>A207-1-Collar!$C$13</f>
        <v>6081</v>
      </c>
      <c r="I207" s="24">
        <f t="shared" si="17"/>
        <v>5.5379329523407503E-2</v>
      </c>
      <c r="J207" s="25">
        <f t="shared" ca="1" si="19"/>
        <v>0.40135497309732854</v>
      </c>
      <c r="K207" s="200"/>
      <c r="L207" s="23"/>
      <c r="M207" s="23"/>
      <c r="N207" s="57"/>
      <c r="O207" s="57"/>
      <c r="P207" s="61"/>
      <c r="Q207" s="24"/>
      <c r="S207" s="25"/>
      <c r="T207" s="62"/>
      <c r="U207" s="27"/>
      <c r="V207" s="64"/>
      <c r="W207" s="170"/>
      <c r="X207" s="170"/>
      <c r="Y207" s="170"/>
      <c r="AA207" s="183"/>
      <c r="AB207" s="183"/>
      <c r="AC207" s="184"/>
      <c r="AD207" s="185"/>
      <c r="AE207" s="186"/>
      <c r="AF207" s="187"/>
      <c r="AG207" s="188"/>
      <c r="AH207" s="189"/>
      <c r="AI207" s="27"/>
      <c r="AJ207" s="28"/>
      <c r="AP207" s="26"/>
      <c r="AQ207" s="26"/>
      <c r="AR207" s="26"/>
      <c r="AS207" s="27"/>
      <c r="AT207" s="27"/>
      <c r="AU207" s="27"/>
      <c r="AV207" s="27"/>
      <c r="AW207" s="27"/>
      <c r="AY207" s="189"/>
      <c r="AZ207" s="189"/>
      <c r="BA207" s="205"/>
      <c r="BC207" s="189"/>
      <c r="BE207" s="57"/>
    </row>
    <row r="208" spans="1:57">
      <c r="A208" s="19">
        <f>[1]!_xludf.edate(A207,1)</f>
        <v>43313</v>
      </c>
      <c r="B208" s="21">
        <f t="shared" si="20"/>
        <v>31</v>
      </c>
      <c r="C208" s="20">
        <f>IF(Control!$C$10="Physical",Model!A209+24,Model!A209)</f>
        <v>43344</v>
      </c>
      <c r="E208" s="22">
        <f>IF($A208&lt;Collar!$C$9,IF(Collar!$F$26="Flat",Collar!$C$10,VLOOKUP(Model!$A208,Collar!$B$31:$D$184,3)),0)</f>
        <v>0</v>
      </c>
      <c r="F208" s="22">
        <f t="shared" si="18"/>
        <v>0</v>
      </c>
      <c r="G208" s="26">
        <f t="shared" ca="1" si="16"/>
        <v>0</v>
      </c>
      <c r="H208" s="60">
        <f>A208-1-Collar!$C$13</f>
        <v>6112</v>
      </c>
      <c r="I208" s="24">
        <f t="shared" si="17"/>
        <v>5.5434272483895902E-2</v>
      </c>
      <c r="J208" s="25">
        <f t="shared" ca="1" si="19"/>
        <v>0.39913988239846482</v>
      </c>
      <c r="K208" s="200"/>
      <c r="L208" s="23"/>
      <c r="M208" s="23"/>
      <c r="N208" s="57"/>
      <c r="O208" s="57"/>
      <c r="P208" s="61"/>
      <c r="Q208" s="24"/>
      <c r="S208" s="25"/>
      <c r="T208" s="62"/>
      <c r="U208" s="27"/>
      <c r="V208" s="64"/>
      <c r="W208" s="170"/>
      <c r="X208" s="170"/>
      <c r="Y208" s="170"/>
      <c r="AA208" s="183"/>
      <c r="AB208" s="183"/>
      <c r="AC208" s="184"/>
      <c r="AD208" s="185"/>
      <c r="AE208" s="186"/>
      <c r="AF208" s="187"/>
      <c r="AG208" s="188"/>
      <c r="AH208" s="189"/>
      <c r="AI208" s="27"/>
      <c r="AJ208" s="28"/>
      <c r="AP208" s="26"/>
      <c r="AQ208" s="26"/>
      <c r="AR208" s="26"/>
      <c r="AS208" s="27"/>
      <c r="AT208" s="27"/>
      <c r="AU208" s="27"/>
      <c r="AV208" s="27"/>
      <c r="AW208" s="27"/>
      <c r="AY208" s="189"/>
      <c r="AZ208" s="189"/>
      <c r="BA208" s="205"/>
      <c r="BC208" s="189"/>
      <c r="BE208" s="57"/>
    </row>
    <row r="209" spans="1:57">
      <c r="A209" s="19">
        <f>[1]!_xludf.edate(A208,1)</f>
        <v>43344</v>
      </c>
      <c r="B209" s="21">
        <f t="shared" si="20"/>
        <v>30</v>
      </c>
      <c r="C209" s="20">
        <f>IF(Control!$C$10="Physical",Model!A210+24,Model!A210)</f>
        <v>43374</v>
      </c>
      <c r="E209" s="22">
        <f>IF($A209&lt;Collar!$C$9,IF(Collar!$F$26="Flat",Collar!$C$10,VLOOKUP(Model!$A209,Collar!$B$31:$D$184,3)),0)</f>
        <v>0</v>
      </c>
      <c r="F209" s="22">
        <f t="shared" si="18"/>
        <v>0</v>
      </c>
      <c r="G209" s="26">
        <f t="shared" ca="1" si="16"/>
        <v>0</v>
      </c>
      <c r="H209" s="60">
        <f>A209-1-Collar!$C$13</f>
        <v>6143</v>
      </c>
      <c r="I209" s="24">
        <f t="shared" si="17"/>
        <v>5.5487443091777298E-2</v>
      </c>
      <c r="J209" s="25">
        <f t="shared" ca="1" si="19"/>
        <v>0.39700446564959452</v>
      </c>
      <c r="K209" s="200"/>
      <c r="L209" s="23"/>
      <c r="M209" s="23"/>
      <c r="N209" s="57"/>
      <c r="O209" s="57"/>
      <c r="P209" s="61"/>
      <c r="Q209" s="24"/>
      <c r="S209" s="25"/>
      <c r="T209" s="62"/>
      <c r="U209" s="27"/>
      <c r="V209" s="64"/>
      <c r="W209" s="170"/>
      <c r="X209" s="170"/>
      <c r="Y209" s="170"/>
      <c r="AA209" s="183"/>
      <c r="AB209" s="183"/>
      <c r="AC209" s="184"/>
      <c r="AD209" s="185"/>
      <c r="AE209" s="186"/>
      <c r="AF209" s="187"/>
      <c r="AG209" s="188"/>
      <c r="AH209" s="189"/>
      <c r="AI209" s="27"/>
      <c r="AJ209" s="28"/>
      <c r="AP209" s="26"/>
      <c r="AQ209" s="26"/>
      <c r="AR209" s="26"/>
      <c r="AS209" s="27"/>
      <c r="AT209" s="27"/>
      <c r="AU209" s="27"/>
      <c r="AV209" s="27"/>
      <c r="AW209" s="27"/>
      <c r="AY209" s="189"/>
      <c r="AZ209" s="189"/>
      <c r="BA209" s="205"/>
      <c r="BC209" s="189"/>
      <c r="BE209" s="57"/>
    </row>
    <row r="210" spans="1:57">
      <c r="A210" s="19">
        <f>[1]!_xludf.edate(A209,1)</f>
        <v>43374</v>
      </c>
      <c r="B210" s="21">
        <f t="shared" si="20"/>
        <v>31</v>
      </c>
      <c r="C210" s="20">
        <f>IF(Control!$C$10="Physical",Model!A211+24,Model!A211)</f>
        <v>43405</v>
      </c>
      <c r="E210" s="22">
        <f>IF($A210&lt;Collar!$C$9,IF(Collar!$F$26="Flat",Collar!$C$10,VLOOKUP(Model!$A210,Collar!$B$31:$D$184,3)),0)</f>
        <v>0</v>
      </c>
      <c r="F210" s="22">
        <f t="shared" si="18"/>
        <v>0</v>
      </c>
      <c r="G210" s="26">
        <f t="shared" ca="1" si="16"/>
        <v>0</v>
      </c>
      <c r="H210" s="60">
        <f>A210-1-Collar!$C$13</f>
        <v>6173</v>
      </c>
      <c r="I210" s="24">
        <f t="shared" si="17"/>
        <v>5.5542386054243199E-2</v>
      </c>
      <c r="J210" s="25">
        <f t="shared" ca="1" si="19"/>
        <v>0.39480635419630106</v>
      </c>
      <c r="K210" s="200"/>
      <c r="L210" s="23"/>
      <c r="M210" s="23"/>
      <c r="N210" s="57"/>
      <c r="O210" s="57"/>
      <c r="P210" s="61"/>
      <c r="Q210" s="24"/>
      <c r="S210" s="25"/>
      <c r="T210" s="62"/>
      <c r="U210" s="27"/>
      <c r="V210" s="64"/>
      <c r="W210" s="170"/>
      <c r="X210" s="170"/>
      <c r="Y210" s="170"/>
      <c r="AA210" s="183"/>
      <c r="AB210" s="183"/>
      <c r="AC210" s="184"/>
      <c r="AD210" s="185"/>
      <c r="AE210" s="186"/>
      <c r="AF210" s="187"/>
      <c r="AG210" s="188"/>
      <c r="AH210" s="189"/>
      <c r="AI210" s="27"/>
      <c r="AJ210" s="28"/>
      <c r="AP210" s="26"/>
      <c r="AQ210" s="26"/>
      <c r="AR210" s="26"/>
      <c r="AS210" s="27"/>
      <c r="AT210" s="27"/>
      <c r="AU210" s="27"/>
      <c r="AV210" s="27"/>
      <c r="AW210" s="27"/>
      <c r="AY210" s="189"/>
      <c r="AZ210" s="189"/>
      <c r="BA210" s="205"/>
      <c r="BC210" s="189"/>
      <c r="BE210" s="57"/>
    </row>
    <row r="211" spans="1:57">
      <c r="A211" s="19">
        <f>[1]!_xludf.edate(A210,1)</f>
        <v>43405</v>
      </c>
      <c r="B211" s="21">
        <f t="shared" si="20"/>
        <v>30</v>
      </c>
      <c r="C211" s="20">
        <f>IF(Control!$C$10="Physical",Model!A212+24,Model!A212)</f>
        <v>43435</v>
      </c>
      <c r="E211" s="22">
        <f>IF($A211&lt;Collar!$C$9,IF(Collar!$F$26="Flat",Collar!$C$10,VLOOKUP(Model!$A211,Collar!$B$31:$D$184,3)),0)</f>
        <v>0</v>
      </c>
      <c r="F211" s="22">
        <f t="shared" si="18"/>
        <v>0</v>
      </c>
      <c r="G211" s="26">
        <f t="shared" ca="1" si="16"/>
        <v>0</v>
      </c>
      <c r="H211" s="60">
        <f>A211-1-Collar!$C$13</f>
        <v>6204</v>
      </c>
      <c r="I211" s="24">
        <f t="shared" si="17"/>
        <v>5.5595556664038301E-2</v>
      </c>
      <c r="J211" s="25">
        <f t="shared" ca="1" si="19"/>
        <v>0.392687354288348</v>
      </c>
      <c r="K211" s="200"/>
      <c r="L211" s="23"/>
      <c r="M211" s="23"/>
      <c r="N211" s="57"/>
      <c r="O211" s="57"/>
      <c r="P211" s="61"/>
      <c r="Q211" s="24"/>
      <c r="S211" s="25"/>
      <c r="T211" s="62"/>
      <c r="U211" s="27"/>
      <c r="V211" s="64"/>
      <c r="W211" s="170"/>
      <c r="X211" s="170"/>
      <c r="Y211" s="170"/>
      <c r="AA211" s="183"/>
      <c r="AB211" s="183"/>
      <c r="AC211" s="184"/>
      <c r="AD211" s="185"/>
      <c r="AE211" s="186"/>
      <c r="AF211" s="187"/>
      <c r="AG211" s="188"/>
      <c r="AH211" s="189"/>
      <c r="AI211" s="27"/>
      <c r="AJ211" s="28"/>
      <c r="AP211" s="26"/>
      <c r="AQ211" s="26"/>
      <c r="AR211" s="26"/>
      <c r="AS211" s="27"/>
      <c r="AT211" s="27"/>
      <c r="AU211" s="27"/>
      <c r="AV211" s="27"/>
      <c r="AW211" s="27"/>
      <c r="AY211" s="189"/>
      <c r="AZ211" s="189"/>
      <c r="BA211" s="205"/>
      <c r="BC211" s="189"/>
      <c r="BE211" s="57"/>
    </row>
    <row r="212" spans="1:57">
      <c r="A212" s="19">
        <f>[1]!_xludf.edate(A211,1)</f>
        <v>43435</v>
      </c>
      <c r="B212" s="21">
        <f t="shared" si="20"/>
        <v>31</v>
      </c>
      <c r="C212" s="20">
        <f>IF(Control!$C$10="Physical",Model!A213+24,Model!A213)</f>
        <v>43466</v>
      </c>
      <c r="E212" s="22">
        <f>IF($A212&lt;Collar!$C$9,IF(Collar!$F$26="Flat",Collar!$C$10,VLOOKUP(Model!$A212,Collar!$B$31:$D$184,3)),0)</f>
        <v>0</v>
      </c>
      <c r="F212" s="22">
        <f t="shared" si="18"/>
        <v>0</v>
      </c>
      <c r="G212" s="26">
        <f t="shared" ca="1" si="16"/>
        <v>0</v>
      </c>
      <c r="H212" s="60">
        <f>A212-1-Collar!$C$13</f>
        <v>6234</v>
      </c>
      <c r="I212" s="24">
        <f t="shared" si="17"/>
        <v>5.5650499628482598E-2</v>
      </c>
      <c r="J212" s="25">
        <f t="shared" ca="1" si="19"/>
        <v>0.39050619135885906</v>
      </c>
      <c r="K212" s="200"/>
      <c r="L212" s="23"/>
      <c r="M212" s="23"/>
      <c r="N212" s="57"/>
      <c r="O212" s="57"/>
      <c r="P212" s="61"/>
      <c r="Q212" s="24"/>
      <c r="S212" s="25"/>
      <c r="T212" s="62"/>
      <c r="U212" s="27"/>
      <c r="V212" s="64"/>
      <c r="W212" s="170"/>
      <c r="X212" s="170"/>
      <c r="Y212" s="170"/>
      <c r="AA212" s="183"/>
      <c r="AB212" s="183"/>
      <c r="AC212" s="184"/>
      <c r="AD212" s="185"/>
      <c r="AE212" s="186"/>
      <c r="AF212" s="187"/>
      <c r="AG212" s="188"/>
      <c r="AH212" s="189"/>
      <c r="AI212" s="27"/>
      <c r="AJ212" s="28"/>
      <c r="AP212" s="26"/>
      <c r="AQ212" s="26"/>
      <c r="AR212" s="26"/>
      <c r="AS212" s="27"/>
      <c r="AT212" s="27"/>
      <c r="AU212" s="27"/>
      <c r="AV212" s="27"/>
      <c r="AW212" s="27"/>
      <c r="AY212" s="189"/>
      <c r="AZ212" s="189"/>
      <c r="BA212" s="205"/>
      <c r="BC212" s="189"/>
      <c r="BE212" s="57"/>
    </row>
    <row r="213" spans="1:57">
      <c r="A213" s="19">
        <f>[1]!_xludf.edate(A212,1)</f>
        <v>43466</v>
      </c>
      <c r="B213" s="21">
        <f t="shared" si="20"/>
        <v>31</v>
      </c>
      <c r="C213" s="20">
        <f>IF(Control!$C$10="Physical",Model!A214+24,Model!A214)</f>
        <v>43497</v>
      </c>
      <c r="E213" s="22">
        <f>IF($A213&lt;Collar!$C$9,IF(Collar!$F$26="Flat",Collar!$C$10,VLOOKUP(Model!$A213,Collar!$B$31:$D$184,3)),0)</f>
        <v>0</v>
      </c>
      <c r="F213" s="22">
        <f t="shared" si="18"/>
        <v>0</v>
      </c>
      <c r="G213" s="26">
        <f t="shared" ca="1" si="16"/>
        <v>0</v>
      </c>
      <c r="H213" s="60">
        <f>A213-1-Collar!$C$13</f>
        <v>6265</v>
      </c>
      <c r="I213" s="24">
        <f t="shared" si="17"/>
        <v>5.5705442593931398E-2</v>
      </c>
      <c r="J213" s="25">
        <f t="shared" ca="1" si="19"/>
        <v>0.38833362937285759</v>
      </c>
      <c r="K213" s="200"/>
      <c r="L213" s="23"/>
      <c r="M213" s="23"/>
      <c r="N213" s="57"/>
      <c r="O213" s="57"/>
      <c r="P213" s="61"/>
      <c r="Q213" s="24"/>
      <c r="S213" s="25"/>
      <c r="T213" s="62"/>
      <c r="U213" s="27"/>
      <c r="V213" s="64"/>
      <c r="W213" s="170"/>
      <c r="X213" s="170"/>
      <c r="Y213" s="170"/>
      <c r="AA213" s="183"/>
      <c r="AB213" s="183"/>
      <c r="AC213" s="184"/>
      <c r="AD213" s="185"/>
      <c r="AE213" s="186"/>
      <c r="AF213" s="187"/>
      <c r="AG213" s="188"/>
      <c r="AH213" s="189"/>
      <c r="AI213" s="27"/>
      <c r="AJ213" s="28"/>
      <c r="AP213" s="26"/>
      <c r="AQ213" s="26"/>
      <c r="AR213" s="26"/>
      <c r="AS213" s="27"/>
      <c r="AT213" s="27"/>
      <c r="AU213" s="27"/>
      <c r="AV213" s="27"/>
      <c r="AW213" s="27"/>
      <c r="AY213" s="189"/>
      <c r="AZ213" s="189"/>
      <c r="BA213" s="205"/>
      <c r="BC213" s="189"/>
      <c r="BE213" s="57"/>
    </row>
    <row r="214" spans="1:57">
      <c r="A214" s="19">
        <f>[1]!_xludf.edate(A213,1)</f>
        <v>43497</v>
      </c>
      <c r="B214" s="21">
        <f t="shared" si="20"/>
        <v>28</v>
      </c>
      <c r="C214" s="20">
        <f>IF(Control!$C$10="Physical",Model!A215+24,Model!A215)</f>
        <v>43525</v>
      </c>
      <c r="E214" s="22">
        <f>IF($A214&lt;Collar!$C$9,IF(Collar!$F$26="Flat",Collar!$C$10,VLOOKUP(Model!$A214,Collar!$B$31:$D$184,3)),0)</f>
        <v>0</v>
      </c>
      <c r="F214" s="22">
        <f t="shared" si="18"/>
        <v>0</v>
      </c>
      <c r="G214" s="26">
        <f t="shared" ca="1" si="16"/>
        <v>0</v>
      </c>
      <c r="H214" s="60">
        <f>A214-1-Collar!$C$13</f>
        <v>6296</v>
      </c>
      <c r="I214" s="24">
        <f t="shared" si="17"/>
        <v>5.5755068499072601E-2</v>
      </c>
      <c r="J214" s="25">
        <f t="shared" ca="1" si="19"/>
        <v>0.3863787009492074</v>
      </c>
      <c r="K214" s="200"/>
      <c r="L214" s="23"/>
      <c r="M214" s="23"/>
      <c r="N214" s="57"/>
      <c r="O214" s="57"/>
      <c r="P214" s="61"/>
      <c r="Q214" s="24"/>
      <c r="S214" s="25"/>
      <c r="T214" s="62"/>
      <c r="U214" s="27"/>
      <c r="V214" s="64"/>
      <c r="W214" s="170"/>
      <c r="X214" s="170"/>
      <c r="Y214" s="170"/>
      <c r="AA214" s="183"/>
      <c r="AB214" s="183"/>
      <c r="AC214" s="184"/>
      <c r="AD214" s="185"/>
      <c r="AE214" s="186"/>
      <c r="AF214" s="187"/>
      <c r="AG214" s="188"/>
      <c r="AH214" s="189"/>
      <c r="AI214" s="27"/>
      <c r="AJ214" s="28"/>
      <c r="AP214" s="26"/>
      <c r="AQ214" s="26"/>
      <c r="AR214" s="26"/>
      <c r="AS214" s="27"/>
      <c r="AT214" s="27"/>
      <c r="AU214" s="27"/>
      <c r="AV214" s="27"/>
      <c r="AW214" s="27"/>
      <c r="AY214" s="189"/>
      <c r="AZ214" s="189"/>
      <c r="BA214" s="205"/>
      <c r="BC214" s="189"/>
      <c r="BE214" s="57"/>
    </row>
    <row r="215" spans="1:57">
      <c r="A215" s="19">
        <f>[1]!_xludf.edate(A214,1)</f>
        <v>43525</v>
      </c>
      <c r="B215" s="21">
        <f t="shared" si="20"/>
        <v>31</v>
      </c>
      <c r="C215" s="20">
        <f>IF(Control!$C$10="Physical",Model!A216+24,Model!A216)</f>
        <v>43556</v>
      </c>
      <c r="E215" s="22">
        <f>IF($A215&lt;Collar!$C$9,IF(Collar!$F$26="Flat",Collar!$C$10,VLOOKUP(Model!$A215,Collar!$B$31:$D$184,3)),0)</f>
        <v>0</v>
      </c>
      <c r="F215" s="22">
        <f t="shared" si="18"/>
        <v>0</v>
      </c>
      <c r="G215" s="26">
        <f t="shared" ca="1" si="16"/>
        <v>0</v>
      </c>
      <c r="H215" s="60">
        <f>A215-1-Collar!$C$13</f>
        <v>6324</v>
      </c>
      <c r="I215" s="24">
        <f t="shared" si="17"/>
        <v>5.5810011466434599E-2</v>
      </c>
      <c r="J215" s="25">
        <f t="shared" ca="1" si="19"/>
        <v>0.38422248486234989</v>
      </c>
      <c r="K215" s="200"/>
      <c r="L215" s="23"/>
      <c r="M215" s="23"/>
      <c r="N215" s="57"/>
      <c r="O215" s="57"/>
      <c r="P215" s="61"/>
      <c r="Q215" s="24"/>
      <c r="S215" s="25"/>
      <c r="T215" s="62"/>
      <c r="U215" s="27"/>
      <c r="V215" s="64"/>
      <c r="W215" s="170"/>
      <c r="X215" s="170"/>
      <c r="Y215" s="170"/>
      <c r="AA215" s="183"/>
      <c r="AB215" s="183"/>
      <c r="AC215" s="184"/>
      <c r="AD215" s="185"/>
      <c r="AE215" s="186"/>
      <c r="AF215" s="187"/>
      <c r="AG215" s="188"/>
      <c r="AH215" s="189"/>
      <c r="AI215" s="27"/>
      <c r="AJ215" s="28"/>
      <c r="AP215" s="26"/>
      <c r="AQ215" s="26"/>
      <c r="AR215" s="26"/>
      <c r="AS215" s="27"/>
      <c r="AT215" s="27"/>
      <c r="AU215" s="27"/>
      <c r="AV215" s="27"/>
      <c r="AW215" s="27"/>
      <c r="AY215" s="189"/>
      <c r="AZ215" s="189"/>
      <c r="BA215" s="205"/>
      <c r="BC215" s="189"/>
      <c r="BE215" s="57"/>
    </row>
    <row r="216" spans="1:57">
      <c r="A216" s="19">
        <f>[1]!_xludf.edate(A215,1)</f>
        <v>43556</v>
      </c>
      <c r="B216" s="21">
        <f t="shared" si="20"/>
        <v>30</v>
      </c>
      <c r="C216" s="20">
        <f>IF(Control!$C$10="Physical",Model!A217+24,Model!A217)</f>
        <v>43586</v>
      </c>
      <c r="E216" s="22">
        <f>IF($A216&lt;Collar!$C$9,IF(Collar!$F$26="Flat",Collar!$C$10,VLOOKUP(Model!$A216,Collar!$B$31:$D$184,3)),0)</f>
        <v>0</v>
      </c>
      <c r="F216" s="22">
        <f t="shared" si="18"/>
        <v>0</v>
      </c>
      <c r="G216" s="26">
        <f t="shared" ca="1" si="16"/>
        <v>0</v>
      </c>
      <c r="H216" s="60">
        <f>A216-1-Collar!$C$13</f>
        <v>6355</v>
      </c>
      <c r="I216" s="24">
        <f t="shared" si="17"/>
        <v>5.5863182080967598E-2</v>
      </c>
      <c r="J216" s="25">
        <f t="shared" ca="1" si="19"/>
        <v>0.38214398948131045</v>
      </c>
      <c r="K216" s="200"/>
      <c r="L216" s="23"/>
      <c r="M216" s="23"/>
      <c r="N216" s="57"/>
      <c r="O216" s="57"/>
      <c r="P216" s="61"/>
      <c r="Q216" s="24"/>
      <c r="S216" s="25"/>
      <c r="T216" s="62"/>
      <c r="U216" s="27"/>
      <c r="V216" s="64"/>
      <c r="W216" s="170"/>
      <c r="X216" s="170"/>
      <c r="Y216" s="170"/>
      <c r="AA216" s="183"/>
      <c r="AB216" s="183"/>
      <c r="AC216" s="184"/>
      <c r="AD216" s="185"/>
      <c r="AE216" s="186"/>
      <c r="AF216" s="187"/>
      <c r="AG216" s="188"/>
      <c r="AH216" s="189"/>
      <c r="AI216" s="27"/>
      <c r="AJ216" s="28"/>
      <c r="AP216" s="26"/>
      <c r="AQ216" s="26"/>
      <c r="AR216" s="26"/>
      <c r="AS216" s="27"/>
      <c r="AT216" s="27"/>
      <c r="AU216" s="27"/>
      <c r="AV216" s="27"/>
      <c r="AW216" s="27"/>
      <c r="AY216" s="189"/>
      <c r="AZ216" s="189"/>
      <c r="BA216" s="205"/>
      <c r="BC216" s="189"/>
      <c r="BE216" s="57"/>
    </row>
    <row r="217" spans="1:57">
      <c r="A217" s="19">
        <f>[1]!_xludf.edate(A216,1)</f>
        <v>43586</v>
      </c>
      <c r="B217" s="21">
        <f t="shared" si="20"/>
        <v>31</v>
      </c>
      <c r="C217" s="20">
        <f>IF(Control!$C$10="Physical",Model!A218+24,Model!A218)</f>
        <v>43617</v>
      </c>
      <c r="E217" s="22">
        <f>IF($A217&lt;Collar!$C$9,IF(Collar!$F$26="Flat",Collar!$C$10,VLOOKUP(Model!$A217,Collar!$B$31:$D$184,3)),0)</f>
        <v>0</v>
      </c>
      <c r="F217" s="22">
        <f t="shared" si="18"/>
        <v>0</v>
      </c>
      <c r="G217" s="26">
        <f t="shared" ca="1" si="16"/>
        <v>0</v>
      </c>
      <c r="H217" s="60">
        <f>A217-1-Collar!$C$13</f>
        <v>6385</v>
      </c>
      <c r="I217" s="24">
        <f t="shared" si="17"/>
        <v>5.5918125050307597E-2</v>
      </c>
      <c r="J217" s="25">
        <f t="shared" ca="1" si="19"/>
        <v>0.3800046396510986</v>
      </c>
      <c r="K217" s="200"/>
      <c r="L217" s="23"/>
      <c r="M217" s="23"/>
      <c r="N217" s="57"/>
      <c r="O217" s="57"/>
      <c r="P217" s="61"/>
      <c r="Q217" s="24"/>
      <c r="S217" s="25"/>
      <c r="T217" s="62"/>
      <c r="U217" s="27"/>
      <c r="V217" s="64"/>
      <c r="W217" s="170"/>
      <c r="X217" s="170"/>
      <c r="Y217" s="170"/>
      <c r="AA217" s="183"/>
      <c r="AB217" s="183"/>
      <c r="AC217" s="184"/>
      <c r="AD217" s="185"/>
      <c r="AE217" s="186"/>
      <c r="AF217" s="187"/>
      <c r="AG217" s="188"/>
      <c r="AH217" s="189"/>
      <c r="AI217" s="27"/>
      <c r="AJ217" s="28"/>
      <c r="AP217" s="26"/>
      <c r="AQ217" s="26"/>
      <c r="AR217" s="26"/>
      <c r="AS217" s="27"/>
      <c r="AT217" s="27"/>
      <c r="AU217" s="27"/>
      <c r="AV217" s="27"/>
      <c r="AW217" s="27"/>
      <c r="AY217" s="189"/>
      <c r="AZ217" s="189"/>
      <c r="BA217" s="205"/>
      <c r="BC217" s="189"/>
      <c r="BE217" s="57"/>
    </row>
    <row r="218" spans="1:57">
      <c r="A218" s="19">
        <f>[1]!_xludf.edate(A217,1)</f>
        <v>43617</v>
      </c>
      <c r="B218" s="21">
        <f t="shared" si="20"/>
        <v>30</v>
      </c>
      <c r="C218" s="20">
        <f>IF(Control!$C$10="Physical",Model!A219+24,Model!A219)</f>
        <v>43647</v>
      </c>
      <c r="E218" s="22">
        <f>IF($A218&lt;Collar!$C$9,IF(Collar!$F$26="Flat",Collar!$C$10,VLOOKUP(Model!$A218,Collar!$B$31:$D$184,3)),0)</f>
        <v>0</v>
      </c>
      <c r="F218" s="22">
        <f t="shared" si="18"/>
        <v>0</v>
      </c>
      <c r="G218" s="26">
        <f t="shared" ca="1" si="16"/>
        <v>0</v>
      </c>
      <c r="H218" s="60">
        <f>A218-1-Collar!$C$13</f>
        <v>6416</v>
      </c>
      <c r="I218" s="24">
        <f t="shared" si="17"/>
        <v>5.59712956667551E-2</v>
      </c>
      <c r="J218" s="25">
        <f t="shared" ca="1" si="19"/>
        <v>0.37794244935306653</v>
      </c>
      <c r="K218" s="200"/>
      <c r="L218" s="23"/>
      <c r="M218" s="23"/>
      <c r="N218" s="57"/>
      <c r="O218" s="57"/>
      <c r="P218" s="61"/>
      <c r="Q218" s="24"/>
      <c r="S218" s="25"/>
      <c r="T218" s="62"/>
      <c r="U218" s="27"/>
      <c r="V218" s="64"/>
      <c r="W218" s="170"/>
      <c r="X218" s="170"/>
      <c r="Y218" s="170"/>
      <c r="AA218" s="183"/>
      <c r="AB218" s="183"/>
      <c r="AC218" s="184"/>
      <c r="AD218" s="185"/>
      <c r="AE218" s="186"/>
      <c r="AF218" s="187"/>
      <c r="AG218" s="188"/>
      <c r="AH218" s="189"/>
      <c r="AI218" s="27"/>
      <c r="AJ218" s="28"/>
      <c r="AP218" s="26"/>
      <c r="AQ218" s="26"/>
      <c r="AR218" s="26"/>
      <c r="AS218" s="27"/>
      <c r="AT218" s="27"/>
      <c r="AU218" s="27"/>
      <c r="AV218" s="27"/>
      <c r="AW218" s="27"/>
      <c r="AY218" s="189"/>
      <c r="AZ218" s="189"/>
      <c r="BA218" s="205"/>
      <c r="BC218" s="189"/>
      <c r="BE218" s="57"/>
    </row>
    <row r="219" spans="1:57">
      <c r="A219" s="19">
        <f>[1]!_xludf.edate(A218,1)</f>
        <v>43647</v>
      </c>
      <c r="B219" s="21">
        <f t="shared" si="20"/>
        <v>31</v>
      </c>
      <c r="C219" s="20">
        <f>IF(Control!$C$10="Physical",Model!A220+24,Model!A220)</f>
        <v>43678</v>
      </c>
      <c r="E219" s="22">
        <f>IF($A219&lt;Collar!$C$9,IF(Collar!$F$26="Flat",Collar!$C$10,VLOOKUP(Model!$A219,Collar!$B$31:$D$184,3)),0)</f>
        <v>0</v>
      </c>
      <c r="F219" s="22">
        <f t="shared" si="18"/>
        <v>0</v>
      </c>
      <c r="G219" s="26">
        <f t="shared" ca="1" si="16"/>
        <v>0</v>
      </c>
      <c r="H219" s="60">
        <f>A219-1-Collar!$C$13</f>
        <v>6446</v>
      </c>
      <c r="I219" s="24">
        <f t="shared" si="17"/>
        <v>5.6026238638072101E-2</v>
      </c>
      <c r="J219" s="25">
        <f t="shared" ca="1" si="19"/>
        <v>0.37581993008729553</v>
      </c>
      <c r="K219" s="200"/>
      <c r="L219" s="23"/>
      <c r="M219" s="23"/>
      <c r="N219" s="57"/>
      <c r="O219" s="57"/>
      <c r="P219" s="61"/>
      <c r="Q219" s="24"/>
      <c r="S219" s="25"/>
      <c r="T219" s="62"/>
      <c r="U219" s="27"/>
      <c r="V219" s="64"/>
      <c r="W219" s="170"/>
      <c r="X219" s="170"/>
      <c r="Y219" s="170"/>
      <c r="AA219" s="183"/>
      <c r="AB219" s="183"/>
      <c r="AC219" s="184"/>
      <c r="AD219" s="185"/>
      <c r="AE219" s="186"/>
      <c r="AF219" s="187"/>
      <c r="AG219" s="188"/>
      <c r="AH219" s="189"/>
      <c r="AI219" s="27"/>
      <c r="AJ219" s="28"/>
      <c r="AP219" s="26"/>
      <c r="AQ219" s="26"/>
      <c r="AR219" s="26"/>
      <c r="AS219" s="27"/>
      <c r="AT219" s="27"/>
      <c r="AU219" s="27"/>
      <c r="AV219" s="27"/>
      <c r="AW219" s="27"/>
      <c r="AY219" s="189"/>
      <c r="AZ219" s="189"/>
      <c r="BA219" s="205"/>
      <c r="BC219" s="189"/>
      <c r="BE219" s="57"/>
    </row>
    <row r="220" spans="1:57">
      <c r="A220" s="19">
        <f>[1]!_xludf.edate(A219,1)</f>
        <v>43678</v>
      </c>
      <c r="B220" s="21">
        <f t="shared" si="20"/>
        <v>31</v>
      </c>
      <c r="C220" s="20">
        <f>IF(Control!$C$10="Physical",Model!A221+24,Model!A221)</f>
        <v>43709</v>
      </c>
      <c r="E220" s="22">
        <f>IF($A220&lt;Collar!$C$9,IF(Collar!$F$26="Flat",Collar!$C$10,VLOOKUP(Model!$A220,Collar!$B$31:$D$184,3)),0)</f>
        <v>0</v>
      </c>
      <c r="F220" s="22">
        <f t="shared" si="18"/>
        <v>0</v>
      </c>
      <c r="G220" s="26">
        <f t="shared" ca="1" si="16"/>
        <v>0</v>
      </c>
      <c r="H220" s="60">
        <f>A220-1-Collar!$C$13</f>
        <v>6477</v>
      </c>
      <c r="I220" s="24">
        <f t="shared" si="17"/>
        <v>5.6081181610394597E-2</v>
      </c>
      <c r="J220" s="25">
        <f t="shared" ca="1" si="19"/>
        <v>0.37370594993661782</v>
      </c>
      <c r="K220" s="200"/>
      <c r="L220" s="23"/>
      <c r="M220" s="23"/>
      <c r="N220" s="57"/>
      <c r="O220" s="57"/>
      <c r="P220" s="61"/>
      <c r="Q220" s="24"/>
      <c r="S220" s="25"/>
      <c r="T220" s="62"/>
      <c r="U220" s="27"/>
      <c r="V220" s="64"/>
      <c r="W220" s="170"/>
      <c r="X220" s="170"/>
      <c r="Y220" s="170"/>
      <c r="AA220" s="183"/>
      <c r="AB220" s="183"/>
      <c r="AC220" s="184"/>
      <c r="AD220" s="185"/>
      <c r="AE220" s="186"/>
      <c r="AF220" s="187"/>
      <c r="AG220" s="188"/>
      <c r="AH220" s="189"/>
      <c r="AI220" s="27"/>
      <c r="AJ220" s="28"/>
      <c r="AP220" s="26"/>
      <c r="AQ220" s="26"/>
      <c r="AR220" s="26"/>
      <c r="AS220" s="27"/>
      <c r="AT220" s="27"/>
      <c r="AU220" s="27"/>
      <c r="AV220" s="27"/>
      <c r="AW220" s="27"/>
      <c r="AY220" s="189"/>
      <c r="AZ220" s="189"/>
      <c r="BA220" s="205"/>
      <c r="BC220" s="189"/>
      <c r="BE220" s="57"/>
    </row>
    <row r="221" spans="1:57">
      <c r="A221" s="19">
        <f>[1]!_xludf.edate(A220,1)</f>
        <v>43709</v>
      </c>
      <c r="B221" s="21">
        <f t="shared" si="20"/>
        <v>30</v>
      </c>
      <c r="C221" s="20">
        <f>IF(Control!$C$10="Physical",Model!A222+24,Model!A222)</f>
        <v>43739</v>
      </c>
      <c r="E221" s="22">
        <f>IF($A221&lt;Collar!$C$9,IF(Collar!$F$26="Flat",Collar!$C$10,VLOOKUP(Model!$A221,Collar!$B$31:$D$184,3)),0)</f>
        <v>0</v>
      </c>
      <c r="F221" s="22">
        <f t="shared" si="18"/>
        <v>0</v>
      </c>
      <c r="G221" s="26">
        <f t="shared" ca="1" si="16"/>
        <v>0</v>
      </c>
      <c r="H221" s="60">
        <f>A221-1-Collar!$C$13</f>
        <v>6508</v>
      </c>
      <c r="I221" s="24">
        <f t="shared" si="17"/>
        <v>5.6134352229727701E-2</v>
      </c>
      <c r="J221" s="25">
        <f t="shared" ca="1" si="19"/>
        <v>0.37166828388180434</v>
      </c>
      <c r="K221" s="200"/>
      <c r="L221" s="23"/>
      <c r="M221" s="23"/>
      <c r="N221" s="57"/>
      <c r="O221" s="57"/>
      <c r="P221" s="61"/>
      <c r="Q221" s="24"/>
      <c r="S221" s="25"/>
      <c r="T221" s="62"/>
      <c r="U221" s="27"/>
      <c r="V221" s="64"/>
      <c r="W221" s="170"/>
      <c r="X221" s="170"/>
      <c r="Y221" s="170"/>
      <c r="AA221" s="183"/>
      <c r="AB221" s="183"/>
      <c r="AC221" s="184"/>
      <c r="AD221" s="185"/>
      <c r="AE221" s="186"/>
      <c r="AF221" s="187"/>
      <c r="AG221" s="188"/>
      <c r="AH221" s="189"/>
      <c r="AI221" s="27"/>
      <c r="AJ221" s="28"/>
      <c r="AP221" s="26"/>
      <c r="AQ221" s="26"/>
      <c r="AR221" s="26"/>
      <c r="AS221" s="27"/>
      <c r="AT221" s="27"/>
      <c r="AU221" s="27"/>
      <c r="AV221" s="27"/>
      <c r="AW221" s="27"/>
      <c r="AY221" s="189"/>
      <c r="AZ221" s="189"/>
      <c r="BA221" s="205"/>
      <c r="BC221" s="189"/>
      <c r="BE221" s="57"/>
    </row>
    <row r="222" spans="1:57">
      <c r="A222" s="19">
        <f>[1]!_xludf.edate(A221,1)</f>
        <v>43739</v>
      </c>
      <c r="B222" s="21">
        <f t="shared" si="20"/>
        <v>31</v>
      </c>
      <c r="C222" s="20">
        <f>IF(Control!$C$10="Physical",Model!A223+24,Model!A223)</f>
        <v>43770</v>
      </c>
      <c r="E222" s="22">
        <f>IF($A222&lt;Collar!$C$9,IF(Collar!$F$26="Flat",Collar!$C$10,VLOOKUP(Model!$A222,Collar!$B$31:$D$184,3)),0)</f>
        <v>0</v>
      </c>
      <c r="F222" s="22">
        <f t="shared" si="18"/>
        <v>0</v>
      </c>
      <c r="G222" s="26">
        <f t="shared" ca="1" si="16"/>
        <v>0</v>
      </c>
      <c r="H222" s="60">
        <f>A222-1-Collar!$C$13</f>
        <v>6538</v>
      </c>
      <c r="I222" s="24">
        <f t="shared" si="17"/>
        <v>5.6189295204027302E-2</v>
      </c>
      <c r="J222" s="25">
        <f t="shared" ca="1" si="19"/>
        <v>0.36957107785373516</v>
      </c>
      <c r="K222" s="200"/>
      <c r="L222" s="23"/>
      <c r="M222" s="23"/>
      <c r="N222" s="57"/>
      <c r="O222" s="57"/>
      <c r="P222" s="61"/>
      <c r="Q222" s="24"/>
      <c r="S222" s="25"/>
      <c r="T222" s="62"/>
      <c r="U222" s="27"/>
      <c r="V222" s="64"/>
      <c r="W222" s="170"/>
      <c r="X222" s="170"/>
      <c r="Y222" s="170"/>
      <c r="AA222" s="183"/>
      <c r="AB222" s="183"/>
      <c r="AC222" s="184"/>
      <c r="AD222" s="185"/>
      <c r="AE222" s="186"/>
      <c r="AF222" s="187"/>
      <c r="AG222" s="188"/>
      <c r="AH222" s="189"/>
      <c r="AI222" s="27"/>
      <c r="AJ222" s="28"/>
      <c r="AP222" s="26"/>
      <c r="AQ222" s="26"/>
      <c r="AR222" s="26"/>
      <c r="AS222" s="27"/>
      <c r="AT222" s="27"/>
      <c r="AU222" s="27"/>
      <c r="AV222" s="27"/>
      <c r="AW222" s="27"/>
      <c r="AY222" s="189"/>
      <c r="AZ222" s="189"/>
      <c r="BA222" s="205"/>
      <c r="BC222" s="189"/>
      <c r="BE222" s="57"/>
    </row>
    <row r="223" spans="1:57">
      <c r="A223" s="19">
        <f>[1]!_xludf.edate(A222,1)</f>
        <v>43770</v>
      </c>
      <c r="B223" s="21">
        <f t="shared" si="20"/>
        <v>30</v>
      </c>
      <c r="C223" s="20">
        <f>IF(Control!$C$10="Physical",Model!A224+24,Model!A224)</f>
        <v>43800</v>
      </c>
      <c r="E223" s="22">
        <f>IF($A223&lt;Collar!$C$9,IF(Collar!$F$26="Flat",Collar!$C$10,VLOOKUP(Model!$A223,Collar!$B$31:$D$184,3)),0)</f>
        <v>0</v>
      </c>
      <c r="F223" s="22">
        <f t="shared" si="18"/>
        <v>0</v>
      </c>
      <c r="G223" s="26">
        <f t="shared" ca="1" si="16"/>
        <v>0</v>
      </c>
      <c r="H223" s="60">
        <f>A223-1-Collar!$C$13</f>
        <v>6569</v>
      </c>
      <c r="I223" s="24">
        <f t="shared" si="17"/>
        <v>5.62424658252745E-2</v>
      </c>
      <c r="J223" s="25">
        <f t="shared" ca="1" si="19"/>
        <v>0.36754962605299557</v>
      </c>
      <c r="K223" s="200"/>
      <c r="L223" s="23"/>
      <c r="M223" s="23"/>
      <c r="N223" s="57"/>
      <c r="O223" s="57"/>
      <c r="P223" s="61"/>
      <c r="Q223" s="24"/>
      <c r="S223" s="25"/>
      <c r="T223" s="62"/>
      <c r="U223" s="27"/>
      <c r="V223" s="64"/>
      <c r="W223" s="170"/>
      <c r="X223" s="170"/>
      <c r="Y223" s="170"/>
      <c r="AA223" s="183"/>
      <c r="AB223" s="183"/>
      <c r="AC223" s="184"/>
      <c r="AD223" s="185"/>
      <c r="AE223" s="186"/>
      <c r="AF223" s="187"/>
      <c r="AG223" s="188"/>
      <c r="AH223" s="189"/>
      <c r="AI223" s="27"/>
      <c r="AJ223" s="28"/>
      <c r="AP223" s="26"/>
      <c r="AQ223" s="26"/>
      <c r="AR223" s="26"/>
      <c r="AS223" s="27"/>
      <c r="AT223" s="27"/>
      <c r="AU223" s="27"/>
      <c r="AV223" s="27"/>
      <c r="AW223" s="27"/>
      <c r="AY223" s="189"/>
      <c r="AZ223" s="189"/>
      <c r="BA223" s="205"/>
      <c r="BC223" s="189"/>
      <c r="BE223" s="57"/>
    </row>
    <row r="224" spans="1:57">
      <c r="A224" s="19">
        <f>[1]!_xludf.edate(A223,1)</f>
        <v>43800</v>
      </c>
      <c r="B224" s="21">
        <f t="shared" si="20"/>
        <v>31</v>
      </c>
      <c r="C224" s="20">
        <f>IF(Control!$C$10="Physical",Model!A225+24,Model!A225)</f>
        <v>43831</v>
      </c>
      <c r="E224" s="22">
        <f>IF($A224&lt;Collar!$C$9,IF(Collar!$F$26="Flat",Collar!$C$10,VLOOKUP(Model!$A224,Collar!$B$31:$D$184,3)),0)</f>
        <v>0</v>
      </c>
      <c r="F224" s="22">
        <f t="shared" si="18"/>
        <v>0</v>
      </c>
      <c r="G224" s="26">
        <f t="shared" ca="1" si="16"/>
        <v>0</v>
      </c>
      <c r="H224" s="60">
        <f>A224-1-Collar!$C$13</f>
        <v>6599</v>
      </c>
      <c r="I224" s="24">
        <f t="shared" si="17"/>
        <v>5.6297408801551499E-2</v>
      </c>
      <c r="J224" s="25">
        <f t="shared" ca="1" si="19"/>
        <v>0.36546915502332294</v>
      </c>
      <c r="K224" s="200"/>
      <c r="L224" s="23"/>
      <c r="M224" s="23"/>
      <c r="N224" s="57"/>
      <c r="O224" s="57"/>
      <c r="P224" s="61"/>
      <c r="Q224" s="24"/>
      <c r="S224" s="25"/>
      <c r="T224" s="62"/>
      <c r="U224" s="27"/>
      <c r="V224" s="64"/>
      <c r="W224" s="170"/>
      <c r="X224" s="170"/>
      <c r="Y224" s="170"/>
      <c r="AA224" s="183"/>
      <c r="AB224" s="183"/>
      <c r="AC224" s="184"/>
      <c r="AD224" s="185"/>
      <c r="AE224" s="186"/>
      <c r="AF224" s="187"/>
      <c r="AG224" s="188"/>
      <c r="AH224" s="189"/>
      <c r="AI224" s="27"/>
      <c r="AJ224" s="28"/>
      <c r="AP224" s="26"/>
      <c r="AQ224" s="26"/>
      <c r="AR224" s="26"/>
      <c r="AS224" s="27"/>
      <c r="AT224" s="27"/>
      <c r="AU224" s="27"/>
      <c r="AV224" s="27"/>
      <c r="AW224" s="27"/>
      <c r="AY224" s="189"/>
      <c r="AZ224" s="189"/>
      <c r="BA224" s="205"/>
      <c r="BC224" s="189"/>
      <c r="BE224" s="57"/>
    </row>
    <row r="225" spans="1:57">
      <c r="A225" s="19">
        <f>[1]!_xludf.edate(A224,1)</f>
        <v>43831</v>
      </c>
      <c r="B225" s="21">
        <f t="shared" si="20"/>
        <v>31</v>
      </c>
      <c r="C225" s="20">
        <f>IF(Control!$C$10="Physical",Model!A226+24,Model!A226)</f>
        <v>43862</v>
      </c>
      <c r="E225" s="22">
        <f>IF($A225&lt;Collar!$C$9,IF(Collar!$F$26="Flat",Collar!$C$10,VLOOKUP(Model!$A225,Collar!$B$31:$D$184,3)),0)</f>
        <v>0</v>
      </c>
      <c r="F225" s="22">
        <f t="shared" si="18"/>
        <v>0</v>
      </c>
      <c r="G225" s="26">
        <f t="shared" ca="1" si="16"/>
        <v>0</v>
      </c>
      <c r="H225" s="60">
        <f>A225-1-Collar!$C$13</f>
        <v>6630</v>
      </c>
      <c r="I225" s="24">
        <f t="shared" si="17"/>
        <v>5.6352351778833097E-2</v>
      </c>
      <c r="J225" s="25">
        <f t="shared" ca="1" si="19"/>
        <v>0.36339717324379206</v>
      </c>
      <c r="K225" s="200"/>
      <c r="L225" s="23"/>
      <c r="M225" s="23"/>
      <c r="N225" s="57"/>
      <c r="O225" s="57"/>
      <c r="P225" s="61"/>
      <c r="Q225" s="24"/>
      <c r="S225" s="25"/>
      <c r="T225" s="62"/>
      <c r="U225" s="27"/>
      <c r="V225" s="64"/>
      <c r="W225" s="170"/>
      <c r="X225" s="170"/>
      <c r="Y225" s="170"/>
      <c r="AA225" s="183"/>
      <c r="AB225" s="183"/>
      <c r="AC225" s="184"/>
      <c r="AD225" s="185"/>
      <c r="AE225" s="186"/>
      <c r="AF225" s="187"/>
      <c r="AG225" s="188"/>
      <c r="AH225" s="189"/>
      <c r="AI225" s="27"/>
      <c r="AJ225" s="28"/>
      <c r="AP225" s="26"/>
      <c r="AQ225" s="26"/>
      <c r="AR225" s="26"/>
      <c r="AS225" s="27"/>
      <c r="AT225" s="27"/>
      <c r="AU225" s="27"/>
      <c r="AV225" s="27"/>
      <c r="AW225" s="27"/>
      <c r="AY225" s="189"/>
      <c r="AZ225" s="189"/>
      <c r="BA225" s="205"/>
      <c r="BC225" s="189"/>
      <c r="BE225" s="57"/>
    </row>
    <row r="226" spans="1:57">
      <c r="A226" s="19">
        <f>[1]!_xludf.edate(A225,1)</f>
        <v>43862</v>
      </c>
      <c r="B226" s="21">
        <f t="shared" si="20"/>
        <v>29</v>
      </c>
      <c r="C226" s="20">
        <f>IF(Control!$C$10="Physical",Model!A227+24,Model!A227)</f>
        <v>43891</v>
      </c>
      <c r="E226" s="22">
        <f>IF($A226&lt;Collar!$C$9,IF(Collar!$F$26="Flat",Collar!$C$10,VLOOKUP(Model!$A226,Collar!$B$31:$D$184,3)),0)</f>
        <v>0</v>
      </c>
      <c r="F226" s="22">
        <f t="shared" si="18"/>
        <v>0</v>
      </c>
      <c r="G226" s="26">
        <f t="shared" ca="1" si="16"/>
        <v>0</v>
      </c>
      <c r="H226" s="60">
        <f>A226-1-Collar!$C$13</f>
        <v>6661</v>
      </c>
      <c r="I226" s="24">
        <f t="shared" si="17"/>
        <v>5.6403750048813303E-2</v>
      </c>
      <c r="J226" s="25">
        <f t="shared" ca="1" si="19"/>
        <v>0.3614665436789779</v>
      </c>
      <c r="K226" s="200"/>
      <c r="L226" s="23"/>
      <c r="M226" s="23"/>
      <c r="N226" s="57"/>
      <c r="O226" s="57"/>
      <c r="P226" s="61"/>
      <c r="Q226" s="24"/>
      <c r="S226" s="25"/>
      <c r="T226" s="62"/>
      <c r="U226" s="27"/>
      <c r="V226" s="64"/>
      <c r="W226" s="170"/>
      <c r="X226" s="170"/>
      <c r="Y226" s="170"/>
      <c r="AA226" s="183"/>
      <c r="AB226" s="183"/>
      <c r="AC226" s="184"/>
      <c r="AD226" s="185"/>
      <c r="AE226" s="186"/>
      <c r="AF226" s="187"/>
      <c r="AG226" s="188"/>
      <c r="AH226" s="189"/>
      <c r="AI226" s="27"/>
      <c r="AJ226" s="28"/>
      <c r="AP226" s="26"/>
      <c r="AQ226" s="26"/>
      <c r="AR226" s="26"/>
      <c r="AS226" s="27"/>
      <c r="AT226" s="27"/>
      <c r="AU226" s="27"/>
      <c r="AV226" s="27"/>
      <c r="AW226" s="27"/>
      <c r="AY226" s="189"/>
      <c r="AZ226" s="189"/>
      <c r="BA226" s="205"/>
      <c r="BC226" s="189"/>
      <c r="BE226" s="57"/>
    </row>
    <row r="227" spans="1:57">
      <c r="A227" s="19">
        <f>[1]!_xludf.edate(A226,1)</f>
        <v>43891</v>
      </c>
      <c r="B227" s="21">
        <f t="shared" si="20"/>
        <v>31</v>
      </c>
      <c r="C227" s="20">
        <f>IF(Control!$C$10="Physical",Model!A228+24,Model!A228)</f>
        <v>43922</v>
      </c>
      <c r="E227" s="22">
        <f>IF($A227&lt;Collar!$C$9,IF(Collar!$F$26="Flat",Collar!$C$10,VLOOKUP(Model!$A227,Collar!$B$31:$D$184,3)),0)</f>
        <v>0</v>
      </c>
      <c r="F227" s="22">
        <f t="shared" si="18"/>
        <v>0</v>
      </c>
      <c r="G227" s="26">
        <f t="shared" ca="1" si="16"/>
        <v>0</v>
      </c>
      <c r="H227" s="60">
        <f>A227-1-Collar!$C$13</f>
        <v>6690</v>
      </c>
      <c r="I227" s="24">
        <f t="shared" si="17"/>
        <v>5.6458693028039998E-2</v>
      </c>
      <c r="J227" s="25">
        <f t="shared" ca="1" si="19"/>
        <v>0.35941096238091746</v>
      </c>
      <c r="K227" s="200"/>
      <c r="L227" s="23"/>
      <c r="M227" s="23"/>
      <c r="N227" s="57"/>
      <c r="O227" s="57"/>
      <c r="P227" s="61"/>
      <c r="Q227" s="24"/>
      <c r="S227" s="25"/>
      <c r="T227" s="62"/>
      <c r="U227" s="27"/>
      <c r="V227" s="64"/>
      <c r="W227" s="170"/>
      <c r="X227" s="170"/>
      <c r="Y227" s="170"/>
      <c r="AA227" s="183"/>
      <c r="AB227" s="183"/>
      <c r="AC227" s="184"/>
      <c r="AD227" s="185"/>
      <c r="AE227" s="186"/>
      <c r="AF227" s="187"/>
      <c r="AG227" s="188"/>
      <c r="AH227" s="189"/>
      <c r="AI227" s="27"/>
      <c r="AJ227" s="28"/>
      <c r="AP227" s="26"/>
      <c r="AQ227" s="26"/>
      <c r="AR227" s="26"/>
      <c r="AS227" s="27"/>
      <c r="AT227" s="27"/>
      <c r="AU227" s="27"/>
      <c r="AV227" s="27"/>
      <c r="AW227" s="27"/>
      <c r="AY227" s="189"/>
      <c r="AZ227" s="189"/>
      <c r="BA227" s="205"/>
      <c r="BC227" s="189"/>
      <c r="BE227" s="57"/>
    </row>
    <row r="228" spans="1:57">
      <c r="A228" s="19">
        <f>[1]!_xludf.edate(A227,1)</f>
        <v>43922</v>
      </c>
      <c r="B228" s="21">
        <f t="shared" si="20"/>
        <v>30</v>
      </c>
      <c r="C228" s="20">
        <f>IF(Control!$C$10="Physical",Model!A229+24,Model!A229)</f>
        <v>43952</v>
      </c>
      <c r="E228" s="22">
        <f>IF($A228&lt;Collar!$C$9,IF(Collar!$F$26="Flat",Collar!$C$10,VLOOKUP(Model!$A228,Collar!$B$31:$D$184,3)),0)</f>
        <v>0</v>
      </c>
      <c r="F228" s="22">
        <f t="shared" si="18"/>
        <v>0</v>
      </c>
      <c r="G228" s="26">
        <f t="shared" ca="1" si="16"/>
        <v>0</v>
      </c>
      <c r="H228" s="60">
        <f>A228-1-Collar!$C$13</f>
        <v>6721</v>
      </c>
      <c r="I228" s="24">
        <f t="shared" si="17"/>
        <v>5.6511863654054001E-2</v>
      </c>
      <c r="J228" s="25">
        <f t="shared" ca="1" si="19"/>
        <v>0.35742974301810354</v>
      </c>
      <c r="K228" s="200"/>
      <c r="L228" s="23"/>
      <c r="M228" s="23"/>
      <c r="N228" s="57"/>
      <c r="O228" s="57"/>
      <c r="P228" s="61"/>
      <c r="Q228" s="24"/>
      <c r="S228" s="25"/>
      <c r="T228" s="62"/>
      <c r="U228" s="27"/>
      <c r="V228" s="64"/>
      <c r="W228" s="170"/>
      <c r="X228" s="170"/>
      <c r="Y228" s="170"/>
      <c r="AA228" s="183"/>
      <c r="AB228" s="183"/>
      <c r="AC228" s="184"/>
      <c r="AD228" s="185"/>
      <c r="AE228" s="186"/>
      <c r="AF228" s="187"/>
      <c r="AG228" s="188"/>
      <c r="AH228" s="189"/>
      <c r="AI228" s="27"/>
      <c r="AJ228" s="28"/>
      <c r="AP228" s="26"/>
      <c r="AQ228" s="26"/>
      <c r="AR228" s="26"/>
      <c r="AS228" s="27"/>
      <c r="AT228" s="27"/>
      <c r="AU228" s="27"/>
      <c r="AV228" s="27"/>
      <c r="AW228" s="27"/>
      <c r="AY228" s="189"/>
      <c r="AZ228" s="189"/>
      <c r="BA228" s="205"/>
      <c r="BC228" s="189"/>
      <c r="BE228" s="57"/>
    </row>
    <row r="229" spans="1:57">
      <c r="A229" s="19">
        <f>[1]!_xludf.edate(A228,1)</f>
        <v>43952</v>
      </c>
      <c r="B229" s="21">
        <f t="shared" si="20"/>
        <v>31</v>
      </c>
      <c r="C229" s="20">
        <f>IF(Control!$C$10="Physical",Model!A230+24,Model!A230)</f>
        <v>43983</v>
      </c>
      <c r="E229" s="22">
        <f>IF($A229&lt;Collar!$C$9,IF(Collar!$F$26="Flat",Collar!$C$10,VLOOKUP(Model!$A229,Collar!$B$31:$D$184,3)),0)</f>
        <v>0</v>
      </c>
      <c r="F229" s="22">
        <f t="shared" si="18"/>
        <v>0</v>
      </c>
      <c r="G229" s="26">
        <f t="shared" ca="1" si="16"/>
        <v>0</v>
      </c>
      <c r="H229" s="60">
        <f>A229-1-Collar!$C$13</f>
        <v>6751</v>
      </c>
      <c r="I229" s="24">
        <f t="shared" si="17"/>
        <v>5.6566806635257802E-2</v>
      </c>
      <c r="J229" s="25">
        <f t="shared" ca="1" si="19"/>
        <v>0.35539079347864555</v>
      </c>
      <c r="K229" s="200"/>
      <c r="L229" s="23"/>
      <c r="M229" s="23"/>
      <c r="N229" s="57"/>
      <c r="O229" s="57"/>
      <c r="P229" s="61"/>
      <c r="Q229" s="24"/>
      <c r="S229" s="25"/>
      <c r="T229" s="62"/>
      <c r="U229" s="27"/>
      <c r="V229" s="64"/>
      <c r="W229" s="170"/>
      <c r="X229" s="170"/>
      <c r="Y229" s="170"/>
      <c r="AA229" s="183"/>
      <c r="AB229" s="183"/>
      <c r="AC229" s="184"/>
      <c r="AD229" s="185"/>
      <c r="AE229" s="186"/>
      <c r="AF229" s="187"/>
      <c r="AG229" s="188"/>
      <c r="AH229" s="189"/>
      <c r="AI229" s="27"/>
      <c r="AJ229" s="28"/>
      <c r="AP229" s="26"/>
      <c r="AQ229" s="26"/>
      <c r="AR229" s="26"/>
      <c r="AS229" s="27"/>
      <c r="AT229" s="27"/>
      <c r="AU229" s="27"/>
      <c r="AV229" s="27"/>
      <c r="AW229" s="27"/>
      <c r="AY229" s="189"/>
      <c r="AZ229" s="189"/>
      <c r="BA229" s="205"/>
      <c r="BC229" s="189"/>
      <c r="BE229" s="57"/>
    </row>
    <row r="230" spans="1:57">
      <c r="A230" s="19">
        <f>[1]!_xludf.edate(A229,1)</f>
        <v>43983</v>
      </c>
      <c r="B230" s="21">
        <f t="shared" si="20"/>
        <v>30</v>
      </c>
      <c r="C230" s="20">
        <f>IF(Control!$C$10="Physical",Model!A231+24,Model!A231)</f>
        <v>44013</v>
      </c>
      <c r="E230" s="22">
        <f>IF($A230&lt;Collar!$C$9,IF(Collar!$F$26="Flat",Collar!$C$10,VLOOKUP(Model!$A230,Collar!$B$31:$D$184,3)),0)</f>
        <v>0</v>
      </c>
      <c r="F230" s="22">
        <f t="shared" si="18"/>
        <v>0</v>
      </c>
      <c r="G230" s="26">
        <f t="shared" ca="1" si="16"/>
        <v>0</v>
      </c>
      <c r="H230" s="60">
        <f>A230-1-Collar!$C$13</f>
        <v>6782</v>
      </c>
      <c r="I230" s="24">
        <f t="shared" si="17"/>
        <v>5.6619977263185899E-2</v>
      </c>
      <c r="J230" s="25">
        <f t="shared" ca="1" si="19"/>
        <v>0.3534256483825699</v>
      </c>
      <c r="K230" s="200"/>
      <c r="L230" s="23"/>
      <c r="M230" s="23"/>
      <c r="N230" s="57"/>
      <c r="O230" s="57"/>
      <c r="P230" s="61"/>
      <c r="Q230" s="24"/>
      <c r="S230" s="25"/>
      <c r="T230" s="62"/>
      <c r="U230" s="27"/>
      <c r="V230" s="64"/>
      <c r="W230" s="170"/>
      <c r="X230" s="170"/>
      <c r="Y230" s="170"/>
      <c r="AA230" s="183"/>
      <c r="AB230" s="183"/>
      <c r="AC230" s="184"/>
      <c r="AD230" s="185"/>
      <c r="AE230" s="186"/>
      <c r="AF230" s="187"/>
      <c r="AG230" s="188"/>
      <c r="AH230" s="189"/>
      <c r="AI230" s="27"/>
      <c r="AJ230" s="28"/>
      <c r="AP230" s="26"/>
      <c r="AQ230" s="26"/>
      <c r="AR230" s="26"/>
      <c r="AS230" s="27"/>
      <c r="AT230" s="27"/>
      <c r="AU230" s="27"/>
      <c r="AV230" s="27"/>
      <c r="AW230" s="27"/>
      <c r="AY230" s="189"/>
      <c r="AZ230" s="189"/>
      <c r="BA230" s="205"/>
      <c r="BC230" s="189"/>
      <c r="BE230" s="57"/>
    </row>
    <row r="231" spans="1:57">
      <c r="A231" s="19">
        <f>[1]!_xludf.edate(A230,1)</f>
        <v>44013</v>
      </c>
      <c r="B231" s="21">
        <f t="shared" si="20"/>
        <v>31</v>
      </c>
      <c r="C231" s="20">
        <f>IF(Control!$C$10="Physical",Model!A232+24,Model!A232)</f>
        <v>44044</v>
      </c>
      <c r="E231" s="22">
        <f>IF($A231&lt;Collar!$C$9,IF(Collar!$F$26="Flat",Collar!$C$10,VLOOKUP(Model!$A231,Collar!$B$31:$D$184,3)),0)</f>
        <v>0</v>
      </c>
      <c r="F231" s="22">
        <f t="shared" si="18"/>
        <v>0</v>
      </c>
      <c r="G231" s="26">
        <f t="shared" ca="1" si="16"/>
        <v>0</v>
      </c>
      <c r="H231" s="60">
        <f>A231-1-Collar!$C$13</f>
        <v>6812</v>
      </c>
      <c r="I231" s="24">
        <f t="shared" si="17"/>
        <v>5.6674920246366299E-2</v>
      </c>
      <c r="J231" s="25">
        <f t="shared" ca="1" si="19"/>
        <v>0.35140328691653377</v>
      </c>
      <c r="K231" s="200"/>
      <c r="L231" s="23"/>
      <c r="M231" s="23"/>
      <c r="N231" s="57"/>
      <c r="O231" s="57"/>
      <c r="P231" s="61"/>
      <c r="Q231" s="24"/>
      <c r="S231" s="25"/>
      <c r="T231" s="62"/>
      <c r="U231" s="27"/>
      <c r="V231" s="64"/>
      <c r="W231" s="170"/>
      <c r="X231" s="170"/>
      <c r="Y231" s="170"/>
      <c r="AA231" s="183"/>
      <c r="AB231" s="183"/>
      <c r="AC231" s="184"/>
      <c r="AD231" s="185"/>
      <c r="AE231" s="186"/>
      <c r="AF231" s="187"/>
      <c r="AG231" s="188"/>
      <c r="AH231" s="189"/>
      <c r="AI231" s="27"/>
      <c r="AJ231" s="28"/>
      <c r="AP231" s="26"/>
      <c r="AQ231" s="26"/>
      <c r="AR231" s="26"/>
      <c r="AS231" s="27"/>
      <c r="AT231" s="27"/>
      <c r="AU231" s="27"/>
      <c r="AV231" s="27"/>
      <c r="AW231" s="27"/>
      <c r="AY231" s="189"/>
      <c r="AZ231" s="189"/>
      <c r="BA231" s="205"/>
      <c r="BC231" s="189"/>
      <c r="BE231" s="57"/>
    </row>
    <row r="232" spans="1:57">
      <c r="A232" s="19">
        <f>[1]!_xludf.edate(A231,1)</f>
        <v>44044</v>
      </c>
      <c r="B232" s="21">
        <f t="shared" si="20"/>
        <v>31</v>
      </c>
      <c r="C232" s="20">
        <f>IF(Control!$C$10="Physical",Model!A233+24,Model!A233)</f>
        <v>44075</v>
      </c>
      <c r="E232" s="22">
        <f>IF($A232&lt;Collar!$C$9,IF(Collar!$F$26="Flat",Collar!$C$10,VLOOKUP(Model!$A232,Collar!$B$31:$D$184,3)),0)</f>
        <v>0</v>
      </c>
      <c r="F232" s="22">
        <f t="shared" si="18"/>
        <v>0</v>
      </c>
      <c r="G232" s="26">
        <f t="shared" ca="1" si="16"/>
        <v>0</v>
      </c>
      <c r="H232" s="60">
        <f>A232-1-Collar!$C$13</f>
        <v>6843</v>
      </c>
      <c r="I232" s="24">
        <f t="shared" si="17"/>
        <v>5.6729863230551701E-2</v>
      </c>
      <c r="J232" s="25">
        <f t="shared" ca="1" si="19"/>
        <v>0.34938933830910279</v>
      </c>
      <c r="K232" s="200"/>
      <c r="L232" s="23"/>
      <c r="M232" s="23"/>
      <c r="N232" s="57"/>
      <c r="O232" s="57"/>
      <c r="P232" s="61"/>
      <c r="Q232" s="24"/>
      <c r="S232" s="25"/>
      <c r="T232" s="62"/>
      <c r="U232" s="27"/>
      <c r="V232" s="64"/>
      <c r="W232" s="170"/>
      <c r="X232" s="170"/>
      <c r="Y232" s="170"/>
      <c r="AA232" s="183"/>
      <c r="AB232" s="183"/>
      <c r="AC232" s="184"/>
      <c r="AD232" s="185"/>
      <c r="AE232" s="186"/>
      <c r="AF232" s="187"/>
      <c r="AG232" s="188"/>
      <c r="AH232" s="189"/>
      <c r="AI232" s="27"/>
      <c r="AJ232" s="28"/>
      <c r="AP232" s="26"/>
      <c r="AQ232" s="26"/>
      <c r="AR232" s="26"/>
      <c r="AS232" s="27"/>
      <c r="AT232" s="27"/>
      <c r="AU232" s="27"/>
      <c r="AV232" s="27"/>
      <c r="AW232" s="27"/>
      <c r="AY232" s="189"/>
      <c r="AZ232" s="189"/>
      <c r="BA232" s="205"/>
      <c r="BC232" s="189"/>
      <c r="BE232" s="57"/>
    </row>
    <row r="233" spans="1:57">
      <c r="A233" s="19">
        <f>[1]!_xludf.edate(A232,1)</f>
        <v>44075</v>
      </c>
      <c r="B233" s="21">
        <f t="shared" si="20"/>
        <v>30</v>
      </c>
      <c r="C233" s="20">
        <f>IF(Control!$C$10="Physical",Model!A234+24,Model!A234)</f>
        <v>44105</v>
      </c>
      <c r="E233" s="22">
        <f>IF($A233&lt;Collar!$C$9,IF(Collar!$F$26="Flat",Collar!$C$10,VLOOKUP(Model!$A233,Collar!$B$31:$D$184,3)),0)</f>
        <v>0</v>
      </c>
      <c r="F233" s="22">
        <f t="shared" si="18"/>
        <v>0</v>
      </c>
      <c r="G233" s="26">
        <f t="shared" ca="1" si="16"/>
        <v>0</v>
      </c>
      <c r="H233" s="60">
        <f>A233-1-Collar!$C$13</f>
        <v>6874</v>
      </c>
      <c r="I233" s="24">
        <f t="shared" si="17"/>
        <v>5.6783033861365101E-2</v>
      </c>
      <c r="J233" s="25">
        <f t="shared" ca="1" si="19"/>
        <v>0.34744835486166276</v>
      </c>
      <c r="K233" s="200"/>
      <c r="L233" s="23"/>
      <c r="M233" s="23"/>
      <c r="N233" s="57"/>
      <c r="O233" s="57"/>
      <c r="P233" s="61"/>
      <c r="Q233" s="24"/>
      <c r="S233" s="25"/>
      <c r="T233" s="62"/>
      <c r="U233" s="27"/>
      <c r="V233" s="64"/>
      <c r="W233" s="170"/>
      <c r="X233" s="170"/>
      <c r="Y233" s="170"/>
      <c r="AA233" s="183"/>
      <c r="AB233" s="183"/>
      <c r="AC233" s="184"/>
      <c r="AD233" s="185"/>
      <c r="AE233" s="186"/>
      <c r="AF233" s="187"/>
      <c r="AG233" s="188"/>
      <c r="AH233" s="189"/>
      <c r="AI233" s="27"/>
      <c r="AJ233" s="28"/>
      <c r="AP233" s="26"/>
      <c r="AQ233" s="26"/>
      <c r="AR233" s="26"/>
      <c r="AS233" s="27"/>
      <c r="AT233" s="27"/>
      <c r="AU233" s="27"/>
      <c r="AV233" s="27"/>
      <c r="AW233" s="27"/>
      <c r="AY233" s="189"/>
      <c r="AZ233" s="189"/>
      <c r="BA233" s="205"/>
      <c r="BC233" s="189"/>
      <c r="BE233" s="57"/>
    </row>
    <row r="234" spans="1:57">
      <c r="A234" s="19">
        <f>[1]!_xludf.edate(A233,1)</f>
        <v>44105</v>
      </c>
      <c r="B234" s="21">
        <f t="shared" si="20"/>
        <v>31</v>
      </c>
      <c r="C234" s="20">
        <f>IF(Control!$C$10="Physical",Model!A235+24,Model!A235)</f>
        <v>44136</v>
      </c>
      <c r="E234" s="22">
        <f>IF($A234&lt;Collar!$C$9,IF(Collar!$F$26="Flat",Collar!$C$10,VLOOKUP(Model!$A234,Collar!$B$31:$D$184,3)),0)</f>
        <v>0</v>
      </c>
      <c r="F234" s="22">
        <f t="shared" si="18"/>
        <v>0</v>
      </c>
      <c r="G234" s="26">
        <f t="shared" ca="1" si="16"/>
        <v>0</v>
      </c>
      <c r="H234" s="60">
        <f>A234-1-Collar!$C$13</f>
        <v>6904</v>
      </c>
      <c r="I234" s="24">
        <f t="shared" si="17"/>
        <v>5.68379768475267E-2</v>
      </c>
      <c r="J234" s="25">
        <f t="shared" ca="1" si="19"/>
        <v>0.34545092606579358</v>
      </c>
      <c r="K234" s="200"/>
      <c r="L234" s="23"/>
      <c r="M234" s="23"/>
      <c r="N234" s="57"/>
      <c r="O234" s="57"/>
      <c r="P234" s="61"/>
      <c r="Q234" s="24"/>
      <c r="S234" s="25"/>
      <c r="T234" s="62"/>
      <c r="U234" s="27"/>
      <c r="V234" s="64"/>
      <c r="W234" s="170"/>
      <c r="X234" s="170"/>
      <c r="Y234" s="170"/>
      <c r="AA234" s="183"/>
      <c r="AB234" s="183"/>
      <c r="AC234" s="184"/>
      <c r="AD234" s="185"/>
      <c r="AE234" s="186"/>
      <c r="AF234" s="187"/>
      <c r="AG234" s="188"/>
      <c r="AH234" s="189"/>
      <c r="AI234" s="27"/>
      <c r="AJ234" s="28"/>
      <c r="AP234" s="26"/>
      <c r="AQ234" s="26"/>
      <c r="AR234" s="26"/>
      <c r="AS234" s="27"/>
      <c r="AT234" s="27"/>
      <c r="AU234" s="27"/>
      <c r="AV234" s="27"/>
      <c r="AW234" s="27"/>
      <c r="AY234" s="189"/>
      <c r="AZ234" s="189"/>
      <c r="BA234" s="205"/>
      <c r="BC234" s="189"/>
      <c r="BE234" s="57"/>
    </row>
    <row r="235" spans="1:57">
      <c r="A235" s="19">
        <f>[1]!_xludf.edate(A234,1)</f>
        <v>44136</v>
      </c>
      <c r="B235" s="21">
        <f t="shared" si="20"/>
        <v>30</v>
      </c>
      <c r="C235" s="20">
        <f>IF(Control!$C$10="Physical",Model!A236+24,Model!A236)</f>
        <v>44166</v>
      </c>
      <c r="E235" s="22">
        <f>IF($A235&lt;Collar!$C$9,IF(Collar!$F$26="Flat",Collar!$C$10,VLOOKUP(Model!$A235,Collar!$B$31:$D$184,3)),0)</f>
        <v>0</v>
      </c>
      <c r="F235" s="22">
        <f t="shared" si="18"/>
        <v>0</v>
      </c>
      <c r="G235" s="26">
        <f t="shared" ca="1" si="16"/>
        <v>0</v>
      </c>
      <c r="H235" s="60">
        <f>A235-1-Collar!$C$13</f>
        <v>6935</v>
      </c>
      <c r="I235" s="24">
        <f t="shared" si="17"/>
        <v>5.6891147480253097E-2</v>
      </c>
      <c r="J235" s="25">
        <f t="shared" ca="1" si="19"/>
        <v>0.34352590703303015</v>
      </c>
      <c r="K235" s="200"/>
      <c r="L235" s="23"/>
      <c r="M235" s="23"/>
      <c r="N235" s="57"/>
      <c r="O235" s="57"/>
      <c r="P235" s="61"/>
      <c r="Q235" s="24"/>
      <c r="S235" s="25"/>
      <c r="T235" s="62"/>
      <c r="U235" s="27"/>
      <c r="V235" s="64"/>
      <c r="W235" s="170"/>
      <c r="X235" s="170"/>
      <c r="Y235" s="170"/>
      <c r="AA235" s="183"/>
      <c r="AB235" s="183"/>
      <c r="AC235" s="184"/>
      <c r="AD235" s="185"/>
      <c r="AE235" s="186"/>
      <c r="AF235" s="187"/>
      <c r="AG235" s="188"/>
      <c r="AH235" s="189"/>
      <c r="AI235" s="27"/>
      <c r="AJ235" s="28"/>
      <c r="AP235" s="26"/>
      <c r="AQ235" s="26"/>
      <c r="AR235" s="26"/>
      <c r="AS235" s="27"/>
      <c r="AT235" s="27"/>
      <c r="AU235" s="27"/>
      <c r="AV235" s="27"/>
      <c r="AW235" s="27"/>
      <c r="AY235" s="189"/>
      <c r="AZ235" s="189"/>
      <c r="BA235" s="205"/>
      <c r="BC235" s="189"/>
      <c r="BE235" s="57"/>
    </row>
    <row r="236" spans="1:57">
      <c r="A236" s="19">
        <f>[1]!_xludf.edate(A235,1)</f>
        <v>44166</v>
      </c>
      <c r="B236" s="21">
        <f t="shared" si="20"/>
        <v>31</v>
      </c>
      <c r="C236" s="20">
        <f>IF(Control!$C$10="Physical",Model!A237+24,Model!A237)</f>
        <v>44197</v>
      </c>
      <c r="E236" s="22">
        <f>IF($A236&lt;Collar!$C$9,IF(Collar!$F$26="Flat",Collar!$C$10,VLOOKUP(Model!$A236,Collar!$B$31:$D$184,3)),0)</f>
        <v>0</v>
      </c>
      <c r="F236" s="22">
        <f t="shared" si="18"/>
        <v>0</v>
      </c>
      <c r="G236" s="26">
        <f t="shared" ca="1" si="16"/>
        <v>0</v>
      </c>
      <c r="H236" s="60">
        <f>A236-1-Collar!$C$13</f>
        <v>6965</v>
      </c>
      <c r="I236" s="24">
        <f t="shared" si="17"/>
        <v>5.6946090468391802E-2</v>
      </c>
      <c r="J236" s="25">
        <f t="shared" ca="1" si="19"/>
        <v>0.34154495124305539</v>
      </c>
      <c r="K236" s="200"/>
      <c r="L236" s="23"/>
      <c r="M236" s="23"/>
      <c r="N236" s="57"/>
      <c r="O236" s="57"/>
      <c r="P236" s="61"/>
      <c r="Q236" s="24"/>
      <c r="S236" s="25"/>
      <c r="T236" s="62"/>
      <c r="U236" s="27"/>
      <c r="V236" s="64"/>
      <c r="W236" s="170"/>
      <c r="X236" s="170"/>
      <c r="Y236" s="170"/>
      <c r="AA236" s="183"/>
      <c r="AB236" s="183"/>
      <c r="AC236" s="184"/>
      <c r="AD236" s="185"/>
      <c r="AE236" s="186"/>
      <c r="AF236" s="187"/>
      <c r="AG236" s="188"/>
      <c r="AH236" s="189"/>
      <c r="AI236" s="27"/>
      <c r="AJ236" s="28"/>
      <c r="AP236" s="26"/>
      <c r="AQ236" s="26"/>
      <c r="AR236" s="26"/>
      <c r="AS236" s="27"/>
      <c r="AT236" s="27"/>
      <c r="AU236" s="27"/>
      <c r="AV236" s="27"/>
      <c r="AW236" s="27"/>
      <c r="AY236" s="189"/>
      <c r="AZ236" s="189"/>
      <c r="BA236" s="205"/>
      <c r="BC236" s="189"/>
      <c r="BE236" s="57"/>
    </row>
    <row r="237" spans="1:57">
      <c r="A237" s="19">
        <f>[1]!_xludf.edate(A236,1)</f>
        <v>44197</v>
      </c>
      <c r="B237" s="21">
        <f t="shared" si="20"/>
        <v>31</v>
      </c>
      <c r="C237" s="20">
        <f>IF(Control!$C$10="Physical",Model!A238+24,Model!A238)</f>
        <v>44228</v>
      </c>
      <c r="E237" s="22">
        <f>IF($A237&lt;Collar!$C$9,IF(Collar!$F$26="Flat",Collar!$C$10,VLOOKUP(Model!$A237,Collar!$B$31:$D$184,3)),0)</f>
        <v>0</v>
      </c>
      <c r="F237" s="22">
        <f t="shared" si="18"/>
        <v>0</v>
      </c>
      <c r="G237" s="26">
        <f t="shared" ca="1" si="16"/>
        <v>0</v>
      </c>
      <c r="H237" s="60">
        <f>A237-1-Collar!$C$13</f>
        <v>6996</v>
      </c>
      <c r="I237" s="24">
        <f t="shared" si="17"/>
        <v>5.70010334575346E-2</v>
      </c>
      <c r="J237" s="25">
        <f t="shared" ca="1" si="19"/>
        <v>0.33957234865549996</v>
      </c>
      <c r="K237" s="200"/>
      <c r="L237" s="23"/>
      <c r="M237" s="23"/>
      <c r="N237" s="57"/>
      <c r="O237" s="57"/>
      <c r="P237" s="61"/>
      <c r="Q237" s="24"/>
      <c r="S237" s="25"/>
      <c r="T237" s="62"/>
      <c r="U237" s="27"/>
      <c r="V237" s="64"/>
      <c r="W237" s="170"/>
      <c r="X237" s="170"/>
      <c r="Y237" s="170"/>
      <c r="AA237" s="183"/>
      <c r="AB237" s="183"/>
      <c r="AC237" s="184"/>
      <c r="AD237" s="185"/>
      <c r="AE237" s="186"/>
      <c r="AF237" s="187"/>
      <c r="AG237" s="188"/>
      <c r="AH237" s="189"/>
      <c r="AI237" s="27"/>
      <c r="AJ237" s="28"/>
      <c r="AP237" s="26"/>
      <c r="AQ237" s="26"/>
      <c r="AR237" s="26"/>
      <c r="AS237" s="27"/>
      <c r="AT237" s="27"/>
      <c r="AU237" s="27"/>
      <c r="AV237" s="27"/>
      <c r="AW237" s="27"/>
      <c r="AY237" s="189"/>
      <c r="AZ237" s="189"/>
      <c r="BA237" s="205"/>
      <c r="BC237" s="189"/>
      <c r="BE237" s="57"/>
    </row>
    <row r="238" spans="1:57">
      <c r="A238" s="19">
        <f>[1]!_xludf.edate(A237,1)</f>
        <v>44228</v>
      </c>
      <c r="B238" s="21">
        <f t="shared" si="20"/>
        <v>28</v>
      </c>
      <c r="C238" s="20">
        <f>IF(Control!$C$10="Physical",Model!A239+24,Model!A239)</f>
        <v>44256</v>
      </c>
      <c r="E238" s="22">
        <f>IF($A238&lt;Collar!$C$9,IF(Collar!$F$26="Flat",Collar!$C$10,VLOOKUP(Model!$A238,Collar!$B$31:$D$184,3)),0)</f>
        <v>0</v>
      </c>
      <c r="F238" s="22">
        <f t="shared" si="18"/>
        <v>0</v>
      </c>
      <c r="G238" s="26">
        <f t="shared" ca="1" si="16"/>
        <v>0</v>
      </c>
      <c r="H238" s="60">
        <f>A238-1-Collar!$C$13</f>
        <v>7027</v>
      </c>
      <c r="I238" s="24">
        <f t="shared" si="17"/>
        <v>5.7050659384075997E-2</v>
      </c>
      <c r="J238" s="25">
        <f t="shared" ca="1" si="19"/>
        <v>0.33779781240650414</v>
      </c>
      <c r="K238" s="200"/>
      <c r="L238" s="23"/>
      <c r="M238" s="23"/>
      <c r="N238" s="57"/>
      <c r="O238" s="57"/>
      <c r="P238" s="61"/>
      <c r="Q238" s="24"/>
      <c r="S238" s="25"/>
      <c r="T238" s="62"/>
      <c r="U238" s="27"/>
      <c r="V238" s="64"/>
      <c r="W238" s="170"/>
      <c r="X238" s="170"/>
      <c r="Y238" s="170"/>
      <c r="AA238" s="183"/>
      <c r="AB238" s="183"/>
      <c r="AC238" s="184"/>
      <c r="AD238" s="185"/>
      <c r="AE238" s="186"/>
      <c r="AF238" s="187"/>
      <c r="AG238" s="188"/>
      <c r="AH238" s="189"/>
      <c r="AI238" s="27"/>
      <c r="AJ238" s="28"/>
      <c r="AP238" s="26"/>
      <c r="AQ238" s="26"/>
      <c r="AR238" s="26"/>
      <c r="AS238" s="27"/>
      <c r="AT238" s="27"/>
      <c r="AU238" s="27"/>
      <c r="AV238" s="27"/>
      <c r="AW238" s="27"/>
      <c r="AY238" s="189"/>
      <c r="AZ238" s="189"/>
      <c r="BA238" s="205"/>
      <c r="BC238" s="189"/>
      <c r="BE238" s="57"/>
    </row>
    <row r="239" spans="1:57">
      <c r="A239" s="19">
        <f>[1]!_xludf.edate(A238,1)</f>
        <v>44256</v>
      </c>
      <c r="B239" s="21">
        <f t="shared" si="20"/>
        <v>31</v>
      </c>
      <c r="C239" s="20">
        <f>IF(Control!$C$10="Physical",Model!A240+24,Model!A240)</f>
        <v>44287</v>
      </c>
      <c r="E239" s="22">
        <f>IF($A239&lt;Collar!$C$9,IF(Collar!$F$26="Flat",Collar!$C$10,VLOOKUP(Model!$A239,Collar!$B$31:$D$184,3)),0)</f>
        <v>0</v>
      </c>
      <c r="F239" s="22">
        <f t="shared" si="18"/>
        <v>0</v>
      </c>
      <c r="G239" s="26">
        <f t="shared" ca="1" si="16"/>
        <v>0</v>
      </c>
      <c r="H239" s="60">
        <f>A239-1-Collar!$C$13</f>
        <v>7055</v>
      </c>
      <c r="I239" s="24">
        <f t="shared" si="17"/>
        <v>5.7105602375131098E-2</v>
      </c>
      <c r="J239" s="25">
        <f t="shared" ca="1" si="19"/>
        <v>0.33584107302853439</v>
      </c>
      <c r="K239" s="200"/>
      <c r="L239" s="23"/>
      <c r="M239" s="23"/>
      <c r="N239" s="57"/>
      <c r="O239" s="57"/>
      <c r="P239" s="61"/>
      <c r="Q239" s="24"/>
      <c r="S239" s="25"/>
      <c r="T239" s="62"/>
      <c r="U239" s="27"/>
      <c r="V239" s="64"/>
      <c r="W239" s="170"/>
      <c r="X239" s="170"/>
      <c r="Y239" s="170"/>
      <c r="AA239" s="183"/>
      <c r="AB239" s="183"/>
      <c r="AC239" s="184"/>
      <c r="AD239" s="185"/>
      <c r="AE239" s="186"/>
      <c r="AF239" s="187"/>
      <c r="AG239" s="188"/>
      <c r="AH239" s="189"/>
      <c r="AI239" s="27"/>
      <c r="AJ239" s="28"/>
      <c r="AP239" s="26"/>
      <c r="AQ239" s="26"/>
      <c r="AR239" s="26"/>
      <c r="AS239" s="27"/>
      <c r="AT239" s="27"/>
      <c r="AU239" s="27"/>
      <c r="AV239" s="27"/>
      <c r="AW239" s="27"/>
      <c r="AY239" s="189"/>
      <c r="AZ239" s="189"/>
      <c r="BA239" s="205"/>
      <c r="BC239" s="189"/>
      <c r="BE239" s="57"/>
    </row>
    <row r="240" spans="1:57">
      <c r="A240" s="19">
        <f>[1]!_xludf.edate(A239,1)</f>
        <v>44287</v>
      </c>
      <c r="B240" s="21">
        <f t="shared" si="20"/>
        <v>30</v>
      </c>
      <c r="C240" s="20">
        <f>IF(Control!$C$10="Physical",Model!A241+24,Model!A241)</f>
        <v>44317</v>
      </c>
      <c r="E240" s="22">
        <f>IF($A240&lt;Collar!$C$9,IF(Collar!$F$26="Flat",Collar!$C$10,VLOOKUP(Model!$A240,Collar!$B$31:$D$184,3)),0)</f>
        <v>0</v>
      </c>
      <c r="F240" s="22">
        <f t="shared" si="18"/>
        <v>0</v>
      </c>
      <c r="G240" s="26">
        <f t="shared" ca="1" si="16"/>
        <v>0</v>
      </c>
      <c r="H240" s="60">
        <f>A240-1-Collar!$C$13</f>
        <v>7086</v>
      </c>
      <c r="I240" s="24">
        <f t="shared" si="17"/>
        <v>5.7158773012592E-2</v>
      </c>
      <c r="J240" s="25">
        <f t="shared" ca="1" si="19"/>
        <v>0.33395537265201825</v>
      </c>
      <c r="K240" s="200"/>
      <c r="L240" s="23"/>
      <c r="M240" s="23"/>
      <c r="N240" s="57"/>
      <c r="O240" s="57"/>
      <c r="P240" s="61"/>
      <c r="Q240" s="24"/>
      <c r="S240" s="25"/>
      <c r="T240" s="62"/>
      <c r="U240" s="27"/>
      <c r="V240" s="64"/>
      <c r="W240" s="170"/>
      <c r="X240" s="170"/>
      <c r="Y240" s="170"/>
      <c r="AA240" s="183"/>
      <c r="AB240" s="183"/>
      <c r="AC240" s="184"/>
      <c r="AD240" s="185"/>
      <c r="AE240" s="186"/>
      <c r="AF240" s="187"/>
      <c r="AG240" s="188"/>
      <c r="AH240" s="189"/>
      <c r="AI240" s="27"/>
      <c r="AJ240" s="28"/>
      <c r="AP240" s="26"/>
      <c r="AQ240" s="26"/>
      <c r="AR240" s="26"/>
      <c r="AS240" s="27"/>
      <c r="AT240" s="27"/>
      <c r="AU240" s="27"/>
      <c r="AV240" s="27"/>
      <c r="AW240" s="27"/>
      <c r="AY240" s="189"/>
      <c r="AZ240" s="189"/>
      <c r="BA240" s="205"/>
      <c r="BC240" s="189"/>
      <c r="BE240" s="57"/>
    </row>
    <row r="241" spans="1:57">
      <c r="A241" s="19">
        <f>[1]!_xludf.edate(A240,1)</f>
        <v>44317</v>
      </c>
      <c r="B241" s="21">
        <f t="shared" si="20"/>
        <v>31</v>
      </c>
      <c r="C241" s="20">
        <f>IF(Control!$C$10="Physical",Model!A242+24,Model!A242)</f>
        <v>44348</v>
      </c>
      <c r="E241" s="22">
        <f>IF($A241&lt;Collar!$C$9,IF(Collar!$F$26="Flat",Collar!$C$10,VLOOKUP(Model!$A241,Collar!$B$31:$D$184,3)),0)</f>
        <v>0</v>
      </c>
      <c r="F241" s="22">
        <f t="shared" si="18"/>
        <v>0</v>
      </c>
      <c r="G241" s="26">
        <f t="shared" ca="1" si="16"/>
        <v>0</v>
      </c>
      <c r="H241" s="60">
        <f>A241-1-Collar!$C$13</f>
        <v>7116</v>
      </c>
      <c r="I241" s="24">
        <f t="shared" si="17"/>
        <v>5.7213716005623597E-2</v>
      </c>
      <c r="J241" s="25">
        <f t="shared" ca="1" si="19"/>
        <v>0.33201498526467638</v>
      </c>
      <c r="K241" s="200"/>
      <c r="L241" s="23"/>
      <c r="M241" s="23"/>
      <c r="N241" s="57"/>
      <c r="O241" s="57"/>
      <c r="P241" s="61"/>
      <c r="Q241" s="24"/>
      <c r="S241" s="25"/>
      <c r="T241" s="62"/>
      <c r="U241" s="27"/>
      <c r="V241" s="64"/>
      <c r="W241" s="170"/>
      <c r="X241" s="170"/>
      <c r="Y241" s="170"/>
      <c r="AA241" s="183"/>
      <c r="AB241" s="183"/>
      <c r="AC241" s="184"/>
      <c r="AD241" s="185"/>
      <c r="AE241" s="186"/>
      <c r="AF241" s="187"/>
      <c r="AG241" s="188"/>
      <c r="AH241" s="189"/>
      <c r="AI241" s="27"/>
      <c r="AJ241" s="28"/>
      <c r="AP241" s="26"/>
      <c r="AQ241" s="26"/>
      <c r="AR241" s="26"/>
      <c r="AS241" s="27"/>
      <c r="AT241" s="27"/>
      <c r="AU241" s="27"/>
      <c r="AV241" s="27"/>
      <c r="AW241" s="27"/>
      <c r="AY241" s="189"/>
      <c r="AZ241" s="189"/>
      <c r="BA241" s="205"/>
      <c r="BC241" s="189"/>
      <c r="BE241" s="57"/>
    </row>
    <row r="242" spans="1:57">
      <c r="A242" s="19">
        <f>[1]!_xludf.edate(A241,1)</f>
        <v>44348</v>
      </c>
      <c r="B242" s="21">
        <f t="shared" si="20"/>
        <v>30</v>
      </c>
      <c r="C242" s="20">
        <f>IF(Control!$C$10="Physical",Model!A243+24,Model!A243)</f>
        <v>44378</v>
      </c>
      <c r="E242" s="22">
        <f>IF($A242&lt;Collar!$C$9,IF(Collar!$F$26="Flat",Collar!$C$10,VLOOKUP(Model!$A242,Collar!$B$31:$D$184,3)),0)</f>
        <v>0</v>
      </c>
      <c r="F242" s="22">
        <f t="shared" si="18"/>
        <v>0</v>
      </c>
      <c r="G242" s="26">
        <f t="shared" ca="1" si="16"/>
        <v>0</v>
      </c>
      <c r="H242" s="60">
        <f>A242-1-Collar!$C$13</f>
        <v>7147</v>
      </c>
      <c r="I242" s="24">
        <f t="shared" si="17"/>
        <v>5.7266886644997197E-2</v>
      </c>
      <c r="J242" s="25">
        <f t="shared" ca="1" si="19"/>
        <v>0.33014508489846028</v>
      </c>
      <c r="K242" s="200"/>
      <c r="L242" s="23"/>
      <c r="M242" s="23"/>
      <c r="N242" s="57"/>
      <c r="O242" s="57"/>
      <c r="P242" s="61"/>
      <c r="Q242" s="24"/>
      <c r="S242" s="25"/>
      <c r="T242" s="62"/>
      <c r="U242" s="27"/>
      <c r="V242" s="64"/>
      <c r="W242" s="170"/>
      <c r="X242" s="170"/>
      <c r="Y242" s="170"/>
      <c r="AA242" s="183"/>
      <c r="AB242" s="183"/>
      <c r="AC242" s="184"/>
      <c r="AD242" s="185"/>
      <c r="AE242" s="186"/>
      <c r="AF242" s="187"/>
      <c r="AG242" s="188"/>
      <c r="AH242" s="189"/>
      <c r="AI242" s="27"/>
      <c r="AJ242" s="28"/>
      <c r="AP242" s="26"/>
      <c r="AQ242" s="26"/>
      <c r="AR242" s="26"/>
      <c r="AS242" s="27"/>
      <c r="AT242" s="27"/>
      <c r="AU242" s="27"/>
      <c r="AV242" s="27"/>
      <c r="AW242" s="27"/>
      <c r="AY242" s="189"/>
      <c r="AZ242" s="189"/>
      <c r="BA242" s="205"/>
      <c r="BC242" s="189"/>
      <c r="BE242" s="57"/>
    </row>
    <row r="243" spans="1:57">
      <c r="A243" s="19">
        <f>[1]!_xludf.edate(A242,1)</f>
        <v>44378</v>
      </c>
      <c r="B243" s="21">
        <f t="shared" si="20"/>
        <v>31</v>
      </c>
      <c r="C243" s="20">
        <f>IF(Control!$C$10="Physical",Model!A244+24,Model!A244)</f>
        <v>44409</v>
      </c>
      <c r="E243" s="22">
        <f>IF($A243&lt;Collar!$C$9,IF(Collar!$F$26="Flat",Collar!$C$10,VLOOKUP(Model!$A243,Collar!$B$31:$D$184,3)),0)</f>
        <v>0</v>
      </c>
      <c r="F243" s="22">
        <f t="shared" si="18"/>
        <v>0</v>
      </c>
      <c r="G243" s="26">
        <f t="shared" ca="1" si="16"/>
        <v>0</v>
      </c>
      <c r="H243" s="60">
        <f>A243-1-Collar!$C$13</f>
        <v>7177</v>
      </c>
      <c r="I243" s="24">
        <f t="shared" si="17"/>
        <v>5.7321829640004603E-2</v>
      </c>
      <c r="J243" s="25">
        <f t="shared" ca="1" si="19"/>
        <v>0.32822099858690051</v>
      </c>
      <c r="K243" s="200"/>
      <c r="L243" s="23"/>
      <c r="M243" s="23"/>
      <c r="N243" s="57"/>
      <c r="O243" s="57"/>
      <c r="P243" s="61"/>
      <c r="Q243" s="24"/>
      <c r="S243" s="25"/>
      <c r="T243" s="62"/>
      <c r="U243" s="27"/>
      <c r="V243" s="64"/>
      <c r="W243" s="170"/>
      <c r="X243" s="170"/>
      <c r="Y243" s="170"/>
      <c r="AA243" s="183"/>
      <c r="AB243" s="183"/>
      <c r="AC243" s="184"/>
      <c r="AD243" s="185"/>
      <c r="AE243" s="186"/>
      <c r="AF243" s="187"/>
      <c r="AG243" s="188"/>
      <c r="AH243" s="189"/>
      <c r="AI243" s="27"/>
      <c r="AJ243" s="28"/>
      <c r="AP243" s="26"/>
      <c r="AQ243" s="26"/>
      <c r="AR243" s="26"/>
      <c r="AS243" s="27"/>
      <c r="AT243" s="27"/>
      <c r="AU243" s="27"/>
      <c r="AV243" s="27"/>
      <c r="AW243" s="27"/>
      <c r="AY243" s="189"/>
      <c r="AZ243" s="189"/>
      <c r="BA243" s="205"/>
      <c r="BC243" s="189"/>
      <c r="BE243" s="57"/>
    </row>
    <row r="244" spans="1:57">
      <c r="A244" s="19">
        <f>[1]!_xludf.edate(A243,1)</f>
        <v>44409</v>
      </c>
      <c r="B244" s="21">
        <f t="shared" si="20"/>
        <v>31</v>
      </c>
      <c r="C244" s="20">
        <f>IF(Control!$C$10="Physical",Model!A245+24,Model!A245)</f>
        <v>44440</v>
      </c>
      <c r="E244" s="22">
        <f>IF($A244&lt;Collar!$C$9,IF(Collar!$F$26="Flat",Collar!$C$10,VLOOKUP(Model!$A244,Collar!$B$31:$D$184,3)),0)</f>
        <v>0</v>
      </c>
      <c r="F244" s="22">
        <f t="shared" si="18"/>
        <v>0</v>
      </c>
      <c r="G244" s="26">
        <f t="shared" ca="1" si="16"/>
        <v>0</v>
      </c>
      <c r="H244" s="60">
        <f>A244-1-Collar!$C$13</f>
        <v>7208</v>
      </c>
      <c r="I244" s="24">
        <f t="shared" si="17"/>
        <v>5.7376772636017002E-2</v>
      </c>
      <c r="J244" s="25">
        <f t="shared" ca="1" si="19"/>
        <v>0.32630517655159519</v>
      </c>
      <c r="K244" s="200"/>
      <c r="L244" s="23"/>
      <c r="M244" s="23"/>
      <c r="N244" s="57"/>
      <c r="O244" s="57"/>
      <c r="P244" s="61"/>
      <c r="Q244" s="24"/>
      <c r="S244" s="25"/>
      <c r="T244" s="62"/>
      <c r="U244" s="27"/>
      <c r="V244" s="64"/>
      <c r="W244" s="170"/>
      <c r="X244" s="170"/>
      <c r="Y244" s="170"/>
      <c r="AA244" s="183"/>
      <c r="AB244" s="183"/>
      <c r="AC244" s="184"/>
      <c r="AD244" s="185"/>
      <c r="AE244" s="186"/>
      <c r="AF244" s="187"/>
      <c r="AG244" s="188"/>
      <c r="AH244" s="189"/>
      <c r="AI244" s="27"/>
      <c r="AJ244" s="28"/>
      <c r="AP244" s="26"/>
      <c r="AQ244" s="26"/>
      <c r="AR244" s="26"/>
      <c r="AS244" s="27"/>
      <c r="AT244" s="27"/>
      <c r="AU244" s="27"/>
      <c r="AV244" s="27"/>
      <c r="AW244" s="27"/>
      <c r="AY244" s="189"/>
      <c r="AZ244" s="189"/>
      <c r="BA244" s="205"/>
      <c r="BC244" s="189"/>
      <c r="BE244" s="57"/>
    </row>
    <row r="245" spans="1:57">
      <c r="A245" s="19">
        <f>[1]!_xludf.edate(A244,1)</f>
        <v>44440</v>
      </c>
      <c r="B245" s="21">
        <f t="shared" si="20"/>
        <v>30</v>
      </c>
      <c r="C245" s="20">
        <f>IF(Control!$C$10="Physical",Model!A246+24,Model!A246)</f>
        <v>44470</v>
      </c>
      <c r="E245" s="22">
        <f>IF($A245&lt;Collar!$C$9,IF(Collar!$F$26="Flat",Collar!$C$10,VLOOKUP(Model!$A245,Collar!$B$31:$D$184,3)),0)</f>
        <v>0</v>
      </c>
      <c r="F245" s="22">
        <f t="shared" si="18"/>
        <v>0</v>
      </c>
      <c r="G245" s="26">
        <f t="shared" ca="1" si="16"/>
        <v>0</v>
      </c>
      <c r="H245" s="60">
        <f>A245-1-Collar!$C$13</f>
        <v>7239</v>
      </c>
      <c r="I245" s="24">
        <f t="shared" si="17"/>
        <v>5.7429943278274997E-2</v>
      </c>
      <c r="J245" s="25">
        <f t="shared" ca="1" si="19"/>
        <v>0.32445901111926395</v>
      </c>
      <c r="K245" s="200"/>
      <c r="L245" s="23"/>
      <c r="M245" s="23"/>
      <c r="N245" s="57"/>
      <c r="O245" s="57"/>
      <c r="P245" s="61"/>
      <c r="Q245" s="24"/>
      <c r="S245" s="25"/>
      <c r="T245" s="62"/>
      <c r="U245" s="27"/>
      <c r="V245" s="64"/>
      <c r="W245" s="170"/>
      <c r="X245" s="170"/>
      <c r="Y245" s="170"/>
      <c r="AA245" s="183"/>
      <c r="AB245" s="183"/>
      <c r="AC245" s="184"/>
      <c r="AD245" s="185"/>
      <c r="AE245" s="186"/>
      <c r="AF245" s="187"/>
      <c r="AG245" s="188"/>
      <c r="AH245" s="189"/>
      <c r="AI245" s="27"/>
      <c r="AJ245" s="28"/>
      <c r="AP245" s="26"/>
      <c r="AQ245" s="26"/>
      <c r="AR245" s="26"/>
      <c r="AS245" s="27"/>
      <c r="AT245" s="27"/>
      <c r="AU245" s="27"/>
      <c r="AV245" s="27"/>
      <c r="AW245" s="27"/>
      <c r="AY245" s="189"/>
      <c r="AZ245" s="189"/>
      <c r="BA245" s="205"/>
      <c r="BC245" s="189"/>
      <c r="BE245" s="57"/>
    </row>
    <row r="246" spans="1:57">
      <c r="A246" s="19">
        <f>[1]!_xludf.edate(A245,1)</f>
        <v>44470</v>
      </c>
      <c r="B246" s="21">
        <f t="shared" si="20"/>
        <v>31</v>
      </c>
      <c r="C246" s="20">
        <f>IF(Control!$C$10="Physical",Model!A247+24,Model!A247)</f>
        <v>44501</v>
      </c>
      <c r="E246" s="22">
        <f>IF($A246&lt;Collar!$C$9,IF(Collar!$F$26="Flat",Collar!$C$10,VLOOKUP(Model!$A246,Collar!$B$31:$D$184,3)),0)</f>
        <v>0</v>
      </c>
      <c r="F246" s="22">
        <f t="shared" si="18"/>
        <v>0</v>
      </c>
      <c r="G246" s="26">
        <f t="shared" ca="1" si="16"/>
        <v>0</v>
      </c>
      <c r="H246" s="60">
        <f>A246-1-Collar!$C$13</f>
        <v>7269</v>
      </c>
      <c r="I246" s="24">
        <f t="shared" si="17"/>
        <v>5.7484886276263102E-2</v>
      </c>
      <c r="J246" s="25">
        <f t="shared" ca="1" si="19"/>
        <v>0.32255941122743559</v>
      </c>
      <c r="K246" s="200"/>
      <c r="L246" s="23"/>
      <c r="M246" s="23"/>
      <c r="N246" s="57"/>
      <c r="O246" s="57"/>
      <c r="P246" s="61"/>
      <c r="Q246" s="24"/>
      <c r="S246" s="25"/>
      <c r="T246" s="62"/>
      <c r="U246" s="27"/>
      <c r="V246" s="64"/>
      <c r="W246" s="170"/>
      <c r="X246" s="170"/>
      <c r="Y246" s="170"/>
      <c r="AA246" s="183"/>
      <c r="AB246" s="183"/>
      <c r="AC246" s="184"/>
      <c r="AD246" s="185"/>
      <c r="AE246" s="186"/>
      <c r="AF246" s="187"/>
      <c r="AG246" s="188"/>
      <c r="AH246" s="189"/>
      <c r="AI246" s="27"/>
      <c r="AJ246" s="28"/>
      <c r="AP246" s="26"/>
      <c r="AQ246" s="26"/>
      <c r="AR246" s="26"/>
      <c r="AS246" s="27"/>
      <c r="AT246" s="27"/>
      <c r="AU246" s="27"/>
      <c r="AV246" s="27"/>
      <c r="AW246" s="27"/>
      <c r="AY246" s="189"/>
      <c r="AZ246" s="189"/>
      <c r="BA246" s="205"/>
      <c r="BC246" s="189"/>
      <c r="BE246" s="57"/>
    </row>
    <row r="247" spans="1:57">
      <c r="A247" s="19">
        <f>[1]!_xludf.edate(A246,1)</f>
        <v>44501</v>
      </c>
      <c r="B247" s="21">
        <f t="shared" si="20"/>
        <v>30</v>
      </c>
      <c r="C247" s="20">
        <f>IF(Control!$C$10="Physical",Model!A248+24,Model!A248)</f>
        <v>44531</v>
      </c>
      <c r="E247" s="22">
        <f>IF($A247&lt;Collar!$C$9,IF(Collar!$F$26="Flat",Collar!$C$10,VLOOKUP(Model!$A247,Collar!$B$31:$D$184,3)),0)</f>
        <v>0</v>
      </c>
      <c r="F247" s="22">
        <f t="shared" si="18"/>
        <v>0</v>
      </c>
      <c r="G247" s="26">
        <f t="shared" ca="1" si="16"/>
        <v>0</v>
      </c>
      <c r="H247" s="60">
        <f>A247-1-Collar!$C$13</f>
        <v>7300</v>
      </c>
      <c r="I247" s="24">
        <f t="shared" si="17"/>
        <v>5.7499064424872098E-2</v>
      </c>
      <c r="J247" s="25">
        <f t="shared" ca="1" si="19"/>
        <v>0.32097270541221878</v>
      </c>
      <c r="K247" s="200"/>
      <c r="L247" s="23"/>
      <c r="M247" s="23"/>
      <c r="N247" s="57"/>
      <c r="O247" s="57"/>
      <c r="P247" s="61"/>
      <c r="Q247" s="24"/>
      <c r="S247" s="25"/>
      <c r="T247" s="62"/>
      <c r="U247" s="27"/>
      <c r="V247" s="63"/>
      <c r="W247" s="170"/>
      <c r="X247" s="170"/>
      <c r="Y247" s="170"/>
      <c r="AA247" s="183"/>
      <c r="AB247" s="183"/>
      <c r="AC247" s="184"/>
      <c r="AD247" s="185"/>
      <c r="AE247" s="186"/>
      <c r="AF247" s="187"/>
      <c r="AG247" s="188"/>
      <c r="AH247" s="189"/>
      <c r="AI247" s="27"/>
      <c r="AJ247" s="28"/>
      <c r="AP247" s="26"/>
      <c r="AQ247" s="26"/>
      <c r="AR247" s="26"/>
      <c r="AS247" s="27"/>
      <c r="AT247" s="27"/>
      <c r="AU247" s="27"/>
      <c r="AV247" s="27"/>
      <c r="AW247" s="27"/>
      <c r="AY247" s="189"/>
      <c r="AZ247" s="189"/>
      <c r="BA247" s="205"/>
      <c r="BC247" s="189"/>
      <c r="BE247" s="57"/>
    </row>
    <row r="248" spans="1:57">
      <c r="A248" s="19">
        <f>[1]!_xludf.edate(A247,1)</f>
        <v>44531</v>
      </c>
      <c r="B248" s="21">
        <f t="shared" si="20"/>
        <v>31</v>
      </c>
      <c r="C248" s="20">
        <f>IF(Control!$C$10="Physical",Model!A249+24,Model!A249)</f>
        <v>44562</v>
      </c>
      <c r="E248" s="22">
        <f>IF($A248&lt;Collar!$C$9,IF(Collar!$F$26="Flat",Collar!$C$10,VLOOKUP(Model!$A248,Collar!$B$31:$D$184,3)),0)</f>
        <v>0</v>
      </c>
      <c r="F248" s="22">
        <f t="shared" si="18"/>
        <v>0</v>
      </c>
      <c r="G248" s="26">
        <f t="shared" ca="1" si="16"/>
        <v>0</v>
      </c>
      <c r="H248" s="60">
        <f>A248-1-Collar!$C$13</f>
        <v>7330</v>
      </c>
      <c r="I248" s="24">
        <f t="shared" si="17"/>
        <v>5.750145232125E-2</v>
      </c>
      <c r="J248" s="25">
        <f t="shared" ca="1" si="19"/>
        <v>0.31941719076831498</v>
      </c>
      <c r="K248" s="200"/>
      <c r="L248" s="23"/>
      <c r="M248" s="23"/>
      <c r="N248" s="57"/>
      <c r="O248" s="57"/>
      <c r="P248" s="61"/>
      <c r="Q248" s="24"/>
      <c r="S248" s="25"/>
      <c r="T248" s="62"/>
      <c r="U248" s="27"/>
      <c r="V248" s="63"/>
      <c r="W248" s="170"/>
      <c r="X248" s="170"/>
      <c r="Y248" s="170"/>
      <c r="AA248" s="183"/>
      <c r="AB248" s="183"/>
      <c r="AC248" s="184"/>
      <c r="AD248" s="185"/>
      <c r="AE248" s="186"/>
      <c r="AF248" s="187"/>
      <c r="AG248" s="188"/>
      <c r="AH248" s="189"/>
      <c r="AI248" s="27"/>
      <c r="AJ248" s="28"/>
      <c r="AP248" s="26"/>
      <c r="AQ248" s="26"/>
      <c r="AR248" s="26"/>
      <c r="AS248" s="27"/>
      <c r="AT248" s="27"/>
      <c r="AU248" s="27"/>
      <c r="AV248" s="27"/>
      <c r="AW248" s="27"/>
      <c r="AY248" s="189"/>
      <c r="AZ248" s="189"/>
      <c r="BA248" s="205"/>
      <c r="BC248" s="189"/>
      <c r="BE248" s="57"/>
    </row>
    <row r="249" spans="1:57">
      <c r="A249" s="19">
        <f>[1]!_xludf.edate(A248,1)</f>
        <v>44562</v>
      </c>
      <c r="B249" s="21">
        <f t="shared" si="20"/>
        <v>31</v>
      </c>
      <c r="C249" s="20">
        <f>IF(Control!$C$10="Physical",Model!A250+24,Model!A250)</f>
        <v>44593</v>
      </c>
      <c r="E249" s="22">
        <f>IF($A249&lt;Collar!$C$9,IF(Collar!$F$26="Flat",Collar!$C$10,VLOOKUP(Model!$A249,Collar!$B$31:$D$184,3)),0)</f>
        <v>0</v>
      </c>
      <c r="F249" s="22">
        <f t="shared" si="18"/>
        <v>0</v>
      </c>
      <c r="G249" s="26">
        <f t="shared" ca="1" si="16"/>
        <v>0</v>
      </c>
      <c r="H249" s="60">
        <f>A249-1-Collar!$C$13</f>
        <v>7361</v>
      </c>
      <c r="I249" s="24">
        <f t="shared" si="17"/>
        <v>5.7503840217629297E-2</v>
      </c>
      <c r="J249" s="25">
        <f t="shared" ca="1" si="19"/>
        <v>0.31786908931424041</v>
      </c>
      <c r="K249" s="200"/>
      <c r="L249" s="23"/>
      <c r="M249" s="23"/>
      <c r="N249" s="57"/>
      <c r="O249" s="57"/>
      <c r="P249" s="61"/>
      <c r="Q249" s="24"/>
      <c r="S249" s="25"/>
      <c r="T249" s="62"/>
      <c r="U249" s="27"/>
      <c r="V249" s="63"/>
      <c r="W249" s="170"/>
      <c r="X249" s="170"/>
      <c r="Y249" s="170"/>
      <c r="AA249" s="183"/>
      <c r="AB249" s="183"/>
      <c r="AC249" s="184"/>
      <c r="AD249" s="185"/>
      <c r="AE249" s="186"/>
      <c r="AF249" s="187"/>
      <c r="AG249" s="188"/>
      <c r="AH249" s="189"/>
      <c r="AI249" s="27"/>
      <c r="AJ249" s="28"/>
      <c r="AP249" s="26"/>
      <c r="AQ249" s="26"/>
      <c r="AR249" s="26"/>
      <c r="AS249" s="27"/>
      <c r="AT249" s="27"/>
      <c r="AU249" s="27"/>
      <c r="AV249" s="27"/>
      <c r="AW249" s="27"/>
      <c r="AY249" s="189"/>
      <c r="AZ249" s="189"/>
      <c r="BA249" s="205"/>
      <c r="BC249" s="189"/>
      <c r="BE249" s="57"/>
    </row>
    <row r="250" spans="1:57">
      <c r="A250" s="19">
        <f>[1]!_xludf.edate(A249,1)</f>
        <v>44593</v>
      </c>
      <c r="B250" s="21">
        <f t="shared" si="20"/>
        <v>28</v>
      </c>
      <c r="C250" s="20">
        <f>IF(Control!$C$10="Physical",Model!A251+24,Model!A251)</f>
        <v>44621</v>
      </c>
      <c r="E250" s="22">
        <f>IF($A250&lt;Collar!$C$9,IF(Collar!$F$26="Flat",Collar!$C$10,VLOOKUP(Model!$A250,Collar!$B$31:$D$184,3)),0)</f>
        <v>0</v>
      </c>
      <c r="F250" s="22">
        <f t="shared" si="18"/>
        <v>0</v>
      </c>
      <c r="G250" s="26">
        <f t="shared" ca="1" si="16"/>
        <v>0</v>
      </c>
      <c r="H250" s="60">
        <f>A250-1-Collar!$C$13</f>
        <v>7392</v>
      </c>
      <c r="I250" s="24">
        <f t="shared" si="17"/>
        <v>5.7505997027264201E-2</v>
      </c>
      <c r="J250" s="25">
        <f t="shared" ca="1" si="19"/>
        <v>0.31647714704817415</v>
      </c>
      <c r="K250" s="200"/>
      <c r="L250" s="23"/>
      <c r="M250" s="23"/>
      <c r="N250" s="57"/>
      <c r="O250" s="57"/>
      <c r="P250" s="61"/>
      <c r="Q250" s="24"/>
      <c r="S250" s="25"/>
      <c r="T250" s="62"/>
      <c r="U250" s="27"/>
      <c r="V250" s="63"/>
      <c r="W250" s="170"/>
      <c r="X250" s="170"/>
      <c r="Y250" s="170"/>
      <c r="AA250" s="183"/>
      <c r="AB250" s="183"/>
      <c r="AC250" s="184"/>
      <c r="AD250" s="185"/>
      <c r="AE250" s="186"/>
      <c r="AF250" s="187"/>
      <c r="AG250" s="188"/>
      <c r="AH250" s="189"/>
      <c r="AI250" s="27"/>
      <c r="AJ250" s="28"/>
      <c r="AP250" s="26"/>
      <c r="AQ250" s="26"/>
      <c r="AR250" s="26"/>
      <c r="AS250" s="27"/>
      <c r="AT250" s="27"/>
      <c r="AU250" s="27"/>
      <c r="AV250" s="27"/>
      <c r="AW250" s="27"/>
      <c r="AY250" s="189"/>
      <c r="AZ250" s="189"/>
      <c r="BA250" s="205"/>
      <c r="BC250" s="189"/>
      <c r="BE250" s="57"/>
    </row>
    <row r="251" spans="1:57">
      <c r="A251" s="19">
        <f>[1]!_xludf.edate(A250,1)</f>
        <v>44621</v>
      </c>
      <c r="B251" s="21">
        <f t="shared" si="20"/>
        <v>31</v>
      </c>
      <c r="C251" s="20">
        <f>IF(Control!$C$10="Physical",Model!A252+24,Model!A252)</f>
        <v>44652</v>
      </c>
      <c r="E251" s="22">
        <f>IF($A251&lt;Collar!$C$9,IF(Collar!$F$26="Flat",Collar!$C$10,VLOOKUP(Model!$A251,Collar!$B$31:$D$184,3)),0)</f>
        <v>0</v>
      </c>
      <c r="F251" s="22">
        <f t="shared" si="18"/>
        <v>0</v>
      </c>
      <c r="G251" s="26">
        <f t="shared" ca="1" si="16"/>
        <v>0</v>
      </c>
      <c r="H251" s="60">
        <f>A251-1-Collar!$C$13</f>
        <v>7420</v>
      </c>
      <c r="I251" s="24">
        <f t="shared" si="17"/>
        <v>5.7508384923647501E-2</v>
      </c>
      <c r="J251" s="25">
        <f t="shared" ca="1" si="19"/>
        <v>0.31494305880033924</v>
      </c>
      <c r="K251" s="200"/>
      <c r="L251" s="23"/>
      <c r="M251" s="23"/>
      <c r="N251" s="57"/>
      <c r="O251" s="57"/>
      <c r="P251" s="61"/>
      <c r="Q251" s="24"/>
      <c r="S251" s="25"/>
      <c r="T251" s="62"/>
      <c r="U251" s="27"/>
      <c r="V251" s="63"/>
      <c r="W251" s="170"/>
      <c r="X251" s="170"/>
      <c r="Y251" s="170"/>
      <c r="AA251" s="183"/>
      <c r="AB251" s="183"/>
      <c r="AC251" s="184"/>
      <c r="AD251" s="185"/>
      <c r="AE251" s="186"/>
      <c r="AF251" s="187"/>
      <c r="AG251" s="188"/>
      <c r="AH251" s="189"/>
      <c r="AI251" s="27"/>
      <c r="AJ251" s="28"/>
      <c r="AP251" s="26"/>
      <c r="AQ251" s="26"/>
      <c r="AR251" s="26"/>
      <c r="AS251" s="27"/>
      <c r="AT251" s="27"/>
      <c r="AU251" s="27"/>
      <c r="AV251" s="27"/>
      <c r="AW251" s="27"/>
      <c r="AY251" s="189"/>
      <c r="AZ251" s="189"/>
      <c r="BA251" s="205"/>
      <c r="BC251" s="189"/>
      <c r="BE251" s="57"/>
    </row>
    <row r="252" spans="1:57">
      <c r="A252" s="19">
        <f>[1]!_xludf.edate(A251,1)</f>
        <v>44652</v>
      </c>
      <c r="B252" s="21">
        <f t="shared" si="20"/>
        <v>30</v>
      </c>
      <c r="C252" s="20">
        <f>IF(Control!$C$10="Physical",Model!A253+24,Model!A253)</f>
        <v>44682</v>
      </c>
      <c r="E252" s="22">
        <f>IF($A252&lt;Collar!$C$9,IF(Collar!$F$26="Flat",Collar!$C$10,VLOOKUP(Model!$A252,Collar!$B$31:$D$184,3)),0)</f>
        <v>0</v>
      </c>
      <c r="F252" s="22">
        <f t="shared" si="18"/>
        <v>0</v>
      </c>
      <c r="G252" s="26">
        <f t="shared" ca="1" si="16"/>
        <v>0</v>
      </c>
      <c r="H252" s="60">
        <f>A252-1-Collar!$C$13</f>
        <v>7451</v>
      </c>
      <c r="I252" s="24">
        <f t="shared" si="17"/>
        <v>5.7510695791116902E-2</v>
      </c>
      <c r="J252" s="25">
        <f t="shared" ca="1" si="19"/>
        <v>0.31346542043137399</v>
      </c>
      <c r="K252" s="200"/>
      <c r="L252" s="23"/>
      <c r="M252" s="23"/>
      <c r="N252" s="57"/>
      <c r="O252" s="57"/>
      <c r="P252" s="61"/>
      <c r="Q252" s="24"/>
      <c r="S252" s="25"/>
      <c r="T252" s="62"/>
      <c r="U252" s="27"/>
      <c r="V252" s="63"/>
      <c r="W252" s="170"/>
      <c r="X252" s="170"/>
      <c r="Y252" s="170"/>
      <c r="AA252" s="183"/>
      <c r="AB252" s="183"/>
      <c r="AC252" s="184"/>
      <c r="AD252" s="185"/>
      <c r="AE252" s="186"/>
      <c r="AF252" s="187"/>
      <c r="AG252" s="188"/>
      <c r="AH252" s="189"/>
      <c r="AI252" s="27"/>
      <c r="AJ252" s="28"/>
      <c r="AP252" s="26"/>
      <c r="AQ252" s="26"/>
      <c r="AR252" s="26"/>
      <c r="AS252" s="27"/>
      <c r="AT252" s="27"/>
      <c r="AU252" s="27"/>
      <c r="AV252" s="27"/>
      <c r="AW252" s="27"/>
      <c r="AY252" s="189"/>
      <c r="AZ252" s="189"/>
      <c r="BA252" s="205"/>
      <c r="BC252" s="189"/>
      <c r="BE252" s="57"/>
    </row>
    <row r="253" spans="1:57">
      <c r="A253" s="19">
        <f>[1]!_xludf.edate(A252,1)</f>
        <v>44682</v>
      </c>
      <c r="B253" s="21">
        <f t="shared" si="20"/>
        <v>31</v>
      </c>
      <c r="C253" s="20">
        <f>IF(Control!$C$10="Physical",Model!A254+24,Model!A254)</f>
        <v>44713</v>
      </c>
      <c r="E253" s="22">
        <f>IF($A253&lt;Collar!$C$9,IF(Collar!$F$26="Flat",Collar!$C$10,VLOOKUP(Model!$A253,Collar!$B$31:$D$184,3)),0)</f>
        <v>0</v>
      </c>
      <c r="F253" s="22">
        <f t="shared" si="18"/>
        <v>0</v>
      </c>
      <c r="G253" s="26">
        <f t="shared" ca="1" si="16"/>
        <v>0</v>
      </c>
      <c r="H253" s="60">
        <f>A253-1-Collar!$C$13</f>
        <v>7481</v>
      </c>
      <c r="I253" s="24">
        <f t="shared" si="17"/>
        <v>5.7513083687503699E-2</v>
      </c>
      <c r="J253" s="25">
        <f t="shared" ca="1" si="19"/>
        <v>0.31194568937812145</v>
      </c>
      <c r="K253" s="200"/>
      <c r="L253" s="23"/>
      <c r="M253" s="23"/>
      <c r="N253" s="57"/>
      <c r="O253" s="57"/>
      <c r="P253" s="61"/>
      <c r="Q253" s="24"/>
      <c r="S253" s="25"/>
      <c r="T253" s="62"/>
      <c r="U253" s="27"/>
      <c r="V253" s="63"/>
      <c r="W253" s="170"/>
      <c r="X253" s="170"/>
      <c r="Y253" s="170"/>
      <c r="AA253" s="183"/>
      <c r="AB253" s="183"/>
      <c r="AC253" s="184"/>
      <c r="AD253" s="185"/>
      <c r="AE253" s="186"/>
      <c r="AF253" s="187"/>
      <c r="AG253" s="188"/>
      <c r="AH253" s="189"/>
      <c r="AI253" s="27"/>
      <c r="AJ253" s="28"/>
      <c r="AP253" s="26"/>
      <c r="AQ253" s="26"/>
      <c r="AR253" s="26"/>
      <c r="AS253" s="27"/>
      <c r="AT253" s="27"/>
      <c r="AU253" s="27"/>
      <c r="AV253" s="27"/>
      <c r="AW253" s="27"/>
      <c r="AY253" s="189"/>
      <c r="AZ253" s="189"/>
      <c r="BA253" s="205"/>
      <c r="BC253" s="189"/>
      <c r="BE253" s="57"/>
    </row>
    <row r="254" spans="1:57">
      <c r="A254" s="19">
        <f>[1]!_xludf.edate(A253,1)</f>
        <v>44713</v>
      </c>
      <c r="B254" s="21">
        <f t="shared" si="20"/>
        <v>30</v>
      </c>
      <c r="C254" s="20">
        <f>IF(Control!$C$10="Physical",Model!A255+24,Model!A255)</f>
        <v>44743</v>
      </c>
      <c r="E254" s="22">
        <f>IF($A254&lt;Collar!$C$9,IF(Collar!$F$26="Flat",Collar!$C$10,VLOOKUP(Model!$A254,Collar!$B$31:$D$184,3)),0)</f>
        <v>0</v>
      </c>
      <c r="F254" s="22">
        <f t="shared" si="18"/>
        <v>0</v>
      </c>
      <c r="G254" s="26">
        <f t="shared" ca="1" si="16"/>
        <v>0</v>
      </c>
      <c r="H254" s="60">
        <f>A254-1-Collar!$C$13</f>
        <v>7512</v>
      </c>
      <c r="I254" s="24">
        <f t="shared" si="17"/>
        <v>5.7515394554976701E-2</v>
      </c>
      <c r="J254" s="25">
        <f t="shared" ca="1" si="19"/>
        <v>0.31048188103722452</v>
      </c>
      <c r="K254" s="200"/>
      <c r="L254" s="23"/>
      <c r="M254" s="23"/>
      <c r="N254" s="57"/>
      <c r="O254" s="57"/>
      <c r="P254" s="61"/>
      <c r="Q254" s="24"/>
      <c r="S254" s="25"/>
      <c r="T254" s="62"/>
      <c r="U254" s="27"/>
      <c r="V254" s="63"/>
      <c r="W254" s="170"/>
      <c r="X254" s="170"/>
      <c r="Y254" s="170"/>
      <c r="AA254" s="183"/>
      <c r="AB254" s="183"/>
      <c r="AC254" s="184"/>
      <c r="AD254" s="185"/>
      <c r="AE254" s="186"/>
      <c r="AF254" s="187"/>
      <c r="AG254" s="188"/>
      <c r="AH254" s="189"/>
      <c r="AI254" s="27"/>
      <c r="AJ254" s="28"/>
      <c r="AP254" s="26"/>
      <c r="AQ254" s="26"/>
      <c r="AR254" s="26"/>
      <c r="AS254" s="27"/>
      <c r="AT254" s="27"/>
      <c r="AU254" s="27"/>
      <c r="AV254" s="27"/>
      <c r="AW254" s="27"/>
      <c r="AY254" s="189"/>
      <c r="AZ254" s="189"/>
      <c r="BA254" s="205"/>
      <c r="BC254" s="189"/>
      <c r="BE254" s="57"/>
    </row>
    <row r="255" spans="1:57">
      <c r="A255" s="19">
        <f>[1]!_xludf.edate(A254,1)</f>
        <v>44743</v>
      </c>
      <c r="B255" s="21">
        <f t="shared" si="20"/>
        <v>31</v>
      </c>
      <c r="C255" s="20">
        <f>IF(Control!$C$10="Physical",Model!A256+24,Model!A256)</f>
        <v>44774</v>
      </c>
      <c r="E255" s="22">
        <f>IF($A255&lt;Collar!$C$9,IF(Collar!$F$26="Flat",Collar!$C$10,VLOOKUP(Model!$A255,Collar!$B$31:$D$184,3)),0)</f>
        <v>0</v>
      </c>
      <c r="F255" s="22">
        <f t="shared" si="18"/>
        <v>0</v>
      </c>
      <c r="G255" s="26">
        <f t="shared" ca="1" si="16"/>
        <v>0</v>
      </c>
      <c r="H255" s="60">
        <f>A255-1-Collar!$C$13</f>
        <v>7542</v>
      </c>
      <c r="I255" s="24">
        <f t="shared" si="17"/>
        <v>5.7517782451368002E-2</v>
      </c>
      <c r="J255" s="25">
        <f t="shared" ca="1" si="19"/>
        <v>0.30897637514832832</v>
      </c>
      <c r="K255" s="200"/>
      <c r="L255" s="23"/>
      <c r="M255" s="23"/>
      <c r="N255" s="57"/>
      <c r="O255" s="57"/>
      <c r="P255" s="61"/>
      <c r="Q255" s="24"/>
      <c r="S255" s="25"/>
      <c r="T255" s="62"/>
      <c r="U255" s="27"/>
      <c r="V255" s="63"/>
      <c r="W255" s="170"/>
      <c r="X255" s="170"/>
      <c r="Y255" s="170"/>
      <c r="AA255" s="183"/>
      <c r="AB255" s="183"/>
      <c r="AC255" s="184"/>
      <c r="AD255" s="185"/>
      <c r="AE255" s="186"/>
      <c r="AF255" s="187"/>
      <c r="AG255" s="188"/>
      <c r="AH255" s="189"/>
      <c r="AI255" s="27"/>
      <c r="AJ255" s="28"/>
      <c r="AP255" s="26"/>
      <c r="AQ255" s="26"/>
      <c r="AR255" s="26"/>
      <c r="AS255" s="27"/>
      <c r="AT255" s="27"/>
      <c r="AU255" s="27"/>
      <c r="AV255" s="27"/>
      <c r="AW255" s="27"/>
      <c r="AY255" s="189"/>
      <c r="AZ255" s="189"/>
      <c r="BA255" s="205"/>
      <c r="BC255" s="189"/>
      <c r="BE255" s="57"/>
    </row>
    <row r="256" spans="1:57">
      <c r="A256" s="19">
        <f>[1]!_xludf.edate(A255,1)</f>
        <v>44774</v>
      </c>
      <c r="B256" s="21">
        <f t="shared" si="20"/>
        <v>31</v>
      </c>
      <c r="C256" s="20">
        <f>IF(Control!$C$10="Physical",Model!A257+24,Model!A257)</f>
        <v>44805</v>
      </c>
      <c r="E256" s="22">
        <f>IF($A256&lt;Collar!$C$9,IF(Collar!$F$26="Flat",Collar!$C$10,VLOOKUP(Model!$A256,Collar!$B$31:$D$184,3)),0)</f>
        <v>0</v>
      </c>
      <c r="F256" s="22">
        <f t="shared" si="18"/>
        <v>0</v>
      </c>
      <c r="G256" s="26">
        <f t="shared" ca="1" si="16"/>
        <v>0</v>
      </c>
      <c r="H256" s="60">
        <f>A256-1-Collar!$C$13</f>
        <v>7573</v>
      </c>
      <c r="I256" s="24">
        <f t="shared" si="17"/>
        <v>5.7520170347760101E-2</v>
      </c>
      <c r="J256" s="25">
        <f t="shared" ca="1" si="19"/>
        <v>0.30747804822565011</v>
      </c>
      <c r="K256" s="200"/>
      <c r="L256" s="23"/>
      <c r="M256" s="23"/>
      <c r="N256" s="57"/>
      <c r="O256" s="57"/>
      <c r="P256" s="61"/>
      <c r="Q256" s="24"/>
      <c r="S256" s="25"/>
      <c r="T256" s="62"/>
      <c r="U256" s="27"/>
      <c r="V256" s="63"/>
      <c r="W256" s="170"/>
      <c r="X256" s="170"/>
      <c r="Y256" s="170"/>
      <c r="AA256" s="183"/>
      <c r="AB256" s="183"/>
      <c r="AC256" s="184"/>
      <c r="AD256" s="185"/>
      <c r="AE256" s="186"/>
      <c r="AF256" s="187"/>
      <c r="AG256" s="188"/>
      <c r="AH256" s="189"/>
      <c r="AI256" s="27"/>
      <c r="AJ256" s="28"/>
      <c r="AP256" s="26"/>
      <c r="AQ256" s="26"/>
      <c r="AR256" s="26"/>
      <c r="AS256" s="27"/>
      <c r="AT256" s="27"/>
      <c r="AU256" s="27"/>
      <c r="AV256" s="27"/>
      <c r="AW256" s="27"/>
      <c r="AY256" s="189"/>
      <c r="AZ256" s="189"/>
      <c r="BA256" s="205"/>
      <c r="BC256" s="189"/>
      <c r="BE256" s="57"/>
    </row>
    <row r="257" spans="1:57">
      <c r="A257" s="19">
        <f>[1]!_xludf.edate(A256,1)</f>
        <v>44805</v>
      </c>
      <c r="B257" s="21">
        <f t="shared" si="20"/>
        <v>30</v>
      </c>
      <c r="C257" s="20">
        <f>IF(Control!$C$10="Physical",Model!A258+24,Model!A258)</f>
        <v>44835</v>
      </c>
      <c r="E257" s="22">
        <f>IF($A257&lt;Collar!$C$9,IF(Collar!$F$26="Flat",Collar!$C$10,VLOOKUP(Model!$A257,Collar!$B$31:$D$184,3)),0)</f>
        <v>0</v>
      </c>
      <c r="F257" s="22">
        <f t="shared" si="18"/>
        <v>0</v>
      </c>
      <c r="G257" s="26">
        <f t="shared" ca="1" si="16"/>
        <v>0</v>
      </c>
      <c r="H257" s="60">
        <f>A257-1-Collar!$C$13</f>
        <v>7604</v>
      </c>
      <c r="I257" s="24">
        <f t="shared" si="17"/>
        <v>5.7522481215238799E-2</v>
      </c>
      <c r="J257" s="25">
        <f t="shared" ca="1" si="19"/>
        <v>0.30603485807947206</v>
      </c>
      <c r="K257" s="200"/>
      <c r="L257" s="23"/>
      <c r="M257" s="23"/>
      <c r="N257" s="57"/>
      <c r="O257" s="57"/>
      <c r="P257" s="61"/>
      <c r="Q257" s="24"/>
      <c r="S257" s="25"/>
      <c r="T257" s="62"/>
      <c r="U257" s="27"/>
      <c r="V257" s="63"/>
      <c r="W257" s="170"/>
      <c r="X257" s="170"/>
      <c r="Y257" s="170"/>
      <c r="AA257" s="183"/>
      <c r="AB257" s="183"/>
      <c r="AC257" s="184"/>
      <c r="AD257" s="185"/>
      <c r="AE257" s="186"/>
      <c r="AF257" s="187"/>
      <c r="AG257" s="188"/>
      <c r="AH257" s="189"/>
      <c r="AI257" s="27"/>
      <c r="AJ257" s="28"/>
      <c r="AP257" s="26"/>
      <c r="AQ257" s="26"/>
      <c r="AR257" s="26"/>
      <c r="AS257" s="27"/>
      <c r="AT257" s="27"/>
      <c r="AU257" s="27"/>
      <c r="AV257" s="27"/>
      <c r="AW257" s="27"/>
      <c r="AY257" s="189"/>
      <c r="AZ257" s="189"/>
      <c r="BA257" s="205"/>
      <c r="BC257" s="189"/>
      <c r="BE257" s="57"/>
    </row>
    <row r="258" spans="1:57">
      <c r="A258" s="19">
        <f>[1]!_xludf.edate(A257,1)</f>
        <v>44835</v>
      </c>
      <c r="B258" s="21">
        <f t="shared" si="20"/>
        <v>31</v>
      </c>
      <c r="C258" s="20">
        <f>IF(Control!$C$10="Physical",Model!A259+24,Model!A259)</f>
        <v>44866</v>
      </c>
      <c r="E258" s="22">
        <f>IF($A258&lt;Collar!$C$9,IF(Collar!$F$26="Flat",Collar!$C$10,VLOOKUP(Model!$A258,Collar!$B$31:$D$184,3)),0)</f>
        <v>0</v>
      </c>
      <c r="F258" s="22">
        <f t="shared" si="18"/>
        <v>0</v>
      </c>
      <c r="G258" s="26">
        <f t="shared" ca="1" si="16"/>
        <v>0</v>
      </c>
      <c r="H258" s="60">
        <f>A258-1-Collar!$C$13</f>
        <v>7634</v>
      </c>
      <c r="I258" s="24">
        <f t="shared" si="17"/>
        <v>5.7524869111634999E-2</v>
      </c>
      <c r="J258" s="25">
        <f t="shared" ca="1" si="19"/>
        <v>0.30455055944460357</v>
      </c>
      <c r="K258" s="200"/>
      <c r="L258" s="23"/>
      <c r="M258" s="23"/>
      <c r="N258" s="57"/>
      <c r="O258" s="57"/>
      <c r="P258" s="61"/>
      <c r="Q258" s="24"/>
      <c r="S258" s="25"/>
      <c r="T258" s="62"/>
      <c r="U258" s="27"/>
      <c r="V258" s="63"/>
      <c r="W258" s="170"/>
      <c r="X258" s="170"/>
      <c r="Y258" s="170"/>
      <c r="AA258" s="183"/>
      <c r="AB258" s="183"/>
      <c r="AC258" s="184"/>
      <c r="AD258" s="185"/>
      <c r="AE258" s="186"/>
      <c r="AF258" s="187"/>
      <c r="AG258" s="188"/>
      <c r="AH258" s="189"/>
      <c r="AI258" s="27"/>
      <c r="AJ258" s="28"/>
      <c r="AP258" s="26"/>
      <c r="AQ258" s="26"/>
      <c r="AR258" s="26"/>
      <c r="AS258" s="27"/>
      <c r="AT258" s="27"/>
      <c r="AU258" s="27"/>
      <c r="AV258" s="27"/>
      <c r="AW258" s="27"/>
      <c r="AY258" s="189"/>
      <c r="AZ258" s="189"/>
      <c r="BA258" s="205"/>
      <c r="BC258" s="189"/>
      <c r="BE258" s="57"/>
    </row>
    <row r="259" spans="1:57">
      <c r="A259" s="19">
        <f>[1]!_xludf.edate(A258,1)</f>
        <v>44866</v>
      </c>
      <c r="B259" s="21">
        <f t="shared" si="20"/>
        <v>30</v>
      </c>
      <c r="C259" s="20">
        <f>IF(Control!$C$10="Physical",Model!A260+24,Model!A260)</f>
        <v>44896</v>
      </c>
      <c r="E259" s="22">
        <f>IF($A259&lt;Collar!$C$9,IF(Collar!$F$26="Flat",Collar!$C$10,VLOOKUP(Model!$A259,Collar!$B$31:$D$184,3)),0)</f>
        <v>0</v>
      </c>
      <c r="F259" s="22">
        <f t="shared" si="18"/>
        <v>0</v>
      </c>
      <c r="G259" s="26">
        <f t="shared" ca="1" si="16"/>
        <v>0</v>
      </c>
      <c r="H259" s="60">
        <f>A259-1-Collar!$C$13</f>
        <v>7665</v>
      </c>
      <c r="I259" s="24">
        <f t="shared" si="17"/>
        <v>5.7527179979117299E-2</v>
      </c>
      <c r="J259" s="25">
        <f t="shared" ca="1" si="19"/>
        <v>0.30312088246972385</v>
      </c>
      <c r="K259" s="200"/>
      <c r="L259" s="23"/>
      <c r="M259" s="23"/>
      <c r="N259" s="57"/>
      <c r="O259" s="57"/>
      <c r="P259" s="61"/>
      <c r="Q259" s="24"/>
      <c r="S259" s="25"/>
      <c r="T259" s="62"/>
      <c r="U259" s="27"/>
      <c r="V259" s="63"/>
      <c r="W259" s="170"/>
      <c r="X259" s="170"/>
      <c r="Y259" s="170"/>
      <c r="AA259" s="183"/>
      <c r="AB259" s="183"/>
      <c r="AC259" s="184"/>
      <c r="AD259" s="185"/>
      <c r="AE259" s="186"/>
      <c r="AF259" s="187"/>
      <c r="AG259" s="188"/>
      <c r="AH259" s="189"/>
      <c r="AI259" s="27"/>
      <c r="AJ259" s="28"/>
      <c r="AP259" s="26"/>
      <c r="AQ259" s="26"/>
      <c r="AR259" s="26"/>
      <c r="AS259" s="27"/>
      <c r="AT259" s="27"/>
      <c r="AU259" s="27"/>
      <c r="AV259" s="27"/>
      <c r="AW259" s="27"/>
      <c r="AY259" s="189"/>
      <c r="AZ259" s="189"/>
      <c r="BA259" s="205"/>
      <c r="BC259" s="189"/>
      <c r="BE259" s="57"/>
    </row>
    <row r="260" spans="1:57">
      <c r="A260" s="19">
        <f>[1]!_xludf.edate(A259,1)</f>
        <v>44896</v>
      </c>
      <c r="B260" s="21">
        <f t="shared" si="20"/>
        <v>31</v>
      </c>
      <c r="C260" s="20">
        <f>IF(Control!$C$10="Physical",Model!A261+24,Model!A261)</f>
        <v>44927</v>
      </c>
      <c r="E260" s="22">
        <f>IF($A260&lt;Collar!$C$9,IF(Collar!$F$26="Flat",Collar!$C$10,VLOOKUP(Model!$A260,Collar!$B$31:$D$184,3)),0)</f>
        <v>0</v>
      </c>
      <c r="F260" s="22">
        <f t="shared" si="18"/>
        <v>0</v>
      </c>
      <c r="G260" s="26">
        <f t="shared" ca="1" si="16"/>
        <v>0</v>
      </c>
      <c r="H260" s="60">
        <f>A260-1-Collar!$C$13</f>
        <v>7695</v>
      </c>
      <c r="I260" s="24">
        <f t="shared" si="17"/>
        <v>5.7529567875517398E-2</v>
      </c>
      <c r="J260" s="25">
        <f t="shared" ca="1" si="19"/>
        <v>0.30165048306202225</v>
      </c>
      <c r="K260" s="200"/>
      <c r="L260" s="23"/>
      <c r="M260" s="23"/>
      <c r="N260" s="57"/>
      <c r="O260" s="57"/>
      <c r="P260" s="61"/>
      <c r="Q260" s="24"/>
      <c r="S260" s="25"/>
      <c r="T260" s="62"/>
      <c r="U260" s="27"/>
      <c r="V260" s="63"/>
      <c r="W260" s="170"/>
      <c r="X260" s="170"/>
      <c r="Y260" s="170"/>
      <c r="AA260" s="183"/>
      <c r="AB260" s="183"/>
      <c r="AC260" s="184"/>
      <c r="AD260" s="185"/>
      <c r="AE260" s="186"/>
      <c r="AF260" s="187"/>
      <c r="AG260" s="188"/>
      <c r="AH260" s="189"/>
      <c r="AI260" s="27"/>
      <c r="AJ260" s="28"/>
      <c r="AP260" s="26"/>
      <c r="AQ260" s="26"/>
      <c r="AR260" s="26"/>
      <c r="AS260" s="27"/>
      <c r="AT260" s="27"/>
      <c r="AU260" s="27"/>
      <c r="AV260" s="27"/>
      <c r="AW260" s="27"/>
      <c r="AY260" s="189"/>
      <c r="AZ260" s="189"/>
      <c r="BA260" s="205"/>
      <c r="BC260" s="189"/>
      <c r="BE260" s="57"/>
    </row>
    <row r="261" spans="1:57">
      <c r="A261" s="19">
        <f>[1]!_xludf.edate(A260,1)</f>
        <v>44927</v>
      </c>
      <c r="B261" s="21">
        <f t="shared" si="20"/>
        <v>31</v>
      </c>
      <c r="C261" s="20">
        <f>IF(Control!$C$10="Physical",Model!A262+24,Model!A262)</f>
        <v>44958</v>
      </c>
      <c r="E261" s="22">
        <f>IF($A261&lt;Collar!$C$9,IF(Collar!$F$26="Flat",Collar!$C$10,VLOOKUP(Model!$A261,Collar!$B$31:$D$184,3)),0)</f>
        <v>0</v>
      </c>
      <c r="F261" s="22">
        <f t="shared" si="18"/>
        <v>0</v>
      </c>
      <c r="G261" s="26">
        <f t="shared" ca="1" si="16"/>
        <v>0</v>
      </c>
      <c r="H261" s="60">
        <f>A261-1-Collar!$C$13</f>
        <v>7726</v>
      </c>
      <c r="I261" s="24">
        <f t="shared" si="17"/>
        <v>5.75319557719189E-2</v>
      </c>
      <c r="J261" s="25">
        <f t="shared" ca="1" si="19"/>
        <v>0.30018709810992289</v>
      </c>
      <c r="K261" s="200"/>
      <c r="L261" s="23"/>
      <c r="M261" s="23"/>
      <c r="N261" s="57"/>
      <c r="O261" s="57"/>
      <c r="P261" s="61"/>
      <c r="Q261" s="24"/>
      <c r="S261" s="25"/>
      <c r="T261" s="62"/>
      <c r="U261" s="27"/>
      <c r="V261" s="63"/>
      <c r="W261" s="170"/>
      <c r="X261" s="170"/>
      <c r="Y261" s="170"/>
      <c r="AA261" s="183"/>
      <c r="AB261" s="183"/>
      <c r="AC261" s="184"/>
      <c r="AD261" s="185"/>
      <c r="AE261" s="186"/>
      <c r="AF261" s="187"/>
      <c r="AG261" s="188"/>
      <c r="AH261" s="189"/>
      <c r="AI261" s="27"/>
      <c r="AJ261" s="28"/>
      <c r="AP261" s="26"/>
      <c r="AQ261" s="26"/>
      <c r="AR261" s="26"/>
      <c r="AS261" s="27"/>
      <c r="AT261" s="27"/>
      <c r="AU261" s="27"/>
      <c r="AV261" s="27"/>
      <c r="AW261" s="27"/>
      <c r="AY261" s="189"/>
      <c r="AZ261" s="189"/>
      <c r="BA261" s="205"/>
      <c r="BC261" s="189"/>
      <c r="BE261" s="57"/>
    </row>
    <row r="262" spans="1:57">
      <c r="A262" s="19">
        <f>[1]!_xludf.edate(A261,1)</f>
        <v>44958</v>
      </c>
      <c r="B262" s="21">
        <f t="shared" si="20"/>
        <v>28</v>
      </c>
      <c r="C262" s="20">
        <f>IF(Control!$C$10="Physical",Model!A263+24,Model!A263)</f>
        <v>44986</v>
      </c>
      <c r="E262" s="22">
        <f>IF($A262&lt;Collar!$C$9,IF(Collar!$F$26="Flat",Collar!$C$10,VLOOKUP(Model!$A262,Collar!$B$31:$D$184,3)),0)</f>
        <v>0</v>
      </c>
      <c r="F262" s="22">
        <f t="shared" si="18"/>
        <v>0</v>
      </c>
      <c r="G262" s="26">
        <f t="shared" ca="1" si="16"/>
        <v>0</v>
      </c>
      <c r="H262" s="60">
        <f>A262-1-Collar!$C$13</f>
        <v>7757</v>
      </c>
      <c r="I262" s="24">
        <f t="shared" si="17"/>
        <v>5.7534112581574301E-2</v>
      </c>
      <c r="J262" s="25">
        <f t="shared" ca="1" si="19"/>
        <v>0.298871332779375</v>
      </c>
      <c r="K262" s="200"/>
      <c r="L262" s="23"/>
      <c r="M262" s="23"/>
      <c r="N262" s="57"/>
      <c r="O262" s="57"/>
      <c r="P262" s="61"/>
      <c r="Q262" s="24"/>
      <c r="S262" s="25"/>
      <c r="T262" s="62"/>
      <c r="U262" s="27"/>
      <c r="V262" s="63"/>
      <c r="W262" s="170"/>
      <c r="X262" s="170"/>
      <c r="Y262" s="170"/>
      <c r="AA262" s="183"/>
      <c r="AB262" s="183"/>
      <c r="AC262" s="184"/>
      <c r="AD262" s="185"/>
      <c r="AE262" s="186"/>
      <c r="AF262" s="187"/>
      <c r="AG262" s="188"/>
      <c r="AH262" s="189"/>
      <c r="AI262" s="27"/>
      <c r="AJ262" s="28"/>
      <c r="AP262" s="26"/>
      <c r="AQ262" s="26"/>
      <c r="AR262" s="26"/>
      <c r="AS262" s="27"/>
      <c r="AT262" s="27"/>
      <c r="AU262" s="27"/>
      <c r="AV262" s="27"/>
      <c r="AW262" s="27"/>
      <c r="AY262" s="189"/>
      <c r="AZ262" s="189"/>
      <c r="BA262" s="205"/>
      <c r="BC262" s="189"/>
      <c r="BE262" s="57"/>
    </row>
    <row r="263" spans="1:57">
      <c r="A263" s="19">
        <f>[1]!_xludf.edate(A262,1)</f>
        <v>44986</v>
      </c>
      <c r="B263" s="21">
        <f t="shared" si="20"/>
        <v>31</v>
      </c>
      <c r="C263" s="20">
        <f>IF(Control!$C$10="Physical",Model!A264+24,Model!A264)</f>
        <v>45017</v>
      </c>
      <c r="E263" s="22">
        <f>IF($A263&lt;Collar!$C$9,IF(Collar!$F$26="Flat",Collar!$C$10,VLOOKUP(Model!$A263,Collar!$B$31:$D$184,3)),0)</f>
        <v>0</v>
      </c>
      <c r="F263" s="22">
        <f t="shared" si="18"/>
        <v>0</v>
      </c>
      <c r="G263" s="26">
        <f t="shared" ca="1" si="16"/>
        <v>0</v>
      </c>
      <c r="H263" s="60">
        <f>A263-1-Collar!$C$13</f>
        <v>7785</v>
      </c>
      <c r="I263" s="24">
        <f t="shared" si="17"/>
        <v>5.7536500477979799E-2</v>
      </c>
      <c r="J263" s="25">
        <f t="shared" ca="1" si="19"/>
        <v>0.29742120721091686</v>
      </c>
      <c r="K263" s="200"/>
      <c r="L263" s="23"/>
      <c r="M263" s="23"/>
      <c r="N263" s="57"/>
      <c r="O263" s="57"/>
      <c r="P263" s="61"/>
      <c r="Q263" s="24"/>
      <c r="S263" s="25"/>
      <c r="T263" s="62"/>
      <c r="U263" s="27"/>
      <c r="V263" s="63"/>
      <c r="W263" s="170"/>
      <c r="X263" s="170"/>
      <c r="Y263" s="170"/>
      <c r="AA263" s="183"/>
      <c r="AB263" s="183"/>
      <c r="AC263" s="184"/>
      <c r="AD263" s="185"/>
      <c r="AE263" s="186"/>
      <c r="AF263" s="187"/>
      <c r="AG263" s="188"/>
      <c r="AH263" s="189"/>
      <c r="AI263" s="27"/>
      <c r="AJ263" s="28"/>
      <c r="AP263" s="26"/>
      <c r="AQ263" s="26"/>
      <c r="AR263" s="26"/>
      <c r="AS263" s="27"/>
      <c r="AT263" s="27"/>
      <c r="AU263" s="27"/>
      <c r="AV263" s="27"/>
      <c r="AW263" s="27"/>
      <c r="AY263" s="189"/>
      <c r="AZ263" s="189"/>
      <c r="BA263" s="205"/>
      <c r="BC263" s="189"/>
      <c r="BE263" s="57"/>
    </row>
    <row r="264" spans="1:57">
      <c r="A264" s="19">
        <f>[1]!_xludf.edate(A263,1)</f>
        <v>45017</v>
      </c>
      <c r="B264" s="21">
        <f t="shared" si="20"/>
        <v>30</v>
      </c>
      <c r="C264" s="20">
        <f>IF(Control!$C$10="Physical",Model!A265+24,Model!A265)</f>
        <v>45047</v>
      </c>
      <c r="E264" s="22">
        <f>IF($A264&lt;Collar!$C$9,IF(Collar!$F$26="Flat",Collar!$C$10,VLOOKUP(Model!$A264,Collar!$B$31:$D$184,3)),0)</f>
        <v>0</v>
      </c>
      <c r="F264" s="22">
        <f t="shared" si="18"/>
        <v>0</v>
      </c>
      <c r="G264" s="26">
        <f t="shared" ref="G264:G288" ca="1" si="21">$B264*$E264*$J264</f>
        <v>0</v>
      </c>
      <c r="H264" s="60">
        <f>A264-1-Collar!$C$13</f>
        <v>7816</v>
      </c>
      <c r="I264" s="24">
        <f t="shared" ref="I264:I288" si="22">VLOOKUP($C264,Curve_Fetch,2)+Cost_of_Funds</f>
        <v>5.7538811345470897E-2</v>
      </c>
      <c r="J264" s="25">
        <f t="shared" ca="1" si="19"/>
        <v>0.29602444842775849</v>
      </c>
      <c r="K264" s="200"/>
      <c r="L264" s="23"/>
      <c r="M264" s="23"/>
      <c r="N264" s="57"/>
      <c r="O264" s="57"/>
      <c r="P264" s="61"/>
      <c r="Q264" s="24"/>
      <c r="S264" s="25"/>
      <c r="T264" s="62"/>
      <c r="U264" s="27"/>
      <c r="V264" s="63"/>
      <c r="W264" s="170"/>
      <c r="X264" s="170"/>
      <c r="Y264" s="170"/>
      <c r="AA264" s="183"/>
      <c r="AB264" s="183"/>
      <c r="AC264" s="184"/>
      <c r="AD264" s="185"/>
      <c r="AE264" s="186"/>
      <c r="AF264" s="187"/>
      <c r="AG264" s="188"/>
      <c r="AH264" s="189"/>
      <c r="AI264" s="27"/>
      <c r="AJ264" s="28"/>
      <c r="AP264" s="26"/>
      <c r="AQ264" s="26"/>
      <c r="AR264" s="26"/>
      <c r="AS264" s="27"/>
      <c r="AT264" s="27"/>
      <c r="AU264" s="27"/>
      <c r="AV264" s="27"/>
      <c r="AW264" s="27"/>
      <c r="AY264" s="189"/>
      <c r="AZ264" s="189"/>
      <c r="BA264" s="205"/>
      <c r="BC264" s="189"/>
      <c r="BE264" s="57"/>
    </row>
    <row r="265" spans="1:57">
      <c r="A265" s="19">
        <f>[1]!_xludf.edate(A264,1)</f>
        <v>45047</v>
      </c>
      <c r="B265" s="21">
        <f t="shared" si="20"/>
        <v>31</v>
      </c>
      <c r="C265" s="20">
        <f>IF(Control!$C$10="Physical",Model!A266+24,Model!A266)</f>
        <v>45078</v>
      </c>
      <c r="E265" s="22">
        <f>IF($A265&lt;Collar!$C$9,IF(Collar!$F$26="Flat",Collar!$C$10,VLOOKUP(Model!$A265,Collar!$B$31:$D$184,3)),0)</f>
        <v>0</v>
      </c>
      <c r="F265" s="22">
        <f t="shared" ref="F265:F288" si="23">E265*B265</f>
        <v>0</v>
      </c>
      <c r="G265" s="26">
        <f t="shared" ca="1" si="21"/>
        <v>0</v>
      </c>
      <c r="H265" s="60">
        <f>A265-1-Collar!$C$13</f>
        <v>7846</v>
      </c>
      <c r="I265" s="24">
        <f t="shared" si="22"/>
        <v>5.7541199241880003E-2</v>
      </c>
      <c r="J265" s="25">
        <f t="shared" ref="J265:J288" ca="1" si="24">1/(1+I265/2)^(2*(C265-Val_Date)/365.25)</f>
        <v>0.29458790760054976</v>
      </c>
      <c r="K265" s="200"/>
      <c r="L265" s="23"/>
      <c r="M265" s="23"/>
      <c r="N265" s="57"/>
      <c r="O265" s="57"/>
      <c r="P265" s="61"/>
      <c r="Q265" s="24"/>
      <c r="S265" s="25"/>
      <c r="T265" s="62"/>
      <c r="U265" s="27"/>
      <c r="V265" s="63"/>
      <c r="W265" s="170"/>
      <c r="X265" s="170"/>
      <c r="Y265" s="170"/>
      <c r="AA265" s="183"/>
      <c r="AB265" s="183"/>
      <c r="AC265" s="184"/>
      <c r="AD265" s="185"/>
      <c r="AE265" s="186"/>
      <c r="AF265" s="187"/>
      <c r="AG265" s="188"/>
      <c r="AH265" s="189"/>
      <c r="AI265" s="27"/>
      <c r="AJ265" s="28"/>
      <c r="AP265" s="26"/>
      <c r="AQ265" s="26"/>
      <c r="AR265" s="26"/>
      <c r="AS265" s="27"/>
      <c r="AT265" s="27"/>
      <c r="AU265" s="27"/>
      <c r="AV265" s="27"/>
      <c r="AW265" s="27"/>
      <c r="AY265" s="189"/>
      <c r="AZ265" s="189"/>
      <c r="BA265" s="205"/>
      <c r="BC265" s="189"/>
      <c r="BE265" s="57"/>
    </row>
    <row r="266" spans="1:57">
      <c r="A266" s="19">
        <f>[1]!_xludf.edate(A265,1)</f>
        <v>45078</v>
      </c>
      <c r="B266" s="21">
        <f t="shared" ref="B266:B288" si="25">A267-A266</f>
        <v>30</v>
      </c>
      <c r="C266" s="20">
        <f>IF(Control!$C$10="Physical",Model!A267+24,Model!A267)</f>
        <v>45108</v>
      </c>
      <c r="E266" s="22">
        <f>IF($A266&lt;Collar!$C$9,IF(Collar!$F$26="Flat",Collar!$C$10,VLOOKUP(Model!$A266,Collar!$B$31:$D$184,3)),0)</f>
        <v>0</v>
      </c>
      <c r="F266" s="22">
        <f t="shared" si="23"/>
        <v>0</v>
      </c>
      <c r="G266" s="26">
        <f t="shared" ca="1" si="21"/>
        <v>0</v>
      </c>
      <c r="H266" s="60">
        <f>A266-1-Collar!$C$13</f>
        <v>7877</v>
      </c>
      <c r="I266" s="24">
        <f t="shared" si="22"/>
        <v>5.7543510109375098E-2</v>
      </c>
      <c r="J266" s="25">
        <f t="shared" ca="1" si="24"/>
        <v>0.29320423469315549</v>
      </c>
      <c r="K266" s="200"/>
      <c r="L266" s="23"/>
      <c r="M266" s="23"/>
      <c r="N266" s="57"/>
      <c r="O266" s="57"/>
      <c r="P266" s="61"/>
      <c r="Q266" s="24"/>
      <c r="S266" s="25"/>
      <c r="T266" s="62"/>
      <c r="U266" s="27"/>
      <c r="V266" s="63"/>
      <c r="W266" s="170"/>
      <c r="X266" s="170"/>
      <c r="Y266" s="170"/>
      <c r="AA266" s="183"/>
      <c r="AB266" s="183"/>
      <c r="AC266" s="184"/>
      <c r="AD266" s="185"/>
      <c r="AE266" s="186"/>
      <c r="AF266" s="187"/>
      <c r="AG266" s="188"/>
      <c r="AH266" s="189"/>
      <c r="AI266" s="27"/>
      <c r="AJ266" s="28"/>
      <c r="AP266" s="26"/>
      <c r="AQ266" s="26"/>
      <c r="AR266" s="26"/>
      <c r="AS266" s="27"/>
      <c r="AT266" s="27"/>
      <c r="AU266" s="27"/>
      <c r="AV266" s="27"/>
      <c r="AW266" s="27"/>
      <c r="AY266" s="189"/>
      <c r="AZ266" s="189"/>
      <c r="BA266" s="205"/>
      <c r="BC266" s="189"/>
      <c r="BE266" s="57"/>
    </row>
    <row r="267" spans="1:57">
      <c r="A267" s="19">
        <f>[1]!_xludf.edate(A266,1)</f>
        <v>45108</v>
      </c>
      <c r="B267" s="21">
        <f t="shared" si="25"/>
        <v>31</v>
      </c>
      <c r="C267" s="20">
        <f>IF(Control!$C$10="Physical",Model!A268+24,Model!A268)</f>
        <v>45139</v>
      </c>
      <c r="E267" s="22">
        <f>IF($A267&lt;Collar!$C$9,IF(Collar!$F$26="Flat",Collar!$C$10,VLOOKUP(Model!$A267,Collar!$B$31:$D$184,3)),0)</f>
        <v>0</v>
      </c>
      <c r="F267" s="22">
        <f t="shared" si="23"/>
        <v>0</v>
      </c>
      <c r="G267" s="26">
        <f t="shared" ca="1" si="21"/>
        <v>0</v>
      </c>
      <c r="H267" s="60">
        <f>A267-1-Collar!$C$13</f>
        <v>7907</v>
      </c>
      <c r="I267" s="24">
        <f t="shared" si="22"/>
        <v>5.7545898005788097E-2</v>
      </c>
      <c r="J267" s="25">
        <f t="shared" ca="1" si="24"/>
        <v>0.29178115355328493</v>
      </c>
      <c r="K267" s="200"/>
      <c r="L267" s="23"/>
      <c r="M267" s="23"/>
      <c r="N267" s="57"/>
      <c r="O267" s="57"/>
      <c r="P267" s="61"/>
      <c r="Q267" s="24"/>
      <c r="S267" s="25"/>
      <c r="T267" s="62"/>
      <c r="U267" s="27"/>
      <c r="V267" s="63"/>
      <c r="W267" s="170"/>
      <c r="X267" s="170"/>
      <c r="Y267" s="170"/>
      <c r="AA267" s="183"/>
      <c r="AB267" s="183"/>
      <c r="AC267" s="184"/>
      <c r="AD267" s="185"/>
      <c r="AE267" s="186"/>
      <c r="AF267" s="187"/>
      <c r="AG267" s="188"/>
      <c r="AH267" s="189"/>
      <c r="AI267" s="27"/>
      <c r="AJ267" s="28"/>
      <c r="AP267" s="26"/>
      <c r="AQ267" s="26"/>
      <c r="AR267" s="26"/>
      <c r="AS267" s="27"/>
      <c r="AT267" s="27"/>
      <c r="AU267" s="27"/>
      <c r="AV267" s="27"/>
      <c r="AW267" s="27"/>
      <c r="AY267" s="189"/>
      <c r="AZ267" s="189"/>
      <c r="BA267" s="205"/>
      <c r="BC267" s="189"/>
      <c r="BE267" s="57"/>
    </row>
    <row r="268" spans="1:57">
      <c r="A268" s="19">
        <f>[1]!_xludf.edate(A267,1)</f>
        <v>45139</v>
      </c>
      <c r="B268" s="21">
        <f t="shared" si="25"/>
        <v>31</v>
      </c>
      <c r="C268" s="20">
        <f>IF(Control!$C$10="Physical",Model!A269+24,Model!A269)</f>
        <v>45170</v>
      </c>
      <c r="E268" s="22">
        <f>IF($A268&lt;Collar!$C$9,IF(Collar!$F$26="Flat",Collar!$C$10,VLOOKUP(Model!$A268,Collar!$B$31:$D$184,3)),0)</f>
        <v>0</v>
      </c>
      <c r="F268" s="22">
        <f t="shared" si="23"/>
        <v>0</v>
      </c>
      <c r="G268" s="26">
        <f t="shared" ca="1" si="21"/>
        <v>0</v>
      </c>
      <c r="H268" s="60">
        <f>A268-1-Collar!$C$13</f>
        <v>7938</v>
      </c>
      <c r="I268" s="24">
        <f t="shared" si="22"/>
        <v>5.7548285902202498E-2</v>
      </c>
      <c r="J268" s="25">
        <f t="shared" ca="1" si="24"/>
        <v>0.29036486502043463</v>
      </c>
      <c r="K268" s="200"/>
      <c r="L268" s="23"/>
      <c r="M268" s="23"/>
      <c r="N268" s="57"/>
      <c r="O268" s="57"/>
      <c r="P268" s="61"/>
      <c r="Q268" s="24"/>
      <c r="S268" s="25"/>
      <c r="T268" s="62"/>
      <c r="U268" s="27"/>
      <c r="V268" s="63"/>
      <c r="W268" s="170"/>
      <c r="X268" s="170"/>
      <c r="Y268" s="170"/>
      <c r="AA268" s="183"/>
      <c r="AB268" s="183"/>
      <c r="AC268" s="184"/>
      <c r="AD268" s="185"/>
      <c r="AE268" s="186"/>
      <c r="AF268" s="187"/>
      <c r="AG268" s="188"/>
      <c r="AH268" s="189"/>
      <c r="AI268" s="27"/>
      <c r="AJ268" s="28"/>
      <c r="AP268" s="26"/>
      <c r="AQ268" s="26"/>
      <c r="AR268" s="26"/>
      <c r="AS268" s="27"/>
      <c r="AT268" s="27"/>
      <c r="AU268" s="27"/>
      <c r="AV268" s="27"/>
      <c r="AW268" s="27"/>
      <c r="AY268" s="189"/>
      <c r="AZ268" s="189"/>
      <c r="BA268" s="205"/>
      <c r="BC268" s="189"/>
      <c r="BE268" s="57"/>
    </row>
    <row r="269" spans="1:57">
      <c r="A269" s="19">
        <f>[1]!_xludf.edate(A268,1)</f>
        <v>45170</v>
      </c>
      <c r="B269" s="21">
        <f t="shared" si="25"/>
        <v>30</v>
      </c>
      <c r="C269" s="20">
        <f>IF(Control!$C$10="Physical",Model!A270+24,Model!A270)</f>
        <v>45200</v>
      </c>
      <c r="E269" s="22">
        <f>IF($A269&lt;Collar!$C$9,IF(Collar!$F$26="Flat",Collar!$C$10,VLOOKUP(Model!$A269,Collar!$B$31:$D$184,3)),0)</f>
        <v>0</v>
      </c>
      <c r="F269" s="22">
        <f t="shared" si="23"/>
        <v>0</v>
      </c>
      <c r="G269" s="26">
        <f t="shared" ca="1" si="21"/>
        <v>0</v>
      </c>
      <c r="H269" s="60">
        <f>A269-1-Collar!$C$13</f>
        <v>7969</v>
      </c>
      <c r="I269" s="24">
        <f t="shared" si="22"/>
        <v>5.7550596769702998E-2</v>
      </c>
      <c r="J269" s="25">
        <f t="shared" ca="1" si="24"/>
        <v>0.28900070067347317</v>
      </c>
      <c r="K269" s="200"/>
      <c r="L269" s="23"/>
      <c r="M269" s="23"/>
      <c r="N269" s="57"/>
      <c r="O269" s="57"/>
      <c r="P269" s="61"/>
      <c r="Q269" s="24"/>
      <c r="S269" s="25"/>
      <c r="T269" s="62"/>
      <c r="U269" s="27"/>
      <c r="V269" s="63"/>
      <c r="W269" s="170"/>
      <c r="X269" s="170"/>
      <c r="Y269" s="170"/>
      <c r="AA269" s="183"/>
      <c r="AB269" s="183"/>
      <c r="AC269" s="184"/>
      <c r="AD269" s="185"/>
      <c r="AE269" s="186"/>
      <c r="AF269" s="187"/>
      <c r="AG269" s="188"/>
      <c r="AH269" s="189"/>
      <c r="AI269" s="27"/>
      <c r="AJ269" s="28"/>
      <c r="AP269" s="26"/>
      <c r="AQ269" s="26"/>
      <c r="AR269" s="26"/>
      <c r="AS269" s="27"/>
      <c r="AT269" s="27"/>
      <c r="AU269" s="27"/>
      <c r="AV269" s="27"/>
      <c r="AW269" s="27"/>
      <c r="AY269" s="189"/>
      <c r="AZ269" s="189"/>
      <c r="BA269" s="205"/>
      <c r="BC269" s="189"/>
      <c r="BE269" s="57"/>
    </row>
    <row r="270" spans="1:57">
      <c r="A270" s="19">
        <f>[1]!_xludf.edate(A269,1)</f>
        <v>45200</v>
      </c>
      <c r="B270" s="21">
        <f t="shared" si="25"/>
        <v>31</v>
      </c>
      <c r="C270" s="20">
        <f>IF(Control!$C$10="Physical",Model!A271+24,Model!A271)</f>
        <v>45231</v>
      </c>
      <c r="E270" s="22">
        <f>IF($A270&lt;Collar!$C$9,IF(Collar!$F$26="Flat",Collar!$C$10,VLOOKUP(Model!$A270,Collar!$B$31:$D$184,3)),0)</f>
        <v>0</v>
      </c>
      <c r="F270" s="22">
        <f t="shared" si="23"/>
        <v>0</v>
      </c>
      <c r="G270" s="26">
        <f t="shared" ca="1" si="21"/>
        <v>0</v>
      </c>
      <c r="H270" s="60">
        <f>A270-1-Collar!$C$13</f>
        <v>7999</v>
      </c>
      <c r="I270" s="24">
        <f t="shared" si="22"/>
        <v>5.7552984666121798E-2</v>
      </c>
      <c r="J270" s="25">
        <f t="shared" ca="1" si="24"/>
        <v>0.28759768535637376</v>
      </c>
      <c r="K270" s="200"/>
      <c r="L270" s="23"/>
      <c r="M270" s="23"/>
      <c r="N270" s="57"/>
      <c r="O270" s="57"/>
      <c r="P270" s="61"/>
      <c r="Q270" s="24"/>
      <c r="S270" s="25"/>
      <c r="T270" s="62"/>
      <c r="U270" s="27"/>
      <c r="V270" s="63"/>
      <c r="W270" s="170"/>
      <c r="X270" s="170"/>
      <c r="Y270" s="170"/>
      <c r="AA270" s="183"/>
      <c r="AB270" s="183"/>
      <c r="AC270" s="184"/>
      <c r="AD270" s="185"/>
      <c r="AE270" s="186"/>
      <c r="AF270" s="187"/>
      <c r="AG270" s="188"/>
      <c r="AH270" s="189"/>
      <c r="AI270" s="27"/>
      <c r="AJ270" s="28"/>
      <c r="AP270" s="26"/>
      <c r="AQ270" s="26"/>
      <c r="AR270" s="26"/>
      <c r="AS270" s="27"/>
      <c r="AT270" s="27"/>
      <c r="AU270" s="27"/>
      <c r="AV270" s="27"/>
      <c r="AW270" s="27"/>
      <c r="AY270" s="189"/>
      <c r="AZ270" s="189"/>
      <c r="BA270" s="205"/>
      <c r="BC270" s="189"/>
      <c r="BE270" s="57"/>
    </row>
    <row r="271" spans="1:57">
      <c r="A271" s="19">
        <f>[1]!_xludf.edate(A270,1)</f>
        <v>45231</v>
      </c>
      <c r="B271" s="21">
        <f t="shared" si="25"/>
        <v>30</v>
      </c>
      <c r="C271" s="20">
        <f>IF(Control!$C$10="Physical",Model!A272+24,Model!A272)</f>
        <v>45261</v>
      </c>
      <c r="E271" s="22">
        <f>IF($A271&lt;Collar!$C$9,IF(Collar!$F$26="Flat",Collar!$C$10,VLOOKUP(Model!$A271,Collar!$B$31:$D$184,3)),0)</f>
        <v>0</v>
      </c>
      <c r="F271" s="22">
        <f t="shared" si="23"/>
        <v>0</v>
      </c>
      <c r="G271" s="26">
        <f t="shared" ca="1" si="21"/>
        <v>0</v>
      </c>
      <c r="H271" s="60">
        <f>A271-1-Collar!$C$13</f>
        <v>8030</v>
      </c>
      <c r="I271" s="24">
        <f t="shared" si="22"/>
        <v>5.75552955336254E-2</v>
      </c>
      <c r="J271" s="25">
        <f t="shared" ca="1" si="24"/>
        <v>0.28624630677434648</v>
      </c>
      <c r="K271" s="200"/>
      <c r="L271" s="23"/>
      <c r="M271" s="23"/>
      <c r="N271" s="57"/>
      <c r="O271" s="57"/>
      <c r="P271" s="61"/>
      <c r="Q271" s="24"/>
      <c r="S271" s="25"/>
      <c r="T271" s="62"/>
      <c r="U271" s="27"/>
      <c r="V271" s="63"/>
      <c r="W271" s="170"/>
      <c r="X271" s="170"/>
      <c r="Y271" s="170"/>
      <c r="AA271" s="183"/>
      <c r="AB271" s="183"/>
      <c r="AC271" s="184"/>
      <c r="AD271" s="185"/>
      <c r="AE271" s="186"/>
      <c r="AF271" s="187"/>
      <c r="AG271" s="188"/>
      <c r="AH271" s="189"/>
      <c r="AI271" s="27"/>
      <c r="AJ271" s="28"/>
      <c r="AP271" s="26"/>
      <c r="AQ271" s="26"/>
      <c r="AR271" s="26"/>
      <c r="AS271" s="27"/>
      <c r="AT271" s="27"/>
      <c r="AU271" s="27"/>
      <c r="AV271" s="27"/>
      <c r="AW271" s="27"/>
      <c r="AY271" s="189"/>
      <c r="AZ271" s="189"/>
      <c r="BA271" s="205"/>
      <c r="BC271" s="189"/>
      <c r="BE271" s="57"/>
    </row>
    <row r="272" spans="1:57">
      <c r="A272" s="19">
        <f>[1]!_xludf.edate(A271,1)</f>
        <v>45261</v>
      </c>
      <c r="B272" s="21">
        <f t="shared" si="25"/>
        <v>31</v>
      </c>
      <c r="C272" s="20">
        <f>IF(Control!$C$10="Physical",Model!A273+24,Model!A273)</f>
        <v>45292</v>
      </c>
      <c r="E272" s="22">
        <f>IF($A272&lt;Collar!$C$9,IF(Collar!$F$26="Flat",Collar!$C$10,VLOOKUP(Model!$A272,Collar!$B$31:$D$184,3)),0)</f>
        <v>0</v>
      </c>
      <c r="F272" s="22">
        <f t="shared" si="23"/>
        <v>0</v>
      </c>
      <c r="G272" s="26">
        <f t="shared" ca="1" si="21"/>
        <v>0</v>
      </c>
      <c r="H272" s="60">
        <f>A272-1-Collar!$C$13</f>
        <v>8060</v>
      </c>
      <c r="I272" s="24">
        <f t="shared" si="22"/>
        <v>5.7557683430047697E-2</v>
      </c>
      <c r="J272" s="25">
        <f t="shared" ca="1" si="24"/>
        <v>0.28485644243472069</v>
      </c>
      <c r="K272" s="200"/>
      <c r="L272" s="23"/>
      <c r="M272" s="23"/>
      <c r="N272" s="57"/>
      <c r="O272" s="57"/>
      <c r="P272" s="61"/>
      <c r="Q272" s="24"/>
      <c r="S272" s="25"/>
      <c r="T272" s="62"/>
      <c r="U272" s="27"/>
      <c r="V272" s="63"/>
      <c r="W272" s="170"/>
      <c r="X272" s="170"/>
      <c r="Y272" s="170"/>
      <c r="AA272" s="183"/>
      <c r="AB272" s="183"/>
      <c r="AC272" s="184"/>
      <c r="AD272" s="185"/>
      <c r="AE272" s="186"/>
      <c r="AF272" s="187"/>
      <c r="AG272" s="188"/>
      <c r="AH272" s="189"/>
      <c r="AI272" s="27"/>
      <c r="AJ272" s="28"/>
      <c r="AP272" s="26"/>
      <c r="AQ272" s="26"/>
      <c r="AR272" s="26"/>
      <c r="AS272" s="27"/>
      <c r="AT272" s="27"/>
      <c r="AU272" s="27"/>
      <c r="AV272" s="27"/>
      <c r="AW272" s="27"/>
      <c r="AY272" s="189"/>
      <c r="AZ272" s="189"/>
      <c r="BA272" s="205"/>
      <c r="BC272" s="189"/>
      <c r="BE272" s="57"/>
    </row>
    <row r="273" spans="1:57">
      <c r="A273" s="19">
        <f>[1]!_xludf.edate(A272,1)</f>
        <v>45292</v>
      </c>
      <c r="B273" s="21">
        <f t="shared" si="25"/>
        <v>31</v>
      </c>
      <c r="C273" s="20">
        <f>IF(Control!$C$10="Physical",Model!A274+24,Model!A274)</f>
        <v>45323</v>
      </c>
      <c r="E273" s="22">
        <f>IF($A273&lt;Collar!$C$9,IF(Collar!$F$26="Flat",Collar!$C$10,VLOOKUP(Model!$A273,Collar!$B$31:$D$184,3)),0)</f>
        <v>0</v>
      </c>
      <c r="F273" s="22">
        <f t="shared" si="23"/>
        <v>0</v>
      </c>
      <c r="G273" s="26">
        <f t="shared" ca="1" si="21"/>
        <v>0</v>
      </c>
      <c r="H273" s="60">
        <f>A273-1-Collar!$C$13</f>
        <v>8091</v>
      </c>
      <c r="I273" s="24">
        <f t="shared" si="22"/>
        <v>5.7560071326472298E-2</v>
      </c>
      <c r="J273" s="25">
        <f t="shared" ca="1" si="24"/>
        <v>0.2834732148877962</v>
      </c>
      <c r="K273" s="200"/>
      <c r="L273" s="23"/>
      <c r="M273" s="23"/>
      <c r="N273" s="57"/>
      <c r="O273" s="57"/>
      <c r="P273" s="61"/>
      <c r="Q273" s="24"/>
      <c r="S273" s="25"/>
      <c r="T273" s="62"/>
      <c r="U273" s="27"/>
      <c r="V273" s="63"/>
      <c r="W273" s="170"/>
      <c r="X273" s="170"/>
      <c r="Y273" s="170"/>
      <c r="AA273" s="183"/>
      <c r="AB273" s="183"/>
      <c r="AC273" s="184"/>
      <c r="AD273" s="185"/>
      <c r="AE273" s="186"/>
      <c r="AF273" s="187"/>
      <c r="AG273" s="188"/>
      <c r="AH273" s="189"/>
      <c r="AI273" s="27"/>
      <c r="AJ273" s="28"/>
      <c r="AP273" s="26"/>
      <c r="AQ273" s="26"/>
      <c r="AR273" s="26"/>
      <c r="AS273" s="27"/>
      <c r="AT273" s="27"/>
      <c r="AU273" s="27"/>
      <c r="AV273" s="27"/>
      <c r="AW273" s="27"/>
      <c r="AY273" s="189"/>
      <c r="AZ273" s="189"/>
      <c r="BA273" s="205"/>
      <c r="BC273" s="189"/>
      <c r="BE273" s="57"/>
    </row>
    <row r="274" spans="1:57">
      <c r="A274" s="19">
        <f>[1]!_xludf.edate(A273,1)</f>
        <v>45323</v>
      </c>
      <c r="B274" s="21">
        <f t="shared" si="25"/>
        <v>29</v>
      </c>
      <c r="C274" s="20">
        <f>IF(Control!$C$10="Physical",Model!A275+24,Model!A275)</f>
        <v>45352</v>
      </c>
      <c r="E274" s="22">
        <f>IF($A274&lt;Collar!$C$9,IF(Collar!$F$26="Flat",Collar!$C$10,VLOOKUP(Model!$A274,Collar!$B$31:$D$184,3)),0)</f>
        <v>0</v>
      </c>
      <c r="F274" s="22">
        <f t="shared" si="23"/>
        <v>0</v>
      </c>
      <c r="G274" s="26">
        <f t="shared" ca="1" si="21"/>
        <v>0</v>
      </c>
      <c r="H274" s="60">
        <f>A274-1-Collar!$C$13</f>
        <v>8122</v>
      </c>
      <c r="I274" s="24">
        <f t="shared" si="22"/>
        <v>5.75623051650642E-2</v>
      </c>
      <c r="J274" s="25">
        <f t="shared" ca="1" si="24"/>
        <v>0.28218520857536172</v>
      </c>
      <c r="K274" s="200"/>
      <c r="L274" s="23"/>
      <c r="M274" s="23"/>
      <c r="N274" s="57"/>
      <c r="O274" s="57"/>
      <c r="P274" s="61"/>
      <c r="Q274" s="24"/>
      <c r="S274" s="25"/>
      <c r="T274" s="62"/>
      <c r="U274" s="27"/>
      <c r="V274" s="63"/>
      <c r="W274" s="170"/>
      <c r="X274" s="170"/>
      <c r="Y274" s="170"/>
      <c r="AA274" s="183"/>
      <c r="AB274" s="183"/>
      <c r="AC274" s="184"/>
      <c r="AD274" s="185"/>
      <c r="AE274" s="186"/>
      <c r="AF274" s="187"/>
      <c r="AG274" s="188"/>
      <c r="AH274" s="189"/>
      <c r="AI274" s="27"/>
      <c r="AJ274" s="28"/>
      <c r="AP274" s="26"/>
      <c r="AQ274" s="26"/>
      <c r="AR274" s="26"/>
      <c r="AS274" s="27"/>
      <c r="AT274" s="27"/>
      <c r="AU274" s="27"/>
      <c r="AV274" s="27"/>
      <c r="AW274" s="27"/>
      <c r="AY274" s="189"/>
      <c r="AZ274" s="189"/>
      <c r="BA274" s="205"/>
      <c r="BC274" s="189"/>
      <c r="BE274" s="57"/>
    </row>
    <row r="275" spans="1:57">
      <c r="A275" s="19">
        <f>[1]!_xludf.edate(A274,1)</f>
        <v>45352</v>
      </c>
      <c r="B275" s="21">
        <f t="shared" si="25"/>
        <v>31</v>
      </c>
      <c r="C275" s="20">
        <f>IF(Control!$C$10="Physical",Model!A276+24,Model!A276)</f>
        <v>45383</v>
      </c>
      <c r="E275" s="22">
        <f>IF($A275&lt;Collar!$C$9,IF(Collar!$F$26="Flat",Collar!$C$10,VLOOKUP(Model!$A275,Collar!$B$31:$D$184,3)),0)</f>
        <v>0</v>
      </c>
      <c r="F275" s="22">
        <f t="shared" si="23"/>
        <v>0</v>
      </c>
      <c r="G275" s="26">
        <f t="shared" ca="1" si="21"/>
        <v>0</v>
      </c>
      <c r="H275" s="60">
        <f>A275-1-Collar!$C$13</f>
        <v>8151</v>
      </c>
      <c r="I275" s="24">
        <f t="shared" si="22"/>
        <v>5.7564693061491902E-2</v>
      </c>
      <c r="J275" s="25">
        <f t="shared" ca="1" si="24"/>
        <v>0.28081473809828278</v>
      </c>
      <c r="K275" s="200"/>
      <c r="L275" s="23"/>
      <c r="M275" s="23"/>
      <c r="N275" s="57"/>
      <c r="O275" s="57"/>
      <c r="P275" s="61"/>
      <c r="Q275" s="24"/>
      <c r="S275" s="25"/>
      <c r="T275" s="62"/>
      <c r="U275" s="27"/>
      <c r="V275" s="63"/>
      <c r="W275" s="170"/>
      <c r="X275" s="170"/>
      <c r="Y275" s="170"/>
      <c r="AA275" s="183"/>
      <c r="AB275" s="183"/>
      <c r="AC275" s="184"/>
      <c r="AD275" s="185"/>
      <c r="AE275" s="186"/>
      <c r="AF275" s="187"/>
      <c r="AG275" s="188"/>
      <c r="AH275" s="189"/>
      <c r="AI275" s="27"/>
      <c r="AJ275" s="28"/>
      <c r="AP275" s="26"/>
      <c r="AQ275" s="26"/>
      <c r="AR275" s="26"/>
      <c r="AS275" s="27"/>
      <c r="AT275" s="27"/>
      <c r="AU275" s="27"/>
      <c r="AV275" s="27"/>
      <c r="AW275" s="27"/>
      <c r="AY275" s="189"/>
      <c r="AZ275" s="189"/>
      <c r="BA275" s="205"/>
      <c r="BC275" s="189"/>
      <c r="BE275" s="57"/>
    </row>
    <row r="276" spans="1:57">
      <c r="A276" s="19">
        <f>[1]!_xludf.edate(A275,1)</f>
        <v>45383</v>
      </c>
      <c r="B276" s="21">
        <f t="shared" si="25"/>
        <v>30</v>
      </c>
      <c r="C276" s="20">
        <f>IF(Control!$C$10="Physical",Model!A277+24,Model!A277)</f>
        <v>45413</v>
      </c>
      <c r="E276" s="22">
        <f>IF($A276&lt;Collar!$C$9,IF(Collar!$F$26="Flat",Collar!$C$10,VLOOKUP(Model!$A276,Collar!$B$31:$D$184,3)),0)</f>
        <v>0</v>
      </c>
      <c r="F276" s="22">
        <f t="shared" si="23"/>
        <v>0</v>
      </c>
      <c r="G276" s="26">
        <f t="shared" ca="1" si="21"/>
        <v>0</v>
      </c>
      <c r="H276" s="60">
        <f>A276-1-Collar!$C$13</f>
        <v>8182</v>
      </c>
      <c r="I276" s="24">
        <f t="shared" si="22"/>
        <v>5.7567003929004802E-2</v>
      </c>
      <c r="J276" s="25">
        <f t="shared" ca="1" si="24"/>
        <v>0.27949470912356106</v>
      </c>
      <c r="K276" s="200"/>
      <c r="L276" s="23"/>
      <c r="M276" s="23"/>
      <c r="N276" s="57"/>
      <c r="O276" s="57"/>
      <c r="P276" s="61"/>
      <c r="Q276" s="24"/>
      <c r="S276" s="25"/>
      <c r="T276" s="62"/>
      <c r="U276" s="27"/>
      <c r="V276" s="63"/>
      <c r="W276" s="170"/>
      <c r="X276" s="170"/>
      <c r="Y276" s="170"/>
      <c r="AA276" s="183"/>
      <c r="AB276" s="183"/>
      <c r="AC276" s="184"/>
      <c r="AD276" s="185"/>
      <c r="AE276" s="186"/>
      <c r="AF276" s="187"/>
      <c r="AG276" s="188"/>
      <c r="AH276" s="189"/>
      <c r="AI276" s="27"/>
      <c r="AJ276" s="28"/>
      <c r="AP276" s="26"/>
      <c r="AQ276" s="26"/>
      <c r="AR276" s="26"/>
      <c r="AS276" s="27"/>
      <c r="AT276" s="27"/>
      <c r="AU276" s="27"/>
      <c r="AV276" s="27"/>
      <c r="AW276" s="27"/>
      <c r="AY276" s="189"/>
      <c r="AZ276" s="189"/>
      <c r="BA276" s="205"/>
      <c r="BC276" s="189"/>
      <c r="BE276" s="57"/>
    </row>
    <row r="277" spans="1:57">
      <c r="A277" s="19">
        <f>[1]!_xludf.edate(A276,1)</f>
        <v>45413</v>
      </c>
      <c r="B277" s="21">
        <f t="shared" si="25"/>
        <v>31</v>
      </c>
      <c r="C277" s="20">
        <f>IF(Control!$C$10="Physical",Model!A278+24,Model!A278)</f>
        <v>45444</v>
      </c>
      <c r="E277" s="22">
        <f>IF($A277&lt;Collar!$C$9,IF(Collar!$F$26="Flat",Collar!$C$10,VLOOKUP(Model!$A277,Collar!$B$31:$D$184,3)),0)</f>
        <v>0</v>
      </c>
      <c r="F277" s="22">
        <f t="shared" si="23"/>
        <v>0</v>
      </c>
      <c r="G277" s="26">
        <f t="shared" ca="1" si="21"/>
        <v>0</v>
      </c>
      <c r="H277" s="60">
        <f>A277-1-Collar!$C$13</f>
        <v>8212</v>
      </c>
      <c r="I277" s="24">
        <f t="shared" si="22"/>
        <v>5.7569391825436501E-2</v>
      </c>
      <c r="J277" s="25">
        <f t="shared" ca="1" si="24"/>
        <v>0.27813708981694268</v>
      </c>
      <c r="K277" s="200"/>
      <c r="L277" s="23"/>
      <c r="M277" s="23"/>
      <c r="N277" s="57"/>
      <c r="O277" s="57"/>
      <c r="P277" s="61"/>
      <c r="Q277" s="24"/>
      <c r="S277" s="25"/>
      <c r="T277" s="62"/>
      <c r="U277" s="27"/>
      <c r="V277" s="63"/>
      <c r="W277" s="170"/>
      <c r="X277" s="170"/>
      <c r="Y277" s="170"/>
      <c r="AA277" s="183"/>
      <c r="AB277" s="183"/>
      <c r="AC277" s="184"/>
      <c r="AD277" s="185"/>
      <c r="AE277" s="186"/>
      <c r="AF277" s="187"/>
      <c r="AG277" s="188"/>
      <c r="AH277" s="189"/>
      <c r="AI277" s="27"/>
      <c r="AJ277" s="28"/>
      <c r="AP277" s="26"/>
      <c r="AQ277" s="26"/>
      <c r="AR277" s="26"/>
      <c r="AS277" s="27"/>
      <c r="AT277" s="27"/>
      <c r="AU277" s="27"/>
      <c r="AV277" s="27"/>
      <c r="AW277" s="27"/>
      <c r="AY277" s="189"/>
      <c r="AZ277" s="189"/>
      <c r="BA277" s="205"/>
      <c r="BC277" s="189"/>
      <c r="BE277" s="57"/>
    </row>
    <row r="278" spans="1:57">
      <c r="A278" s="19">
        <f>[1]!_xludf.edate(A277,1)</f>
        <v>45444</v>
      </c>
      <c r="B278" s="21">
        <f t="shared" si="25"/>
        <v>30</v>
      </c>
      <c r="C278" s="20">
        <f>IF(Control!$C$10="Physical",Model!A279+24,Model!A279)</f>
        <v>45474</v>
      </c>
      <c r="E278" s="22">
        <f>IF($A278&lt;Collar!$C$9,IF(Collar!$F$26="Flat",Collar!$C$10,VLOOKUP(Model!$A278,Collar!$B$31:$D$184,3)),0)</f>
        <v>0</v>
      </c>
      <c r="F278" s="22">
        <f t="shared" si="23"/>
        <v>0</v>
      </c>
      <c r="G278" s="26">
        <f t="shared" ca="1" si="21"/>
        <v>0</v>
      </c>
      <c r="H278" s="60">
        <f>A278-1-Collar!$C$13</f>
        <v>8243</v>
      </c>
      <c r="I278" s="24">
        <f t="shared" si="22"/>
        <v>5.7571702692953003E-2</v>
      </c>
      <c r="J278" s="25">
        <f t="shared" ca="1" si="24"/>
        <v>0.27682944002707277</v>
      </c>
      <c r="K278" s="200"/>
      <c r="L278" s="23"/>
      <c r="M278" s="23"/>
      <c r="N278" s="57"/>
      <c r="O278" s="57"/>
      <c r="P278" s="61"/>
      <c r="Q278" s="24"/>
      <c r="S278" s="25"/>
      <c r="T278" s="62"/>
      <c r="U278" s="27"/>
      <c r="V278" s="63"/>
      <c r="W278" s="170"/>
      <c r="X278" s="170"/>
      <c r="Y278" s="170"/>
      <c r="AA278" s="183"/>
      <c r="AB278" s="183"/>
      <c r="AC278" s="184"/>
      <c r="AD278" s="185"/>
      <c r="AE278" s="186"/>
      <c r="AF278" s="187"/>
      <c r="AG278" s="188"/>
      <c r="AH278" s="189"/>
      <c r="AI278" s="27"/>
      <c r="AJ278" s="28"/>
      <c r="AP278" s="26"/>
      <c r="AQ278" s="26"/>
      <c r="AR278" s="26"/>
      <c r="AS278" s="27"/>
      <c r="AT278" s="27"/>
      <c r="AU278" s="27"/>
      <c r="AV278" s="27"/>
      <c r="AW278" s="27"/>
      <c r="AY278" s="189"/>
      <c r="AZ278" s="189"/>
      <c r="BA278" s="205"/>
      <c r="BC278" s="189"/>
      <c r="BE278" s="57"/>
    </row>
    <row r="279" spans="1:57">
      <c r="A279" s="19">
        <f>[1]!_xludf.edate(A278,1)</f>
        <v>45474</v>
      </c>
      <c r="B279" s="21">
        <f t="shared" si="25"/>
        <v>31</v>
      </c>
      <c r="C279" s="20">
        <f>IF(Control!$C$10="Physical",Model!A280+24,Model!A280)</f>
        <v>45505</v>
      </c>
      <c r="E279" s="22">
        <f>IF($A279&lt;Collar!$C$9,IF(Collar!$F$26="Flat",Collar!$C$10,VLOOKUP(Model!$A279,Collar!$B$31:$D$184,3)),0)</f>
        <v>0</v>
      </c>
      <c r="F279" s="22">
        <f t="shared" si="23"/>
        <v>0</v>
      </c>
      <c r="G279" s="26">
        <f t="shared" ca="1" si="21"/>
        <v>0</v>
      </c>
      <c r="H279" s="60">
        <f>A279-1-Collar!$C$13</f>
        <v>8273</v>
      </c>
      <c r="I279" s="24">
        <f t="shared" si="22"/>
        <v>5.7574090589388199E-2</v>
      </c>
      <c r="J279" s="25">
        <f t="shared" ca="1" si="24"/>
        <v>0.27548455346917838</v>
      </c>
      <c r="K279" s="200"/>
      <c r="L279" s="23"/>
      <c r="M279" s="23"/>
      <c r="N279" s="57"/>
      <c r="O279" s="57"/>
      <c r="P279" s="61"/>
      <c r="Q279" s="24"/>
      <c r="S279" s="25"/>
      <c r="T279" s="62"/>
      <c r="U279" s="27"/>
      <c r="V279" s="63"/>
      <c r="W279" s="170"/>
      <c r="X279" s="170"/>
      <c r="Y279" s="170"/>
      <c r="AA279" s="183"/>
      <c r="AB279" s="183"/>
      <c r="AC279" s="184"/>
      <c r="AD279" s="185"/>
      <c r="AE279" s="186"/>
      <c r="AF279" s="187"/>
      <c r="AG279" s="188"/>
      <c r="AH279" s="189"/>
      <c r="AI279" s="27"/>
      <c r="AJ279" s="28"/>
      <c r="AP279" s="26"/>
      <c r="AQ279" s="26"/>
      <c r="AR279" s="26"/>
      <c r="AS279" s="27"/>
      <c r="AT279" s="27"/>
      <c r="AU279" s="27"/>
      <c r="AV279" s="27"/>
      <c r="AW279" s="27"/>
      <c r="AY279" s="189"/>
      <c r="AZ279" s="189"/>
      <c r="BA279" s="205"/>
      <c r="BC279" s="189"/>
      <c r="BE279" s="57"/>
    </row>
    <row r="280" spans="1:57">
      <c r="A280" s="19">
        <f>[1]!_xludf.edate(A279,1)</f>
        <v>45505</v>
      </c>
      <c r="B280" s="21">
        <f t="shared" si="25"/>
        <v>31</v>
      </c>
      <c r="C280" s="20">
        <f>IF(Control!$C$10="Physical",Model!A281+24,Model!A281)</f>
        <v>45536</v>
      </c>
      <c r="E280" s="22">
        <f>IF($A280&lt;Collar!$C$9,IF(Collar!$F$26="Flat",Collar!$C$10,VLOOKUP(Model!$A280,Collar!$B$31:$D$184,3)),0)</f>
        <v>0</v>
      </c>
      <c r="F280" s="22">
        <f t="shared" si="23"/>
        <v>0</v>
      </c>
      <c r="G280" s="26">
        <f t="shared" ca="1" si="21"/>
        <v>0</v>
      </c>
      <c r="H280" s="60">
        <f>A280-1-Collar!$C$13</f>
        <v>8304</v>
      </c>
      <c r="I280" s="24">
        <f t="shared" si="22"/>
        <v>5.7576478485826102E-2</v>
      </c>
      <c r="J280" s="25">
        <f t="shared" ca="1" si="24"/>
        <v>0.27414609261326256</v>
      </c>
      <c r="K280" s="200"/>
      <c r="L280" s="23"/>
      <c r="M280" s="23"/>
      <c r="N280" s="57"/>
      <c r="O280" s="57"/>
      <c r="P280" s="61"/>
      <c r="Q280" s="24"/>
      <c r="S280" s="25"/>
      <c r="T280" s="62"/>
      <c r="U280" s="27"/>
      <c r="V280" s="63"/>
      <c r="W280" s="170"/>
      <c r="X280" s="170"/>
      <c r="Y280" s="170"/>
      <c r="AA280" s="183"/>
      <c r="AB280" s="183"/>
      <c r="AC280" s="184"/>
      <c r="AD280" s="185"/>
      <c r="AE280" s="186"/>
      <c r="AF280" s="187"/>
      <c r="AG280" s="188"/>
      <c r="AH280" s="189"/>
      <c r="AI280" s="27"/>
      <c r="AJ280" s="28"/>
      <c r="AP280" s="26"/>
      <c r="AQ280" s="26"/>
      <c r="AR280" s="26"/>
      <c r="AS280" s="27"/>
      <c r="AT280" s="27"/>
      <c r="AU280" s="27"/>
      <c r="AV280" s="27"/>
      <c r="AW280" s="27"/>
      <c r="AY280" s="189"/>
      <c r="AZ280" s="189"/>
      <c r="BA280" s="205"/>
      <c r="BC280" s="189"/>
      <c r="BE280" s="57"/>
    </row>
    <row r="281" spans="1:57">
      <c r="A281" s="19">
        <f>[1]!_xludf.edate(A280,1)</f>
        <v>45536</v>
      </c>
      <c r="B281" s="21">
        <f t="shared" si="25"/>
        <v>30</v>
      </c>
      <c r="C281" s="20">
        <f>IF(Control!$C$10="Physical",Model!A282+24,Model!A282)</f>
        <v>45566</v>
      </c>
      <c r="E281" s="22">
        <f>IF($A281&lt;Collar!$C$9,IF(Collar!$F$26="Flat",Collar!$C$10,VLOOKUP(Model!$A281,Collar!$B$31:$D$184,3)),0)</f>
        <v>0</v>
      </c>
      <c r="F281" s="22">
        <f t="shared" si="23"/>
        <v>0</v>
      </c>
      <c r="G281" s="26">
        <f t="shared" ca="1" si="21"/>
        <v>0</v>
      </c>
      <c r="H281" s="60">
        <f>A281-1-Collar!$C$13</f>
        <v>8335</v>
      </c>
      <c r="I281" s="24">
        <f t="shared" si="22"/>
        <v>5.7578789353347502E-2</v>
      </c>
      <c r="J281" s="25">
        <f t="shared" ca="1" si="24"/>
        <v>0.27285689762241233</v>
      </c>
      <c r="K281" s="200"/>
      <c r="L281" s="23"/>
      <c r="M281" s="23"/>
      <c r="N281" s="57"/>
      <c r="O281" s="57"/>
      <c r="P281" s="61"/>
      <c r="Q281" s="24"/>
      <c r="S281" s="25"/>
      <c r="T281" s="62"/>
      <c r="U281" s="27"/>
      <c r="V281" s="63"/>
      <c r="W281" s="170"/>
      <c r="X281" s="170"/>
      <c r="Y281" s="170"/>
      <c r="AA281" s="183"/>
      <c r="AB281" s="183"/>
      <c r="AC281" s="184"/>
      <c r="AD281" s="185"/>
      <c r="AE281" s="186"/>
      <c r="AF281" s="187"/>
      <c r="AG281" s="188"/>
      <c r="AH281" s="189"/>
      <c r="AI281" s="27"/>
      <c r="AJ281" s="28"/>
      <c r="AP281" s="26"/>
      <c r="AQ281" s="26"/>
      <c r="AR281" s="26"/>
      <c r="AS281" s="27"/>
      <c r="AT281" s="27"/>
      <c r="AU281" s="27"/>
      <c r="AV281" s="27"/>
      <c r="AW281" s="27"/>
      <c r="AY281" s="189"/>
      <c r="AZ281" s="189"/>
      <c r="BA281" s="205"/>
      <c r="BC281" s="189"/>
      <c r="BE281" s="57"/>
    </row>
    <row r="282" spans="1:57">
      <c r="A282" s="19">
        <f>[1]!_xludf.edate(A281,1)</f>
        <v>45566</v>
      </c>
      <c r="B282" s="21">
        <f t="shared" si="25"/>
        <v>31</v>
      </c>
      <c r="C282" s="20">
        <f>IF(Control!$C$10="Physical",Model!A283+24,Model!A283)</f>
        <v>45597</v>
      </c>
      <c r="E282" s="22">
        <f>IF($A282&lt;Collar!$C$9,IF(Collar!$F$26="Flat",Collar!$C$10,VLOOKUP(Model!$A282,Collar!$B$31:$D$184,3)),0)</f>
        <v>0</v>
      </c>
      <c r="F282" s="22">
        <f t="shared" si="23"/>
        <v>0</v>
      </c>
      <c r="G282" s="26">
        <f t="shared" ca="1" si="21"/>
        <v>0</v>
      </c>
      <c r="H282" s="60">
        <f>A282-1-Collar!$C$13</f>
        <v>8365</v>
      </c>
      <c r="I282" s="24">
        <f t="shared" si="22"/>
        <v>5.75811772497885E-2</v>
      </c>
      <c r="J282" s="25">
        <f t="shared" ca="1" si="24"/>
        <v>0.27153099293520178</v>
      </c>
      <c r="K282" s="200"/>
      <c r="L282" s="23"/>
      <c r="M282" s="23"/>
      <c r="N282" s="57"/>
      <c r="O282" s="57"/>
      <c r="P282" s="61"/>
      <c r="Q282" s="24"/>
      <c r="S282" s="25"/>
      <c r="T282" s="62"/>
      <c r="U282" s="27"/>
      <c r="V282" s="63"/>
      <c r="W282" s="170"/>
      <c r="X282" s="170"/>
      <c r="Y282" s="170"/>
      <c r="AA282" s="183"/>
      <c r="AB282" s="183"/>
      <c r="AC282" s="184"/>
      <c r="AD282" s="185"/>
      <c r="AE282" s="186"/>
      <c r="AF282" s="187"/>
      <c r="AG282" s="188"/>
      <c r="AH282" s="189"/>
      <c r="AI282" s="27"/>
      <c r="AJ282" s="28"/>
      <c r="AP282" s="26"/>
      <c r="AQ282" s="26"/>
      <c r="AR282" s="26"/>
      <c r="AS282" s="27"/>
      <c r="AT282" s="27"/>
      <c r="AU282" s="27"/>
      <c r="AV282" s="27"/>
      <c r="AW282" s="27"/>
      <c r="AY282" s="189"/>
      <c r="AZ282" s="189"/>
      <c r="BA282" s="205"/>
      <c r="BC282" s="189"/>
      <c r="BE282" s="57"/>
    </row>
    <row r="283" spans="1:57">
      <c r="A283" s="19">
        <f>[1]!_xludf.edate(A282,1)</f>
        <v>45597</v>
      </c>
      <c r="B283" s="21">
        <f t="shared" si="25"/>
        <v>30</v>
      </c>
      <c r="C283" s="20">
        <f>IF(Control!$C$10="Physical",Model!A284+24,Model!A284)</f>
        <v>45627</v>
      </c>
      <c r="E283" s="22">
        <f>IF($A283&lt;Collar!$C$9,IF(Collar!$F$26="Flat",Collar!$C$10,VLOOKUP(Model!$A283,Collar!$B$31:$D$184,3)),0)</f>
        <v>0</v>
      </c>
      <c r="F283" s="22">
        <f t="shared" si="23"/>
        <v>0</v>
      </c>
      <c r="G283" s="26">
        <f t="shared" ca="1" si="21"/>
        <v>0</v>
      </c>
      <c r="H283" s="60">
        <f>A283-1-Collar!$C$13</f>
        <v>8396</v>
      </c>
      <c r="I283" s="24">
        <f t="shared" si="22"/>
        <v>5.75834881173138E-2</v>
      </c>
      <c r="J283" s="25">
        <f t="shared" ca="1" si="24"/>
        <v>0.27025389293802254</v>
      </c>
      <c r="K283" s="200"/>
      <c r="L283" s="23"/>
      <c r="M283" s="23"/>
      <c r="N283" s="57"/>
      <c r="O283" s="57"/>
      <c r="P283" s="61"/>
      <c r="Q283" s="24"/>
      <c r="S283" s="25"/>
      <c r="T283" s="62"/>
      <c r="U283" s="27"/>
      <c r="V283" s="63"/>
      <c r="W283" s="170"/>
      <c r="X283" s="170"/>
      <c r="Y283" s="170"/>
      <c r="AA283" s="183"/>
      <c r="AB283" s="183"/>
      <c r="AC283" s="184"/>
      <c r="AD283" s="185"/>
      <c r="AE283" s="186"/>
      <c r="AF283" s="187"/>
      <c r="AG283" s="188"/>
      <c r="AH283" s="189"/>
      <c r="AI283" s="27"/>
      <c r="AJ283" s="28"/>
      <c r="AP283" s="26"/>
      <c r="AQ283" s="26"/>
      <c r="AR283" s="26"/>
      <c r="AS283" s="27"/>
      <c r="AT283" s="27"/>
      <c r="AU283" s="27"/>
      <c r="AV283" s="27"/>
      <c r="AW283" s="27"/>
      <c r="AY283" s="189"/>
      <c r="AZ283" s="189"/>
      <c r="BA283" s="205"/>
      <c r="BC283" s="189"/>
      <c r="BE283" s="57"/>
    </row>
    <row r="284" spans="1:57">
      <c r="A284" s="19">
        <f>[1]!_xludf.edate(A283,1)</f>
        <v>45627</v>
      </c>
      <c r="B284" s="21">
        <f t="shared" si="25"/>
        <v>31</v>
      </c>
      <c r="C284" s="20">
        <f>IF(Control!$C$10="Physical",Model!A285+24,Model!A285)</f>
        <v>45658</v>
      </c>
      <c r="E284" s="22">
        <f>IF($A284&lt;Collar!$C$9,IF(Collar!$F$26="Flat",Collar!$C$10,VLOOKUP(Model!$A284,Collar!$B$31:$D$184,3)),0)</f>
        <v>0</v>
      </c>
      <c r="F284" s="22">
        <f t="shared" si="23"/>
        <v>0</v>
      </c>
      <c r="G284" s="26">
        <f t="shared" ca="1" si="21"/>
        <v>0</v>
      </c>
      <c r="H284" s="60">
        <f>A284-1-Collar!$C$13</f>
        <v>8426</v>
      </c>
      <c r="I284" s="24">
        <f t="shared" si="22"/>
        <v>5.7585876013758898E-2</v>
      </c>
      <c r="J284" s="25">
        <f t="shared" ca="1" si="24"/>
        <v>0.26894042866688028</v>
      </c>
      <c r="K284" s="200"/>
      <c r="L284" s="23"/>
      <c r="M284" s="23"/>
      <c r="N284" s="57"/>
      <c r="O284" s="57"/>
      <c r="P284" s="61"/>
      <c r="Q284" s="24"/>
      <c r="S284" s="25"/>
      <c r="T284" s="62"/>
      <c r="U284" s="27"/>
      <c r="V284" s="63"/>
      <c r="W284" s="170"/>
      <c r="X284" s="170"/>
      <c r="Y284" s="170"/>
      <c r="AA284" s="183"/>
      <c r="AB284" s="183"/>
      <c r="AC284" s="184"/>
      <c r="AD284" s="185"/>
      <c r="AE284" s="186"/>
      <c r="AF284" s="187"/>
      <c r="AG284" s="188"/>
      <c r="AH284" s="189"/>
      <c r="AI284" s="27"/>
      <c r="AJ284" s="28"/>
      <c r="AP284" s="26"/>
      <c r="AQ284" s="26"/>
      <c r="AR284" s="26"/>
      <c r="AS284" s="27"/>
      <c r="AT284" s="27"/>
      <c r="AU284" s="27"/>
      <c r="AV284" s="27"/>
      <c r="AW284" s="27"/>
      <c r="AY284" s="189"/>
      <c r="AZ284" s="189"/>
      <c r="BA284" s="205"/>
      <c r="BC284" s="189"/>
      <c r="BE284" s="57"/>
    </row>
    <row r="285" spans="1:57">
      <c r="A285" s="19">
        <f>[1]!_xludf.edate(A284,1)</f>
        <v>45658</v>
      </c>
      <c r="B285" s="21">
        <f t="shared" si="25"/>
        <v>31</v>
      </c>
      <c r="C285" s="20">
        <f>IF(Control!$C$10="Physical",Model!A286+24,Model!A286)</f>
        <v>45689</v>
      </c>
      <c r="E285" s="22">
        <f>IF($A285&lt;Collar!$C$9,IF(Collar!$F$26="Flat",Collar!$C$10,VLOOKUP(Model!$A285,Collar!$B$31:$D$184,3)),0)</f>
        <v>0</v>
      </c>
      <c r="F285" s="22">
        <f t="shared" si="23"/>
        <v>0</v>
      </c>
      <c r="G285" s="26">
        <f t="shared" ca="1" si="21"/>
        <v>0</v>
      </c>
      <c r="H285" s="60">
        <f>A285-1-Collar!$C$13</f>
        <v>8457</v>
      </c>
      <c r="I285" s="24">
        <f t="shared" si="22"/>
        <v>5.7588263910205703E-2</v>
      </c>
      <c r="J285" s="25">
        <f t="shared" ca="1" si="24"/>
        <v>0.26763324255051291</v>
      </c>
      <c r="K285" s="200"/>
      <c r="L285" s="23"/>
      <c r="M285" s="23"/>
      <c r="N285" s="57"/>
      <c r="O285" s="57"/>
      <c r="P285" s="61"/>
      <c r="Q285" s="24"/>
      <c r="S285" s="25"/>
      <c r="T285" s="62"/>
      <c r="U285" s="27"/>
      <c r="V285" s="63"/>
      <c r="W285" s="170"/>
      <c r="X285" s="170"/>
      <c r="Y285" s="170"/>
      <c r="AA285" s="183"/>
      <c r="AB285" s="183"/>
      <c r="AC285" s="184"/>
      <c r="AD285" s="185"/>
      <c r="AE285" s="186"/>
      <c r="AF285" s="187"/>
      <c r="AG285" s="188"/>
      <c r="AH285" s="189"/>
      <c r="AI285" s="27"/>
      <c r="AJ285" s="28"/>
      <c r="AP285" s="26"/>
      <c r="AQ285" s="26"/>
      <c r="AR285" s="26"/>
      <c r="AS285" s="27"/>
      <c r="AT285" s="27"/>
      <c r="AU285" s="27"/>
      <c r="AV285" s="27"/>
      <c r="AW285" s="27"/>
      <c r="AY285" s="189"/>
      <c r="AZ285" s="189"/>
      <c r="BA285" s="205"/>
      <c r="BC285" s="189"/>
      <c r="BE285" s="57"/>
    </row>
    <row r="286" spans="1:57">
      <c r="A286" s="19">
        <f>[1]!_xludf.edate(A285,1)</f>
        <v>45689</v>
      </c>
      <c r="B286" s="21">
        <f t="shared" si="25"/>
        <v>28</v>
      </c>
      <c r="C286" s="20">
        <f>IF(Control!$C$10="Physical",Model!A287+24,Model!A287)</f>
        <v>45717</v>
      </c>
      <c r="E286" s="22">
        <f>IF($A286&lt;Collar!$C$9,IF(Collar!$F$26="Flat",Collar!$C$10,VLOOKUP(Model!$A286,Collar!$B$31:$D$184,3)),0)</f>
        <v>0</v>
      </c>
      <c r="F286" s="22">
        <f t="shared" si="23"/>
        <v>0</v>
      </c>
      <c r="G286" s="26">
        <f t="shared" ca="1" si="21"/>
        <v>0</v>
      </c>
      <c r="H286" s="60">
        <f>A286-1-Collar!$C$13</f>
        <v>8488</v>
      </c>
      <c r="I286" s="24">
        <f t="shared" si="22"/>
        <v>5.7590420719901003E-2</v>
      </c>
      <c r="J286" s="25">
        <f t="shared" ca="1" si="24"/>
        <v>0.26645792999409368</v>
      </c>
      <c r="K286" s="200"/>
      <c r="L286" s="23"/>
      <c r="M286" s="23"/>
      <c r="N286" s="57"/>
      <c r="O286" s="57"/>
      <c r="P286" s="61"/>
      <c r="Q286" s="24"/>
      <c r="S286" s="25"/>
      <c r="T286" s="62"/>
      <c r="U286" s="27"/>
      <c r="V286" s="63"/>
      <c r="W286" s="170"/>
      <c r="X286" s="170"/>
      <c r="Y286" s="170"/>
      <c r="AA286" s="183"/>
      <c r="AB286" s="183"/>
      <c r="AC286" s="184"/>
      <c r="AD286" s="185"/>
      <c r="AE286" s="186"/>
      <c r="AF286" s="187"/>
      <c r="AG286" s="188"/>
      <c r="AH286" s="189"/>
      <c r="AI286" s="27"/>
      <c r="AJ286" s="28"/>
      <c r="AP286" s="26"/>
      <c r="AQ286" s="26"/>
      <c r="AR286" s="26"/>
      <c r="AS286" s="27"/>
      <c r="AT286" s="27"/>
      <c r="AU286" s="27"/>
      <c r="AV286" s="27"/>
      <c r="AW286" s="27"/>
      <c r="AY286" s="189"/>
      <c r="AZ286" s="189"/>
      <c r="BA286" s="205"/>
      <c r="BC286" s="189"/>
      <c r="BE286" s="57"/>
    </row>
    <row r="287" spans="1:57">
      <c r="A287" s="19">
        <f>[1]!_xludf.edate(A286,1)</f>
        <v>45717</v>
      </c>
      <c r="B287" s="21">
        <f t="shared" si="25"/>
        <v>31</v>
      </c>
      <c r="C287" s="20">
        <f>IF(Control!$C$10="Physical",Model!A288+24,Model!A288)</f>
        <v>45748</v>
      </c>
      <c r="E287" s="22">
        <f>IF($A287&lt;Collar!$C$9,IF(Collar!$F$26="Flat",Collar!$C$10,VLOOKUP(Model!$A287,Collar!$B$31:$D$184,3)),0)</f>
        <v>0</v>
      </c>
      <c r="F287" s="22">
        <f t="shared" si="23"/>
        <v>0</v>
      </c>
      <c r="G287" s="26">
        <f t="shared" ca="1" si="21"/>
        <v>0</v>
      </c>
      <c r="H287" s="60">
        <f>A287-1-Collar!$C$13</f>
        <v>8516</v>
      </c>
      <c r="I287" s="24">
        <f t="shared" si="22"/>
        <v>5.7592808616350903E-2</v>
      </c>
      <c r="J287" s="25">
        <f t="shared" ca="1" si="24"/>
        <v>0.26516261127068574</v>
      </c>
      <c r="K287" s="200"/>
      <c r="L287" s="23"/>
      <c r="M287" s="23"/>
      <c r="N287" s="57"/>
      <c r="O287" s="57"/>
      <c r="P287" s="61"/>
      <c r="Q287" s="24"/>
      <c r="S287" s="25"/>
      <c r="T287" s="62"/>
      <c r="U287" s="27"/>
      <c r="V287" s="63"/>
      <c r="W287" s="170"/>
      <c r="X287" s="170"/>
      <c r="Y287" s="170"/>
      <c r="AA287" s="183"/>
      <c r="AB287" s="183"/>
      <c r="AC287" s="184"/>
      <c r="AD287" s="185"/>
      <c r="AE287" s="186"/>
      <c r="AF287" s="187"/>
      <c r="AG287" s="188"/>
      <c r="AH287" s="189"/>
      <c r="AI287" s="27"/>
      <c r="AJ287" s="28"/>
      <c r="AP287" s="26"/>
      <c r="AQ287" s="26"/>
      <c r="AR287" s="26"/>
      <c r="AS287" s="27"/>
      <c r="AT287" s="27"/>
      <c r="AU287" s="27"/>
      <c r="AV287" s="27"/>
      <c r="AW287" s="27"/>
      <c r="AY287" s="189"/>
      <c r="AZ287" s="189"/>
      <c r="BA287" s="205"/>
      <c r="BC287" s="189"/>
      <c r="BE287" s="57"/>
    </row>
    <row r="288" spans="1:57">
      <c r="A288" s="19">
        <f>[1]!_xludf.edate(A287,1)</f>
        <v>45748</v>
      </c>
      <c r="B288" s="21">
        <f t="shared" si="25"/>
        <v>30</v>
      </c>
      <c r="C288" s="20">
        <f>IF(Control!$C$10="Physical",Model!A289+24,Model!A289)</f>
        <v>45778</v>
      </c>
      <c r="E288" s="22">
        <f>IF($A288&lt;Collar!$C$9,IF(Collar!$F$26="Flat",Collar!$C$10,VLOOKUP(Model!$A288,Collar!$B$31:$D$184,3)),0)</f>
        <v>0</v>
      </c>
      <c r="F288" s="22">
        <f t="shared" si="23"/>
        <v>0</v>
      </c>
      <c r="G288" s="26">
        <f t="shared" ca="1" si="21"/>
        <v>0</v>
      </c>
      <c r="H288" s="60">
        <f>A288-1-Collar!$C$13</f>
        <v>8547</v>
      </c>
      <c r="I288" s="24">
        <f t="shared" si="22"/>
        <v>5.7595119483885501E-2</v>
      </c>
      <c r="J288" s="25">
        <f t="shared" ca="1" si="24"/>
        <v>0.26391497380629236</v>
      </c>
      <c r="K288" s="200"/>
      <c r="L288" s="23"/>
      <c r="M288" s="23"/>
      <c r="N288" s="57"/>
      <c r="O288" s="57"/>
      <c r="P288" s="61"/>
      <c r="Q288" s="24"/>
      <c r="S288" s="25"/>
      <c r="T288" s="62"/>
      <c r="U288" s="27"/>
      <c r="V288" s="63"/>
      <c r="W288" s="170"/>
      <c r="X288" s="170"/>
      <c r="Y288" s="170"/>
      <c r="AA288" s="183"/>
      <c r="AB288" s="183"/>
      <c r="AC288" s="184"/>
      <c r="AD288" s="185"/>
      <c r="AE288" s="186"/>
      <c r="AF288" s="187"/>
      <c r="AG288" s="188"/>
      <c r="AH288" s="189"/>
      <c r="AI288" s="27"/>
      <c r="AJ288" s="28"/>
      <c r="AP288" s="26"/>
      <c r="AQ288" s="26"/>
      <c r="AR288" s="26"/>
      <c r="AS288" s="27"/>
      <c r="AT288" s="27"/>
      <c r="AU288" s="27"/>
      <c r="AV288" s="27"/>
      <c r="AW288" s="27"/>
      <c r="AY288" s="189"/>
      <c r="AZ288" s="189"/>
      <c r="BA288" s="205"/>
      <c r="BC288" s="189"/>
      <c r="BE288" s="57"/>
    </row>
    <row r="289" spans="1:22">
      <c r="A289" s="19">
        <f>[1]!_xludf.edate(A288,1)</f>
        <v>45778</v>
      </c>
      <c r="B289" s="21"/>
      <c r="V289" s="63"/>
    </row>
    <row r="290" spans="1:22">
      <c r="A290" s="20"/>
      <c r="B290" s="21"/>
      <c r="V290" s="63"/>
    </row>
    <row r="291" spans="1:22">
      <c r="A291" s="20"/>
      <c r="B291" s="21"/>
      <c r="V291" s="63"/>
    </row>
    <row r="292" spans="1:22">
      <c r="A292" s="20"/>
      <c r="B292" s="21"/>
      <c r="V292" s="63"/>
    </row>
    <row r="293" spans="1:22">
      <c r="A293" s="20"/>
      <c r="B293" s="21"/>
      <c r="V293" s="63"/>
    </row>
    <row r="294" spans="1:22">
      <c r="A294" s="20"/>
      <c r="B294" s="21"/>
      <c r="V294" s="63"/>
    </row>
    <row r="295" spans="1:22">
      <c r="A295" s="20"/>
      <c r="B295" s="21"/>
      <c r="V295" s="63"/>
    </row>
    <row r="296" spans="1:22">
      <c r="A296" s="20"/>
      <c r="B296" s="21"/>
      <c r="V296" s="63"/>
    </row>
    <row r="297" spans="1:22">
      <c r="A297" s="20"/>
      <c r="B297" s="21"/>
      <c r="V297" s="63"/>
    </row>
    <row r="298" spans="1:22">
      <c r="A298" s="20"/>
      <c r="B298" s="21"/>
      <c r="V298" s="63"/>
    </row>
    <row r="299" spans="1:22">
      <c r="A299" s="20"/>
      <c r="B299" s="21"/>
      <c r="V299" s="63"/>
    </row>
    <row r="300" spans="1:22">
      <c r="A300" s="20"/>
      <c r="B300" s="21"/>
      <c r="V300" s="63"/>
    </row>
    <row r="301" spans="1:22">
      <c r="A301" s="20"/>
      <c r="B301" s="21"/>
      <c r="V301" s="63"/>
    </row>
    <row r="302" spans="1:22">
      <c r="A302" s="20"/>
      <c r="B302" s="21"/>
      <c r="V302" s="63"/>
    </row>
    <row r="303" spans="1:22">
      <c r="A303" s="20"/>
      <c r="B303" s="21"/>
      <c r="V303" s="63"/>
    </row>
    <row r="304" spans="1:22">
      <c r="A304" s="20"/>
      <c r="B304" s="21"/>
      <c r="V304" s="63"/>
    </row>
    <row r="305" spans="1:22">
      <c r="A305" s="20"/>
      <c r="B305" s="21"/>
      <c r="V305" s="63"/>
    </row>
    <row r="306" spans="1:22">
      <c r="A306" s="20"/>
      <c r="B306" s="21"/>
      <c r="V306" s="63"/>
    </row>
    <row r="307" spans="1:22">
      <c r="A307" s="20"/>
      <c r="B307" s="21"/>
      <c r="V307" s="63"/>
    </row>
    <row r="308" spans="1:22">
      <c r="A308" s="20"/>
      <c r="B308" s="21"/>
      <c r="V308" s="63"/>
    </row>
    <row r="309" spans="1:22">
      <c r="A309" s="20"/>
      <c r="B309" s="21"/>
      <c r="V309" s="63"/>
    </row>
    <row r="310" spans="1:22">
      <c r="A310" s="20"/>
      <c r="B310" s="21"/>
      <c r="V310" s="63"/>
    </row>
    <row r="311" spans="1:22">
      <c r="A311" s="20"/>
      <c r="B311" s="21"/>
      <c r="V311" s="63"/>
    </row>
    <row r="312" spans="1:22">
      <c r="A312" s="20"/>
      <c r="B312" s="21"/>
      <c r="V312" s="63"/>
    </row>
    <row r="313" spans="1:22">
      <c r="A313" s="20"/>
      <c r="B313" s="21"/>
      <c r="V313" s="63"/>
    </row>
    <row r="314" spans="1:22">
      <c r="A314" s="20"/>
      <c r="B314" s="21"/>
      <c r="V314" s="63"/>
    </row>
    <row r="315" spans="1:22">
      <c r="A315" s="20"/>
      <c r="B315" s="21"/>
      <c r="V315" s="63"/>
    </row>
    <row r="316" spans="1:22">
      <c r="A316" s="20"/>
      <c r="B316" s="21"/>
      <c r="V316" s="63"/>
    </row>
    <row r="317" spans="1:22">
      <c r="A317" s="20"/>
      <c r="B317" s="21"/>
      <c r="V317" s="63"/>
    </row>
    <row r="318" spans="1:22">
      <c r="A318" s="20"/>
      <c r="B318" s="21"/>
      <c r="V318" s="63"/>
    </row>
    <row r="319" spans="1:22">
      <c r="A319" s="20"/>
      <c r="B319" s="21"/>
      <c r="V319" s="63"/>
    </row>
    <row r="320" spans="1:22">
      <c r="A320" s="20"/>
      <c r="B320" s="21"/>
    </row>
    <row r="321" spans="1:2">
      <c r="A321" s="20"/>
      <c r="B321" s="21"/>
    </row>
    <row r="322" spans="1:2">
      <c r="A322" s="20"/>
      <c r="B322" s="21"/>
    </row>
    <row r="323" spans="1:2">
      <c r="A323" s="20"/>
      <c r="B323" s="21"/>
    </row>
    <row r="324" spans="1:2">
      <c r="A324" s="20"/>
      <c r="B324" s="21"/>
    </row>
    <row r="325" spans="1:2">
      <c r="A325" s="20"/>
      <c r="B325" s="21"/>
    </row>
    <row r="326" spans="1:2">
      <c r="A326" s="20"/>
      <c r="B326" s="21"/>
    </row>
    <row r="327" spans="1:2">
      <c r="A327" s="20"/>
      <c r="B327" s="21"/>
    </row>
    <row r="328" spans="1:2">
      <c r="A328" s="20"/>
      <c r="B328" s="21"/>
    </row>
    <row r="329" spans="1:2">
      <c r="A329" s="20"/>
      <c r="B329" s="21"/>
    </row>
    <row r="330" spans="1:2">
      <c r="A330" s="20"/>
      <c r="B330" s="21"/>
    </row>
    <row r="331" spans="1:2">
      <c r="A331" s="20"/>
      <c r="B331" s="21"/>
    </row>
    <row r="332" spans="1:2">
      <c r="A332" s="20"/>
      <c r="B332" s="21"/>
    </row>
  </sheetData>
  <phoneticPr fontId="0" type="noConversion"/>
  <conditionalFormatting sqref="A8:A289">
    <cfRule type="expression" dxfId="0" priority="1" stopIfTrue="1">
      <formula>OR(MONTH($A8)=11,MONTH($A8)=12,MONTH($A8)=1,MONTH($A8)=2,MONTH($A8)=3)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E8019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2" sqref="E2"/>
    </sheetView>
  </sheetViews>
  <sheetFormatPr defaultRowHeight="12.75"/>
  <cols>
    <col min="1" max="1" width="6.28515625" style="1" customWidth="1"/>
    <col min="2" max="2" width="16.140625" style="1" customWidth="1"/>
    <col min="3" max="3" width="9.140625" style="1"/>
    <col min="4" max="4" width="12.7109375" style="10" customWidth="1"/>
    <col min="5" max="5" width="12.7109375" style="11" customWidth="1"/>
    <col min="6" max="13" width="16.7109375" style="11" customWidth="1"/>
    <col min="14" max="22" width="18.7109375" style="11" customWidth="1"/>
    <col min="23" max="24" width="12.7109375" style="11" customWidth="1"/>
    <col min="25" max="28" width="16.7109375" style="11" customWidth="1"/>
    <col min="29" max="29" width="14.7109375" style="11" customWidth="1"/>
    <col min="30" max="30" width="14.7109375" style="10" customWidth="1"/>
    <col min="31" max="36" width="14.7109375" style="11" customWidth="1"/>
    <col min="37" max="52" width="9.140625" style="11"/>
    <col min="53" max="16384" width="9.140625" style="1"/>
  </cols>
  <sheetData>
    <row r="1" spans="1:57">
      <c r="D1" s="1"/>
      <c r="E1" s="1">
        <v>1</v>
      </c>
      <c r="F1" s="2">
        <f t="shared" ref="F1:M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ref="N1:AJ1" si="1">M1+1</f>
        <v>10</v>
      </c>
      <c r="O1" s="2">
        <f t="shared" si="1"/>
        <v>11</v>
      </c>
      <c r="P1" s="2">
        <f t="shared" si="1"/>
        <v>12</v>
      </c>
      <c r="Q1" s="2">
        <f t="shared" si="1"/>
        <v>13</v>
      </c>
      <c r="R1" s="2">
        <f t="shared" si="1"/>
        <v>14</v>
      </c>
      <c r="S1" s="2">
        <f t="shared" si="1"/>
        <v>15</v>
      </c>
      <c r="T1" s="2">
        <f t="shared" si="1"/>
        <v>16</v>
      </c>
      <c r="U1" s="2">
        <f t="shared" si="1"/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7">
      <c r="B2" s="3">
        <f>HLOOKUP(Count,CurveTable,2,FALSE)</f>
        <v>37200</v>
      </c>
      <c r="D2" s="4" t="s">
        <v>0</v>
      </c>
      <c r="E2" s="17">
        <f>Control!C4</f>
        <v>37200</v>
      </c>
      <c r="F2" s="5">
        <f t="shared" ref="F2:M3" si="2">E2</f>
        <v>37200</v>
      </c>
      <c r="G2" s="5">
        <f t="shared" si="2"/>
        <v>37200</v>
      </c>
      <c r="H2" s="5">
        <f t="shared" si="2"/>
        <v>37200</v>
      </c>
      <c r="I2" s="5">
        <f t="shared" si="2"/>
        <v>37200</v>
      </c>
      <c r="J2" s="5">
        <f t="shared" si="2"/>
        <v>37200</v>
      </c>
      <c r="K2" s="5">
        <f t="shared" si="2"/>
        <v>37200</v>
      </c>
      <c r="L2" s="5">
        <f t="shared" si="2"/>
        <v>37200</v>
      </c>
      <c r="M2" s="5">
        <f t="shared" si="2"/>
        <v>37200</v>
      </c>
      <c r="N2" s="5">
        <f t="shared" ref="N2:AJ2" si="3">M2</f>
        <v>37200</v>
      </c>
      <c r="O2" s="5">
        <f t="shared" si="3"/>
        <v>37200</v>
      </c>
      <c r="P2" s="5">
        <f t="shared" si="3"/>
        <v>37200</v>
      </c>
      <c r="Q2" s="5">
        <f t="shared" si="3"/>
        <v>37200</v>
      </c>
      <c r="R2" s="5">
        <f t="shared" si="3"/>
        <v>37200</v>
      </c>
      <c r="S2" s="5">
        <f t="shared" si="3"/>
        <v>37200</v>
      </c>
      <c r="T2" s="5">
        <f t="shared" si="3"/>
        <v>37200</v>
      </c>
      <c r="U2" s="5">
        <f t="shared" si="3"/>
        <v>37200</v>
      </c>
      <c r="V2" s="5">
        <f t="shared" si="3"/>
        <v>37200</v>
      </c>
      <c r="W2" s="5">
        <f t="shared" si="3"/>
        <v>37200</v>
      </c>
      <c r="X2" s="5">
        <f t="shared" si="3"/>
        <v>37200</v>
      </c>
      <c r="Y2" s="5">
        <f t="shared" si="3"/>
        <v>37200</v>
      </c>
      <c r="Z2" s="5">
        <f t="shared" si="3"/>
        <v>37200</v>
      </c>
      <c r="AA2" s="5">
        <f t="shared" si="3"/>
        <v>37200</v>
      </c>
      <c r="AB2" s="5">
        <f t="shared" si="3"/>
        <v>37200</v>
      </c>
      <c r="AC2" s="5">
        <f t="shared" si="3"/>
        <v>37200</v>
      </c>
      <c r="AD2" s="5">
        <f t="shared" si="3"/>
        <v>37200</v>
      </c>
      <c r="AE2" s="5">
        <f t="shared" si="3"/>
        <v>37200</v>
      </c>
      <c r="AF2" s="5">
        <f t="shared" si="3"/>
        <v>37200</v>
      </c>
      <c r="AG2" s="5">
        <f t="shared" si="3"/>
        <v>37200</v>
      </c>
      <c r="AH2" s="5">
        <f t="shared" si="3"/>
        <v>37200</v>
      </c>
      <c r="AI2" s="5">
        <f t="shared" si="3"/>
        <v>37200</v>
      </c>
      <c r="AJ2" s="5">
        <f t="shared" si="3"/>
        <v>37200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7">
      <c r="B3" s="6">
        <f>HLOOKUP(Count,CurveTable,3,FALSE)</f>
        <v>37226</v>
      </c>
      <c r="D3" s="4" t="s">
        <v>1</v>
      </c>
      <c r="E3" s="6">
        <f>EOMONTH(E2,0)+1</f>
        <v>37226</v>
      </c>
      <c r="F3" s="6">
        <f t="shared" si="2"/>
        <v>37226</v>
      </c>
      <c r="G3" s="6">
        <f t="shared" si="2"/>
        <v>37226</v>
      </c>
      <c r="H3" s="6">
        <f t="shared" si="2"/>
        <v>37226</v>
      </c>
      <c r="I3" s="6">
        <f t="shared" si="2"/>
        <v>37226</v>
      </c>
      <c r="J3" s="6">
        <f t="shared" si="2"/>
        <v>37226</v>
      </c>
      <c r="K3" s="6">
        <f t="shared" si="2"/>
        <v>37226</v>
      </c>
      <c r="L3" s="6">
        <f t="shared" si="2"/>
        <v>37226</v>
      </c>
      <c r="M3" s="6">
        <f t="shared" si="2"/>
        <v>37226</v>
      </c>
      <c r="N3" s="6">
        <f t="shared" ref="N3:AJ3" si="4">M3</f>
        <v>37226</v>
      </c>
      <c r="O3" s="6">
        <f t="shared" si="4"/>
        <v>37226</v>
      </c>
      <c r="P3" s="6">
        <f t="shared" si="4"/>
        <v>37226</v>
      </c>
      <c r="Q3" s="6">
        <f t="shared" si="4"/>
        <v>37226</v>
      </c>
      <c r="R3" s="6">
        <f t="shared" si="4"/>
        <v>37226</v>
      </c>
      <c r="S3" s="6">
        <f t="shared" si="4"/>
        <v>37226</v>
      </c>
      <c r="T3" s="6">
        <f t="shared" si="4"/>
        <v>37226</v>
      </c>
      <c r="U3" s="6">
        <f t="shared" si="4"/>
        <v>37226</v>
      </c>
      <c r="V3" s="6">
        <f t="shared" si="4"/>
        <v>37226</v>
      </c>
      <c r="W3" s="6">
        <f t="shared" si="4"/>
        <v>37226</v>
      </c>
      <c r="X3" s="6">
        <f t="shared" si="4"/>
        <v>37226</v>
      </c>
      <c r="Y3" s="6">
        <f t="shared" si="4"/>
        <v>37226</v>
      </c>
      <c r="Z3" s="6">
        <f t="shared" si="4"/>
        <v>37226</v>
      </c>
      <c r="AA3" s="6">
        <f t="shared" si="4"/>
        <v>37226</v>
      </c>
      <c r="AB3" s="6">
        <f t="shared" si="4"/>
        <v>37226</v>
      </c>
      <c r="AC3" s="6">
        <f t="shared" si="4"/>
        <v>37226</v>
      </c>
      <c r="AD3" s="6">
        <f t="shared" si="4"/>
        <v>37226</v>
      </c>
      <c r="AE3" s="6">
        <f t="shared" si="4"/>
        <v>37226</v>
      </c>
      <c r="AF3" s="6">
        <f t="shared" si="4"/>
        <v>37226</v>
      </c>
      <c r="AG3" s="6">
        <f t="shared" si="4"/>
        <v>37226</v>
      </c>
      <c r="AH3" s="6">
        <f t="shared" si="4"/>
        <v>37226</v>
      </c>
      <c r="AI3" s="6">
        <f t="shared" si="4"/>
        <v>37226</v>
      </c>
      <c r="AJ3" s="6">
        <f t="shared" si="4"/>
        <v>37226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7" s="7" customFormat="1">
      <c r="A4" s="1">
        <v>32</v>
      </c>
      <c r="B4" s="6" t="str">
        <f>HLOOKUP(Count,CurveTable,4,FALSE)</f>
        <v>NGI-SOBDR-PG&amp;E</v>
      </c>
      <c r="C4" s="1"/>
      <c r="D4" s="4" t="s">
        <v>2</v>
      </c>
      <c r="E4" s="6" t="s">
        <v>29</v>
      </c>
      <c r="F4" s="6" t="s">
        <v>3</v>
      </c>
      <c r="G4" s="6" t="s">
        <v>3</v>
      </c>
      <c r="H4" s="6" t="s">
        <v>4</v>
      </c>
      <c r="I4" s="6" t="s">
        <v>4</v>
      </c>
      <c r="J4" s="6" t="s">
        <v>4</v>
      </c>
      <c r="K4" s="6" t="s">
        <v>5</v>
      </c>
      <c r="L4" s="6" t="s">
        <v>5</v>
      </c>
      <c r="M4" s="6" t="s">
        <v>5</v>
      </c>
      <c r="N4" s="6" t="s">
        <v>6</v>
      </c>
      <c r="O4" s="6" t="s">
        <v>6</v>
      </c>
      <c r="P4" s="6" t="s">
        <v>6</v>
      </c>
      <c r="Q4" s="6" t="s">
        <v>49</v>
      </c>
      <c r="R4" s="6" t="s">
        <v>49</v>
      </c>
      <c r="S4" s="6" t="s">
        <v>50</v>
      </c>
      <c r="T4" s="6" t="s">
        <v>50</v>
      </c>
      <c r="U4" s="6" t="s">
        <v>48</v>
      </c>
      <c r="V4" s="6" t="s">
        <v>48</v>
      </c>
      <c r="W4" s="6" t="s">
        <v>7</v>
      </c>
      <c r="X4" s="6" t="s">
        <v>7</v>
      </c>
      <c r="Y4" s="6" t="s">
        <v>11</v>
      </c>
      <c r="Z4" s="6" t="s">
        <v>11</v>
      </c>
      <c r="AA4" s="6" t="s">
        <v>11</v>
      </c>
      <c r="AB4" s="6" t="s">
        <v>9</v>
      </c>
      <c r="AC4" s="6" t="s">
        <v>9</v>
      </c>
      <c r="AD4" s="6" t="s">
        <v>8</v>
      </c>
      <c r="AE4" s="6" t="s">
        <v>8</v>
      </c>
      <c r="AF4" s="6" t="s">
        <v>8</v>
      </c>
      <c r="AG4" s="6" t="s">
        <v>10</v>
      </c>
      <c r="AH4" s="6" t="s">
        <v>10</v>
      </c>
      <c r="AI4" s="6" t="s">
        <v>47</v>
      </c>
      <c r="AJ4" s="6" t="s">
        <v>47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>
      <c r="B5" s="8" t="str">
        <f>HLOOKUP(Count,CurveTable,5,FALSE)</f>
        <v>PR</v>
      </c>
      <c r="D5" s="4" t="s">
        <v>12</v>
      </c>
      <c r="E5" s="8" t="s">
        <v>31</v>
      </c>
      <c r="F5" s="8" t="s">
        <v>13</v>
      </c>
      <c r="G5" s="8" t="s">
        <v>46</v>
      </c>
      <c r="H5" s="8" t="s">
        <v>13</v>
      </c>
      <c r="I5" s="8" t="s">
        <v>13</v>
      </c>
      <c r="J5" s="8" t="s">
        <v>46</v>
      </c>
      <c r="K5" s="8" t="s">
        <v>13</v>
      </c>
      <c r="L5" s="8" t="s">
        <v>13</v>
      </c>
      <c r="M5" s="8" t="s">
        <v>46</v>
      </c>
      <c r="N5" s="8" t="s">
        <v>13</v>
      </c>
      <c r="O5" s="8" t="s">
        <v>13</v>
      </c>
      <c r="P5" s="8" t="s">
        <v>46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8" t="s">
        <v>13</v>
      </c>
      <c r="X5" s="8" t="s">
        <v>13</v>
      </c>
      <c r="Y5" s="8" t="s">
        <v>13</v>
      </c>
      <c r="Z5" s="8" t="s">
        <v>13</v>
      </c>
      <c r="AA5" s="8" t="s">
        <v>46</v>
      </c>
      <c r="AB5" s="8" t="s">
        <v>13</v>
      </c>
      <c r="AC5" s="8" t="s">
        <v>13</v>
      </c>
      <c r="AD5" s="8" t="s">
        <v>13</v>
      </c>
      <c r="AE5" s="8" t="s">
        <v>13</v>
      </c>
      <c r="AF5" s="8" t="s">
        <v>46</v>
      </c>
      <c r="AG5" s="8" t="s">
        <v>13</v>
      </c>
      <c r="AH5" s="8" t="s">
        <v>13</v>
      </c>
      <c r="AI5" s="8" t="s">
        <v>13</v>
      </c>
      <c r="AJ5" s="8" t="s">
        <v>13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7">
      <c r="B6" s="8" t="str">
        <f>HLOOKUP(Count,CurveTable,6,FALSE)</f>
        <v>I</v>
      </c>
      <c r="D6" s="4" t="s">
        <v>14</v>
      </c>
      <c r="E6" s="8" t="s">
        <v>30</v>
      </c>
      <c r="F6" s="8" t="s">
        <v>15</v>
      </c>
      <c r="G6" s="8" t="s">
        <v>15</v>
      </c>
      <c r="H6" s="8" t="s">
        <v>16</v>
      </c>
      <c r="I6" s="8" t="s">
        <v>51</v>
      </c>
      <c r="J6" s="8" t="s">
        <v>15</v>
      </c>
      <c r="K6" s="8" t="s">
        <v>16</v>
      </c>
      <c r="L6" s="8" t="s">
        <v>51</v>
      </c>
      <c r="M6" s="8" t="s">
        <v>15</v>
      </c>
      <c r="N6" s="8" t="s">
        <v>16</v>
      </c>
      <c r="O6" s="8" t="s">
        <v>51</v>
      </c>
      <c r="P6" s="8" t="s">
        <v>15</v>
      </c>
      <c r="Q6" s="8" t="s">
        <v>16</v>
      </c>
      <c r="R6" s="8" t="s">
        <v>51</v>
      </c>
      <c r="S6" s="8" t="s">
        <v>16</v>
      </c>
      <c r="T6" s="8" t="s">
        <v>51</v>
      </c>
      <c r="U6" s="8" t="s">
        <v>16</v>
      </c>
      <c r="V6" s="8" t="s">
        <v>51</v>
      </c>
      <c r="W6" s="8" t="s">
        <v>16</v>
      </c>
      <c r="X6" s="8" t="s">
        <v>51</v>
      </c>
      <c r="Y6" s="8" t="s">
        <v>16</v>
      </c>
      <c r="Z6" s="8" t="s">
        <v>51</v>
      </c>
      <c r="AA6" s="8" t="s">
        <v>15</v>
      </c>
      <c r="AB6" s="8" t="s">
        <v>16</v>
      </c>
      <c r="AC6" s="8" t="s">
        <v>51</v>
      </c>
      <c r="AD6" s="8" t="s">
        <v>16</v>
      </c>
      <c r="AE6" s="8" t="s">
        <v>51</v>
      </c>
      <c r="AF6" s="8" t="s">
        <v>15</v>
      </c>
      <c r="AG6" s="8" t="s">
        <v>16</v>
      </c>
      <c r="AH6" s="8" t="s">
        <v>51</v>
      </c>
      <c r="AI6" s="8" t="s">
        <v>16</v>
      </c>
      <c r="AJ6" s="8" t="s">
        <v>51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7">
      <c r="B7" s="8" t="str">
        <f>HLOOKUP(Count,CurveTable,7,FALSE)</f>
        <v>aj8</v>
      </c>
      <c r="D7" s="4" t="s">
        <v>17</v>
      </c>
      <c r="E7" s="8" t="s">
        <v>18</v>
      </c>
      <c r="F7" s="8" t="s">
        <v>19</v>
      </c>
      <c r="G7" s="8" t="s">
        <v>20</v>
      </c>
      <c r="H7" s="8" t="s">
        <v>21</v>
      </c>
      <c r="I7" s="8" t="s">
        <v>22</v>
      </c>
      <c r="J7" s="8" t="s">
        <v>23</v>
      </c>
      <c r="K7" s="8" t="s">
        <v>24</v>
      </c>
      <c r="L7" s="8" t="s">
        <v>25</v>
      </c>
      <c r="M7" s="8" t="s">
        <v>26</v>
      </c>
      <c r="N7" s="8" t="s">
        <v>114</v>
      </c>
      <c r="O7" s="8" t="s">
        <v>115</v>
      </c>
      <c r="P7" s="8" t="s">
        <v>116</v>
      </c>
      <c r="Q7" s="8" t="s">
        <v>117</v>
      </c>
      <c r="R7" s="8" t="s">
        <v>118</v>
      </c>
      <c r="S7" s="8" t="s">
        <v>119</v>
      </c>
      <c r="T7" s="8" t="s">
        <v>120</v>
      </c>
      <c r="U7" s="8" t="s">
        <v>121</v>
      </c>
      <c r="V7" s="8" t="s">
        <v>122</v>
      </c>
      <c r="W7" s="8" t="s">
        <v>123</v>
      </c>
      <c r="X7" s="8" t="s">
        <v>124</v>
      </c>
      <c r="Y7" s="8" t="s">
        <v>125</v>
      </c>
      <c r="Z7" s="8" t="s">
        <v>126</v>
      </c>
      <c r="AA7" s="8" t="s">
        <v>127</v>
      </c>
      <c r="AB7" s="8" t="s">
        <v>128</v>
      </c>
      <c r="AC7" s="8" t="s">
        <v>129</v>
      </c>
      <c r="AD7" s="8" t="s">
        <v>130</v>
      </c>
      <c r="AE7" s="8" t="s">
        <v>131</v>
      </c>
      <c r="AF7" s="8" t="s">
        <v>132</v>
      </c>
      <c r="AG7" s="8" t="s">
        <v>133</v>
      </c>
      <c r="AH7" s="8" t="s">
        <v>134</v>
      </c>
      <c r="AI7" s="8" t="s">
        <v>135</v>
      </c>
      <c r="AJ7" s="8" t="s">
        <v>136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7">
      <c r="B8" s="9"/>
      <c r="D8" s="10">
        <v>37226</v>
      </c>
      <c r="E8" s="11">
        <v>2.3015385683022398E-2</v>
      </c>
      <c r="F8" s="11">
        <v>2.9220000000000002</v>
      </c>
      <c r="G8" s="11">
        <v>0.83499999999999996</v>
      </c>
      <c r="H8" s="11">
        <v>-0.38500000000000001</v>
      </c>
      <c r="I8" s="11">
        <v>-0.01</v>
      </c>
      <c r="J8" s="11">
        <v>0.83499999999999996</v>
      </c>
      <c r="K8" s="11">
        <v>-0.24</v>
      </c>
      <c r="L8" s="11">
        <v>-2.75E-2</v>
      </c>
      <c r="M8" s="11">
        <v>0.83499999999999996</v>
      </c>
      <c r="N8" s="11">
        <v>-0.52500000000000002</v>
      </c>
      <c r="O8" s="11">
        <v>1.4999999999999999E-2</v>
      </c>
      <c r="P8" s="11">
        <v>0.83499999999999996</v>
      </c>
      <c r="Q8" s="11">
        <v>-0.52500000000000002</v>
      </c>
      <c r="R8" s="11">
        <v>0</v>
      </c>
      <c r="S8" s="11">
        <v>-0.67500000000000004</v>
      </c>
      <c r="T8" s="11">
        <v>4.9000000000000002E-2</v>
      </c>
      <c r="U8" s="11">
        <v>-0.57499999999999996</v>
      </c>
      <c r="V8" s="11">
        <v>0.02</v>
      </c>
      <c r="W8" s="11">
        <v>-0.45492131501710997</v>
      </c>
      <c r="X8" s="11">
        <v>0</v>
      </c>
      <c r="Y8" s="11">
        <v>-0.11</v>
      </c>
      <c r="Z8" s="11">
        <v>0.04</v>
      </c>
      <c r="AA8" s="11">
        <v>0.85199999999999998</v>
      </c>
      <c r="AB8" s="11">
        <v>-0.15</v>
      </c>
      <c r="AC8" s="11">
        <v>0.02</v>
      </c>
      <c r="AD8" s="10">
        <v>-0.13500000000000001</v>
      </c>
      <c r="AE8" s="11">
        <v>-0.01</v>
      </c>
      <c r="AF8" s="11">
        <v>0.90200000000000002</v>
      </c>
      <c r="AG8" s="11">
        <v>-0.05</v>
      </c>
      <c r="AH8" s="11">
        <v>0.01</v>
      </c>
      <c r="AI8" s="11">
        <v>-0.15</v>
      </c>
      <c r="AJ8" s="11">
        <v>0</v>
      </c>
    </row>
    <row r="9" spans="1:57">
      <c r="B9" s="12"/>
      <c r="D9" s="10">
        <v>37257</v>
      </c>
      <c r="E9" s="11">
        <v>2.26181366937874E-2</v>
      </c>
      <c r="F9" s="11">
        <v>3.0920000000000001</v>
      </c>
      <c r="G9" s="11">
        <v>0.80249999999999999</v>
      </c>
      <c r="H9" s="11">
        <v>-0.3</v>
      </c>
      <c r="I9" s="11">
        <v>-0.01</v>
      </c>
      <c r="J9" s="11">
        <v>0.80300000000000005</v>
      </c>
      <c r="K9" s="11">
        <v>-0.21</v>
      </c>
      <c r="L9" s="11">
        <v>-2.75E-2</v>
      </c>
      <c r="M9" s="11">
        <v>0.80300000000000005</v>
      </c>
      <c r="N9" s="11">
        <v>-0.41</v>
      </c>
      <c r="O9" s="11">
        <v>1.4999999999999999E-2</v>
      </c>
      <c r="P9" s="11">
        <v>0.80300000000000005</v>
      </c>
      <c r="Q9" s="11">
        <v>-0.41</v>
      </c>
      <c r="R9" s="11">
        <v>2.5000000000000001E-2</v>
      </c>
      <c r="S9" s="11">
        <v>-0.55500000000000005</v>
      </c>
      <c r="T9" s="11">
        <v>4.9000000000000002E-2</v>
      </c>
      <c r="U9" s="11">
        <v>-0.45500000000000002</v>
      </c>
      <c r="V9" s="11">
        <v>0.02</v>
      </c>
      <c r="W9" s="11">
        <v>-0.47499999999999998</v>
      </c>
      <c r="X9" s="11">
        <v>-1.323793818481E-3</v>
      </c>
      <c r="Y9" s="11">
        <v>0.01</v>
      </c>
      <c r="Z9" s="11">
        <v>0.04</v>
      </c>
      <c r="AA9" s="11">
        <v>0.81899999999999995</v>
      </c>
      <c r="AB9" s="11">
        <v>-0.12</v>
      </c>
      <c r="AC9" s="11">
        <v>0.02</v>
      </c>
      <c r="AD9" s="10">
        <v>-0.105</v>
      </c>
      <c r="AE9" s="11">
        <v>-0.01</v>
      </c>
      <c r="AF9" s="11">
        <v>0.86699999999999999</v>
      </c>
      <c r="AG9" s="11">
        <v>2.5000000000000001E-2</v>
      </c>
      <c r="AH9" s="11">
        <v>0.01</v>
      </c>
      <c r="AI9" s="11">
        <v>-7.4999999999999997E-2</v>
      </c>
      <c r="AJ9" s="11">
        <v>0</v>
      </c>
    </row>
    <row r="10" spans="1:57">
      <c r="D10" s="10">
        <v>37288</v>
      </c>
      <c r="E10" s="11">
        <v>2.2187865422089299E-2</v>
      </c>
      <c r="F10" s="11">
        <v>3.11</v>
      </c>
      <c r="G10" s="11">
        <v>0.73750000000000004</v>
      </c>
      <c r="H10" s="11">
        <v>-0.28999999999999998</v>
      </c>
      <c r="I10" s="11">
        <v>-0.01</v>
      </c>
      <c r="J10" s="11">
        <v>0.73799999999999999</v>
      </c>
      <c r="K10" s="11">
        <v>-0.19500000000000001</v>
      </c>
      <c r="L10" s="11">
        <v>-2.75E-2</v>
      </c>
      <c r="M10" s="11">
        <v>0.73799999999999999</v>
      </c>
      <c r="N10" s="11">
        <v>-0.41</v>
      </c>
      <c r="O10" s="11">
        <v>1.4999999999999999E-2</v>
      </c>
      <c r="P10" s="11">
        <v>0.73799999999999999</v>
      </c>
      <c r="Q10" s="11">
        <v>-0.41</v>
      </c>
      <c r="R10" s="11">
        <v>2.5000000000000001E-2</v>
      </c>
      <c r="S10" s="11">
        <v>-0.55500000000000005</v>
      </c>
      <c r="T10" s="11">
        <v>4.9000000000000002E-2</v>
      </c>
      <c r="U10" s="11">
        <v>-0.45500000000000002</v>
      </c>
      <c r="V10" s="11">
        <v>0.02</v>
      </c>
      <c r="W10" s="11">
        <v>-0.48</v>
      </c>
      <c r="X10" s="11">
        <v>-1.3237151898499999E-3</v>
      </c>
      <c r="Y10" s="11">
        <v>-0.17</v>
      </c>
      <c r="Z10" s="11">
        <v>0.03</v>
      </c>
      <c r="AA10" s="11">
        <v>0.752</v>
      </c>
      <c r="AB10" s="11">
        <v>-0.13500000000000001</v>
      </c>
      <c r="AC10" s="11">
        <v>0.02</v>
      </c>
      <c r="AD10" s="10">
        <v>-0.12</v>
      </c>
      <c r="AE10" s="11">
        <v>-0.01</v>
      </c>
      <c r="AF10" s="11">
        <v>0.79700000000000004</v>
      </c>
      <c r="AG10" s="11">
        <v>5.0000000000000001E-3</v>
      </c>
      <c r="AH10" s="11">
        <v>0.01</v>
      </c>
      <c r="AI10" s="11">
        <v>-9.5000000000000001E-2</v>
      </c>
      <c r="AJ10" s="11">
        <v>0</v>
      </c>
    </row>
    <row r="11" spans="1:57">
      <c r="D11" s="10">
        <v>37316</v>
      </c>
      <c r="E11" s="11">
        <v>2.1810902346369999E-2</v>
      </c>
      <c r="F11" s="11">
        <v>3.0649999999999999</v>
      </c>
      <c r="G11" s="11">
        <v>0.65</v>
      </c>
      <c r="H11" s="11">
        <v>-0.32500000000000001</v>
      </c>
      <c r="I11" s="11">
        <v>-0.01</v>
      </c>
      <c r="J11" s="11">
        <v>0.65</v>
      </c>
      <c r="K11" s="11">
        <v>-0.19</v>
      </c>
      <c r="L11" s="11">
        <v>-2.75E-2</v>
      </c>
      <c r="M11" s="11">
        <v>0.65</v>
      </c>
      <c r="N11" s="11">
        <v>-0.48</v>
      </c>
      <c r="O11" s="11">
        <v>1.4999999999999999E-2</v>
      </c>
      <c r="P11" s="11">
        <v>0.65</v>
      </c>
      <c r="Q11" s="11">
        <v>-0.48</v>
      </c>
      <c r="R11" s="11">
        <v>0</v>
      </c>
      <c r="S11" s="11">
        <v>-0.625</v>
      </c>
      <c r="T11" s="11">
        <v>2.9000000000000001E-2</v>
      </c>
      <c r="U11" s="11">
        <v>-0.52500000000000002</v>
      </c>
      <c r="V11" s="11">
        <v>0.02</v>
      </c>
      <c r="W11" s="11">
        <v>-0.505</v>
      </c>
      <c r="X11" s="11">
        <v>-1.3235842945734E-3</v>
      </c>
      <c r="Y11" s="11">
        <v>-0.37</v>
      </c>
      <c r="Z11" s="11">
        <v>1.4999999999999999E-2</v>
      </c>
      <c r="AA11" s="11">
        <v>0.66300000000000003</v>
      </c>
      <c r="AB11" s="11">
        <v>-0.19500000000000001</v>
      </c>
      <c r="AC11" s="11">
        <v>0.02</v>
      </c>
      <c r="AD11" s="10">
        <v>-0.14000000000000001</v>
      </c>
      <c r="AE11" s="11">
        <v>-0.01</v>
      </c>
      <c r="AF11" s="11">
        <v>0.70199999999999996</v>
      </c>
      <c r="AG11" s="11">
        <v>-0.04</v>
      </c>
      <c r="AH11" s="11">
        <v>0.01</v>
      </c>
      <c r="AI11" s="11">
        <v>-0.14000000000000001</v>
      </c>
      <c r="AJ11" s="11">
        <v>0</v>
      </c>
    </row>
    <row r="12" spans="1:57">
      <c r="D12" s="10">
        <v>37347</v>
      </c>
      <c r="E12" s="11">
        <v>2.1525470534948798E-2</v>
      </c>
      <c r="F12" s="11">
        <v>2.9849999999999999</v>
      </c>
      <c r="G12" s="11">
        <v>0.52</v>
      </c>
      <c r="H12" s="11">
        <v>-0.375</v>
      </c>
      <c r="I12" s="11">
        <v>0</v>
      </c>
      <c r="J12" s="11">
        <v>0.52</v>
      </c>
      <c r="K12" s="11">
        <v>-0.1575</v>
      </c>
      <c r="L12" s="11">
        <v>-0.01</v>
      </c>
      <c r="M12" s="11">
        <v>0.52</v>
      </c>
      <c r="N12" s="11">
        <v>-0.56000000000000005</v>
      </c>
      <c r="O12" s="11">
        <v>0.02</v>
      </c>
      <c r="P12" s="11">
        <v>0.52</v>
      </c>
      <c r="Q12" s="11">
        <v>-0.56000000000000005</v>
      </c>
      <c r="R12" s="11">
        <v>0</v>
      </c>
      <c r="S12" s="11">
        <v>-0.66</v>
      </c>
      <c r="T12" s="11">
        <v>1.2E-2</v>
      </c>
      <c r="U12" s="11">
        <v>-0.66</v>
      </c>
      <c r="V12" s="11">
        <v>0.01</v>
      </c>
      <c r="W12" s="11">
        <v>-0.5</v>
      </c>
      <c r="X12" s="11">
        <v>-1.3234302239117999E-3</v>
      </c>
      <c r="Y12" s="11">
        <v>-0.36499999999999999</v>
      </c>
      <c r="Z12" s="11">
        <v>0.01</v>
      </c>
      <c r="AA12" s="11">
        <v>0.53</v>
      </c>
      <c r="AB12" s="11">
        <v>-0.185</v>
      </c>
      <c r="AC12" s="11">
        <v>0.02</v>
      </c>
      <c r="AD12" s="10">
        <v>-5.0000000000000001E-3</v>
      </c>
      <c r="AE12" s="11">
        <v>-0.01</v>
      </c>
      <c r="AF12" s="11">
        <v>0.52</v>
      </c>
      <c r="AG12" s="11">
        <v>0</v>
      </c>
      <c r="AH12" s="11">
        <v>0.03</v>
      </c>
      <c r="AI12" s="11">
        <v>-0.2</v>
      </c>
      <c r="AJ12" s="11">
        <v>0</v>
      </c>
    </row>
    <row r="13" spans="1:57">
      <c r="B13" s="1" t="s">
        <v>27</v>
      </c>
      <c r="D13" s="10">
        <v>37377</v>
      </c>
      <c r="E13" s="11">
        <v>2.1433587771404899E-2</v>
      </c>
      <c r="F13" s="11">
        <v>3.02</v>
      </c>
      <c r="G13" s="11">
        <v>0.47</v>
      </c>
      <c r="H13" s="11">
        <v>-0.375</v>
      </c>
      <c r="I13" s="11">
        <v>0</v>
      </c>
      <c r="J13" s="11">
        <v>0.47</v>
      </c>
      <c r="K13" s="11">
        <v>-0.1525</v>
      </c>
      <c r="L13" s="11">
        <v>-0.01</v>
      </c>
      <c r="M13" s="11">
        <v>0.47</v>
      </c>
      <c r="N13" s="11">
        <v>-0.56000000000000005</v>
      </c>
      <c r="O13" s="11">
        <v>0.02</v>
      </c>
      <c r="P13" s="11">
        <v>0.47</v>
      </c>
      <c r="Q13" s="11">
        <v>-0.56000000000000005</v>
      </c>
      <c r="R13" s="11">
        <v>0</v>
      </c>
      <c r="S13" s="11">
        <v>-0.66</v>
      </c>
      <c r="T13" s="11">
        <v>1.2E-2</v>
      </c>
      <c r="U13" s="11">
        <v>-0.66</v>
      </c>
      <c r="V13" s="11">
        <v>0.01</v>
      </c>
      <c r="W13" s="11">
        <v>-0.5</v>
      </c>
      <c r="X13" s="11">
        <v>-1.3233102847514E-3</v>
      </c>
      <c r="Y13" s="11">
        <v>-0.36499999999999999</v>
      </c>
      <c r="Z13" s="11">
        <v>0.01</v>
      </c>
      <c r="AA13" s="11">
        <v>0.47899999999999998</v>
      </c>
      <c r="AB13" s="11">
        <v>-0.185</v>
      </c>
      <c r="AC13" s="11">
        <v>0.02</v>
      </c>
      <c r="AD13" s="10">
        <v>2.5000000000000001E-2</v>
      </c>
      <c r="AE13" s="11">
        <v>-0.01</v>
      </c>
      <c r="AF13" s="11">
        <v>0.47</v>
      </c>
      <c r="AG13" s="11">
        <v>0.05</v>
      </c>
      <c r="AH13" s="11">
        <v>0.03</v>
      </c>
      <c r="AI13" s="11">
        <v>-0.15</v>
      </c>
      <c r="AJ13" s="11">
        <v>0</v>
      </c>
    </row>
    <row r="14" spans="1:57">
      <c r="D14" s="10">
        <v>37408</v>
      </c>
      <c r="E14" s="11">
        <v>2.1338642252079602E-2</v>
      </c>
      <c r="F14" s="11">
        <v>3.0649999999999999</v>
      </c>
      <c r="G14" s="11">
        <v>0.45750000000000002</v>
      </c>
      <c r="H14" s="11">
        <v>-0.375</v>
      </c>
      <c r="I14" s="11">
        <v>0</v>
      </c>
      <c r="J14" s="11">
        <v>0.45800000000000002</v>
      </c>
      <c r="K14" s="11">
        <v>-0.14249999999999999</v>
      </c>
      <c r="L14" s="11">
        <v>-0.01</v>
      </c>
      <c r="M14" s="11">
        <v>0.45800000000000002</v>
      </c>
      <c r="N14" s="11">
        <v>-0.56000000000000005</v>
      </c>
      <c r="O14" s="11">
        <v>0.02</v>
      </c>
      <c r="P14" s="11">
        <v>0.45800000000000002</v>
      </c>
      <c r="Q14" s="11">
        <v>-0.56000000000000005</v>
      </c>
      <c r="R14" s="11">
        <v>0</v>
      </c>
      <c r="S14" s="11">
        <v>-0.66</v>
      </c>
      <c r="T14" s="11">
        <v>1.2E-2</v>
      </c>
      <c r="U14" s="11">
        <v>-0.66</v>
      </c>
      <c r="V14" s="11">
        <v>0.01</v>
      </c>
      <c r="W14" s="11">
        <v>-0.5</v>
      </c>
      <c r="X14" s="11">
        <v>-1.3232136785801E-3</v>
      </c>
      <c r="Y14" s="11">
        <v>-0.36499999999999999</v>
      </c>
      <c r="Z14" s="11">
        <v>0.01</v>
      </c>
      <c r="AA14" s="11">
        <v>0.46700000000000003</v>
      </c>
      <c r="AB14" s="11">
        <v>-0.185</v>
      </c>
      <c r="AC14" s="11">
        <v>0.02</v>
      </c>
      <c r="AD14" s="10">
        <v>6.5000000000000002E-2</v>
      </c>
      <c r="AE14" s="11">
        <v>-0.01</v>
      </c>
      <c r="AF14" s="11">
        <v>0.45800000000000002</v>
      </c>
      <c r="AG14" s="11">
        <v>0.17</v>
      </c>
      <c r="AH14" s="11">
        <v>0.03</v>
      </c>
      <c r="AI14" s="11">
        <v>-0.03</v>
      </c>
      <c r="AJ14" s="11">
        <v>0</v>
      </c>
    </row>
    <row r="15" spans="1:57" ht="13.5" thickBot="1">
      <c r="D15" s="10">
        <v>37438</v>
      </c>
      <c r="E15" s="11">
        <v>2.13555560852292E-2</v>
      </c>
      <c r="F15" s="11">
        <v>3.1080000000000001</v>
      </c>
      <c r="G15" s="11">
        <v>0.45750000000000002</v>
      </c>
      <c r="H15" s="11">
        <v>-0.33</v>
      </c>
      <c r="I15" s="11">
        <v>0</v>
      </c>
      <c r="J15" s="11">
        <v>0.45800000000000002</v>
      </c>
      <c r="K15" s="11">
        <v>-0.11749999999999999</v>
      </c>
      <c r="L15" s="11">
        <v>-0.01</v>
      </c>
      <c r="M15" s="11">
        <v>0.45800000000000002</v>
      </c>
      <c r="N15" s="11">
        <v>-0.56000000000000005</v>
      </c>
      <c r="O15" s="11">
        <v>0.02</v>
      </c>
      <c r="P15" s="11">
        <v>0.45800000000000002</v>
      </c>
      <c r="Q15" s="11">
        <v>-0.56000000000000005</v>
      </c>
      <c r="R15" s="11">
        <v>0</v>
      </c>
      <c r="S15" s="11">
        <v>-0.66</v>
      </c>
      <c r="T15" s="11">
        <v>1.2E-2</v>
      </c>
      <c r="U15" s="11">
        <v>-0.66</v>
      </c>
      <c r="V15" s="11">
        <v>0.01</v>
      </c>
      <c r="W15" s="11">
        <v>-0.5</v>
      </c>
      <c r="X15" s="11">
        <v>-1.3231280334437001E-3</v>
      </c>
      <c r="Y15" s="11">
        <v>-0.41499999999999998</v>
      </c>
      <c r="Z15" s="11">
        <v>0.01</v>
      </c>
      <c r="AA15" s="11">
        <v>0.46700000000000003</v>
      </c>
      <c r="AB15" s="11">
        <v>0</v>
      </c>
      <c r="AC15" s="11">
        <v>0.02</v>
      </c>
      <c r="AD15" s="10">
        <v>0.19</v>
      </c>
      <c r="AE15" s="11">
        <v>-0.01</v>
      </c>
      <c r="AF15" s="11">
        <v>0.45800000000000002</v>
      </c>
      <c r="AG15" s="11">
        <v>0.25</v>
      </c>
      <c r="AH15" s="11">
        <v>0.03</v>
      </c>
      <c r="AI15" s="11">
        <v>0.05</v>
      </c>
      <c r="AJ15" s="11">
        <v>0</v>
      </c>
    </row>
    <row r="16" spans="1:57" ht="13.5" thickBot="1">
      <c r="B16" s="13" t="s">
        <v>28</v>
      </c>
      <c r="D16" s="10">
        <v>37469</v>
      </c>
      <c r="E16" s="11">
        <v>2.1548745879088799E-2</v>
      </c>
      <c r="F16" s="11">
        <v>3.15</v>
      </c>
      <c r="G16" s="11">
        <v>0.45750000000000002</v>
      </c>
      <c r="H16" s="11">
        <v>-0.33</v>
      </c>
      <c r="I16" s="11">
        <v>0</v>
      </c>
      <c r="J16" s="11">
        <v>0.45800000000000002</v>
      </c>
      <c r="K16" s="11">
        <v>-0.11</v>
      </c>
      <c r="L16" s="11">
        <v>-0.01</v>
      </c>
      <c r="M16" s="11">
        <v>0.45800000000000002</v>
      </c>
      <c r="N16" s="11">
        <v>-0.56000000000000005</v>
      </c>
      <c r="O16" s="11">
        <v>0.02</v>
      </c>
      <c r="P16" s="11">
        <v>0.45800000000000002</v>
      </c>
      <c r="Q16" s="11">
        <v>-0.56000000000000005</v>
      </c>
      <c r="R16" s="11">
        <v>0</v>
      </c>
      <c r="S16" s="11">
        <v>-0.66</v>
      </c>
      <c r="T16" s="11">
        <v>1.2E-2</v>
      </c>
      <c r="U16" s="11">
        <v>-0.66</v>
      </c>
      <c r="V16" s="11">
        <v>0.01</v>
      </c>
      <c r="W16" s="11">
        <v>-0.5</v>
      </c>
      <c r="X16" s="11">
        <v>-1.323076671297E-3</v>
      </c>
      <c r="Y16" s="11">
        <v>-0.41499999999999998</v>
      </c>
      <c r="Z16" s="11">
        <v>0.01</v>
      </c>
      <c r="AA16" s="11">
        <v>0.46700000000000003</v>
      </c>
      <c r="AB16" s="11">
        <v>0</v>
      </c>
      <c r="AC16" s="11">
        <v>0.02</v>
      </c>
      <c r="AD16" s="10">
        <v>0.20499999999999999</v>
      </c>
      <c r="AE16" s="11">
        <v>-0.01</v>
      </c>
      <c r="AF16" s="11">
        <v>0.45800000000000002</v>
      </c>
      <c r="AG16" s="11">
        <v>0.26</v>
      </c>
      <c r="AH16" s="11">
        <v>0.03</v>
      </c>
      <c r="AI16" s="11">
        <v>0.06</v>
      </c>
      <c r="AJ16" s="11">
        <v>0</v>
      </c>
    </row>
    <row r="17" spans="2:36">
      <c r="B17" s="14">
        <v>36892</v>
      </c>
      <c r="D17" s="10">
        <v>37500</v>
      </c>
      <c r="E17" s="11">
        <v>2.17419356855846E-2</v>
      </c>
      <c r="F17" s="11">
        <v>3.15</v>
      </c>
      <c r="G17" s="11">
        <v>0.45750000000000002</v>
      </c>
      <c r="H17" s="11">
        <v>-0.33</v>
      </c>
      <c r="I17" s="11">
        <v>0</v>
      </c>
      <c r="J17" s="11">
        <v>0.45800000000000002</v>
      </c>
      <c r="K17" s="11">
        <v>-0.12</v>
      </c>
      <c r="L17" s="11">
        <v>-0.01</v>
      </c>
      <c r="M17" s="11">
        <v>0.45800000000000002</v>
      </c>
      <c r="N17" s="11">
        <v>-0.56000000000000005</v>
      </c>
      <c r="O17" s="11">
        <v>0</v>
      </c>
      <c r="P17" s="11">
        <v>0.45800000000000002</v>
      </c>
      <c r="Q17" s="11">
        <v>-0.56000000000000005</v>
      </c>
      <c r="R17" s="11">
        <v>0</v>
      </c>
      <c r="S17" s="11">
        <v>-0.66</v>
      </c>
      <c r="T17" s="11">
        <v>1.2E-2</v>
      </c>
      <c r="U17" s="11">
        <v>-0.66</v>
      </c>
      <c r="V17" s="11">
        <v>1.2500000000000001E-2</v>
      </c>
      <c r="W17" s="11">
        <v>-0.5</v>
      </c>
      <c r="X17" s="11">
        <v>-1.3230514437221001E-3</v>
      </c>
      <c r="Y17" s="11">
        <v>-0.41499999999999998</v>
      </c>
      <c r="Z17" s="11">
        <v>0.01</v>
      </c>
      <c r="AA17" s="11">
        <v>0.46700000000000003</v>
      </c>
      <c r="AB17" s="11">
        <v>0</v>
      </c>
      <c r="AC17" s="11">
        <v>0.02</v>
      </c>
      <c r="AD17" s="10">
        <v>0.19</v>
      </c>
      <c r="AE17" s="11">
        <v>-0.01</v>
      </c>
      <c r="AF17" s="11">
        <v>0.45800000000000002</v>
      </c>
      <c r="AG17" s="11">
        <v>0.22</v>
      </c>
      <c r="AH17" s="11">
        <v>0.03</v>
      </c>
      <c r="AI17" s="11">
        <v>0.02</v>
      </c>
      <c r="AJ17" s="11">
        <v>0</v>
      </c>
    </row>
    <row r="18" spans="2:36">
      <c r="B18" s="15">
        <v>36910</v>
      </c>
      <c r="D18" s="10">
        <v>37530</v>
      </c>
      <c r="E18" s="11">
        <v>2.2007615906506101E-2</v>
      </c>
      <c r="F18" s="11">
        <v>3.1850000000000001</v>
      </c>
      <c r="G18" s="11">
        <v>0.45750000000000002</v>
      </c>
      <c r="H18" s="11">
        <v>-0.34</v>
      </c>
      <c r="I18" s="11">
        <v>0</v>
      </c>
      <c r="J18" s="11">
        <v>0.45800000000000002</v>
      </c>
      <c r="K18" s="11">
        <v>-0.16250000000000001</v>
      </c>
      <c r="L18" s="11">
        <v>-0.01</v>
      </c>
      <c r="M18" s="11">
        <v>0.45800000000000002</v>
      </c>
      <c r="N18" s="11">
        <v>-0.56000000000000005</v>
      </c>
      <c r="O18" s="11">
        <v>0.02</v>
      </c>
      <c r="P18" s="11">
        <v>0.45800000000000002</v>
      </c>
      <c r="Q18" s="11">
        <v>-0.56000000000000005</v>
      </c>
      <c r="R18" s="11">
        <v>0</v>
      </c>
      <c r="S18" s="11">
        <v>-0.66</v>
      </c>
      <c r="T18" s="11">
        <v>1.2E-2</v>
      </c>
      <c r="U18" s="11">
        <v>-0.66</v>
      </c>
      <c r="V18" s="11">
        <v>0.03</v>
      </c>
      <c r="W18" s="11">
        <v>-0.5</v>
      </c>
      <c r="X18" s="11">
        <v>-1.3230213745374999E-3</v>
      </c>
      <c r="Y18" s="11">
        <v>-0.25</v>
      </c>
      <c r="Z18" s="11">
        <v>0.01</v>
      </c>
      <c r="AA18" s="11">
        <v>0.46700000000000003</v>
      </c>
      <c r="AB18" s="11">
        <v>-0.02</v>
      </c>
      <c r="AC18" s="11">
        <v>0.02</v>
      </c>
      <c r="AD18" s="10">
        <v>7.4999999999999997E-2</v>
      </c>
      <c r="AE18" s="11">
        <v>-0.01</v>
      </c>
      <c r="AF18" s="11">
        <v>0.45800000000000002</v>
      </c>
      <c r="AG18" s="11">
        <v>0.16</v>
      </c>
      <c r="AH18" s="11">
        <v>0.03</v>
      </c>
      <c r="AI18" s="11">
        <v>-0.04</v>
      </c>
      <c r="AJ18" s="11">
        <v>0</v>
      </c>
    </row>
    <row r="19" spans="2:36">
      <c r="B19" s="15">
        <v>36994</v>
      </c>
      <c r="D19" s="10">
        <v>37561</v>
      </c>
      <c r="E19" s="11">
        <v>2.2393841010643002E-2</v>
      </c>
      <c r="F19" s="11">
        <v>3.3650000000000002</v>
      </c>
      <c r="G19" s="11">
        <v>0.45750000000000002</v>
      </c>
      <c r="H19" s="11">
        <v>-0.22</v>
      </c>
      <c r="I19" s="11">
        <v>0</v>
      </c>
      <c r="J19" s="11">
        <v>0.45800000000000002</v>
      </c>
      <c r="K19" s="11">
        <v>-0.14000000000000001</v>
      </c>
      <c r="L19" s="11">
        <v>0</v>
      </c>
      <c r="M19" s="11">
        <v>0.45800000000000002</v>
      </c>
      <c r="N19" s="11">
        <v>-0.28999999999999998</v>
      </c>
      <c r="O19" s="11">
        <v>2.75E-2</v>
      </c>
      <c r="P19" s="11">
        <v>0.45800000000000002</v>
      </c>
      <c r="Q19" s="11">
        <v>-0.28999999999999998</v>
      </c>
      <c r="R19" s="11">
        <v>0.14000000000000001</v>
      </c>
      <c r="S19" s="11">
        <v>-0.33500000000000002</v>
      </c>
      <c r="T19" s="11">
        <v>0.152</v>
      </c>
      <c r="U19" s="11">
        <v>-0.33500000000000002</v>
      </c>
      <c r="V19" s="11">
        <v>0.03</v>
      </c>
      <c r="W19" s="11">
        <v>-0.42</v>
      </c>
      <c r="X19" s="11">
        <v>-1.323008083736E-3</v>
      </c>
      <c r="Y19" s="11">
        <v>-0.02</v>
      </c>
      <c r="Z19" s="11">
        <v>4.4999999999999998E-2</v>
      </c>
      <c r="AA19" s="11">
        <v>0.46700000000000003</v>
      </c>
      <c r="AB19" s="11">
        <v>0.04</v>
      </c>
      <c r="AC19" s="11">
        <v>0.04</v>
      </c>
      <c r="AD19" s="10">
        <v>0.125</v>
      </c>
      <c r="AE19" s="11">
        <v>0.02</v>
      </c>
      <c r="AF19" s="11">
        <v>0.45800000000000002</v>
      </c>
      <c r="AG19" s="11">
        <v>0.35</v>
      </c>
      <c r="AH19" s="11">
        <v>0.04</v>
      </c>
      <c r="AI19" s="11">
        <v>0.15</v>
      </c>
      <c r="AJ19" s="11">
        <v>0.02</v>
      </c>
    </row>
    <row r="20" spans="2:36">
      <c r="B20" s="15"/>
      <c r="D20" s="10">
        <v>37591</v>
      </c>
      <c r="E20" s="11">
        <v>2.2767607288521698E-2</v>
      </c>
      <c r="F20" s="11">
        <v>3.56</v>
      </c>
      <c r="G20" s="11">
        <v>0.45500000000000002</v>
      </c>
      <c r="H20" s="11">
        <v>-0.22</v>
      </c>
      <c r="I20" s="11">
        <v>0</v>
      </c>
      <c r="J20" s="11">
        <v>0.45500000000000002</v>
      </c>
      <c r="K20" s="11">
        <v>-0.14000000000000001</v>
      </c>
      <c r="L20" s="11">
        <v>0</v>
      </c>
      <c r="M20" s="11">
        <v>0.45500000000000002</v>
      </c>
      <c r="N20" s="11">
        <v>-0.28999999999999998</v>
      </c>
      <c r="O20" s="11">
        <v>2.75E-2</v>
      </c>
      <c r="P20" s="11">
        <v>0.45500000000000002</v>
      </c>
      <c r="Q20" s="11">
        <v>-0.28999999999999998</v>
      </c>
      <c r="R20" s="11">
        <v>0</v>
      </c>
      <c r="S20" s="11">
        <v>-0.33500000000000002</v>
      </c>
      <c r="T20" s="11">
        <v>5.0999999999999997E-2</v>
      </c>
      <c r="U20" s="11">
        <v>-0.33500000000000002</v>
      </c>
      <c r="V20" s="11">
        <v>0.03</v>
      </c>
      <c r="W20" s="11">
        <v>-0.42</v>
      </c>
      <c r="X20" s="11">
        <v>-1.3230140835420001E-3</v>
      </c>
      <c r="Y20" s="11">
        <v>0.32</v>
      </c>
      <c r="Z20" s="11">
        <v>4.4999999999999998E-2</v>
      </c>
      <c r="AA20" s="11">
        <v>0.46400000000000002</v>
      </c>
      <c r="AB20" s="11">
        <v>7.0000000000000007E-2</v>
      </c>
      <c r="AC20" s="11">
        <v>0.04</v>
      </c>
      <c r="AD20" s="10">
        <v>0.125</v>
      </c>
      <c r="AE20" s="11">
        <v>0.02</v>
      </c>
      <c r="AF20" s="11">
        <v>0.45500000000000002</v>
      </c>
      <c r="AG20" s="11">
        <v>0.47</v>
      </c>
      <c r="AH20" s="11">
        <v>0.04</v>
      </c>
      <c r="AI20" s="11">
        <v>0.27</v>
      </c>
      <c r="AJ20" s="11">
        <v>0.02</v>
      </c>
    </row>
    <row r="21" spans="2:36">
      <c r="B21" s="15"/>
      <c r="D21" s="10">
        <v>37622</v>
      </c>
      <c r="E21" s="11">
        <v>2.32255729687663E-2</v>
      </c>
      <c r="F21" s="11">
        <v>3.6749999999999998</v>
      </c>
      <c r="G21" s="11">
        <v>0.45500000000000002</v>
      </c>
      <c r="H21" s="11">
        <v>-0.22</v>
      </c>
      <c r="I21" s="11">
        <v>0</v>
      </c>
      <c r="J21" s="11">
        <v>0.45500000000000002</v>
      </c>
      <c r="K21" s="11">
        <v>-0.13750000000000001</v>
      </c>
      <c r="L21" s="11">
        <v>0</v>
      </c>
      <c r="M21" s="11">
        <v>0.45500000000000002</v>
      </c>
      <c r="N21" s="11">
        <v>-0.28999999999999998</v>
      </c>
      <c r="O21" s="11">
        <v>2.75E-2</v>
      </c>
      <c r="P21" s="11">
        <v>0.45500000000000002</v>
      </c>
      <c r="Q21" s="11">
        <v>-0.28999999999999998</v>
      </c>
      <c r="R21" s="11">
        <v>2.5000000000000001E-2</v>
      </c>
      <c r="S21" s="11">
        <v>-0.33500000000000002</v>
      </c>
      <c r="T21" s="11">
        <v>5.0999999999999997E-2</v>
      </c>
      <c r="U21" s="11">
        <v>-0.33500000000000002</v>
      </c>
      <c r="V21" s="11">
        <v>0.03</v>
      </c>
      <c r="W21" s="11">
        <v>-0.42</v>
      </c>
      <c r="X21" s="11">
        <v>5.2919043241010004E-3</v>
      </c>
      <c r="Y21" s="11">
        <v>0.35</v>
      </c>
      <c r="Z21" s="11">
        <v>4.4999999999999998E-2</v>
      </c>
      <c r="AA21" s="11">
        <v>0.46400000000000002</v>
      </c>
      <c r="AB21" s="11">
        <v>0.14499999999999999</v>
      </c>
      <c r="AC21" s="11">
        <v>0.04</v>
      </c>
      <c r="AD21" s="10">
        <v>0.115</v>
      </c>
      <c r="AE21" s="11">
        <v>0.02</v>
      </c>
      <c r="AF21" s="11">
        <v>0.45500000000000002</v>
      </c>
      <c r="AG21" s="11">
        <v>0.47</v>
      </c>
      <c r="AH21" s="11">
        <v>0.04</v>
      </c>
      <c r="AI21" s="11">
        <v>0.27</v>
      </c>
      <c r="AJ21" s="11">
        <v>0.02</v>
      </c>
    </row>
    <row r="22" spans="2:36">
      <c r="B22" s="15"/>
      <c r="D22" s="10">
        <v>37653</v>
      </c>
      <c r="E22" s="11">
        <v>2.3770652171883001E-2</v>
      </c>
      <c r="F22" s="11">
        <v>3.6</v>
      </c>
      <c r="G22" s="11">
        <v>0.44750000000000001</v>
      </c>
      <c r="H22" s="11">
        <v>-0.22</v>
      </c>
      <c r="I22" s="11">
        <v>0</v>
      </c>
      <c r="J22" s="11">
        <v>0.44800000000000001</v>
      </c>
      <c r="K22" s="11">
        <v>-0.13750000000000001</v>
      </c>
      <c r="L22" s="11">
        <v>0</v>
      </c>
      <c r="M22" s="11">
        <v>0.44800000000000001</v>
      </c>
      <c r="N22" s="11">
        <v>-0.28999999999999998</v>
      </c>
      <c r="O22" s="11">
        <v>2.75E-2</v>
      </c>
      <c r="P22" s="11">
        <v>0.44800000000000001</v>
      </c>
      <c r="Q22" s="11">
        <v>-0.28999999999999998</v>
      </c>
      <c r="R22" s="11">
        <v>2.5000000000000001E-2</v>
      </c>
      <c r="S22" s="11">
        <v>-0.33500000000000002</v>
      </c>
      <c r="T22" s="11">
        <v>5.0999999999999997E-2</v>
      </c>
      <c r="U22" s="11">
        <v>-0.33500000000000002</v>
      </c>
      <c r="V22" s="11">
        <v>0.03</v>
      </c>
      <c r="W22" s="11">
        <v>-0.42</v>
      </c>
      <c r="X22" s="11">
        <v>5.2916666299235998E-3</v>
      </c>
      <c r="Y22" s="11">
        <v>0.03</v>
      </c>
      <c r="Z22" s="11">
        <v>4.4999999999999998E-2</v>
      </c>
      <c r="AA22" s="11">
        <v>0.45600000000000002</v>
      </c>
      <c r="AB22" s="11">
        <v>0.13</v>
      </c>
      <c r="AC22" s="11">
        <v>0.04</v>
      </c>
      <c r="AD22" s="10">
        <v>0.115</v>
      </c>
      <c r="AE22" s="11">
        <v>0.02</v>
      </c>
      <c r="AF22" s="11">
        <v>0.44800000000000001</v>
      </c>
      <c r="AG22" s="11">
        <v>0.32</v>
      </c>
      <c r="AH22" s="11">
        <v>0.04</v>
      </c>
      <c r="AI22" s="11">
        <v>0.12</v>
      </c>
      <c r="AJ22" s="11">
        <v>0.02</v>
      </c>
    </row>
    <row r="23" spans="2:36">
      <c r="B23" s="15"/>
      <c r="D23" s="10">
        <v>37681</v>
      </c>
      <c r="E23" s="11">
        <v>2.4262981861068698E-2</v>
      </c>
      <c r="F23" s="11">
        <v>3.51</v>
      </c>
      <c r="G23" s="11">
        <v>0.42499999999999999</v>
      </c>
      <c r="H23" s="11">
        <v>-0.22</v>
      </c>
      <c r="I23" s="11">
        <v>0</v>
      </c>
      <c r="J23" s="11">
        <v>0.42499999999999999</v>
      </c>
      <c r="K23" s="11">
        <v>-0.13750000000000001</v>
      </c>
      <c r="L23" s="11">
        <v>0</v>
      </c>
      <c r="M23" s="11">
        <v>0.42499999999999999</v>
      </c>
      <c r="N23" s="11">
        <v>-0.28999999999999998</v>
      </c>
      <c r="O23" s="11">
        <v>2.75E-2</v>
      </c>
      <c r="P23" s="11">
        <v>0.42499999999999999</v>
      </c>
      <c r="Q23" s="11">
        <v>-0.28999999999999998</v>
      </c>
      <c r="R23" s="11">
        <v>0</v>
      </c>
      <c r="S23" s="11">
        <v>-0.33500000000000002</v>
      </c>
      <c r="T23" s="11">
        <v>3.1E-2</v>
      </c>
      <c r="U23" s="11">
        <v>-0.33500000000000002</v>
      </c>
      <c r="V23" s="11">
        <v>0.03</v>
      </c>
      <c r="W23" s="11">
        <v>-0.42</v>
      </c>
      <c r="X23" s="11">
        <v>5.2914728868112002E-3</v>
      </c>
      <c r="Y23" s="11">
        <v>-0.28000000000000003</v>
      </c>
      <c r="Z23" s="11">
        <v>4.4999999999999998E-2</v>
      </c>
      <c r="AA23" s="11">
        <v>0.434</v>
      </c>
      <c r="AB23" s="11">
        <v>0.04</v>
      </c>
      <c r="AC23" s="11">
        <v>0.04</v>
      </c>
      <c r="AD23" s="10">
        <v>0.115</v>
      </c>
      <c r="AE23" s="11">
        <v>0.02</v>
      </c>
      <c r="AF23" s="11">
        <v>0.42499999999999999</v>
      </c>
      <c r="AG23" s="11">
        <v>0.26</v>
      </c>
      <c r="AH23" s="11">
        <v>0.04</v>
      </c>
      <c r="AI23" s="11">
        <v>0.06</v>
      </c>
      <c r="AJ23" s="11">
        <v>0.02</v>
      </c>
    </row>
    <row r="24" spans="2:36">
      <c r="B24" s="15"/>
      <c r="D24" s="10">
        <v>37712</v>
      </c>
      <c r="E24" s="11">
        <v>2.4826043147968799E-2</v>
      </c>
      <c r="F24" s="11">
        <v>3.4049999999999998</v>
      </c>
      <c r="G24" s="11">
        <v>0.38</v>
      </c>
      <c r="H24" s="11">
        <v>-0.27500000000000002</v>
      </c>
      <c r="I24" s="11">
        <v>2.5000000000000001E-3</v>
      </c>
      <c r="J24" s="11">
        <v>0.38</v>
      </c>
      <c r="K24" s="11">
        <v>-0.105</v>
      </c>
      <c r="L24" s="11">
        <v>5.0000000000000001E-3</v>
      </c>
      <c r="M24" s="11">
        <v>0.38</v>
      </c>
      <c r="N24" s="11">
        <v>-0.45500000000000002</v>
      </c>
      <c r="O24" s="11">
        <v>0.02</v>
      </c>
      <c r="P24" s="11">
        <v>0.38</v>
      </c>
      <c r="Q24" s="11">
        <v>-0.45500000000000002</v>
      </c>
      <c r="R24" s="11">
        <v>0</v>
      </c>
      <c r="S24" s="11">
        <v>-0.54500000000000004</v>
      </c>
      <c r="T24" s="11">
        <v>1.4E-2</v>
      </c>
      <c r="U24" s="11">
        <v>-0.54500000000000004</v>
      </c>
      <c r="V24" s="11">
        <v>0.01</v>
      </c>
      <c r="W24" s="11">
        <v>-0.435</v>
      </c>
      <c r="X24" s="11">
        <v>1.6535666563813E-3</v>
      </c>
      <c r="Y24" s="11">
        <v>-0.26</v>
      </c>
      <c r="Z24" s="11">
        <v>0.01</v>
      </c>
      <c r="AA24" s="11">
        <v>0.38800000000000001</v>
      </c>
      <c r="AB24" s="11">
        <v>0.06</v>
      </c>
      <c r="AC24" s="11">
        <v>0.03</v>
      </c>
      <c r="AD24" s="10">
        <v>0.24</v>
      </c>
      <c r="AE24" s="11">
        <v>0.02</v>
      </c>
      <c r="AF24" s="11">
        <v>0.38</v>
      </c>
      <c r="AG24" s="11">
        <v>0.46</v>
      </c>
      <c r="AH24" s="11">
        <v>0.02</v>
      </c>
      <c r="AI24" s="11">
        <v>0.26</v>
      </c>
      <c r="AJ24" s="11">
        <v>0.01</v>
      </c>
    </row>
    <row r="25" spans="2:36">
      <c r="B25" s="15"/>
      <c r="C25" s="11"/>
      <c r="D25" s="10">
        <v>37742</v>
      </c>
      <c r="E25" s="11">
        <v>2.5384059139520701E-2</v>
      </c>
      <c r="F25" s="11">
        <v>3.41</v>
      </c>
      <c r="G25" s="11">
        <v>0.36249999999999999</v>
      </c>
      <c r="H25" s="11">
        <v>-0.27500000000000002</v>
      </c>
      <c r="I25" s="11">
        <v>2.5000000000000001E-3</v>
      </c>
      <c r="J25" s="11">
        <v>0.36299999999999999</v>
      </c>
      <c r="K25" s="11">
        <v>-0.105</v>
      </c>
      <c r="L25" s="11">
        <v>5.0000000000000001E-3</v>
      </c>
      <c r="M25" s="11">
        <v>0.36299999999999999</v>
      </c>
      <c r="N25" s="11">
        <v>-0.45500000000000002</v>
      </c>
      <c r="O25" s="11">
        <v>0.02</v>
      </c>
      <c r="P25" s="11">
        <v>0.36299999999999999</v>
      </c>
      <c r="Q25" s="11">
        <v>-0.45500000000000002</v>
      </c>
      <c r="R25" s="11">
        <v>0</v>
      </c>
      <c r="S25" s="11">
        <v>-0.54500000000000004</v>
      </c>
      <c r="T25" s="11">
        <v>1.4E-2</v>
      </c>
      <c r="U25" s="11">
        <v>-0.54500000000000004</v>
      </c>
      <c r="V25" s="11">
        <v>0.01</v>
      </c>
      <c r="W25" s="11">
        <v>-0.435</v>
      </c>
      <c r="X25" s="11">
        <v>1.6535923829332001E-3</v>
      </c>
      <c r="Y25" s="11">
        <v>-0.26</v>
      </c>
      <c r="Z25" s="11">
        <v>0.01</v>
      </c>
      <c r="AA25" s="11">
        <v>0.37</v>
      </c>
      <c r="AB25" s="11">
        <v>0.06</v>
      </c>
      <c r="AC25" s="11">
        <v>0.03</v>
      </c>
      <c r="AD25" s="10">
        <v>0.24</v>
      </c>
      <c r="AE25" s="11">
        <v>0.02</v>
      </c>
      <c r="AF25" s="11">
        <v>0.36299999999999999</v>
      </c>
      <c r="AG25" s="11">
        <v>0.46</v>
      </c>
      <c r="AH25" s="11">
        <v>0.02</v>
      </c>
      <c r="AI25" s="11">
        <v>0.26</v>
      </c>
      <c r="AJ25" s="11">
        <v>0.01</v>
      </c>
    </row>
    <row r="26" spans="2:36">
      <c r="B26" s="15"/>
      <c r="D26" s="10">
        <v>37773</v>
      </c>
      <c r="E26" s="11">
        <v>2.5960675774673501E-2</v>
      </c>
      <c r="F26" s="11">
        <v>3.4350000000000001</v>
      </c>
      <c r="G26" s="11">
        <v>0.35749999999999998</v>
      </c>
      <c r="H26" s="11">
        <v>-0.27500000000000002</v>
      </c>
      <c r="I26" s="11">
        <v>2.5000000000000001E-3</v>
      </c>
      <c r="J26" s="11">
        <v>0.35799999999999998</v>
      </c>
      <c r="K26" s="11">
        <v>-0.105</v>
      </c>
      <c r="L26" s="11">
        <v>5.0000000000000001E-3</v>
      </c>
      <c r="M26" s="11">
        <v>0.35799999999999998</v>
      </c>
      <c r="N26" s="11">
        <v>-0.45500000000000002</v>
      </c>
      <c r="O26" s="11">
        <v>0.02</v>
      </c>
      <c r="P26" s="11">
        <v>0.35799999999999998</v>
      </c>
      <c r="Q26" s="11">
        <v>-0.45500000000000002</v>
      </c>
      <c r="R26" s="11">
        <v>0</v>
      </c>
      <c r="S26" s="11">
        <v>-0.54500000000000004</v>
      </c>
      <c r="T26" s="11">
        <v>1.4E-2</v>
      </c>
      <c r="U26" s="11">
        <v>-0.54500000000000004</v>
      </c>
      <c r="V26" s="11">
        <v>0.01</v>
      </c>
      <c r="W26" s="11">
        <v>-0.435</v>
      </c>
      <c r="X26" s="11">
        <v>1.653634995897E-3</v>
      </c>
      <c r="Y26" s="11">
        <v>-0.26</v>
      </c>
      <c r="Z26" s="11">
        <v>0.01</v>
      </c>
      <c r="AA26" s="11">
        <v>0.36499999999999999</v>
      </c>
      <c r="AB26" s="11">
        <v>0.06</v>
      </c>
      <c r="AC26" s="11">
        <v>0.03</v>
      </c>
      <c r="AD26" s="10">
        <v>0.24</v>
      </c>
      <c r="AE26" s="11">
        <v>0.02</v>
      </c>
      <c r="AF26" s="11">
        <v>0.35799999999999998</v>
      </c>
      <c r="AG26" s="11">
        <v>0.46</v>
      </c>
      <c r="AH26" s="11">
        <v>0.02</v>
      </c>
      <c r="AI26" s="11">
        <v>0.26</v>
      </c>
      <c r="AJ26" s="11">
        <v>0.01</v>
      </c>
    </row>
    <row r="27" spans="2:36">
      <c r="B27" s="15"/>
      <c r="D27" s="10">
        <v>37803</v>
      </c>
      <c r="E27" s="11">
        <v>2.65290450494957E-2</v>
      </c>
      <c r="F27" s="11">
        <v>3.47</v>
      </c>
      <c r="G27" s="11">
        <v>0.35749999999999998</v>
      </c>
      <c r="H27" s="11">
        <v>-0.27500000000000002</v>
      </c>
      <c r="I27" s="11">
        <v>2.5000000000000001E-3</v>
      </c>
      <c r="J27" s="11">
        <v>0.35799999999999998</v>
      </c>
      <c r="K27" s="11">
        <v>-0.105</v>
      </c>
      <c r="L27" s="11">
        <v>5.0000000000000001E-3</v>
      </c>
      <c r="M27" s="11">
        <v>0.35799999999999998</v>
      </c>
      <c r="N27" s="11">
        <v>-0.45500000000000002</v>
      </c>
      <c r="O27" s="11">
        <v>0.02</v>
      </c>
      <c r="P27" s="11">
        <v>0.35799999999999998</v>
      </c>
      <c r="Q27" s="11">
        <v>-0.45500000000000002</v>
      </c>
      <c r="R27" s="11">
        <v>0</v>
      </c>
      <c r="S27" s="11">
        <v>-0.54500000000000004</v>
      </c>
      <c r="T27" s="11">
        <v>1.4E-2</v>
      </c>
      <c r="U27" s="11">
        <v>-0.54500000000000004</v>
      </c>
      <c r="V27" s="11">
        <v>0.01</v>
      </c>
      <c r="W27" s="11">
        <v>-0.435</v>
      </c>
      <c r="X27" s="11">
        <v>1.6537196303449001E-3</v>
      </c>
      <c r="Y27" s="11">
        <v>-0.26</v>
      </c>
      <c r="Z27" s="11">
        <v>0.01</v>
      </c>
      <c r="AA27" s="11">
        <v>0.36499999999999999</v>
      </c>
      <c r="AB27" s="11">
        <v>0.06</v>
      </c>
      <c r="AC27" s="11">
        <v>0.03</v>
      </c>
      <c r="AD27" s="10">
        <v>0.24</v>
      </c>
      <c r="AE27" s="11">
        <v>0.02</v>
      </c>
      <c r="AF27" s="11">
        <v>0.35799999999999998</v>
      </c>
      <c r="AG27" s="11">
        <v>0.46</v>
      </c>
      <c r="AH27" s="11">
        <v>0.02</v>
      </c>
      <c r="AI27" s="11">
        <v>0.26</v>
      </c>
      <c r="AJ27" s="11">
        <v>0.01</v>
      </c>
    </row>
    <row r="28" spans="2:36">
      <c r="B28" s="15"/>
      <c r="D28" s="10">
        <v>37834</v>
      </c>
      <c r="E28" s="11">
        <v>2.7131185037955401E-2</v>
      </c>
      <c r="F28" s="11">
        <v>3.5049999999999999</v>
      </c>
      <c r="G28" s="11">
        <v>0.35749999999999998</v>
      </c>
      <c r="H28" s="11">
        <v>-0.27500000000000002</v>
      </c>
      <c r="I28" s="11">
        <v>2.5000000000000001E-3</v>
      </c>
      <c r="J28" s="11">
        <v>0.35799999999999998</v>
      </c>
      <c r="K28" s="11">
        <v>-0.105</v>
      </c>
      <c r="L28" s="11">
        <v>5.0000000000000001E-3</v>
      </c>
      <c r="M28" s="11">
        <v>0.35799999999999998</v>
      </c>
      <c r="N28" s="11">
        <v>-0.45500000000000002</v>
      </c>
      <c r="O28" s="11">
        <v>0.02</v>
      </c>
      <c r="P28" s="11">
        <v>0.35799999999999998</v>
      </c>
      <c r="Q28" s="11">
        <v>-0.45500000000000002</v>
      </c>
      <c r="R28" s="11">
        <v>0</v>
      </c>
      <c r="S28" s="11">
        <v>-0.54500000000000004</v>
      </c>
      <c r="T28" s="11">
        <v>1.4E-2</v>
      </c>
      <c r="U28" s="11">
        <v>-0.54500000000000004</v>
      </c>
      <c r="V28" s="11">
        <v>0.01</v>
      </c>
      <c r="W28" s="11">
        <v>-0.435</v>
      </c>
      <c r="X28" s="11">
        <v>1.6538679835168999E-3</v>
      </c>
      <c r="Y28" s="11">
        <v>-0.26</v>
      </c>
      <c r="Z28" s="11">
        <v>0.01</v>
      </c>
      <c r="AA28" s="11">
        <v>0.36499999999999999</v>
      </c>
      <c r="AB28" s="11">
        <v>0.06</v>
      </c>
      <c r="AC28" s="11">
        <v>0.03</v>
      </c>
      <c r="AD28" s="10">
        <v>0.24</v>
      </c>
      <c r="AE28" s="11">
        <v>0.02</v>
      </c>
      <c r="AF28" s="11">
        <v>0.35799999999999998</v>
      </c>
      <c r="AG28" s="11">
        <v>0.46</v>
      </c>
      <c r="AH28" s="11">
        <v>0.02</v>
      </c>
      <c r="AI28" s="11">
        <v>0.26</v>
      </c>
      <c r="AJ28" s="11">
        <v>0.01</v>
      </c>
    </row>
    <row r="29" spans="2:36" ht="13.5" thickBot="1">
      <c r="B29" s="16"/>
      <c r="D29" s="10">
        <v>37865</v>
      </c>
      <c r="E29" s="11">
        <v>2.77333251488385E-2</v>
      </c>
      <c r="F29" s="11">
        <v>3.5169999999999999</v>
      </c>
      <c r="G29" s="11">
        <v>0.35749999999999998</v>
      </c>
      <c r="H29" s="11">
        <v>-0.27500000000000002</v>
      </c>
      <c r="I29" s="11">
        <v>2.5000000000000001E-3</v>
      </c>
      <c r="J29" s="11">
        <v>0.35799999999999998</v>
      </c>
      <c r="K29" s="11">
        <v>-0.105</v>
      </c>
      <c r="L29" s="11">
        <v>5.0000000000000001E-3</v>
      </c>
      <c r="M29" s="11">
        <v>0.35799999999999998</v>
      </c>
      <c r="N29" s="11">
        <v>-0.45500000000000002</v>
      </c>
      <c r="O29" s="11">
        <v>0.02</v>
      </c>
      <c r="P29" s="11">
        <v>0.35799999999999998</v>
      </c>
      <c r="Q29" s="11">
        <v>-0.45500000000000002</v>
      </c>
      <c r="R29" s="11">
        <v>0</v>
      </c>
      <c r="S29" s="11">
        <v>-0.54500000000000004</v>
      </c>
      <c r="T29" s="11">
        <v>1.4E-2</v>
      </c>
      <c r="U29" s="11">
        <v>-0.54500000000000004</v>
      </c>
      <c r="V29" s="11">
        <v>1.2500000000000001E-2</v>
      </c>
      <c r="W29" s="11">
        <v>-0.435</v>
      </c>
      <c r="X29" s="11">
        <v>1.6540396314863E-3</v>
      </c>
      <c r="Y29" s="11">
        <v>-0.26</v>
      </c>
      <c r="Z29" s="11">
        <v>0.01</v>
      </c>
      <c r="AA29" s="11">
        <v>0.36499999999999999</v>
      </c>
      <c r="AB29" s="11">
        <v>0.06</v>
      </c>
      <c r="AC29" s="11">
        <v>0.03</v>
      </c>
      <c r="AD29" s="10">
        <v>0.24</v>
      </c>
      <c r="AE29" s="11">
        <v>0.02</v>
      </c>
      <c r="AF29" s="11">
        <v>0.35799999999999998</v>
      </c>
      <c r="AG29" s="11">
        <v>0.46</v>
      </c>
      <c r="AH29" s="11">
        <v>0.02</v>
      </c>
      <c r="AI29" s="11">
        <v>0.26</v>
      </c>
      <c r="AJ29" s="11">
        <v>0.01</v>
      </c>
    </row>
    <row r="30" spans="2:36">
      <c r="D30" s="10">
        <v>37895</v>
      </c>
      <c r="E30" s="11">
        <v>2.8313487496991498E-2</v>
      </c>
      <c r="F30" s="11">
        <v>3.55</v>
      </c>
      <c r="G30" s="11">
        <v>0.35749999999999998</v>
      </c>
      <c r="H30" s="11">
        <v>-0.27500000000000002</v>
      </c>
      <c r="I30" s="11">
        <v>2.5000000000000001E-3</v>
      </c>
      <c r="J30" s="11">
        <v>0.35799999999999998</v>
      </c>
      <c r="K30" s="11">
        <v>-0.105</v>
      </c>
      <c r="L30" s="11">
        <v>5.0000000000000001E-3</v>
      </c>
      <c r="M30" s="11">
        <v>0.35799999999999998</v>
      </c>
      <c r="N30" s="11">
        <v>-0.45500000000000002</v>
      </c>
      <c r="O30" s="11">
        <v>0.02</v>
      </c>
      <c r="P30" s="11">
        <v>0.35799999999999998</v>
      </c>
      <c r="Q30" s="11">
        <v>-0.45500000000000002</v>
      </c>
      <c r="R30" s="11">
        <v>0</v>
      </c>
      <c r="S30" s="11">
        <v>-0.54500000000000004</v>
      </c>
      <c r="T30" s="11">
        <v>1.4E-2</v>
      </c>
      <c r="U30" s="11">
        <v>-0.54500000000000004</v>
      </c>
      <c r="V30" s="11">
        <v>0.03</v>
      </c>
      <c r="W30" s="11">
        <v>-0.435</v>
      </c>
      <c r="X30" s="11">
        <v>1.6542199839127999E-3</v>
      </c>
      <c r="Y30" s="11">
        <v>-0.26</v>
      </c>
      <c r="Z30" s="11">
        <v>0.01</v>
      </c>
      <c r="AA30" s="11">
        <v>0.36499999999999999</v>
      </c>
      <c r="AB30" s="11">
        <v>0.06</v>
      </c>
      <c r="AC30" s="11">
        <v>0.03</v>
      </c>
      <c r="AD30" s="10">
        <v>0.24</v>
      </c>
      <c r="AE30" s="11">
        <v>0.02</v>
      </c>
      <c r="AF30" s="11">
        <v>0.35799999999999998</v>
      </c>
      <c r="AG30" s="11">
        <v>0.46</v>
      </c>
      <c r="AH30" s="11">
        <v>0.02</v>
      </c>
      <c r="AI30" s="11">
        <v>0.26</v>
      </c>
      <c r="AJ30" s="11">
        <v>0.01</v>
      </c>
    </row>
    <row r="31" spans="2:36">
      <c r="D31" s="10">
        <v>37926</v>
      </c>
      <c r="E31" s="11">
        <v>2.8909794144788701E-2</v>
      </c>
      <c r="F31" s="11">
        <v>3.722</v>
      </c>
      <c r="G31" s="11">
        <v>0.35749999999999998</v>
      </c>
      <c r="H31" s="11">
        <v>-0.155</v>
      </c>
      <c r="I31" s="11">
        <v>5.0000000000000001E-3</v>
      </c>
      <c r="J31" s="11">
        <v>0.35799999999999998</v>
      </c>
      <c r="K31" s="11">
        <v>-0.105</v>
      </c>
      <c r="L31" s="11">
        <v>5.0000000000000001E-3</v>
      </c>
      <c r="M31" s="11">
        <v>0.35799999999999998</v>
      </c>
      <c r="N31" s="11">
        <v>-0.25</v>
      </c>
      <c r="O31" s="11">
        <v>0.03</v>
      </c>
      <c r="P31" s="11">
        <v>0.35799999999999998</v>
      </c>
      <c r="Q31" s="11">
        <v>-0.25</v>
      </c>
      <c r="R31" s="11">
        <v>0.14000000000000001</v>
      </c>
      <c r="S31" s="11">
        <v>-0.33</v>
      </c>
      <c r="T31" s="11">
        <v>0.154</v>
      </c>
      <c r="U31" s="11">
        <v>-0.33</v>
      </c>
      <c r="V31" s="11">
        <v>0.03</v>
      </c>
      <c r="W31" s="11">
        <v>-0.4</v>
      </c>
      <c r="X31" s="11">
        <v>5.2941381538468999E-3</v>
      </c>
      <c r="Y31" s="11">
        <v>9.5000000000000001E-2</v>
      </c>
      <c r="Z31" s="11">
        <v>4.4999999999999998E-2</v>
      </c>
      <c r="AA31" s="11">
        <v>0.36499999999999999</v>
      </c>
      <c r="AB31" s="11">
        <v>0.17499999999999999</v>
      </c>
      <c r="AC31" s="11">
        <v>0.04</v>
      </c>
      <c r="AD31" s="10">
        <v>0.24</v>
      </c>
      <c r="AE31" s="11">
        <v>0.03</v>
      </c>
      <c r="AF31" s="11">
        <v>0.35799999999999998</v>
      </c>
      <c r="AG31" s="11">
        <v>0.55000000000000004</v>
      </c>
      <c r="AH31" s="11">
        <v>0.03</v>
      </c>
      <c r="AI31" s="11">
        <v>0.35</v>
      </c>
      <c r="AJ31" s="11">
        <v>0.01</v>
      </c>
    </row>
    <row r="32" spans="2:36">
      <c r="D32" s="10">
        <v>37956</v>
      </c>
      <c r="E32" s="11">
        <v>2.9486865208485601E-2</v>
      </c>
      <c r="F32" s="11">
        <v>3.8740000000000001</v>
      </c>
      <c r="G32" s="11">
        <v>0.35749999999999998</v>
      </c>
      <c r="H32" s="11">
        <v>-0.155</v>
      </c>
      <c r="I32" s="11">
        <v>5.0000000000000001E-3</v>
      </c>
      <c r="J32" s="11">
        <v>0.35799999999999998</v>
      </c>
      <c r="K32" s="11">
        <v>-0.105</v>
      </c>
      <c r="L32" s="11">
        <v>5.0000000000000001E-3</v>
      </c>
      <c r="M32" s="11">
        <v>0.35799999999999998</v>
      </c>
      <c r="N32" s="11">
        <v>-0.25</v>
      </c>
      <c r="O32" s="11">
        <v>0.03</v>
      </c>
      <c r="P32" s="11">
        <v>0.35799999999999998</v>
      </c>
      <c r="Q32" s="11">
        <v>-0.25</v>
      </c>
      <c r="R32" s="11">
        <v>0</v>
      </c>
      <c r="S32" s="11">
        <v>-0.33</v>
      </c>
      <c r="T32" s="11">
        <v>5.2999999999999999E-2</v>
      </c>
      <c r="U32" s="11">
        <v>-0.33</v>
      </c>
      <c r="V32" s="11">
        <v>0.03</v>
      </c>
      <c r="W32" s="11">
        <v>-0.4</v>
      </c>
      <c r="X32" s="11">
        <v>5.2948384022384999E-3</v>
      </c>
      <c r="Y32" s="11">
        <v>0.435</v>
      </c>
      <c r="Z32" s="11">
        <v>4.4999999999999998E-2</v>
      </c>
      <c r="AA32" s="11">
        <v>0.36499999999999999</v>
      </c>
      <c r="AB32" s="11">
        <v>0.17499999999999999</v>
      </c>
      <c r="AC32" s="11">
        <v>0.04</v>
      </c>
      <c r="AD32" s="10">
        <v>0.24</v>
      </c>
      <c r="AE32" s="11">
        <v>0.03</v>
      </c>
      <c r="AF32" s="11">
        <v>0.35799999999999998</v>
      </c>
      <c r="AG32" s="11">
        <v>0.56000000000000005</v>
      </c>
      <c r="AH32" s="11">
        <v>0.03</v>
      </c>
      <c r="AI32" s="11">
        <v>0.36</v>
      </c>
      <c r="AJ32" s="11">
        <v>0.01</v>
      </c>
    </row>
    <row r="33" spans="4:36">
      <c r="D33" s="10">
        <v>37987</v>
      </c>
      <c r="E33" s="11">
        <v>3.0083625032912401E-2</v>
      </c>
      <c r="F33" s="11">
        <v>3.9289999999999998</v>
      </c>
      <c r="G33" s="11">
        <v>0.35249999999999998</v>
      </c>
      <c r="H33" s="11">
        <v>-0.155</v>
      </c>
      <c r="I33" s="11">
        <v>5.0000000000000001E-3</v>
      </c>
      <c r="J33" s="11">
        <v>0.35299999999999998</v>
      </c>
      <c r="K33" s="11">
        <v>-9.5000000000000001E-2</v>
      </c>
      <c r="L33" s="11">
        <v>5.0000000000000001E-3</v>
      </c>
      <c r="M33" s="11">
        <v>0.35299999999999998</v>
      </c>
      <c r="N33" s="11">
        <v>-0.25</v>
      </c>
      <c r="O33" s="11">
        <v>0.03</v>
      </c>
      <c r="P33" s="11">
        <v>0.35299999999999998</v>
      </c>
      <c r="Q33" s="11">
        <v>-0.25</v>
      </c>
      <c r="R33" s="11">
        <v>2.5000000000000001E-2</v>
      </c>
      <c r="S33" s="11">
        <v>-0.33</v>
      </c>
      <c r="T33" s="11">
        <v>5.2999999999999999E-2</v>
      </c>
      <c r="U33" s="11">
        <v>-0.33</v>
      </c>
      <c r="V33" s="11">
        <v>0.03</v>
      </c>
      <c r="W33" s="11">
        <v>-0.4</v>
      </c>
      <c r="X33" s="11">
        <v>5.2956403320514002E-3</v>
      </c>
      <c r="Y33" s="11">
        <v>0.46500000000000002</v>
      </c>
      <c r="Z33" s="11">
        <v>4.4999999999999998E-2</v>
      </c>
      <c r="AA33" s="11">
        <v>0.36</v>
      </c>
      <c r="AB33" s="11">
        <v>0.17499999999999999</v>
      </c>
      <c r="AC33" s="11">
        <v>0.04</v>
      </c>
      <c r="AD33" s="10">
        <v>0.24</v>
      </c>
      <c r="AE33" s="11">
        <v>0.03</v>
      </c>
      <c r="AF33" s="11">
        <v>0.35299999999999998</v>
      </c>
      <c r="AG33" s="11">
        <v>0.52</v>
      </c>
      <c r="AH33" s="11">
        <v>0.03</v>
      </c>
      <c r="AI33" s="11">
        <v>0.32</v>
      </c>
      <c r="AJ33" s="11">
        <v>0.01</v>
      </c>
    </row>
    <row r="34" spans="4:36">
      <c r="D34" s="10">
        <v>38018</v>
      </c>
      <c r="E34" s="11">
        <v>3.0680868114166201E-2</v>
      </c>
      <c r="F34" s="11">
        <v>3.8410000000000002</v>
      </c>
      <c r="G34" s="11">
        <v>0.34749999999999998</v>
      </c>
      <c r="H34" s="11">
        <v>-0.155</v>
      </c>
      <c r="I34" s="11">
        <v>5.0000000000000001E-3</v>
      </c>
      <c r="J34" s="11">
        <v>0.34799999999999998</v>
      </c>
      <c r="K34" s="11">
        <v>-9.5000000000000001E-2</v>
      </c>
      <c r="L34" s="11">
        <v>5.0000000000000001E-3</v>
      </c>
      <c r="M34" s="11">
        <v>0.34799999999999998</v>
      </c>
      <c r="N34" s="11">
        <v>-0.25</v>
      </c>
      <c r="O34" s="11">
        <v>0.03</v>
      </c>
      <c r="P34" s="11">
        <v>0.34799999999999998</v>
      </c>
      <c r="Q34" s="11">
        <v>-0.25</v>
      </c>
      <c r="R34" s="11">
        <v>2.5000000000000001E-2</v>
      </c>
      <c r="S34" s="11">
        <v>-0.33</v>
      </c>
      <c r="T34" s="11">
        <v>5.2999999999999999E-2</v>
      </c>
      <c r="U34" s="11">
        <v>-0.33</v>
      </c>
      <c r="V34" s="11">
        <v>0.03</v>
      </c>
      <c r="W34" s="11">
        <v>-0.4</v>
      </c>
      <c r="X34" s="11">
        <v>5.2965195433363E-3</v>
      </c>
      <c r="Y34" s="11">
        <v>0.14499999999999999</v>
      </c>
      <c r="Z34" s="11">
        <v>4.4999999999999998E-2</v>
      </c>
      <c r="AA34" s="11">
        <v>0.35399999999999998</v>
      </c>
      <c r="AB34" s="11">
        <v>0.17499999999999999</v>
      </c>
      <c r="AC34" s="11">
        <v>0.04</v>
      </c>
      <c r="AD34" s="10">
        <v>0.24</v>
      </c>
      <c r="AE34" s="11">
        <v>0.03</v>
      </c>
      <c r="AF34" s="11">
        <v>0.34799999999999998</v>
      </c>
      <c r="AG34" s="11">
        <v>0.56000000000000005</v>
      </c>
      <c r="AH34" s="11">
        <v>0.03</v>
      </c>
      <c r="AI34" s="11">
        <v>0.36</v>
      </c>
      <c r="AJ34" s="11">
        <v>0.01</v>
      </c>
    </row>
    <row r="35" spans="4:36">
      <c r="D35" s="10">
        <v>38047</v>
      </c>
      <c r="E35" s="11">
        <v>3.1239579492571501E-2</v>
      </c>
      <c r="F35" s="11">
        <v>3.702</v>
      </c>
      <c r="G35" s="11">
        <v>0.33500000000000002</v>
      </c>
      <c r="H35" s="11">
        <v>-0.155</v>
      </c>
      <c r="I35" s="11">
        <v>5.0000000000000001E-3</v>
      </c>
      <c r="J35" s="11">
        <v>0.33500000000000002</v>
      </c>
      <c r="K35" s="11">
        <v>-9.5000000000000001E-2</v>
      </c>
      <c r="L35" s="11">
        <v>5.0000000000000001E-3</v>
      </c>
      <c r="M35" s="11">
        <v>0.33500000000000002</v>
      </c>
      <c r="N35" s="11">
        <v>-0.25</v>
      </c>
      <c r="O35" s="11">
        <v>0.03</v>
      </c>
      <c r="P35" s="11">
        <v>0.33500000000000002</v>
      </c>
      <c r="Q35" s="11">
        <v>-0.25</v>
      </c>
      <c r="R35" s="11">
        <v>0</v>
      </c>
      <c r="S35" s="11">
        <v>-0.33</v>
      </c>
      <c r="T35" s="11">
        <v>3.3000000000000002E-2</v>
      </c>
      <c r="U35" s="11">
        <v>-0.33</v>
      </c>
      <c r="V35" s="11">
        <v>0.03</v>
      </c>
      <c r="W35" s="11">
        <v>-0.4</v>
      </c>
      <c r="X35" s="11">
        <v>5.2974072503219E-3</v>
      </c>
      <c r="Y35" s="11">
        <v>-0.16500000000000001</v>
      </c>
      <c r="Z35" s="11">
        <v>4.4999999999999998E-2</v>
      </c>
      <c r="AA35" s="11">
        <v>0.34200000000000003</v>
      </c>
      <c r="AB35" s="11">
        <v>0.17499999999999999</v>
      </c>
      <c r="AC35" s="11">
        <v>0.04</v>
      </c>
      <c r="AD35" s="10">
        <v>0.24</v>
      </c>
      <c r="AE35" s="11">
        <v>0.03</v>
      </c>
      <c r="AF35" s="11">
        <v>0.33500000000000002</v>
      </c>
      <c r="AG35" s="11">
        <v>0.46</v>
      </c>
      <c r="AH35" s="11">
        <v>0.03</v>
      </c>
      <c r="AI35" s="11">
        <v>0.26</v>
      </c>
      <c r="AJ35" s="11">
        <v>0.01</v>
      </c>
    </row>
    <row r="36" spans="4:36">
      <c r="D36" s="10">
        <v>38078</v>
      </c>
      <c r="E36" s="11">
        <v>3.1806979093572003E-2</v>
      </c>
      <c r="F36" s="11">
        <v>3.548</v>
      </c>
      <c r="G36" s="11">
        <v>0.3075</v>
      </c>
      <c r="H36" s="11">
        <v>-0.22</v>
      </c>
      <c r="I36" s="11">
        <v>2.5000000000000001E-3</v>
      </c>
      <c r="J36" s="11">
        <v>0.308</v>
      </c>
      <c r="K36" s="11">
        <v>-9.5000000000000001E-2</v>
      </c>
      <c r="L36" s="11">
        <v>5.0000000000000001E-3</v>
      </c>
      <c r="M36" s="11">
        <v>0.308</v>
      </c>
      <c r="N36" s="11">
        <v>-0.37</v>
      </c>
      <c r="O36" s="11">
        <v>0.02</v>
      </c>
      <c r="P36" s="11">
        <v>0.308</v>
      </c>
      <c r="Q36" s="11">
        <v>-0.37</v>
      </c>
      <c r="R36" s="11">
        <v>0</v>
      </c>
      <c r="S36" s="11">
        <v>-0.46</v>
      </c>
      <c r="T36" s="11">
        <v>1.6E-2</v>
      </c>
      <c r="U36" s="11">
        <v>-0.46</v>
      </c>
      <c r="V36" s="11">
        <v>0.01</v>
      </c>
      <c r="W36" s="11">
        <v>-0.43</v>
      </c>
      <c r="X36" s="11">
        <v>1.6556411678194001E-3</v>
      </c>
      <c r="Y36" s="11">
        <v>-0.3</v>
      </c>
      <c r="Z36" s="11">
        <v>0.01</v>
      </c>
      <c r="AA36" s="11">
        <v>0.314</v>
      </c>
      <c r="AB36" s="11">
        <v>0.14000000000000001</v>
      </c>
      <c r="AC36" s="11">
        <v>0.03</v>
      </c>
      <c r="AD36" s="10">
        <v>0.26</v>
      </c>
      <c r="AE36" s="11">
        <v>0.03</v>
      </c>
      <c r="AF36" s="11">
        <v>0.308</v>
      </c>
      <c r="AG36" s="11">
        <v>0.44</v>
      </c>
      <c r="AH36" s="11">
        <v>0.03</v>
      </c>
      <c r="AI36" s="11">
        <v>0.24</v>
      </c>
      <c r="AJ36" s="11">
        <v>0</v>
      </c>
    </row>
    <row r="37" spans="4:36">
      <c r="D37" s="10">
        <v>38108</v>
      </c>
      <c r="E37" s="11">
        <v>3.2325269166177097E-2</v>
      </c>
      <c r="F37" s="11">
        <v>3.552</v>
      </c>
      <c r="G37" s="11">
        <v>0.30249999999999999</v>
      </c>
      <c r="H37" s="11">
        <v>-0.22</v>
      </c>
      <c r="I37" s="11">
        <v>2.5000000000000001E-3</v>
      </c>
      <c r="J37" s="11">
        <v>0.30299999999999999</v>
      </c>
      <c r="K37" s="11">
        <v>-9.5000000000000001E-2</v>
      </c>
      <c r="L37" s="11">
        <v>5.0000000000000001E-3</v>
      </c>
      <c r="M37" s="11">
        <v>0.30299999999999999</v>
      </c>
      <c r="N37" s="11">
        <v>-0.37</v>
      </c>
      <c r="O37" s="11">
        <v>0.02</v>
      </c>
      <c r="P37" s="11">
        <v>0.30299999999999999</v>
      </c>
      <c r="Q37" s="11">
        <v>-0.37</v>
      </c>
      <c r="R37" s="11">
        <v>0</v>
      </c>
      <c r="S37" s="11">
        <v>-0.46</v>
      </c>
      <c r="T37" s="11">
        <v>1.6E-2</v>
      </c>
      <c r="U37" s="11">
        <v>-0.46</v>
      </c>
      <c r="V37" s="11">
        <v>0.01</v>
      </c>
      <c r="W37" s="11">
        <v>-0.43</v>
      </c>
      <c r="X37" s="11">
        <v>1.6557248749322E-3</v>
      </c>
      <c r="Y37" s="11">
        <v>-0.3</v>
      </c>
      <c r="Z37" s="11">
        <v>0.01</v>
      </c>
      <c r="AA37" s="11">
        <v>0.309</v>
      </c>
      <c r="AB37" s="11">
        <v>0.14000000000000001</v>
      </c>
      <c r="AC37" s="11">
        <v>0.03</v>
      </c>
      <c r="AD37" s="10">
        <v>0.26</v>
      </c>
      <c r="AE37" s="11">
        <v>0.03</v>
      </c>
      <c r="AF37" s="11">
        <v>0.30299999999999999</v>
      </c>
      <c r="AG37" s="11">
        <v>0.44</v>
      </c>
      <c r="AH37" s="11">
        <v>0.03</v>
      </c>
      <c r="AI37" s="11">
        <v>0.24</v>
      </c>
      <c r="AJ37" s="11">
        <v>0</v>
      </c>
    </row>
    <row r="38" spans="4:36">
      <c r="D38" s="10">
        <v>38139</v>
      </c>
      <c r="E38" s="11">
        <v>3.2860835669577898E-2</v>
      </c>
      <c r="F38" s="11">
        <v>3.5920000000000001</v>
      </c>
      <c r="G38" s="11">
        <v>0.30249999999999999</v>
      </c>
      <c r="H38" s="11">
        <v>-0.22</v>
      </c>
      <c r="I38" s="11">
        <v>2.5000000000000001E-3</v>
      </c>
      <c r="J38" s="11">
        <v>0.30299999999999999</v>
      </c>
      <c r="K38" s="11">
        <v>-9.5000000000000001E-2</v>
      </c>
      <c r="L38" s="11">
        <v>5.0000000000000001E-3</v>
      </c>
      <c r="M38" s="11">
        <v>0.30299999999999999</v>
      </c>
      <c r="N38" s="11">
        <v>-0.37</v>
      </c>
      <c r="O38" s="11">
        <v>0.02</v>
      </c>
      <c r="P38" s="11">
        <v>0.30299999999999999</v>
      </c>
      <c r="Q38" s="11">
        <v>-0.37</v>
      </c>
      <c r="R38" s="11">
        <v>0</v>
      </c>
      <c r="S38" s="11">
        <v>-0.46</v>
      </c>
      <c r="T38" s="11">
        <v>1.6E-2</v>
      </c>
      <c r="U38" s="11">
        <v>-0.46</v>
      </c>
      <c r="V38" s="11">
        <v>0.01</v>
      </c>
      <c r="W38" s="11">
        <v>-0.43</v>
      </c>
      <c r="X38" s="11">
        <v>1.6558167929405E-3</v>
      </c>
      <c r="Y38" s="11">
        <v>-0.3</v>
      </c>
      <c r="Z38" s="11">
        <v>0.01</v>
      </c>
      <c r="AA38" s="11">
        <v>0.309</v>
      </c>
      <c r="AB38" s="11">
        <v>0.14000000000000001</v>
      </c>
      <c r="AC38" s="11">
        <v>0.03</v>
      </c>
      <c r="AD38" s="10">
        <v>0.26</v>
      </c>
      <c r="AE38" s="11">
        <v>0.03</v>
      </c>
      <c r="AF38" s="11">
        <v>0.30299999999999999</v>
      </c>
      <c r="AG38" s="11">
        <v>0.44</v>
      </c>
      <c r="AH38" s="11">
        <v>0.03</v>
      </c>
      <c r="AI38" s="11">
        <v>0.24</v>
      </c>
      <c r="AJ38" s="11">
        <v>0</v>
      </c>
    </row>
    <row r="39" spans="4:36">
      <c r="D39" s="10">
        <v>38169</v>
      </c>
      <c r="E39" s="11">
        <v>3.3362832119192998E-2</v>
      </c>
      <c r="F39" s="11">
        <v>3.637</v>
      </c>
      <c r="G39" s="11">
        <v>0.30249999999999999</v>
      </c>
      <c r="H39" s="11">
        <v>-0.22</v>
      </c>
      <c r="I39" s="11">
        <v>2.5000000000000001E-3</v>
      </c>
      <c r="J39" s="11">
        <v>0.30299999999999999</v>
      </c>
      <c r="K39" s="11">
        <v>-9.5000000000000001E-2</v>
      </c>
      <c r="L39" s="11">
        <v>5.0000000000000001E-3</v>
      </c>
      <c r="M39" s="11">
        <v>0.30299999999999999</v>
      </c>
      <c r="N39" s="11">
        <v>-0.37</v>
      </c>
      <c r="O39" s="11">
        <v>0.02</v>
      </c>
      <c r="P39" s="11">
        <v>0.30299999999999999</v>
      </c>
      <c r="Q39" s="11">
        <v>-0.37</v>
      </c>
      <c r="R39" s="11">
        <v>0</v>
      </c>
      <c r="S39" s="11">
        <v>-0.46</v>
      </c>
      <c r="T39" s="11">
        <v>1.6E-2</v>
      </c>
      <c r="U39" s="11">
        <v>-0.46</v>
      </c>
      <c r="V39" s="11">
        <v>0.01</v>
      </c>
      <c r="W39" s="11">
        <v>-0.43</v>
      </c>
      <c r="X39" s="11">
        <v>1.6558405845444001E-3</v>
      </c>
      <c r="Y39" s="11">
        <v>-0.3</v>
      </c>
      <c r="Z39" s="11">
        <v>0.01</v>
      </c>
      <c r="AA39" s="11">
        <v>0.309</v>
      </c>
      <c r="AB39" s="11">
        <v>0.14000000000000001</v>
      </c>
      <c r="AC39" s="11">
        <v>0.03</v>
      </c>
      <c r="AD39" s="10">
        <v>0.26</v>
      </c>
      <c r="AE39" s="11">
        <v>0.03</v>
      </c>
      <c r="AF39" s="11">
        <v>0.30299999999999999</v>
      </c>
      <c r="AG39" s="11">
        <v>0.44</v>
      </c>
      <c r="AH39" s="11">
        <v>0.03</v>
      </c>
      <c r="AI39" s="11">
        <v>0.24</v>
      </c>
      <c r="AJ39" s="11">
        <v>0</v>
      </c>
    </row>
    <row r="40" spans="4:36">
      <c r="D40" s="10">
        <v>38200</v>
      </c>
      <c r="E40" s="11">
        <v>3.3863686693780697E-2</v>
      </c>
      <c r="F40" s="11">
        <v>3.6760000000000002</v>
      </c>
      <c r="G40" s="11">
        <v>0.30249999999999999</v>
      </c>
      <c r="H40" s="11">
        <v>-0.22</v>
      </c>
      <c r="I40" s="11">
        <v>2.5000000000000001E-3</v>
      </c>
      <c r="J40" s="11">
        <v>0.30299999999999999</v>
      </c>
      <c r="K40" s="11">
        <v>-9.5000000000000001E-2</v>
      </c>
      <c r="L40" s="11">
        <v>5.0000000000000001E-3</v>
      </c>
      <c r="M40" s="11">
        <v>0.30299999999999999</v>
      </c>
      <c r="N40" s="11">
        <v>-0.37</v>
      </c>
      <c r="O40" s="11">
        <v>0.02</v>
      </c>
      <c r="P40" s="11">
        <v>0.30299999999999999</v>
      </c>
      <c r="Q40" s="11">
        <v>-0.37</v>
      </c>
      <c r="R40" s="11">
        <v>0</v>
      </c>
      <c r="S40" s="11">
        <v>-0.46</v>
      </c>
      <c r="T40" s="11">
        <v>1.6E-2</v>
      </c>
      <c r="U40" s="11">
        <v>-0.46</v>
      </c>
      <c r="V40" s="11">
        <v>0.01</v>
      </c>
      <c r="W40" s="11">
        <v>-0.43</v>
      </c>
      <c r="X40" s="11">
        <v>1.6557863503656001E-3</v>
      </c>
      <c r="Y40" s="11">
        <v>-0.3</v>
      </c>
      <c r="Z40" s="11">
        <v>0.01</v>
      </c>
      <c r="AA40" s="11">
        <v>0.309</v>
      </c>
      <c r="AB40" s="11">
        <v>0.14000000000000001</v>
      </c>
      <c r="AC40" s="11">
        <v>0.03</v>
      </c>
      <c r="AD40" s="10">
        <v>0.26</v>
      </c>
      <c r="AE40" s="11">
        <v>0.03</v>
      </c>
      <c r="AF40" s="11">
        <v>0.30299999999999999</v>
      </c>
      <c r="AG40" s="11">
        <v>0.44</v>
      </c>
      <c r="AH40" s="11">
        <v>0.03</v>
      </c>
      <c r="AI40" s="11">
        <v>0.24</v>
      </c>
      <c r="AJ40" s="11">
        <v>0</v>
      </c>
    </row>
    <row r="41" spans="4:36">
      <c r="D41" s="10">
        <v>38231</v>
      </c>
      <c r="E41" s="11">
        <v>3.4364541352789803E-2</v>
      </c>
      <c r="F41" s="11">
        <v>3.67</v>
      </c>
      <c r="G41" s="11">
        <v>0.30249999999999999</v>
      </c>
      <c r="H41" s="11">
        <v>-0.22</v>
      </c>
      <c r="I41" s="11">
        <v>2.5000000000000001E-3</v>
      </c>
      <c r="J41" s="11">
        <v>0.30299999999999999</v>
      </c>
      <c r="K41" s="11">
        <v>-9.5000000000000001E-2</v>
      </c>
      <c r="L41" s="11">
        <v>5.0000000000000001E-3</v>
      </c>
      <c r="M41" s="11">
        <v>0.30299999999999999</v>
      </c>
      <c r="N41" s="11">
        <v>-0.37</v>
      </c>
      <c r="O41" s="11">
        <v>0.02</v>
      </c>
      <c r="P41" s="11">
        <v>0.30299999999999999</v>
      </c>
      <c r="Q41" s="11">
        <v>-0.37</v>
      </c>
      <c r="R41" s="11">
        <v>0</v>
      </c>
      <c r="S41" s="11">
        <v>-0.46</v>
      </c>
      <c r="T41" s="11">
        <v>1.6E-2</v>
      </c>
      <c r="U41" s="11">
        <v>-0.46</v>
      </c>
      <c r="V41" s="11">
        <v>1.2500000000000001E-2</v>
      </c>
      <c r="W41" s="11">
        <v>-0.43</v>
      </c>
      <c r="X41" s="11">
        <v>1.6557280989907999E-3</v>
      </c>
      <c r="Y41" s="11">
        <v>-0.3</v>
      </c>
      <c r="Z41" s="11">
        <v>0.01</v>
      </c>
      <c r="AA41" s="11">
        <v>0.309</v>
      </c>
      <c r="AB41" s="11">
        <v>0.14000000000000001</v>
      </c>
      <c r="AC41" s="11">
        <v>0.03</v>
      </c>
      <c r="AD41" s="10">
        <v>0.26</v>
      </c>
      <c r="AE41" s="11">
        <v>0.03</v>
      </c>
      <c r="AF41" s="11">
        <v>0.30299999999999999</v>
      </c>
      <c r="AG41" s="11">
        <v>0.44</v>
      </c>
      <c r="AH41" s="11">
        <v>0.03</v>
      </c>
      <c r="AI41" s="11">
        <v>0.24</v>
      </c>
      <c r="AJ41" s="11">
        <v>0</v>
      </c>
    </row>
    <row r="42" spans="4:36">
      <c r="D42" s="10">
        <v>38261</v>
      </c>
      <c r="E42" s="11">
        <v>3.4831910670599903E-2</v>
      </c>
      <c r="F42" s="11">
        <v>3.68</v>
      </c>
      <c r="G42" s="11">
        <v>0.30249999999999999</v>
      </c>
      <c r="H42" s="11">
        <v>-0.22</v>
      </c>
      <c r="I42" s="11">
        <v>2.5000000000000001E-3</v>
      </c>
      <c r="J42" s="11">
        <v>0.30299999999999999</v>
      </c>
      <c r="K42" s="11">
        <v>-9.5000000000000001E-2</v>
      </c>
      <c r="L42" s="11">
        <v>5.0000000000000001E-3</v>
      </c>
      <c r="M42" s="11">
        <v>0.30299999999999999</v>
      </c>
      <c r="N42" s="11">
        <v>-0.37</v>
      </c>
      <c r="O42" s="11">
        <v>0.02</v>
      </c>
      <c r="P42" s="11">
        <v>0.30299999999999999</v>
      </c>
      <c r="Q42" s="11">
        <v>-0.37</v>
      </c>
      <c r="R42" s="11">
        <v>0</v>
      </c>
      <c r="S42" s="11">
        <v>-0.46</v>
      </c>
      <c r="T42" s="11">
        <v>1.6E-2</v>
      </c>
      <c r="U42" s="11">
        <v>-0.46</v>
      </c>
      <c r="V42" s="11">
        <v>0.03</v>
      </c>
      <c r="W42" s="11">
        <v>-0.43</v>
      </c>
      <c r="X42" s="11">
        <v>1.6555859913783999E-3</v>
      </c>
      <c r="Y42" s="11">
        <v>-0.3</v>
      </c>
      <c r="Z42" s="11">
        <v>0.01</v>
      </c>
      <c r="AA42" s="11">
        <v>0.309</v>
      </c>
      <c r="AB42" s="11">
        <v>0.14000000000000001</v>
      </c>
      <c r="AC42" s="11">
        <v>0.03</v>
      </c>
      <c r="AD42" s="10">
        <v>0.26</v>
      </c>
      <c r="AE42" s="11">
        <v>0.03</v>
      </c>
      <c r="AF42" s="11">
        <v>0.30299999999999999</v>
      </c>
      <c r="AG42" s="11">
        <v>0.44</v>
      </c>
      <c r="AH42" s="11">
        <v>0.03</v>
      </c>
      <c r="AI42" s="11">
        <v>0.24</v>
      </c>
      <c r="AJ42" s="11">
        <v>0</v>
      </c>
    </row>
    <row r="43" spans="4:36">
      <c r="D43" s="10">
        <v>38292</v>
      </c>
      <c r="E43" s="11">
        <v>3.5298204517262698E-2</v>
      </c>
      <c r="F43" s="11">
        <v>3.84</v>
      </c>
      <c r="G43" s="11">
        <v>0.3</v>
      </c>
      <c r="H43" s="11">
        <v>-0.13500000000000001</v>
      </c>
      <c r="I43" s="11">
        <v>5.0000000000000001E-3</v>
      </c>
      <c r="J43" s="11">
        <v>0.3</v>
      </c>
      <c r="K43" s="11">
        <v>-9.5000000000000001E-2</v>
      </c>
      <c r="L43" s="11">
        <v>5.0000000000000001E-3</v>
      </c>
      <c r="M43" s="11">
        <v>0.3</v>
      </c>
      <c r="N43" s="11">
        <v>-0.24</v>
      </c>
      <c r="O43" s="11">
        <v>3.5000000000000003E-2</v>
      </c>
      <c r="P43" s="11">
        <v>0.3</v>
      </c>
      <c r="Q43" s="11">
        <v>-0.24</v>
      </c>
      <c r="R43" s="11">
        <v>0.14000000000000001</v>
      </c>
      <c r="S43" s="11">
        <v>-0.32</v>
      </c>
      <c r="T43" s="11">
        <v>0.156</v>
      </c>
      <c r="U43" s="11">
        <v>-0.32</v>
      </c>
      <c r="V43" s="11">
        <v>0.03</v>
      </c>
      <c r="W43" s="11">
        <v>-0.4</v>
      </c>
      <c r="X43" s="11">
        <v>5.2971180521535002E-3</v>
      </c>
      <c r="Y43" s="11">
        <v>0.248</v>
      </c>
      <c r="Z43" s="11">
        <v>4.4999999999999998E-2</v>
      </c>
      <c r="AA43" s="11">
        <v>0.30599999999999999</v>
      </c>
      <c r="AB43" s="11">
        <v>0.19</v>
      </c>
      <c r="AC43" s="11">
        <v>0.04</v>
      </c>
      <c r="AD43" s="10">
        <v>0.25</v>
      </c>
      <c r="AE43" s="11">
        <v>0.03</v>
      </c>
      <c r="AF43" s="11">
        <v>0.3</v>
      </c>
      <c r="AG43" s="11">
        <v>0.5</v>
      </c>
      <c r="AH43" s="11">
        <v>0.03</v>
      </c>
      <c r="AI43" s="11">
        <v>0.3</v>
      </c>
      <c r="AJ43" s="11">
        <v>0</v>
      </c>
    </row>
    <row r="44" spans="4:36">
      <c r="D44" s="10">
        <v>38322</v>
      </c>
      <c r="E44" s="11">
        <v>3.5749456696556603E-2</v>
      </c>
      <c r="F44" s="11">
        <v>3.9940000000000002</v>
      </c>
      <c r="G44" s="11">
        <v>0.29749999999999999</v>
      </c>
      <c r="H44" s="11">
        <v>-0.13500000000000001</v>
      </c>
      <c r="I44" s="11">
        <v>5.0000000000000001E-3</v>
      </c>
      <c r="J44" s="11">
        <v>0.29799999999999999</v>
      </c>
      <c r="K44" s="11">
        <v>-9.5000000000000001E-2</v>
      </c>
      <c r="L44" s="11">
        <v>5.0000000000000001E-3</v>
      </c>
      <c r="M44" s="11">
        <v>0.29799999999999999</v>
      </c>
      <c r="N44" s="11">
        <v>-0.24</v>
      </c>
      <c r="O44" s="11">
        <v>3.5000000000000003E-2</v>
      </c>
      <c r="P44" s="11">
        <v>0.29799999999999999</v>
      </c>
      <c r="Q44" s="11">
        <v>-0.24</v>
      </c>
      <c r="R44" s="11">
        <v>0</v>
      </c>
      <c r="S44" s="11">
        <v>-0.32</v>
      </c>
      <c r="T44" s="11">
        <v>5.5E-2</v>
      </c>
      <c r="U44" s="11">
        <v>-0.32</v>
      </c>
      <c r="V44" s="11">
        <v>0.03</v>
      </c>
      <c r="W44" s="11">
        <v>-0.4</v>
      </c>
      <c r="X44" s="11">
        <v>5.2983690977537997E-3</v>
      </c>
      <c r="Y44" s="11">
        <v>0.308</v>
      </c>
      <c r="Z44" s="11">
        <v>4.4999999999999998E-2</v>
      </c>
      <c r="AA44" s="11">
        <v>0.30299999999999999</v>
      </c>
      <c r="AB44" s="11">
        <v>0.19</v>
      </c>
      <c r="AC44" s="11">
        <v>0.04</v>
      </c>
      <c r="AD44" s="10">
        <v>0.25</v>
      </c>
      <c r="AE44" s="11">
        <v>0.03</v>
      </c>
      <c r="AF44" s="11">
        <v>0.29799999999999999</v>
      </c>
      <c r="AG44" s="11">
        <v>0.56999999999999995</v>
      </c>
      <c r="AH44" s="11">
        <v>0.03</v>
      </c>
      <c r="AI44" s="11">
        <v>0.37</v>
      </c>
      <c r="AJ44" s="11">
        <v>0</v>
      </c>
    </row>
    <row r="45" spans="4:36">
      <c r="D45" s="10">
        <v>38353</v>
      </c>
      <c r="E45" s="11">
        <v>3.6204721303168902E-2</v>
      </c>
      <c r="F45" s="11">
        <v>4.0289999999999999</v>
      </c>
      <c r="G45" s="11">
        <v>0.29749999999999999</v>
      </c>
      <c r="H45" s="11">
        <v>-0.13500000000000001</v>
      </c>
      <c r="I45" s="11">
        <v>5.0000000000000001E-3</v>
      </c>
      <c r="J45" s="11">
        <v>0.29799999999999999</v>
      </c>
      <c r="K45" s="11">
        <v>-8.5000000000000006E-2</v>
      </c>
      <c r="L45" s="11">
        <v>5.0000000000000001E-3</v>
      </c>
      <c r="M45" s="11">
        <v>0.29799999999999999</v>
      </c>
      <c r="N45" s="11">
        <v>-0.24</v>
      </c>
      <c r="O45" s="11">
        <v>3.5000000000000003E-2</v>
      </c>
      <c r="P45" s="11">
        <v>0.29799999999999999</v>
      </c>
      <c r="Q45" s="11">
        <v>-0.24</v>
      </c>
      <c r="R45" s="11">
        <v>2.5000000000000001E-2</v>
      </c>
      <c r="S45" s="11">
        <v>-0.32</v>
      </c>
      <c r="T45" s="11">
        <v>5.5E-2</v>
      </c>
      <c r="U45" s="11">
        <v>-0.32</v>
      </c>
      <c r="V45" s="11">
        <v>0.03</v>
      </c>
      <c r="W45" s="11">
        <v>-0.4</v>
      </c>
      <c r="X45" s="11">
        <v>5.2998822449514E-3</v>
      </c>
      <c r="Y45" s="11">
        <v>0.378</v>
      </c>
      <c r="Z45" s="11">
        <v>4.4999999999999998E-2</v>
      </c>
      <c r="AA45" s="11">
        <v>0.30299999999999999</v>
      </c>
      <c r="AB45" s="11">
        <v>0.19</v>
      </c>
      <c r="AC45" s="11">
        <v>0.04</v>
      </c>
      <c r="AD45" s="10">
        <v>0.25</v>
      </c>
      <c r="AE45" s="11">
        <v>0.03</v>
      </c>
      <c r="AF45" s="11">
        <v>0.29799999999999999</v>
      </c>
      <c r="AG45" s="11">
        <v>0.56999999999999995</v>
      </c>
      <c r="AH45" s="11">
        <v>0.03</v>
      </c>
      <c r="AI45" s="11">
        <v>0.37</v>
      </c>
      <c r="AJ45" s="11">
        <v>0</v>
      </c>
    </row>
    <row r="46" spans="4:36">
      <c r="D46" s="10">
        <v>38384</v>
      </c>
      <c r="E46" s="11">
        <v>3.6650902956043598E-2</v>
      </c>
      <c r="F46" s="11">
        <v>3.9409999999999998</v>
      </c>
      <c r="G46" s="11">
        <v>0.29499999999999998</v>
      </c>
      <c r="H46" s="11">
        <v>-0.13500000000000001</v>
      </c>
      <c r="I46" s="11">
        <v>5.0000000000000001E-3</v>
      </c>
      <c r="J46" s="11">
        <v>0.29499999999999998</v>
      </c>
      <c r="K46" s="11">
        <v>-8.5000000000000006E-2</v>
      </c>
      <c r="L46" s="11">
        <v>5.0000000000000001E-3</v>
      </c>
      <c r="M46" s="11">
        <v>0.29499999999999998</v>
      </c>
      <c r="N46" s="11">
        <v>-0.24</v>
      </c>
      <c r="O46" s="11">
        <v>3.5000000000000003E-2</v>
      </c>
      <c r="P46" s="11">
        <v>0.29499999999999998</v>
      </c>
      <c r="Q46" s="11">
        <v>-0.24</v>
      </c>
      <c r="R46" s="11">
        <v>2.5000000000000001E-2</v>
      </c>
      <c r="S46" s="11">
        <v>-0.32</v>
      </c>
      <c r="T46" s="11">
        <v>5.5E-2</v>
      </c>
      <c r="U46" s="11">
        <v>-0.32</v>
      </c>
      <c r="V46" s="11">
        <v>0.03</v>
      </c>
      <c r="W46" s="11">
        <v>-0.4</v>
      </c>
      <c r="X46" s="11">
        <v>5.3013221476836004E-3</v>
      </c>
      <c r="Y46" s="11">
        <v>0.248</v>
      </c>
      <c r="Z46" s="11">
        <v>4.4999999999999998E-2</v>
      </c>
      <c r="AA46" s="11">
        <v>0.30099999999999999</v>
      </c>
      <c r="AB46" s="11">
        <v>0.19</v>
      </c>
      <c r="AC46" s="11">
        <v>0.04</v>
      </c>
      <c r="AD46" s="10">
        <v>0.25</v>
      </c>
      <c r="AE46" s="11">
        <v>0.03</v>
      </c>
      <c r="AF46" s="11">
        <v>0.29499999999999998</v>
      </c>
      <c r="AG46" s="11">
        <v>0.56999999999999995</v>
      </c>
      <c r="AH46" s="11">
        <v>0.03</v>
      </c>
      <c r="AI46" s="11">
        <v>0.37</v>
      </c>
      <c r="AJ46" s="11">
        <v>0</v>
      </c>
    </row>
    <row r="47" spans="4:36">
      <c r="D47" s="10">
        <v>38412</v>
      </c>
      <c r="E47" s="11">
        <v>3.7053905796791999E-2</v>
      </c>
      <c r="F47" s="11">
        <v>3.802</v>
      </c>
      <c r="G47" s="11">
        <v>0.28249999999999997</v>
      </c>
      <c r="H47" s="11">
        <v>-0.13500000000000001</v>
      </c>
      <c r="I47" s="11">
        <v>5.0000000000000001E-3</v>
      </c>
      <c r="J47" s="11">
        <v>0.28299999999999997</v>
      </c>
      <c r="K47" s="11">
        <v>-8.5000000000000006E-2</v>
      </c>
      <c r="L47" s="11">
        <v>5.0000000000000001E-3</v>
      </c>
      <c r="M47" s="11">
        <v>0.28299999999999997</v>
      </c>
      <c r="N47" s="11">
        <v>-0.24</v>
      </c>
      <c r="O47" s="11">
        <v>3.5000000000000003E-2</v>
      </c>
      <c r="P47" s="11">
        <v>0.28299999999999997</v>
      </c>
      <c r="Q47" s="11">
        <v>-0.24</v>
      </c>
      <c r="R47" s="11">
        <v>0</v>
      </c>
      <c r="S47" s="11">
        <v>-0.32</v>
      </c>
      <c r="T47" s="11">
        <v>3.5000000000000003E-2</v>
      </c>
      <c r="U47" s="11">
        <v>-0.32</v>
      </c>
      <c r="V47" s="11">
        <v>0.03</v>
      </c>
      <c r="W47" s="11">
        <v>-0.4</v>
      </c>
      <c r="X47" s="11">
        <v>5.3026845995873002E-3</v>
      </c>
      <c r="Y47" s="11">
        <v>6.8000000000000005E-2</v>
      </c>
      <c r="Z47" s="11">
        <v>4.4999999999999998E-2</v>
      </c>
      <c r="AA47" s="11">
        <v>0.28799999999999998</v>
      </c>
      <c r="AB47" s="11">
        <v>0.19</v>
      </c>
      <c r="AC47" s="11">
        <v>0.04</v>
      </c>
      <c r="AD47" s="10">
        <v>0.25</v>
      </c>
      <c r="AE47" s="11">
        <v>0.03</v>
      </c>
      <c r="AF47" s="11">
        <v>0.28299999999999997</v>
      </c>
      <c r="AG47" s="11">
        <v>0.56999999999999995</v>
      </c>
      <c r="AH47" s="11">
        <v>0.03</v>
      </c>
      <c r="AI47" s="11">
        <v>0.37</v>
      </c>
      <c r="AJ47" s="11">
        <v>0</v>
      </c>
    </row>
    <row r="48" spans="4:36">
      <c r="D48" s="10">
        <v>38443</v>
      </c>
      <c r="E48" s="11">
        <v>3.7470736406731001E-2</v>
      </c>
      <c r="F48" s="11">
        <v>3.6480000000000001</v>
      </c>
      <c r="G48" s="11">
        <v>0.27250000000000002</v>
      </c>
      <c r="H48" s="11">
        <v>-0.2</v>
      </c>
      <c r="I48" s="11">
        <v>2.5000000000000001E-3</v>
      </c>
      <c r="J48" s="11">
        <v>0.27300000000000002</v>
      </c>
      <c r="K48" s="11">
        <v>-8.5000000000000006E-2</v>
      </c>
      <c r="L48" s="11">
        <v>5.0000000000000001E-3</v>
      </c>
      <c r="M48" s="11">
        <v>0.27300000000000002</v>
      </c>
      <c r="N48" s="11">
        <v>-0.35</v>
      </c>
      <c r="O48" s="11">
        <v>0.02</v>
      </c>
      <c r="P48" s="11">
        <v>0.27300000000000002</v>
      </c>
      <c r="Q48" s="11">
        <v>-0.35</v>
      </c>
      <c r="R48" s="11">
        <v>0</v>
      </c>
      <c r="S48" s="11">
        <v>-0.43</v>
      </c>
      <c r="T48" s="11">
        <v>1.7999999999999999E-2</v>
      </c>
      <c r="U48" s="11">
        <v>-0.43</v>
      </c>
      <c r="V48" s="11">
        <v>0.01</v>
      </c>
      <c r="W48" s="11">
        <v>-0.44</v>
      </c>
      <c r="X48" s="11">
        <v>1.6574192253956E-3</v>
      </c>
      <c r="Y48" s="11">
        <v>-0.25</v>
      </c>
      <c r="Z48" s="11">
        <v>0.01</v>
      </c>
      <c r="AA48" s="11">
        <v>0.27800000000000002</v>
      </c>
      <c r="AB48" s="11">
        <v>0.14000000000000001</v>
      </c>
      <c r="AC48" s="11">
        <v>0.03</v>
      </c>
      <c r="AD48" s="10">
        <v>0.26</v>
      </c>
      <c r="AE48" s="11">
        <v>0.03</v>
      </c>
      <c r="AF48" s="11">
        <v>0.27300000000000002</v>
      </c>
      <c r="AG48" s="11">
        <v>0.44</v>
      </c>
      <c r="AH48" s="11">
        <v>0.03</v>
      </c>
      <c r="AI48" s="11">
        <v>0.24</v>
      </c>
      <c r="AJ48" s="11">
        <v>0</v>
      </c>
    </row>
    <row r="49" spans="4:36">
      <c r="D49" s="10">
        <v>38473</v>
      </c>
      <c r="E49" s="11">
        <v>3.7848554335386801E-2</v>
      </c>
      <c r="F49" s="11">
        <v>3.6520000000000001</v>
      </c>
      <c r="G49" s="11">
        <v>0.26500000000000001</v>
      </c>
      <c r="H49" s="11">
        <v>-0.2</v>
      </c>
      <c r="I49" s="11">
        <v>2.5000000000000001E-3</v>
      </c>
      <c r="J49" s="11">
        <v>0.26500000000000001</v>
      </c>
      <c r="K49" s="11">
        <v>-8.5000000000000006E-2</v>
      </c>
      <c r="L49" s="11">
        <v>5.0000000000000001E-3</v>
      </c>
      <c r="M49" s="11">
        <v>0.26500000000000001</v>
      </c>
      <c r="N49" s="11">
        <v>-0.35</v>
      </c>
      <c r="O49" s="11">
        <v>0.02</v>
      </c>
      <c r="P49" s="11">
        <v>0.26500000000000001</v>
      </c>
      <c r="Q49" s="11">
        <v>-0.35</v>
      </c>
      <c r="R49" s="11">
        <v>0</v>
      </c>
      <c r="S49" s="11">
        <v>-0.43</v>
      </c>
      <c r="T49" s="11">
        <v>1.7999999999999999E-2</v>
      </c>
      <c r="U49" s="11">
        <v>-0.43</v>
      </c>
      <c r="V49" s="11">
        <v>0.01</v>
      </c>
      <c r="W49" s="11">
        <v>-0.44</v>
      </c>
      <c r="X49" s="11">
        <v>1.6576075969684E-3</v>
      </c>
      <c r="Y49" s="11">
        <v>-0.25</v>
      </c>
      <c r="Z49" s="11">
        <v>0.01</v>
      </c>
      <c r="AA49" s="11">
        <v>0.27</v>
      </c>
      <c r="AB49" s="11">
        <v>0.14000000000000001</v>
      </c>
      <c r="AC49" s="11">
        <v>0.03</v>
      </c>
      <c r="AD49" s="10">
        <v>0.26</v>
      </c>
      <c r="AE49" s="11">
        <v>0.03</v>
      </c>
      <c r="AF49" s="11">
        <v>0.26500000000000001</v>
      </c>
      <c r="AG49" s="11">
        <v>0.44</v>
      </c>
      <c r="AH49" s="11">
        <v>0.03</v>
      </c>
      <c r="AI49" s="11">
        <v>0.24</v>
      </c>
      <c r="AJ49" s="11">
        <v>0</v>
      </c>
    </row>
    <row r="50" spans="4:36">
      <c r="D50" s="10">
        <v>38504</v>
      </c>
      <c r="E50" s="11">
        <v>3.8238966245366601E-2</v>
      </c>
      <c r="F50" s="11">
        <v>3.6920000000000002</v>
      </c>
      <c r="G50" s="11">
        <v>0.26</v>
      </c>
      <c r="H50" s="11">
        <v>-0.2</v>
      </c>
      <c r="I50" s="11">
        <v>2.5000000000000001E-3</v>
      </c>
      <c r="J50" s="11">
        <v>0.26</v>
      </c>
      <c r="K50" s="11">
        <v>-8.5000000000000006E-2</v>
      </c>
      <c r="L50" s="11">
        <v>5.0000000000000001E-3</v>
      </c>
      <c r="M50" s="11">
        <v>0.26</v>
      </c>
      <c r="N50" s="11">
        <v>-0.35</v>
      </c>
      <c r="O50" s="11">
        <v>0.02</v>
      </c>
      <c r="P50" s="11">
        <v>0.26</v>
      </c>
      <c r="Q50" s="11">
        <v>-0.35</v>
      </c>
      <c r="R50" s="11">
        <v>0</v>
      </c>
      <c r="S50" s="11">
        <v>-0.43</v>
      </c>
      <c r="T50" s="11">
        <v>1.7999999999999999E-2</v>
      </c>
      <c r="U50" s="11">
        <v>-0.43</v>
      </c>
      <c r="V50" s="11">
        <v>0.01</v>
      </c>
      <c r="W50" s="11">
        <v>-0.44</v>
      </c>
      <c r="X50" s="11">
        <v>1.6578092400369999E-3</v>
      </c>
      <c r="Y50" s="11">
        <v>-0.25</v>
      </c>
      <c r="Z50" s="11">
        <v>0.01</v>
      </c>
      <c r="AA50" s="11">
        <v>0.26500000000000001</v>
      </c>
      <c r="AB50" s="11">
        <v>0.14000000000000001</v>
      </c>
      <c r="AC50" s="11">
        <v>0.03</v>
      </c>
      <c r="AD50" s="10">
        <v>0.26</v>
      </c>
      <c r="AE50" s="11">
        <v>0.03</v>
      </c>
      <c r="AF50" s="11">
        <v>0.26</v>
      </c>
      <c r="AG50" s="11">
        <v>0.44</v>
      </c>
      <c r="AH50" s="11">
        <v>0.03</v>
      </c>
      <c r="AI50" s="11">
        <v>0.24</v>
      </c>
      <c r="AJ50" s="11">
        <v>0</v>
      </c>
    </row>
    <row r="51" spans="4:36">
      <c r="D51" s="10">
        <v>38534</v>
      </c>
      <c r="E51" s="11">
        <v>3.86016957246373E-2</v>
      </c>
      <c r="F51" s="11">
        <v>3.7370000000000001</v>
      </c>
      <c r="G51" s="11">
        <v>0.26</v>
      </c>
      <c r="H51" s="11">
        <v>-0.2</v>
      </c>
      <c r="I51" s="11">
        <v>2.5000000000000001E-3</v>
      </c>
      <c r="J51" s="11">
        <v>0.26</v>
      </c>
      <c r="K51" s="11">
        <v>-8.5000000000000006E-2</v>
      </c>
      <c r="L51" s="11">
        <v>5.0000000000000001E-3</v>
      </c>
      <c r="M51" s="11">
        <v>0.26</v>
      </c>
      <c r="N51" s="11">
        <v>-0.35</v>
      </c>
      <c r="O51" s="11">
        <v>0.02</v>
      </c>
      <c r="P51" s="11">
        <v>0.26</v>
      </c>
      <c r="Q51" s="11">
        <v>-0.35</v>
      </c>
      <c r="R51" s="11">
        <v>0</v>
      </c>
      <c r="S51" s="11">
        <v>-0.43</v>
      </c>
      <c r="T51" s="11">
        <v>1.7999999999999999E-2</v>
      </c>
      <c r="U51" s="11">
        <v>-0.43</v>
      </c>
      <c r="V51" s="11">
        <v>0.01</v>
      </c>
      <c r="W51" s="11">
        <v>-0.44</v>
      </c>
      <c r="X51" s="11">
        <v>1.6579215076502E-3</v>
      </c>
      <c r="Y51" s="11">
        <v>-0.25</v>
      </c>
      <c r="Z51" s="11">
        <v>0.01</v>
      </c>
      <c r="AA51" s="11">
        <v>0.26500000000000001</v>
      </c>
      <c r="AB51" s="11">
        <v>0.14000000000000001</v>
      </c>
      <c r="AC51" s="11">
        <v>0.03</v>
      </c>
      <c r="AD51" s="10">
        <v>0.26</v>
      </c>
      <c r="AE51" s="11">
        <v>0.03</v>
      </c>
      <c r="AF51" s="11">
        <v>0.26</v>
      </c>
      <c r="AG51" s="11">
        <v>0.44</v>
      </c>
      <c r="AH51" s="11">
        <v>0.03</v>
      </c>
      <c r="AI51" s="11">
        <v>0.24</v>
      </c>
      <c r="AJ51" s="11">
        <v>0</v>
      </c>
    </row>
    <row r="52" spans="4:36">
      <c r="D52" s="10">
        <v>38565</v>
      </c>
      <c r="E52" s="11">
        <v>3.8961997969720198E-2</v>
      </c>
      <c r="F52" s="11">
        <v>3.7759999999999998</v>
      </c>
      <c r="G52" s="11">
        <v>0.26</v>
      </c>
      <c r="H52" s="11">
        <v>-0.2</v>
      </c>
      <c r="I52" s="11">
        <v>2.5000000000000001E-3</v>
      </c>
      <c r="J52" s="11">
        <v>0.26</v>
      </c>
      <c r="K52" s="11">
        <v>-8.5000000000000006E-2</v>
      </c>
      <c r="L52" s="11">
        <v>5.0000000000000001E-3</v>
      </c>
      <c r="M52" s="11">
        <v>0.26</v>
      </c>
      <c r="N52" s="11">
        <v>-0.35</v>
      </c>
      <c r="O52" s="11">
        <v>0.02</v>
      </c>
      <c r="P52" s="11">
        <v>0.26</v>
      </c>
      <c r="Q52" s="11">
        <v>-0.35</v>
      </c>
      <c r="R52" s="11">
        <v>0</v>
      </c>
      <c r="S52" s="11">
        <v>-0.43</v>
      </c>
      <c r="T52" s="11">
        <v>1.7999999999999999E-2</v>
      </c>
      <c r="U52" s="11">
        <v>-0.43</v>
      </c>
      <c r="V52" s="11">
        <v>0.01</v>
      </c>
      <c r="W52" s="11">
        <v>-0.44</v>
      </c>
      <c r="X52" s="11">
        <v>1.6579520492973E-3</v>
      </c>
      <c r="Y52" s="11">
        <v>-0.25</v>
      </c>
      <c r="Z52" s="11">
        <v>0.01</v>
      </c>
      <c r="AA52" s="11">
        <v>0.26500000000000001</v>
      </c>
      <c r="AB52" s="11">
        <v>0.14000000000000001</v>
      </c>
      <c r="AC52" s="11">
        <v>0.03</v>
      </c>
      <c r="AD52" s="10">
        <v>0.26</v>
      </c>
      <c r="AE52" s="11">
        <v>0.03</v>
      </c>
      <c r="AF52" s="11">
        <v>0.26</v>
      </c>
      <c r="AG52" s="11">
        <v>0.44</v>
      </c>
      <c r="AH52" s="11">
        <v>0.03</v>
      </c>
      <c r="AI52" s="11">
        <v>0.24</v>
      </c>
      <c r="AJ52" s="11">
        <v>0</v>
      </c>
    </row>
    <row r="53" spans="4:36">
      <c r="D53" s="10">
        <v>38596</v>
      </c>
      <c r="E53" s="11">
        <v>3.9322300258381099E-2</v>
      </c>
      <c r="F53" s="11">
        <v>3.77</v>
      </c>
      <c r="G53" s="11">
        <v>0.26</v>
      </c>
      <c r="H53" s="11">
        <v>-0.2</v>
      </c>
      <c r="I53" s="11">
        <v>2.5000000000000001E-3</v>
      </c>
      <c r="J53" s="11">
        <v>0.26</v>
      </c>
      <c r="K53" s="11">
        <v>-8.5000000000000006E-2</v>
      </c>
      <c r="L53" s="11">
        <v>5.0000000000000001E-3</v>
      </c>
      <c r="M53" s="11">
        <v>0.26</v>
      </c>
      <c r="N53" s="11">
        <v>-0.35</v>
      </c>
      <c r="O53" s="11">
        <v>0.02</v>
      </c>
      <c r="P53" s="11">
        <v>0.26</v>
      </c>
      <c r="Q53" s="11">
        <v>-0.35</v>
      </c>
      <c r="R53" s="11">
        <v>0</v>
      </c>
      <c r="S53" s="11">
        <v>-0.43</v>
      </c>
      <c r="T53" s="11">
        <v>1.7999999999999999E-2</v>
      </c>
      <c r="U53" s="11">
        <v>-0.43</v>
      </c>
      <c r="V53" s="11">
        <v>1.2500000000000001E-2</v>
      </c>
      <c r="W53" s="11">
        <v>-0.44</v>
      </c>
      <c r="X53" s="11">
        <v>1.6579814224748999E-3</v>
      </c>
      <c r="Y53" s="11">
        <v>-0.25</v>
      </c>
      <c r="Z53" s="11">
        <v>0.01</v>
      </c>
      <c r="AA53" s="11">
        <v>0.26500000000000001</v>
      </c>
      <c r="AB53" s="11">
        <v>0.14000000000000001</v>
      </c>
      <c r="AC53" s="11">
        <v>0.03</v>
      </c>
      <c r="AD53" s="10">
        <v>0.26</v>
      </c>
      <c r="AE53" s="11">
        <v>0.03</v>
      </c>
      <c r="AF53" s="11">
        <v>0.26</v>
      </c>
      <c r="AG53" s="11">
        <v>0.44</v>
      </c>
      <c r="AH53" s="11">
        <v>0.03</v>
      </c>
      <c r="AI53" s="11">
        <v>0.24</v>
      </c>
      <c r="AJ53" s="11">
        <v>0</v>
      </c>
    </row>
    <row r="54" spans="4:36">
      <c r="D54" s="10">
        <v>38626</v>
      </c>
      <c r="E54" s="11">
        <v>3.9661257886394199E-2</v>
      </c>
      <c r="F54" s="11">
        <v>3.78</v>
      </c>
      <c r="G54" s="11">
        <v>0.26</v>
      </c>
      <c r="H54" s="11">
        <v>-0.2</v>
      </c>
      <c r="I54" s="11">
        <v>2.5000000000000001E-3</v>
      </c>
      <c r="J54" s="11">
        <v>0.26</v>
      </c>
      <c r="K54" s="11">
        <v>-8.5000000000000006E-2</v>
      </c>
      <c r="L54" s="11">
        <v>5.0000000000000001E-3</v>
      </c>
      <c r="M54" s="11">
        <v>0.26</v>
      </c>
      <c r="N54" s="11">
        <v>-0.35</v>
      </c>
      <c r="O54" s="11">
        <v>0.02</v>
      </c>
      <c r="P54" s="11">
        <v>0.26</v>
      </c>
      <c r="Q54" s="11">
        <v>-0.35</v>
      </c>
      <c r="R54" s="11">
        <v>0</v>
      </c>
      <c r="S54" s="11">
        <v>-0.43</v>
      </c>
      <c r="T54" s="11">
        <v>1.7999999999999999E-2</v>
      </c>
      <c r="U54" s="11">
        <v>-0.43</v>
      </c>
      <c r="V54" s="11">
        <v>0.03</v>
      </c>
      <c r="W54" s="11">
        <v>-0.44</v>
      </c>
      <c r="X54" s="11">
        <v>1.6579470287990999E-3</v>
      </c>
      <c r="Y54" s="11">
        <v>-0.25</v>
      </c>
      <c r="Z54" s="11">
        <v>0.01</v>
      </c>
      <c r="AA54" s="11">
        <v>0.26500000000000001</v>
      </c>
      <c r="AB54" s="11">
        <v>0.14000000000000001</v>
      </c>
      <c r="AC54" s="11">
        <v>0.03</v>
      </c>
      <c r="AD54" s="10">
        <v>0.26</v>
      </c>
      <c r="AE54" s="11">
        <v>0.03</v>
      </c>
      <c r="AF54" s="11">
        <v>0.26</v>
      </c>
      <c r="AG54" s="11">
        <v>0.44</v>
      </c>
      <c r="AH54" s="11">
        <v>0.03</v>
      </c>
      <c r="AI54" s="11">
        <v>0.24</v>
      </c>
      <c r="AJ54" s="11">
        <v>0</v>
      </c>
    </row>
    <row r="55" spans="4:36">
      <c r="D55" s="10">
        <v>38657</v>
      </c>
      <c r="E55" s="11">
        <v>3.9991283465716801E-2</v>
      </c>
      <c r="F55" s="11">
        <v>3.94</v>
      </c>
      <c r="G55" s="11">
        <v>0.26</v>
      </c>
      <c r="H55" s="11">
        <v>-0.13</v>
      </c>
      <c r="I55" s="11">
        <v>5.0000000000000001E-3</v>
      </c>
      <c r="J55" s="11">
        <v>0.26</v>
      </c>
      <c r="K55" s="11">
        <v>-8.5000000000000006E-2</v>
      </c>
      <c r="L55" s="11">
        <v>5.0000000000000001E-3</v>
      </c>
      <c r="M55" s="11">
        <v>0.26</v>
      </c>
      <c r="N55" s="11">
        <v>-0.24</v>
      </c>
      <c r="O55" s="11">
        <v>3.5000000000000003E-2</v>
      </c>
      <c r="P55" s="11">
        <v>0.26</v>
      </c>
      <c r="Q55" s="11">
        <v>-0.24</v>
      </c>
      <c r="R55" s="11">
        <v>0.14000000000000001</v>
      </c>
      <c r="S55" s="11">
        <v>-0.32</v>
      </c>
      <c r="T55" s="11">
        <v>0.158</v>
      </c>
      <c r="U55" s="11">
        <v>-0.32</v>
      </c>
      <c r="V55" s="11">
        <v>0.03</v>
      </c>
      <c r="W55" s="11">
        <v>-0.4</v>
      </c>
      <c r="X55" s="11">
        <v>5.3048847005963996E-3</v>
      </c>
      <c r="Y55" s="11">
        <v>0.248</v>
      </c>
      <c r="Z55" s="11">
        <v>4.4999999999999998E-2</v>
      </c>
      <c r="AA55" s="11">
        <v>0.26500000000000001</v>
      </c>
      <c r="AB55" s="11">
        <v>0.19</v>
      </c>
      <c r="AC55" s="11">
        <v>0.03</v>
      </c>
      <c r="AD55" s="10">
        <v>0.25</v>
      </c>
      <c r="AE55" s="11">
        <v>3.2000000000000001E-2</v>
      </c>
      <c r="AF55" s="11">
        <v>0.26</v>
      </c>
      <c r="AG55" s="11">
        <v>0.5</v>
      </c>
      <c r="AH55" s="11">
        <v>3.2000000000000001E-2</v>
      </c>
      <c r="AI55" s="11">
        <v>0.3</v>
      </c>
      <c r="AJ55" s="11">
        <v>0</v>
      </c>
    </row>
    <row r="56" spans="4:36">
      <c r="D56" s="10">
        <v>38687</v>
      </c>
      <c r="E56" s="11">
        <v>4.0310663093404503E-2</v>
      </c>
      <c r="F56" s="11">
        <v>4.0940000000000003</v>
      </c>
      <c r="G56" s="11">
        <v>0.26</v>
      </c>
      <c r="H56" s="11">
        <v>-0.13</v>
      </c>
      <c r="I56" s="11">
        <v>5.0000000000000001E-3</v>
      </c>
      <c r="J56" s="11">
        <v>0.26</v>
      </c>
      <c r="K56" s="11">
        <v>-8.5000000000000006E-2</v>
      </c>
      <c r="L56" s="11">
        <v>5.0000000000000001E-3</v>
      </c>
      <c r="M56" s="11">
        <v>0.26</v>
      </c>
      <c r="N56" s="11">
        <v>-0.24</v>
      </c>
      <c r="O56" s="11">
        <v>3.5000000000000003E-2</v>
      </c>
      <c r="P56" s="11">
        <v>0.26</v>
      </c>
      <c r="Q56" s="11">
        <v>-0.24</v>
      </c>
      <c r="R56" s="11">
        <v>0</v>
      </c>
      <c r="S56" s="11">
        <v>-0.32</v>
      </c>
      <c r="T56" s="11">
        <v>5.7000000000000002E-2</v>
      </c>
      <c r="U56" s="11">
        <v>-0.32</v>
      </c>
      <c r="V56" s="11">
        <v>0.03</v>
      </c>
      <c r="W56" s="11">
        <v>-0.4</v>
      </c>
      <c r="X56" s="11">
        <v>5.3043277738896999E-3</v>
      </c>
      <c r="Y56" s="11">
        <v>0.308</v>
      </c>
      <c r="Z56" s="11">
        <v>4.4999999999999998E-2</v>
      </c>
      <c r="AA56" s="11">
        <v>0.26500000000000001</v>
      </c>
      <c r="AB56" s="11">
        <v>0.19</v>
      </c>
      <c r="AC56" s="11">
        <v>0.03</v>
      </c>
      <c r="AD56" s="10">
        <v>0.25</v>
      </c>
      <c r="AE56" s="11">
        <v>3.2000000000000001E-2</v>
      </c>
      <c r="AF56" s="11">
        <v>0.26</v>
      </c>
      <c r="AG56" s="11">
        <v>0.56999999999999995</v>
      </c>
      <c r="AH56" s="11">
        <v>3.2000000000000001E-2</v>
      </c>
      <c r="AI56" s="11">
        <v>0.37</v>
      </c>
      <c r="AJ56" s="11">
        <v>0</v>
      </c>
    </row>
    <row r="57" spans="4:36">
      <c r="D57" s="10">
        <v>38718</v>
      </c>
      <c r="E57" s="11">
        <v>4.0614914429089502E-2</v>
      </c>
      <c r="F57" s="11">
        <v>4.1315</v>
      </c>
      <c r="G57" s="11">
        <v>0.26</v>
      </c>
      <c r="H57" s="11">
        <v>-0.13</v>
      </c>
      <c r="I57" s="11">
        <v>5.0000000000000001E-3</v>
      </c>
      <c r="J57" s="11">
        <v>0.26</v>
      </c>
      <c r="K57" s="11">
        <v>-7.4999999999999997E-2</v>
      </c>
      <c r="L57" s="11">
        <v>5.0000000000000001E-3</v>
      </c>
      <c r="M57" s="11">
        <v>0.26</v>
      </c>
      <c r="N57" s="11">
        <v>-0.24</v>
      </c>
      <c r="O57" s="11">
        <v>3.5000000000000003E-2</v>
      </c>
      <c r="P57" s="11">
        <v>0.26</v>
      </c>
      <c r="Q57" s="11">
        <v>-0.24</v>
      </c>
      <c r="R57" s="11">
        <v>2.5000000000000001E-2</v>
      </c>
      <c r="S57" s="11">
        <v>-0.32</v>
      </c>
      <c r="T57" s="11">
        <v>5.7000000000000002E-2</v>
      </c>
      <c r="U57" s="11">
        <v>-0.32</v>
      </c>
      <c r="V57" s="11">
        <v>0.03</v>
      </c>
      <c r="W57" s="11">
        <v>-0.4</v>
      </c>
      <c r="X57" s="11">
        <v>5.3031658163052E-3</v>
      </c>
      <c r="Y57" s="11">
        <v>0.378</v>
      </c>
      <c r="Z57" s="11">
        <v>4.4999999999999998E-2</v>
      </c>
      <c r="AA57" s="11">
        <v>0.26500000000000001</v>
      </c>
      <c r="AB57" s="11">
        <v>0.19</v>
      </c>
      <c r="AC57" s="11">
        <v>0.03</v>
      </c>
      <c r="AD57" s="10">
        <v>0.25</v>
      </c>
      <c r="AE57" s="11">
        <v>3.2000000000000001E-2</v>
      </c>
      <c r="AF57" s="11">
        <v>0.26</v>
      </c>
      <c r="AG57" s="11">
        <v>0.56999999999999995</v>
      </c>
      <c r="AH57" s="11">
        <v>3.2000000000000001E-2</v>
      </c>
      <c r="AI57" s="11">
        <v>0.37</v>
      </c>
      <c r="AJ57" s="11">
        <v>0</v>
      </c>
    </row>
    <row r="58" spans="4:36">
      <c r="D58" s="10">
        <v>38749</v>
      </c>
      <c r="E58" s="11">
        <v>4.0872303399721997E-2</v>
      </c>
      <c r="F58" s="11">
        <v>4.0434999999999999</v>
      </c>
      <c r="G58" s="11">
        <v>0.25</v>
      </c>
      <c r="H58" s="11">
        <v>-0.13</v>
      </c>
      <c r="I58" s="11">
        <v>5.0000000000000001E-3</v>
      </c>
      <c r="J58" s="11">
        <v>0.25</v>
      </c>
      <c r="K58" s="11">
        <v>-7.4999999999999997E-2</v>
      </c>
      <c r="L58" s="11">
        <v>5.0000000000000001E-3</v>
      </c>
      <c r="M58" s="11">
        <v>0.25</v>
      </c>
      <c r="N58" s="11">
        <v>-0.24</v>
      </c>
      <c r="O58" s="11">
        <v>3.5000000000000003E-2</v>
      </c>
      <c r="P58" s="11">
        <v>0.25</v>
      </c>
      <c r="Q58" s="11">
        <v>-0.24</v>
      </c>
      <c r="R58" s="11">
        <v>2.5000000000000001E-2</v>
      </c>
      <c r="S58" s="11">
        <v>-0.32</v>
      </c>
      <c r="T58" s="11">
        <v>5.7000000000000002E-2</v>
      </c>
      <c r="U58" s="11">
        <v>-0.32</v>
      </c>
      <c r="V58" s="11">
        <v>0.03</v>
      </c>
      <c r="W58" s="11">
        <v>-0.4</v>
      </c>
      <c r="X58" s="11">
        <v>5.3009188605309E-3</v>
      </c>
      <c r="Y58" s="11">
        <v>0.248</v>
      </c>
      <c r="Z58" s="11">
        <v>4.4999999999999998E-2</v>
      </c>
      <c r="AA58" s="11">
        <v>0.255</v>
      </c>
      <c r="AB58" s="11">
        <v>0.19</v>
      </c>
      <c r="AC58" s="11">
        <v>0.03</v>
      </c>
      <c r="AD58" s="10">
        <v>0.25</v>
      </c>
      <c r="AE58" s="11">
        <v>3.2000000000000001E-2</v>
      </c>
      <c r="AF58" s="11">
        <v>0.25</v>
      </c>
      <c r="AG58" s="11">
        <v>0.56999999999999995</v>
      </c>
      <c r="AH58" s="11">
        <v>3.2000000000000001E-2</v>
      </c>
      <c r="AI58" s="11">
        <v>0.37</v>
      </c>
      <c r="AJ58" s="11">
        <v>0</v>
      </c>
    </row>
    <row r="59" spans="4:36">
      <c r="D59" s="10">
        <v>38777</v>
      </c>
      <c r="E59" s="11">
        <v>4.11047837793901E-2</v>
      </c>
      <c r="F59" s="11">
        <v>3.9045000000000001</v>
      </c>
      <c r="G59" s="11">
        <v>0.24249999999999999</v>
      </c>
      <c r="H59" s="11">
        <v>-0.13</v>
      </c>
      <c r="I59" s="11">
        <v>5.0000000000000001E-3</v>
      </c>
      <c r="J59" s="11">
        <v>0.24299999999999999</v>
      </c>
      <c r="K59" s="11">
        <v>-7.4999999999999997E-2</v>
      </c>
      <c r="L59" s="11">
        <v>5.0000000000000001E-3</v>
      </c>
      <c r="M59" s="11">
        <v>0.24299999999999999</v>
      </c>
      <c r="N59" s="11">
        <v>-0.24</v>
      </c>
      <c r="O59" s="11">
        <v>3.5000000000000003E-2</v>
      </c>
      <c r="P59" s="11">
        <v>0.24299999999999999</v>
      </c>
      <c r="Q59" s="11">
        <v>-0.24</v>
      </c>
      <c r="R59" s="11">
        <v>0</v>
      </c>
      <c r="S59" s="11">
        <v>-0.32</v>
      </c>
      <c r="T59" s="11">
        <v>3.6999999999999998E-2</v>
      </c>
      <c r="U59" s="11">
        <v>-0.32</v>
      </c>
      <c r="V59" s="11">
        <v>0.03</v>
      </c>
      <c r="W59" s="11">
        <v>-0.4</v>
      </c>
      <c r="X59" s="11">
        <v>5.2988096176457998E-3</v>
      </c>
      <c r="Y59" s="11">
        <v>6.8000000000000005E-2</v>
      </c>
      <c r="Z59" s="11">
        <v>4.4999999999999998E-2</v>
      </c>
      <c r="AA59" s="11">
        <v>0.247</v>
      </c>
      <c r="AB59" s="11">
        <v>0.19</v>
      </c>
      <c r="AC59" s="11">
        <v>0.03</v>
      </c>
      <c r="AD59" s="10">
        <v>0.25</v>
      </c>
      <c r="AE59" s="11">
        <v>3.2000000000000001E-2</v>
      </c>
      <c r="AF59" s="11">
        <v>0.24299999999999999</v>
      </c>
      <c r="AG59" s="11">
        <v>0.56999999999999995</v>
      </c>
      <c r="AH59" s="11">
        <v>3.2000000000000001E-2</v>
      </c>
      <c r="AI59" s="11">
        <v>0.37</v>
      </c>
      <c r="AJ59" s="11">
        <v>0</v>
      </c>
    </row>
    <row r="60" spans="4:36">
      <c r="D60" s="10">
        <v>38808</v>
      </c>
      <c r="E60" s="11">
        <v>4.1362172792306598E-2</v>
      </c>
      <c r="F60" s="11">
        <v>3.7505000000000002</v>
      </c>
      <c r="G60" s="11">
        <v>0.24</v>
      </c>
      <c r="H60" s="11">
        <v>-0.2</v>
      </c>
      <c r="I60" s="11">
        <v>2.5000000000000001E-3</v>
      </c>
      <c r="J60" s="11">
        <v>0.24</v>
      </c>
      <c r="K60" s="11">
        <v>-7.4999999999999997E-2</v>
      </c>
      <c r="L60" s="11">
        <v>5.0000000000000001E-3</v>
      </c>
      <c r="M60" s="11">
        <v>0.24</v>
      </c>
      <c r="N60" s="11">
        <v>-0.35</v>
      </c>
      <c r="O60" s="11">
        <v>0.02</v>
      </c>
      <c r="P60" s="11">
        <v>0.24</v>
      </c>
      <c r="Q60" s="11">
        <v>-0.35</v>
      </c>
      <c r="R60" s="11">
        <v>0</v>
      </c>
      <c r="S60" s="11">
        <v>-0.43</v>
      </c>
      <c r="T60" s="11">
        <v>0.02</v>
      </c>
      <c r="U60" s="11">
        <v>-0.43</v>
      </c>
      <c r="V60" s="11">
        <v>0.01</v>
      </c>
      <c r="W60" s="11">
        <v>-0.44</v>
      </c>
      <c r="X60" s="11">
        <v>1.6551207062846E-3</v>
      </c>
      <c r="Y60" s="11">
        <v>-0.25</v>
      </c>
      <c r="Z60" s="11">
        <v>0.01</v>
      </c>
      <c r="AA60" s="11">
        <v>0.245</v>
      </c>
      <c r="AB60" s="11">
        <v>0.14000000000000001</v>
      </c>
      <c r="AC60" s="11">
        <v>0.03</v>
      </c>
      <c r="AD60" s="10">
        <v>0.26</v>
      </c>
      <c r="AE60" s="11">
        <v>3.2000000000000001E-2</v>
      </c>
      <c r="AF60" s="11">
        <v>0.24</v>
      </c>
      <c r="AG60" s="11">
        <v>0.44</v>
      </c>
      <c r="AH60" s="11">
        <v>3.2000000000000001E-2</v>
      </c>
      <c r="AI60" s="11">
        <v>0.24</v>
      </c>
      <c r="AJ60" s="11">
        <v>0</v>
      </c>
    </row>
    <row r="61" spans="4:36">
      <c r="D61" s="10">
        <v>38838</v>
      </c>
      <c r="E61" s="11">
        <v>4.16112589549886E-2</v>
      </c>
      <c r="F61" s="11">
        <v>3.7545000000000002</v>
      </c>
      <c r="G61" s="11">
        <v>0.23749999999999999</v>
      </c>
      <c r="H61" s="11">
        <v>-0.2</v>
      </c>
      <c r="I61" s="11">
        <v>2.5000000000000001E-3</v>
      </c>
      <c r="J61" s="11">
        <v>0.23799999999999999</v>
      </c>
      <c r="K61" s="11">
        <v>-7.4999999999999997E-2</v>
      </c>
      <c r="L61" s="11">
        <v>5.0000000000000001E-3</v>
      </c>
      <c r="M61" s="11">
        <v>0.23799999999999999</v>
      </c>
      <c r="N61" s="11">
        <v>-0.35</v>
      </c>
      <c r="O61" s="11">
        <v>0.02</v>
      </c>
      <c r="P61" s="11">
        <v>0.23799999999999999</v>
      </c>
      <c r="Q61" s="11">
        <v>-0.35</v>
      </c>
      <c r="R61" s="11">
        <v>0</v>
      </c>
      <c r="S61" s="11">
        <v>-0.43</v>
      </c>
      <c r="T61" s="11">
        <v>0.02</v>
      </c>
      <c r="U61" s="11">
        <v>-0.43</v>
      </c>
      <c r="V61" s="11">
        <v>0.01</v>
      </c>
      <c r="W61" s="11">
        <v>-0.44</v>
      </c>
      <c r="X61" s="11">
        <v>1.6543603307902E-3</v>
      </c>
      <c r="Y61" s="11">
        <v>-0.25</v>
      </c>
      <c r="Z61" s="11">
        <v>0.01</v>
      </c>
      <c r="AA61" s="11">
        <v>0.24199999999999999</v>
      </c>
      <c r="AB61" s="11">
        <v>0.14000000000000001</v>
      </c>
      <c r="AC61" s="11">
        <v>0.03</v>
      </c>
      <c r="AD61" s="10">
        <v>0.26</v>
      </c>
      <c r="AE61" s="11">
        <v>3.2000000000000001E-2</v>
      </c>
      <c r="AF61" s="11">
        <v>0.23799999999999999</v>
      </c>
      <c r="AG61" s="11">
        <v>0.44</v>
      </c>
      <c r="AH61" s="11">
        <v>3.2000000000000001E-2</v>
      </c>
      <c r="AI61" s="11">
        <v>0.24</v>
      </c>
      <c r="AJ61" s="11">
        <v>0</v>
      </c>
    </row>
    <row r="62" spans="4:36">
      <c r="D62" s="10">
        <v>38869</v>
      </c>
      <c r="E62" s="11">
        <v>4.18686480116119E-2</v>
      </c>
      <c r="F62" s="11">
        <v>3.7945000000000002</v>
      </c>
      <c r="G62" s="11">
        <v>0.23749999999999999</v>
      </c>
      <c r="H62" s="11">
        <v>-0.2</v>
      </c>
      <c r="I62" s="11">
        <v>2.5000000000000001E-3</v>
      </c>
      <c r="J62" s="11">
        <v>0.23799999999999999</v>
      </c>
      <c r="K62" s="11">
        <v>-7.4999999999999997E-2</v>
      </c>
      <c r="L62" s="11">
        <v>5.0000000000000001E-3</v>
      </c>
      <c r="M62" s="11">
        <v>0.23799999999999999</v>
      </c>
      <c r="N62" s="11">
        <v>-0.35</v>
      </c>
      <c r="O62" s="11">
        <v>0.02</v>
      </c>
      <c r="P62" s="11">
        <v>0.23799999999999999</v>
      </c>
      <c r="Q62" s="11">
        <v>-0.35</v>
      </c>
      <c r="R62" s="11">
        <v>0</v>
      </c>
      <c r="S62" s="11">
        <v>-0.43</v>
      </c>
      <c r="T62" s="11">
        <v>0.02</v>
      </c>
      <c r="U62" s="11">
        <v>-0.43</v>
      </c>
      <c r="V62" s="11">
        <v>0.01</v>
      </c>
      <c r="W62" s="11">
        <v>-0.44</v>
      </c>
      <c r="X62" s="11">
        <v>1.6535462406810999E-3</v>
      </c>
      <c r="Y62" s="11">
        <v>-0.25</v>
      </c>
      <c r="Z62" s="11">
        <v>0.01</v>
      </c>
      <c r="AA62" s="11">
        <v>0.24199999999999999</v>
      </c>
      <c r="AB62" s="11">
        <v>0.14000000000000001</v>
      </c>
      <c r="AC62" s="11">
        <v>0.03</v>
      </c>
      <c r="AD62" s="10">
        <v>0.26</v>
      </c>
      <c r="AE62" s="11">
        <v>3.2000000000000001E-2</v>
      </c>
      <c r="AF62" s="11">
        <v>0.23799999999999999</v>
      </c>
      <c r="AG62" s="11">
        <v>0.44</v>
      </c>
      <c r="AH62" s="11">
        <v>3.2000000000000001E-2</v>
      </c>
      <c r="AI62" s="11">
        <v>0.24</v>
      </c>
      <c r="AJ62" s="11">
        <v>0</v>
      </c>
    </row>
    <row r="63" spans="4:36">
      <c r="D63" s="10">
        <v>38899</v>
      </c>
      <c r="E63" s="11">
        <v>4.2117734216585899E-2</v>
      </c>
      <c r="F63" s="11">
        <v>3.8395000000000001</v>
      </c>
      <c r="G63" s="11">
        <v>0.23749999999999999</v>
      </c>
      <c r="H63" s="11">
        <v>-0.2</v>
      </c>
      <c r="I63" s="11">
        <v>2.5000000000000001E-3</v>
      </c>
      <c r="J63" s="11">
        <v>0.23799999999999999</v>
      </c>
      <c r="K63" s="11">
        <v>-7.4999999999999997E-2</v>
      </c>
      <c r="L63" s="11">
        <v>5.0000000000000001E-3</v>
      </c>
      <c r="M63" s="11">
        <v>0.23799999999999999</v>
      </c>
      <c r="N63" s="11">
        <v>-0.35</v>
      </c>
      <c r="O63" s="11">
        <v>0.02</v>
      </c>
      <c r="P63" s="11">
        <v>0.23799999999999999</v>
      </c>
      <c r="Q63" s="11">
        <v>-0.35</v>
      </c>
      <c r="R63" s="11">
        <v>0</v>
      </c>
      <c r="S63" s="11">
        <v>-0.43</v>
      </c>
      <c r="T63" s="11">
        <v>0.02</v>
      </c>
      <c r="U63" s="11">
        <v>-0.43</v>
      </c>
      <c r="V63" s="11">
        <v>0.01</v>
      </c>
      <c r="W63" s="11">
        <v>-0.44</v>
      </c>
      <c r="X63" s="11">
        <v>1.6527310103182E-3</v>
      </c>
      <c r="Y63" s="11">
        <v>-0.25</v>
      </c>
      <c r="Z63" s="11">
        <v>0.01</v>
      </c>
      <c r="AA63" s="11">
        <v>0.24199999999999999</v>
      </c>
      <c r="AB63" s="11">
        <v>0.14000000000000001</v>
      </c>
      <c r="AC63" s="11">
        <v>0.03</v>
      </c>
      <c r="AD63" s="10">
        <v>0.26</v>
      </c>
      <c r="AE63" s="11">
        <v>3.2000000000000001E-2</v>
      </c>
      <c r="AF63" s="11">
        <v>0.23799999999999999</v>
      </c>
      <c r="AG63" s="11">
        <v>0.44</v>
      </c>
      <c r="AH63" s="11">
        <v>3.2000000000000001E-2</v>
      </c>
      <c r="AI63" s="11">
        <v>0.24</v>
      </c>
      <c r="AJ63" s="11">
        <v>0</v>
      </c>
    </row>
    <row r="64" spans="4:36">
      <c r="D64" s="10">
        <v>38930</v>
      </c>
      <c r="E64" s="11">
        <v>4.2375123316905801E-2</v>
      </c>
      <c r="F64" s="11">
        <v>3.8784999999999998</v>
      </c>
      <c r="G64" s="11">
        <v>0.23749999999999999</v>
      </c>
      <c r="H64" s="11">
        <v>-0.2</v>
      </c>
      <c r="I64" s="11">
        <v>2.5000000000000001E-3</v>
      </c>
      <c r="J64" s="11">
        <v>0.23799999999999999</v>
      </c>
      <c r="K64" s="11">
        <v>-7.4999999999999997E-2</v>
      </c>
      <c r="L64" s="11">
        <v>5.0000000000000001E-3</v>
      </c>
      <c r="M64" s="11">
        <v>0.23799999999999999</v>
      </c>
      <c r="N64" s="11">
        <v>-0.35</v>
      </c>
      <c r="O64" s="11">
        <v>0.02</v>
      </c>
      <c r="P64" s="11">
        <v>0.23799999999999999</v>
      </c>
      <c r="Q64" s="11">
        <v>-0.35</v>
      </c>
      <c r="R64" s="11">
        <v>0</v>
      </c>
      <c r="S64" s="11">
        <v>-0.43</v>
      </c>
      <c r="T64" s="11">
        <v>0.02</v>
      </c>
      <c r="U64" s="11">
        <v>-0.43</v>
      </c>
      <c r="V64" s="11">
        <v>0.01</v>
      </c>
      <c r="W64" s="11">
        <v>-0.44</v>
      </c>
      <c r="X64" s="11">
        <v>1.6518603471769001E-3</v>
      </c>
      <c r="Y64" s="11">
        <v>-0.25</v>
      </c>
      <c r="Z64" s="11">
        <v>0.01</v>
      </c>
      <c r="AA64" s="11">
        <v>0.24199999999999999</v>
      </c>
      <c r="AB64" s="11">
        <v>0.14000000000000001</v>
      </c>
      <c r="AC64" s="11">
        <v>0.03</v>
      </c>
      <c r="AD64" s="10">
        <v>0.26</v>
      </c>
      <c r="AE64" s="11">
        <v>3.2000000000000001E-2</v>
      </c>
      <c r="AF64" s="11">
        <v>0.23799999999999999</v>
      </c>
      <c r="AG64" s="11">
        <v>0.44</v>
      </c>
      <c r="AH64" s="11">
        <v>3.2000000000000001E-2</v>
      </c>
      <c r="AI64" s="11">
        <v>0.24</v>
      </c>
      <c r="AJ64" s="11">
        <v>0</v>
      </c>
    </row>
    <row r="65" spans="4:36">
      <c r="D65" s="10">
        <v>38961</v>
      </c>
      <c r="E65" s="11">
        <v>4.2632512439427603E-2</v>
      </c>
      <c r="F65" s="11">
        <v>3.8725000000000001</v>
      </c>
      <c r="G65" s="11">
        <v>0.23749999999999999</v>
      </c>
      <c r="H65" s="11">
        <v>-0.2</v>
      </c>
      <c r="I65" s="11">
        <v>2.5000000000000001E-3</v>
      </c>
      <c r="J65" s="11">
        <v>0.23799999999999999</v>
      </c>
      <c r="K65" s="11">
        <v>-7.4999999999999997E-2</v>
      </c>
      <c r="L65" s="11">
        <v>5.0000000000000001E-3</v>
      </c>
      <c r="M65" s="11">
        <v>0.23799999999999999</v>
      </c>
      <c r="N65" s="11">
        <v>-0.35</v>
      </c>
      <c r="O65" s="11">
        <v>0.02</v>
      </c>
      <c r="P65" s="11">
        <v>0.23799999999999999</v>
      </c>
      <c r="Q65" s="11">
        <v>-0.35</v>
      </c>
      <c r="R65" s="11">
        <v>0</v>
      </c>
      <c r="S65" s="11">
        <v>-0.43</v>
      </c>
      <c r="T65" s="11">
        <v>0.02</v>
      </c>
      <c r="U65" s="11">
        <v>-0.43</v>
      </c>
      <c r="V65" s="11">
        <v>1.2500000000000001E-2</v>
      </c>
      <c r="W65" s="11">
        <v>-0.44</v>
      </c>
      <c r="X65" s="11">
        <v>1.6509610208704001E-3</v>
      </c>
      <c r="Y65" s="11">
        <v>-0.25</v>
      </c>
      <c r="Z65" s="11">
        <v>0.01</v>
      </c>
      <c r="AA65" s="11">
        <v>0.24199999999999999</v>
      </c>
      <c r="AB65" s="11">
        <v>0.14000000000000001</v>
      </c>
      <c r="AC65" s="11">
        <v>0.03</v>
      </c>
      <c r="AD65" s="10">
        <v>0.26</v>
      </c>
      <c r="AE65" s="11">
        <v>3.2000000000000001E-2</v>
      </c>
      <c r="AF65" s="11">
        <v>0.23799999999999999</v>
      </c>
      <c r="AG65" s="11">
        <v>0.44</v>
      </c>
      <c r="AH65" s="11">
        <v>3.2000000000000001E-2</v>
      </c>
      <c r="AI65" s="11">
        <v>0.24</v>
      </c>
      <c r="AJ65" s="11">
        <v>0</v>
      </c>
    </row>
    <row r="66" spans="4:36">
      <c r="D66" s="10">
        <v>38991</v>
      </c>
      <c r="E66" s="11">
        <v>4.2881598708166102E-2</v>
      </c>
      <c r="F66" s="11">
        <v>3.8824999999999998</v>
      </c>
      <c r="G66" s="11">
        <v>0.23749999999999999</v>
      </c>
      <c r="H66" s="11">
        <v>-0.2</v>
      </c>
      <c r="I66" s="11">
        <v>2.5000000000000001E-3</v>
      </c>
      <c r="J66" s="11">
        <v>0.23799999999999999</v>
      </c>
      <c r="K66" s="11">
        <v>-7.4999999999999997E-2</v>
      </c>
      <c r="L66" s="11">
        <v>5.0000000000000001E-3</v>
      </c>
      <c r="M66" s="11">
        <v>0.23799999999999999</v>
      </c>
      <c r="N66" s="11">
        <v>-0.35</v>
      </c>
      <c r="O66" s="11">
        <v>0.02</v>
      </c>
      <c r="P66" s="11">
        <v>0.23799999999999999</v>
      </c>
      <c r="Q66" s="11">
        <v>-0.35</v>
      </c>
      <c r="R66" s="11">
        <v>0</v>
      </c>
      <c r="S66" s="11">
        <v>-0.43</v>
      </c>
      <c r="T66" s="11">
        <v>0.02</v>
      </c>
      <c r="U66" s="11">
        <v>-0.43</v>
      </c>
      <c r="V66" s="11">
        <v>0.03</v>
      </c>
      <c r="W66" s="11">
        <v>-0.44</v>
      </c>
      <c r="X66" s="11">
        <v>1.6500634710069999E-3</v>
      </c>
      <c r="Y66" s="11">
        <v>-0.25</v>
      </c>
      <c r="Z66" s="11">
        <v>0.01</v>
      </c>
      <c r="AA66" s="11">
        <v>0.24199999999999999</v>
      </c>
      <c r="AB66" s="11">
        <v>0.14000000000000001</v>
      </c>
      <c r="AC66" s="11">
        <v>0.03</v>
      </c>
      <c r="AD66" s="10">
        <v>0.26</v>
      </c>
      <c r="AE66" s="11">
        <v>3.2000000000000001E-2</v>
      </c>
      <c r="AF66" s="11">
        <v>0.23799999999999999</v>
      </c>
      <c r="AG66" s="11">
        <v>0.44</v>
      </c>
      <c r="AH66" s="11">
        <v>3.2000000000000001E-2</v>
      </c>
      <c r="AI66" s="11">
        <v>0.24</v>
      </c>
      <c r="AJ66" s="11">
        <v>0</v>
      </c>
    </row>
    <row r="67" spans="4:36">
      <c r="D67" s="10">
        <v>39022</v>
      </c>
      <c r="E67" s="11">
        <v>4.3138987874367998E-2</v>
      </c>
      <c r="F67" s="11">
        <v>4.0425000000000004</v>
      </c>
      <c r="G67" s="11">
        <v>0.23749999999999999</v>
      </c>
      <c r="H67" s="11">
        <v>-0.13</v>
      </c>
      <c r="I67" s="11">
        <v>5.0000000000000001E-3</v>
      </c>
      <c r="J67" s="11">
        <v>0.23799999999999999</v>
      </c>
      <c r="K67" s="11">
        <v>-7.4999999999999997E-2</v>
      </c>
      <c r="L67" s="11">
        <v>5.0000000000000001E-3</v>
      </c>
      <c r="M67" s="11">
        <v>0.23799999999999999</v>
      </c>
      <c r="N67" s="11">
        <v>-0.24</v>
      </c>
      <c r="O67" s="11">
        <v>3.5000000000000003E-2</v>
      </c>
      <c r="P67" s="11">
        <v>0.23799999999999999</v>
      </c>
      <c r="Q67" s="11">
        <v>-0.24</v>
      </c>
      <c r="R67" s="11">
        <v>0.14000000000000001</v>
      </c>
      <c r="S67" s="11">
        <v>-0.32</v>
      </c>
      <c r="T67" s="11">
        <v>0.16</v>
      </c>
      <c r="U67" s="11">
        <v>-0.32</v>
      </c>
      <c r="V67" s="11">
        <v>0.03</v>
      </c>
      <c r="W67" s="11">
        <v>-0.4</v>
      </c>
      <c r="X67" s="11">
        <v>5.2771453481546002E-3</v>
      </c>
      <c r="Y67" s="11">
        <v>0.248</v>
      </c>
      <c r="Z67" s="11">
        <v>4.4999999999999998E-2</v>
      </c>
      <c r="AA67" s="11">
        <v>0.24199999999999999</v>
      </c>
      <c r="AB67" s="11">
        <v>0.19</v>
      </c>
      <c r="AC67" s="11">
        <v>0.03</v>
      </c>
      <c r="AD67" s="10">
        <v>0.25</v>
      </c>
      <c r="AE67" s="11">
        <v>3.4000000000000002E-2</v>
      </c>
      <c r="AF67" s="11">
        <v>0.23799999999999999</v>
      </c>
      <c r="AG67" s="11">
        <v>0.5</v>
      </c>
      <c r="AH67" s="11">
        <v>3.4000000000000002E-2</v>
      </c>
      <c r="AI67" s="11">
        <v>0.3</v>
      </c>
      <c r="AJ67" s="11">
        <v>0</v>
      </c>
    </row>
    <row r="68" spans="4:36">
      <c r="D68" s="10">
        <v>39052</v>
      </c>
      <c r="E68" s="11">
        <v>4.3325894302845801E-2</v>
      </c>
      <c r="F68" s="11">
        <v>4.1965000000000003</v>
      </c>
      <c r="G68" s="11">
        <v>0.24</v>
      </c>
      <c r="H68" s="11">
        <v>-0.13</v>
      </c>
      <c r="I68" s="11">
        <v>5.0000000000000001E-3</v>
      </c>
      <c r="J68" s="11">
        <v>0.24</v>
      </c>
      <c r="K68" s="11">
        <v>-7.4999999999999997E-2</v>
      </c>
      <c r="L68" s="11">
        <v>5.0000000000000001E-3</v>
      </c>
      <c r="M68" s="11">
        <v>0.24</v>
      </c>
      <c r="N68" s="11">
        <v>-0.24</v>
      </c>
      <c r="O68" s="11">
        <v>3.5000000000000003E-2</v>
      </c>
      <c r="P68" s="11">
        <v>0.24</v>
      </c>
      <c r="Q68" s="11">
        <v>-0.24</v>
      </c>
      <c r="R68" s="11">
        <v>0</v>
      </c>
      <c r="S68" s="11">
        <v>-0.32</v>
      </c>
      <c r="T68" s="11">
        <v>5.8999999999999997E-2</v>
      </c>
      <c r="U68" s="11">
        <v>-0.32</v>
      </c>
      <c r="V68" s="11">
        <v>0.03</v>
      </c>
      <c r="W68" s="11">
        <v>-0.4</v>
      </c>
      <c r="X68" s="11">
        <v>5.2764806405374998E-3</v>
      </c>
      <c r="Y68" s="11">
        <v>0.308</v>
      </c>
      <c r="Z68" s="11">
        <v>4.4999999999999998E-2</v>
      </c>
      <c r="AA68" s="11">
        <v>0.245</v>
      </c>
      <c r="AB68" s="11">
        <v>0.19</v>
      </c>
      <c r="AC68" s="11">
        <v>0.03</v>
      </c>
      <c r="AD68" s="10">
        <v>0.25</v>
      </c>
      <c r="AE68" s="11">
        <v>3.4000000000000002E-2</v>
      </c>
      <c r="AF68" s="11">
        <v>0.24</v>
      </c>
      <c r="AG68" s="11">
        <v>0.56999999999999995</v>
      </c>
      <c r="AH68" s="11">
        <v>3.4000000000000002E-2</v>
      </c>
      <c r="AI68" s="11">
        <v>0.37</v>
      </c>
      <c r="AJ68" s="11">
        <v>0</v>
      </c>
    </row>
    <row r="69" spans="4:36">
      <c r="D69" s="10">
        <v>39083</v>
      </c>
      <c r="E69" s="11">
        <v>4.3502967820751699E-2</v>
      </c>
      <c r="F69" s="11">
        <v>4.2365000000000004</v>
      </c>
      <c r="G69" s="11">
        <v>0.24249999999999999</v>
      </c>
      <c r="H69" s="11">
        <v>-0.13</v>
      </c>
      <c r="I69" s="11">
        <v>5.0000000000000001E-3</v>
      </c>
      <c r="J69" s="11">
        <v>0.24299999999999999</v>
      </c>
      <c r="K69" s="11">
        <v>-7.0000000000000007E-2</v>
      </c>
      <c r="L69" s="11">
        <v>5.0000000000000001E-3</v>
      </c>
      <c r="M69" s="11">
        <v>0.24299999999999999</v>
      </c>
      <c r="N69" s="11">
        <v>-0.24</v>
      </c>
      <c r="O69" s="11">
        <v>3.5000000000000003E-2</v>
      </c>
      <c r="P69" s="11">
        <v>0.24299999999999999</v>
      </c>
      <c r="Q69" s="11">
        <v>-0.24</v>
      </c>
      <c r="R69" s="11">
        <v>2.5000000000000001E-2</v>
      </c>
      <c r="S69" s="11">
        <v>-0.32</v>
      </c>
      <c r="T69" s="11">
        <v>5.8999999999999997E-2</v>
      </c>
      <c r="U69" s="11">
        <v>-0.32</v>
      </c>
      <c r="V69" s="11">
        <v>0.03</v>
      </c>
      <c r="W69" s="11">
        <v>-0.4</v>
      </c>
      <c r="X69" s="11">
        <v>5.2761976084686997E-3</v>
      </c>
      <c r="Y69" s="11">
        <v>0.378</v>
      </c>
      <c r="Z69" s="11">
        <v>4.4999999999999998E-2</v>
      </c>
      <c r="AA69" s="11">
        <v>0.247</v>
      </c>
      <c r="AB69" s="11">
        <v>0.19</v>
      </c>
      <c r="AC69" s="11">
        <v>0.03</v>
      </c>
      <c r="AD69" s="10">
        <v>0.25</v>
      </c>
      <c r="AE69" s="11">
        <v>3.4000000000000002E-2</v>
      </c>
      <c r="AF69" s="11">
        <v>0.24299999999999999</v>
      </c>
      <c r="AG69" s="11">
        <v>0.56999999999999995</v>
      </c>
      <c r="AH69" s="11">
        <v>3.4000000000000002E-2</v>
      </c>
      <c r="AI69" s="11">
        <v>0.37</v>
      </c>
      <c r="AJ69" s="11">
        <v>0</v>
      </c>
    </row>
    <row r="70" spans="4:36">
      <c r="D70" s="10">
        <v>39114</v>
      </c>
      <c r="E70" s="11">
        <v>4.3680041349159801E-2</v>
      </c>
      <c r="F70" s="11">
        <v>4.1485000000000003</v>
      </c>
      <c r="G70" s="11">
        <v>0.23749999999999999</v>
      </c>
      <c r="H70" s="11">
        <v>-0.13</v>
      </c>
      <c r="I70" s="11">
        <v>5.0000000000000001E-3</v>
      </c>
      <c r="J70" s="11">
        <v>0.23799999999999999</v>
      </c>
      <c r="K70" s="11">
        <v>-7.0000000000000007E-2</v>
      </c>
      <c r="L70" s="11">
        <v>5.0000000000000001E-3</v>
      </c>
      <c r="M70" s="11">
        <v>0.23799999999999999</v>
      </c>
      <c r="N70" s="11">
        <v>-0.24</v>
      </c>
      <c r="O70" s="11">
        <v>3.5000000000000003E-2</v>
      </c>
      <c r="P70" s="11">
        <v>0.23799999999999999</v>
      </c>
      <c r="Q70" s="11">
        <v>-0.24</v>
      </c>
      <c r="R70" s="11">
        <v>2.5000000000000001E-2</v>
      </c>
      <c r="S70" s="11">
        <v>-0.32</v>
      </c>
      <c r="T70" s="11">
        <v>5.8999999999999997E-2</v>
      </c>
      <c r="U70" s="11">
        <v>-0.32</v>
      </c>
      <c r="V70" s="11">
        <v>0.03</v>
      </c>
      <c r="W70" s="11">
        <v>-0.4</v>
      </c>
      <c r="X70" s="11">
        <v>5.2759168632829003E-3</v>
      </c>
      <c r="Y70" s="11">
        <v>0.248</v>
      </c>
      <c r="Z70" s="11">
        <v>4.4999999999999998E-2</v>
      </c>
      <c r="AA70" s="11">
        <v>0.24199999999999999</v>
      </c>
      <c r="AB70" s="11">
        <v>0.19</v>
      </c>
      <c r="AC70" s="11">
        <v>0.03</v>
      </c>
      <c r="AD70" s="10">
        <v>0.25</v>
      </c>
      <c r="AE70" s="11">
        <v>3.4000000000000002E-2</v>
      </c>
      <c r="AF70" s="11">
        <v>0.23799999999999999</v>
      </c>
      <c r="AG70" s="11">
        <v>0.56999999999999995</v>
      </c>
      <c r="AH70" s="11">
        <v>3.4000000000000002E-2</v>
      </c>
      <c r="AI70" s="11">
        <v>0.37</v>
      </c>
      <c r="AJ70" s="11">
        <v>0</v>
      </c>
    </row>
    <row r="71" spans="4:36">
      <c r="D71" s="10">
        <v>39142</v>
      </c>
      <c r="E71" s="11">
        <v>4.3839978738684102E-2</v>
      </c>
      <c r="F71" s="11">
        <v>4.0095000000000001</v>
      </c>
      <c r="G71" s="11">
        <v>0.23250000000000001</v>
      </c>
      <c r="H71" s="11">
        <v>-0.13</v>
      </c>
      <c r="I71" s="11">
        <v>5.0000000000000001E-3</v>
      </c>
      <c r="J71" s="11">
        <v>0.23300000000000001</v>
      </c>
      <c r="K71" s="11">
        <v>-7.0000000000000007E-2</v>
      </c>
      <c r="L71" s="11">
        <v>5.0000000000000001E-3</v>
      </c>
      <c r="M71" s="11">
        <v>0.23300000000000001</v>
      </c>
      <c r="N71" s="11">
        <v>-0.24</v>
      </c>
      <c r="O71" s="11">
        <v>3.5000000000000003E-2</v>
      </c>
      <c r="P71" s="11">
        <v>0.23300000000000001</v>
      </c>
      <c r="Q71" s="11">
        <v>-0.24</v>
      </c>
      <c r="R71" s="11">
        <v>0</v>
      </c>
      <c r="S71" s="11">
        <v>-0.32</v>
      </c>
      <c r="T71" s="11">
        <v>3.9E-2</v>
      </c>
      <c r="U71" s="11">
        <v>-0.32</v>
      </c>
      <c r="V71" s="11">
        <v>0.03</v>
      </c>
      <c r="W71" s="11">
        <v>-0.4</v>
      </c>
      <c r="X71" s="11">
        <v>5.2756652518211999E-3</v>
      </c>
      <c r="Y71" s="11">
        <v>6.8000000000000005E-2</v>
      </c>
      <c r="Z71" s="11">
        <v>4.4999999999999998E-2</v>
      </c>
      <c r="AA71" s="11">
        <v>0.23699999999999999</v>
      </c>
      <c r="AB71" s="11">
        <v>0.19</v>
      </c>
      <c r="AC71" s="11">
        <v>0.03</v>
      </c>
      <c r="AD71" s="10">
        <v>0.25</v>
      </c>
      <c r="AE71" s="11">
        <v>3.4000000000000002E-2</v>
      </c>
      <c r="AF71" s="11">
        <v>0.23300000000000001</v>
      </c>
      <c r="AG71" s="11">
        <v>0.56999999999999995</v>
      </c>
      <c r="AH71" s="11">
        <v>3.4000000000000002E-2</v>
      </c>
      <c r="AI71" s="11">
        <v>0.37</v>
      </c>
      <c r="AJ71" s="11">
        <v>0</v>
      </c>
    </row>
    <row r="72" spans="4:36">
      <c r="D72" s="10">
        <v>39173</v>
      </c>
      <c r="E72" s="11">
        <v>4.4017052287077502E-2</v>
      </c>
      <c r="F72" s="11">
        <v>3.8555000000000001</v>
      </c>
      <c r="G72" s="11">
        <v>0.23250000000000001</v>
      </c>
      <c r="H72" s="11">
        <v>-0.2</v>
      </c>
      <c r="I72" s="11">
        <v>2.5000000000000001E-3</v>
      </c>
      <c r="J72" s="11">
        <v>0.23300000000000001</v>
      </c>
      <c r="K72" s="11">
        <v>-7.0000000000000007E-2</v>
      </c>
      <c r="L72" s="11">
        <v>5.0000000000000001E-3</v>
      </c>
      <c r="M72" s="11">
        <v>0.23300000000000001</v>
      </c>
      <c r="N72" s="11">
        <v>-0.35</v>
      </c>
      <c r="O72" s="11">
        <v>0.02</v>
      </c>
      <c r="P72" s="11">
        <v>0.23300000000000001</v>
      </c>
      <c r="Q72" s="11">
        <v>-0.35</v>
      </c>
      <c r="R72" s="11">
        <v>0</v>
      </c>
      <c r="S72" s="11">
        <v>-0.43</v>
      </c>
      <c r="T72" s="11">
        <v>2.1999999999999999E-2</v>
      </c>
      <c r="U72" s="11">
        <v>-0.43</v>
      </c>
      <c r="V72" s="11">
        <v>0.01</v>
      </c>
      <c r="W72" s="11">
        <v>-0.45</v>
      </c>
      <c r="X72" s="11">
        <v>1.6485590176469999E-3</v>
      </c>
      <c r="Y72" s="11">
        <v>-0.25</v>
      </c>
      <c r="Z72" s="11">
        <v>0.01</v>
      </c>
      <c r="AA72" s="11">
        <v>0.23699999999999999</v>
      </c>
      <c r="AB72" s="11">
        <v>0.14000000000000001</v>
      </c>
      <c r="AC72" s="11">
        <v>0.03</v>
      </c>
      <c r="AD72" s="10">
        <v>0.26</v>
      </c>
      <c r="AE72" s="11">
        <v>3.4000000000000002E-2</v>
      </c>
      <c r="AF72" s="11">
        <v>0.23300000000000001</v>
      </c>
      <c r="AG72" s="11">
        <v>0.44</v>
      </c>
      <c r="AH72" s="11">
        <v>3.4000000000000002E-2</v>
      </c>
      <c r="AI72" s="11">
        <v>0.24</v>
      </c>
      <c r="AJ72" s="11">
        <v>0</v>
      </c>
    </row>
    <row r="73" spans="4:36">
      <c r="D73" s="10">
        <v>39203</v>
      </c>
      <c r="E73" s="11">
        <v>4.4188413795520597E-2</v>
      </c>
      <c r="F73" s="11">
        <v>3.8595000000000002</v>
      </c>
      <c r="G73" s="11">
        <v>0.23250000000000001</v>
      </c>
      <c r="H73" s="11">
        <v>-0.2</v>
      </c>
      <c r="I73" s="11">
        <v>2.5000000000000001E-3</v>
      </c>
      <c r="J73" s="11">
        <v>0.23300000000000001</v>
      </c>
      <c r="K73" s="11">
        <v>-7.0000000000000007E-2</v>
      </c>
      <c r="L73" s="11">
        <v>5.0000000000000001E-3</v>
      </c>
      <c r="M73" s="11">
        <v>0.23300000000000001</v>
      </c>
      <c r="N73" s="11">
        <v>-0.35</v>
      </c>
      <c r="O73" s="11">
        <v>0.02</v>
      </c>
      <c r="P73" s="11">
        <v>0.23300000000000001</v>
      </c>
      <c r="Q73" s="11">
        <v>-0.35</v>
      </c>
      <c r="R73" s="11">
        <v>0</v>
      </c>
      <c r="S73" s="11">
        <v>-0.43</v>
      </c>
      <c r="T73" s="11">
        <v>2.1999999999999999E-2</v>
      </c>
      <c r="U73" s="11">
        <v>-0.43</v>
      </c>
      <c r="V73" s="11">
        <v>0.01</v>
      </c>
      <c r="W73" s="11">
        <v>-0.45</v>
      </c>
      <c r="X73" s="11">
        <v>1.6484761099722E-3</v>
      </c>
      <c r="Y73" s="11">
        <v>-0.25</v>
      </c>
      <c r="Z73" s="11">
        <v>0.01</v>
      </c>
      <c r="AA73" s="11">
        <v>0.23699999999999999</v>
      </c>
      <c r="AB73" s="11">
        <v>0.14000000000000001</v>
      </c>
      <c r="AC73" s="11">
        <v>0.03</v>
      </c>
      <c r="AD73" s="10">
        <v>0.26</v>
      </c>
      <c r="AE73" s="11">
        <v>3.4000000000000002E-2</v>
      </c>
      <c r="AF73" s="11">
        <v>0.23300000000000001</v>
      </c>
      <c r="AG73" s="11">
        <v>0.44</v>
      </c>
      <c r="AH73" s="11">
        <v>3.4000000000000002E-2</v>
      </c>
      <c r="AI73" s="11">
        <v>0.24</v>
      </c>
      <c r="AJ73" s="11">
        <v>0</v>
      </c>
    </row>
    <row r="74" spans="4:36">
      <c r="D74" s="10">
        <v>39234</v>
      </c>
      <c r="E74" s="11">
        <v>4.4365487364573998E-2</v>
      </c>
      <c r="F74" s="11">
        <v>3.8995000000000002</v>
      </c>
      <c r="G74" s="11">
        <v>0.23250000000000001</v>
      </c>
      <c r="H74" s="11">
        <v>-0.2</v>
      </c>
      <c r="I74" s="11">
        <v>2.5000000000000001E-3</v>
      </c>
      <c r="J74" s="11">
        <v>0.23300000000000001</v>
      </c>
      <c r="K74" s="11">
        <v>-7.0000000000000007E-2</v>
      </c>
      <c r="L74" s="11">
        <v>5.0000000000000001E-3</v>
      </c>
      <c r="M74" s="11">
        <v>0.23300000000000001</v>
      </c>
      <c r="N74" s="11">
        <v>-0.35</v>
      </c>
      <c r="O74" s="11">
        <v>0.02</v>
      </c>
      <c r="P74" s="11">
        <v>0.23300000000000001</v>
      </c>
      <c r="Q74" s="11">
        <v>-0.35</v>
      </c>
      <c r="R74" s="11">
        <v>0</v>
      </c>
      <c r="S74" s="11">
        <v>-0.43</v>
      </c>
      <c r="T74" s="11">
        <v>2.1999999999999999E-2</v>
      </c>
      <c r="U74" s="11">
        <v>-0.43</v>
      </c>
      <c r="V74" s="11">
        <v>0.01</v>
      </c>
      <c r="W74" s="11">
        <v>-0.45</v>
      </c>
      <c r="X74" s="11">
        <v>1.6483911407053999E-3</v>
      </c>
      <c r="Y74" s="11">
        <v>-0.25</v>
      </c>
      <c r="Z74" s="11">
        <v>0.01</v>
      </c>
      <c r="AA74" s="11">
        <v>0.23699999999999999</v>
      </c>
      <c r="AB74" s="11">
        <v>0.14000000000000001</v>
      </c>
      <c r="AC74" s="11">
        <v>0.03</v>
      </c>
      <c r="AD74" s="10">
        <v>0.26</v>
      </c>
      <c r="AE74" s="11">
        <v>3.4000000000000002E-2</v>
      </c>
      <c r="AF74" s="11">
        <v>0.23300000000000001</v>
      </c>
      <c r="AG74" s="11">
        <v>0.44</v>
      </c>
      <c r="AH74" s="11">
        <v>3.4000000000000002E-2</v>
      </c>
      <c r="AI74" s="11">
        <v>0.24</v>
      </c>
      <c r="AJ74" s="11">
        <v>0</v>
      </c>
    </row>
    <row r="75" spans="4:36">
      <c r="D75" s="10">
        <v>39264</v>
      </c>
      <c r="E75" s="11">
        <v>4.4536848893008199E-2</v>
      </c>
      <c r="F75" s="11">
        <v>3.9445000000000001</v>
      </c>
      <c r="G75" s="11">
        <v>0.23250000000000001</v>
      </c>
      <c r="H75" s="11">
        <v>-0.2</v>
      </c>
      <c r="I75" s="11">
        <v>2.5000000000000001E-3</v>
      </c>
      <c r="J75" s="11">
        <v>0.23300000000000001</v>
      </c>
      <c r="K75" s="11">
        <v>-7.0000000000000007E-2</v>
      </c>
      <c r="L75" s="11">
        <v>5.0000000000000001E-3</v>
      </c>
      <c r="M75" s="11">
        <v>0.23300000000000001</v>
      </c>
      <c r="N75" s="11">
        <v>-0.35</v>
      </c>
      <c r="O75" s="11">
        <v>0.02</v>
      </c>
      <c r="P75" s="11">
        <v>0.23300000000000001</v>
      </c>
      <c r="Q75" s="11">
        <v>-0.35</v>
      </c>
      <c r="R75" s="11">
        <v>0</v>
      </c>
      <c r="S75" s="11">
        <v>-0.43</v>
      </c>
      <c r="T75" s="11">
        <v>2.1999999999999999E-2</v>
      </c>
      <c r="U75" s="11">
        <v>-0.43</v>
      </c>
      <c r="V75" s="11">
        <v>0.01</v>
      </c>
      <c r="W75" s="11">
        <v>-0.45</v>
      </c>
      <c r="X75" s="11">
        <v>1.6483095914621999E-3</v>
      </c>
      <c r="Y75" s="11">
        <v>-0.25</v>
      </c>
      <c r="Z75" s="11">
        <v>0.01</v>
      </c>
      <c r="AA75" s="11">
        <v>0.23699999999999999</v>
      </c>
      <c r="AB75" s="11">
        <v>0.14000000000000001</v>
      </c>
      <c r="AC75" s="11">
        <v>0.03</v>
      </c>
      <c r="AD75" s="10">
        <v>0.26</v>
      </c>
      <c r="AE75" s="11">
        <v>3.4000000000000002E-2</v>
      </c>
      <c r="AF75" s="11">
        <v>0.23300000000000001</v>
      </c>
      <c r="AG75" s="11">
        <v>0.44</v>
      </c>
      <c r="AH75" s="11">
        <v>3.4000000000000002E-2</v>
      </c>
      <c r="AI75" s="11">
        <v>0.24</v>
      </c>
      <c r="AJ75" s="11">
        <v>0</v>
      </c>
    </row>
    <row r="76" spans="4:36">
      <c r="D76" s="10">
        <v>39295</v>
      </c>
      <c r="E76" s="11">
        <v>4.4713922482717598E-2</v>
      </c>
      <c r="F76" s="11">
        <v>3.9834999999999998</v>
      </c>
      <c r="G76" s="11">
        <v>0.23250000000000001</v>
      </c>
      <c r="H76" s="11">
        <v>-0.2</v>
      </c>
      <c r="I76" s="11">
        <v>2.5000000000000001E-3</v>
      </c>
      <c r="J76" s="11">
        <v>0.23300000000000001</v>
      </c>
      <c r="K76" s="11">
        <v>-7.0000000000000007E-2</v>
      </c>
      <c r="L76" s="11">
        <v>5.0000000000000001E-3</v>
      </c>
      <c r="M76" s="11">
        <v>0.23300000000000001</v>
      </c>
      <c r="N76" s="11">
        <v>-0.35</v>
      </c>
      <c r="O76" s="11">
        <v>0.02</v>
      </c>
      <c r="P76" s="11">
        <v>0.23300000000000001</v>
      </c>
      <c r="Q76" s="11">
        <v>-0.35</v>
      </c>
      <c r="R76" s="11">
        <v>0</v>
      </c>
      <c r="S76" s="11">
        <v>-0.43</v>
      </c>
      <c r="T76" s="11">
        <v>2.1999999999999999E-2</v>
      </c>
      <c r="U76" s="11">
        <v>-0.43</v>
      </c>
      <c r="V76" s="11">
        <v>0.01</v>
      </c>
      <c r="W76" s="11">
        <v>-0.45</v>
      </c>
      <c r="X76" s="11">
        <v>1.6482260253427E-3</v>
      </c>
      <c r="Y76" s="11">
        <v>-0.25</v>
      </c>
      <c r="Z76" s="11">
        <v>0.01</v>
      </c>
      <c r="AA76" s="11">
        <v>0.23699999999999999</v>
      </c>
      <c r="AB76" s="11">
        <v>0.14000000000000001</v>
      </c>
      <c r="AC76" s="11">
        <v>0.03</v>
      </c>
      <c r="AD76" s="10">
        <v>0.26</v>
      </c>
      <c r="AE76" s="11">
        <v>3.4000000000000002E-2</v>
      </c>
      <c r="AF76" s="11">
        <v>0.23300000000000001</v>
      </c>
      <c r="AG76" s="11">
        <v>0.44</v>
      </c>
      <c r="AH76" s="11">
        <v>3.4000000000000002E-2</v>
      </c>
      <c r="AI76" s="11">
        <v>0.24</v>
      </c>
      <c r="AJ76" s="11">
        <v>0</v>
      </c>
    </row>
    <row r="77" spans="4:36">
      <c r="D77" s="10">
        <v>39326</v>
      </c>
      <c r="E77" s="11">
        <v>4.48909960829234E-2</v>
      </c>
      <c r="F77" s="11">
        <v>3.9775</v>
      </c>
      <c r="G77" s="11">
        <v>0.23250000000000001</v>
      </c>
      <c r="H77" s="11">
        <v>-0.2</v>
      </c>
      <c r="I77" s="11">
        <v>2.5000000000000001E-3</v>
      </c>
      <c r="J77" s="11">
        <v>0.23300000000000001</v>
      </c>
      <c r="K77" s="11">
        <v>-7.0000000000000007E-2</v>
      </c>
      <c r="L77" s="11">
        <v>5.0000000000000001E-3</v>
      </c>
      <c r="M77" s="11">
        <v>0.23300000000000001</v>
      </c>
      <c r="N77" s="11">
        <v>-0.35</v>
      </c>
      <c r="O77" s="11">
        <v>0.02</v>
      </c>
      <c r="P77" s="11">
        <v>0.23300000000000001</v>
      </c>
      <c r="Q77" s="11">
        <v>-0.35</v>
      </c>
      <c r="R77" s="11">
        <v>0</v>
      </c>
      <c r="S77" s="11">
        <v>-0.43</v>
      </c>
      <c r="T77" s="11">
        <v>2.1999999999999999E-2</v>
      </c>
      <c r="U77" s="11">
        <v>-0.43</v>
      </c>
      <c r="V77" s="11">
        <v>1.2500000000000001E-2</v>
      </c>
      <c r="W77" s="11">
        <v>-0.45</v>
      </c>
      <c r="X77" s="11">
        <v>1.6481431718662E-3</v>
      </c>
      <c r="Y77" s="11">
        <v>-0.25</v>
      </c>
      <c r="Z77" s="11">
        <v>0.01</v>
      </c>
      <c r="AA77" s="11">
        <v>0.23699999999999999</v>
      </c>
      <c r="AB77" s="11">
        <v>0.14000000000000001</v>
      </c>
      <c r="AC77" s="11">
        <v>0.03</v>
      </c>
      <c r="AD77" s="10">
        <v>0.26</v>
      </c>
      <c r="AE77" s="11">
        <v>3.4000000000000002E-2</v>
      </c>
      <c r="AF77" s="11">
        <v>0.23300000000000001</v>
      </c>
      <c r="AG77" s="11">
        <v>0.44</v>
      </c>
      <c r="AH77" s="11">
        <v>3.4000000000000002E-2</v>
      </c>
      <c r="AI77" s="11">
        <v>0.24</v>
      </c>
      <c r="AJ77" s="11">
        <v>0</v>
      </c>
    </row>
    <row r="78" spans="4:36">
      <c r="D78" s="10">
        <v>39356</v>
      </c>
      <c r="E78" s="11">
        <v>4.5062357641502397E-2</v>
      </c>
      <c r="F78" s="11">
        <v>3.9874999999999998</v>
      </c>
      <c r="G78" s="11">
        <v>0.23250000000000001</v>
      </c>
      <c r="H78" s="11">
        <v>-0.2</v>
      </c>
      <c r="I78" s="11">
        <v>2.5000000000000001E-3</v>
      </c>
      <c r="J78" s="11">
        <v>0.23300000000000001</v>
      </c>
      <c r="K78" s="11">
        <v>-7.0000000000000007E-2</v>
      </c>
      <c r="L78" s="11">
        <v>5.0000000000000001E-3</v>
      </c>
      <c r="M78" s="11">
        <v>0.23300000000000001</v>
      </c>
      <c r="N78" s="11">
        <v>-0.35</v>
      </c>
      <c r="O78" s="11">
        <v>0.02</v>
      </c>
      <c r="P78" s="11">
        <v>0.23300000000000001</v>
      </c>
      <c r="Q78" s="11">
        <v>-0.35</v>
      </c>
      <c r="R78" s="11">
        <v>0</v>
      </c>
      <c r="S78" s="11">
        <v>-0.43</v>
      </c>
      <c r="T78" s="11">
        <v>2.1999999999999999E-2</v>
      </c>
      <c r="U78" s="11">
        <v>-0.43</v>
      </c>
      <c r="V78" s="11">
        <v>0.03</v>
      </c>
      <c r="W78" s="11">
        <v>-0.45</v>
      </c>
      <c r="X78" s="11">
        <v>1.6480636693409999E-3</v>
      </c>
      <c r="Y78" s="11">
        <v>-0.25</v>
      </c>
      <c r="Z78" s="11">
        <v>0.01</v>
      </c>
      <c r="AA78" s="11">
        <v>0.23699999999999999</v>
      </c>
      <c r="AB78" s="11">
        <v>0.14000000000000001</v>
      </c>
      <c r="AC78" s="11">
        <v>0.03</v>
      </c>
      <c r="AD78" s="10">
        <v>0.26</v>
      </c>
      <c r="AE78" s="11">
        <v>3.4000000000000002E-2</v>
      </c>
      <c r="AF78" s="11">
        <v>0.23300000000000001</v>
      </c>
      <c r="AG78" s="11">
        <v>0.44</v>
      </c>
      <c r="AH78" s="11">
        <v>3.4000000000000002E-2</v>
      </c>
      <c r="AI78" s="11">
        <v>0.24</v>
      </c>
      <c r="AJ78" s="11">
        <v>0</v>
      </c>
    </row>
    <row r="79" spans="4:36">
      <c r="D79" s="10">
        <v>39387</v>
      </c>
      <c r="E79" s="11">
        <v>4.5239431262358701E-2</v>
      </c>
      <c r="F79" s="11">
        <v>4.1475</v>
      </c>
      <c r="G79" s="11">
        <v>0.23250000000000001</v>
      </c>
      <c r="H79" s="11">
        <v>-0.13</v>
      </c>
      <c r="I79" s="11">
        <v>5.0000000000000001E-3</v>
      </c>
      <c r="J79" s="11">
        <v>0.23300000000000001</v>
      </c>
      <c r="K79" s="11">
        <v>-7.0000000000000007E-2</v>
      </c>
      <c r="L79" s="11">
        <v>5.0000000000000001E-3</v>
      </c>
      <c r="M79" s="11">
        <v>0.23300000000000001</v>
      </c>
      <c r="N79" s="11">
        <v>-0.24</v>
      </c>
      <c r="O79" s="11">
        <v>0</v>
      </c>
      <c r="P79" s="11">
        <v>0.23300000000000001</v>
      </c>
      <c r="Q79" s="11">
        <v>0</v>
      </c>
      <c r="R79" s="11">
        <v>0</v>
      </c>
      <c r="S79" s="11">
        <v>0</v>
      </c>
      <c r="T79" s="11">
        <v>0</v>
      </c>
      <c r="U79" s="11">
        <v>-0.32</v>
      </c>
      <c r="V79" s="11">
        <v>0</v>
      </c>
      <c r="W79" s="11">
        <v>-0.41</v>
      </c>
      <c r="X79" s="11">
        <v>5.2735430954170001E-3</v>
      </c>
      <c r="Y79" s="11">
        <v>0.248</v>
      </c>
      <c r="Z79" s="11">
        <v>4.4999999999999998E-2</v>
      </c>
      <c r="AA79" s="11">
        <v>0.23699999999999999</v>
      </c>
      <c r="AB79" s="11">
        <v>0.19</v>
      </c>
      <c r="AC79" s="11">
        <v>0.03</v>
      </c>
      <c r="AD79" s="10">
        <v>0.25</v>
      </c>
      <c r="AE79" s="11">
        <v>3.5999999999999997E-2</v>
      </c>
      <c r="AF79" s="11">
        <v>0.23300000000000001</v>
      </c>
      <c r="AG79" s="11">
        <v>0.5</v>
      </c>
      <c r="AH79" s="11">
        <v>3.5999999999999997E-2</v>
      </c>
      <c r="AI79" s="11">
        <v>0.3</v>
      </c>
      <c r="AJ79" s="11">
        <v>0</v>
      </c>
    </row>
    <row r="80" spans="4:36">
      <c r="D80" s="10">
        <v>39417</v>
      </c>
      <c r="E80" s="11">
        <v>4.5410792840920401E-2</v>
      </c>
      <c r="F80" s="11">
        <v>4.3014999999999999</v>
      </c>
      <c r="G80" s="11">
        <v>0.23250000000000001</v>
      </c>
      <c r="H80" s="11">
        <v>-0.13</v>
      </c>
      <c r="I80" s="11">
        <v>5.0000000000000001E-3</v>
      </c>
      <c r="J80" s="11">
        <v>0.23300000000000001</v>
      </c>
      <c r="K80" s="11">
        <v>-7.0000000000000007E-2</v>
      </c>
      <c r="L80" s="11">
        <v>5.0000000000000001E-3</v>
      </c>
      <c r="M80" s="11">
        <v>0.23300000000000001</v>
      </c>
      <c r="N80" s="11">
        <v>-0.24</v>
      </c>
      <c r="O80" s="11">
        <v>0</v>
      </c>
      <c r="P80" s="11">
        <v>0.23300000000000001</v>
      </c>
      <c r="Q80" s="11">
        <v>0</v>
      </c>
      <c r="R80" s="11">
        <v>0</v>
      </c>
      <c r="S80" s="11">
        <v>0</v>
      </c>
      <c r="T80" s="11">
        <v>0</v>
      </c>
      <c r="U80" s="11">
        <v>-0.32</v>
      </c>
      <c r="V80" s="11">
        <v>0</v>
      </c>
      <c r="W80" s="11">
        <v>-0.41</v>
      </c>
      <c r="X80" s="11">
        <v>5.2732930255933999E-3</v>
      </c>
      <c r="Y80" s="11">
        <v>0.308</v>
      </c>
      <c r="Z80" s="11">
        <v>4.4999999999999998E-2</v>
      </c>
      <c r="AA80" s="11">
        <v>0.23699999999999999</v>
      </c>
      <c r="AB80" s="11">
        <v>0.19</v>
      </c>
      <c r="AC80" s="11">
        <v>0.03</v>
      </c>
      <c r="AD80" s="10">
        <v>0.25</v>
      </c>
      <c r="AE80" s="11">
        <v>3.5999999999999997E-2</v>
      </c>
      <c r="AF80" s="11">
        <v>0.23300000000000001</v>
      </c>
      <c r="AG80" s="11">
        <v>0.56999999999999995</v>
      </c>
      <c r="AH80" s="11">
        <v>3.5999999999999997E-2</v>
      </c>
      <c r="AI80" s="11">
        <v>0.37</v>
      </c>
      <c r="AJ80" s="11">
        <v>0</v>
      </c>
    </row>
    <row r="81" spans="4:36">
      <c r="D81" s="10">
        <v>39448</v>
      </c>
      <c r="E81" s="11">
        <v>4.55878664824243E-2</v>
      </c>
      <c r="F81" s="11">
        <v>4.3440000000000003</v>
      </c>
      <c r="G81" s="11">
        <v>0.23250000000000001</v>
      </c>
      <c r="H81" s="11">
        <v>-0.13</v>
      </c>
      <c r="I81" s="11">
        <v>5.0000000000000001E-3</v>
      </c>
      <c r="J81" s="11">
        <v>0.23300000000000001</v>
      </c>
      <c r="K81" s="11">
        <v>-7.0000000000000007E-2</v>
      </c>
      <c r="L81" s="11">
        <v>5.0000000000000001E-3</v>
      </c>
      <c r="M81" s="11">
        <v>0.23300000000000001</v>
      </c>
      <c r="N81" s="11">
        <v>-0.24</v>
      </c>
      <c r="O81" s="11">
        <v>0</v>
      </c>
      <c r="P81" s="11">
        <v>0.23300000000000001</v>
      </c>
      <c r="Q81" s="11">
        <v>0</v>
      </c>
      <c r="R81" s="11">
        <v>0</v>
      </c>
      <c r="S81" s="11">
        <v>0</v>
      </c>
      <c r="T81" s="11">
        <v>0</v>
      </c>
      <c r="U81" s="11">
        <v>-0.32</v>
      </c>
      <c r="V81" s="11">
        <v>0</v>
      </c>
      <c r="W81" s="11">
        <v>-0.41</v>
      </c>
      <c r="X81" s="11">
        <v>5.2730368602063003E-3</v>
      </c>
      <c r="Y81" s="11">
        <v>0.378</v>
      </c>
      <c r="Z81" s="11">
        <v>4.4999999999999998E-2</v>
      </c>
      <c r="AA81" s="11">
        <v>0.23699999999999999</v>
      </c>
      <c r="AB81" s="11">
        <v>0.19</v>
      </c>
      <c r="AC81" s="11">
        <v>0.03</v>
      </c>
      <c r="AD81" s="10">
        <v>0.25</v>
      </c>
      <c r="AE81" s="11">
        <v>3.5999999999999997E-2</v>
      </c>
      <c r="AF81" s="11">
        <v>0.23300000000000001</v>
      </c>
      <c r="AG81" s="11">
        <v>0.56999999999999995</v>
      </c>
      <c r="AH81" s="11">
        <v>3.5999999999999997E-2</v>
      </c>
      <c r="AI81" s="11">
        <v>0.37</v>
      </c>
      <c r="AJ81" s="11">
        <v>0</v>
      </c>
    </row>
    <row r="82" spans="4:36">
      <c r="D82" s="10">
        <v>39479</v>
      </c>
      <c r="E82" s="11">
        <v>4.5764940134419799E-2</v>
      </c>
      <c r="F82" s="11">
        <v>4.2560000000000002</v>
      </c>
      <c r="G82" s="11">
        <v>0.23250000000000001</v>
      </c>
      <c r="H82" s="11">
        <v>-0.13</v>
      </c>
      <c r="I82" s="11">
        <v>5.0000000000000001E-3</v>
      </c>
      <c r="J82" s="11">
        <v>0.23300000000000001</v>
      </c>
      <c r="K82" s="11">
        <v>-7.0000000000000007E-2</v>
      </c>
      <c r="L82" s="11">
        <v>5.0000000000000001E-3</v>
      </c>
      <c r="M82" s="11">
        <v>0.23300000000000001</v>
      </c>
      <c r="N82" s="11">
        <v>-0.24</v>
      </c>
      <c r="O82" s="11">
        <v>0</v>
      </c>
      <c r="P82" s="11">
        <v>0.23300000000000001</v>
      </c>
      <c r="Q82" s="11">
        <v>0</v>
      </c>
      <c r="R82" s="11">
        <v>0</v>
      </c>
      <c r="S82" s="11">
        <v>0</v>
      </c>
      <c r="T82" s="11">
        <v>0</v>
      </c>
      <c r="U82" s="11">
        <v>-0.32</v>
      </c>
      <c r="V82" s="11">
        <v>0</v>
      </c>
      <c r="W82" s="11">
        <v>-0.41</v>
      </c>
      <c r="X82" s="11">
        <v>5.2727829707357003E-3</v>
      </c>
      <c r="Y82" s="11">
        <v>0.248</v>
      </c>
      <c r="Z82" s="11">
        <v>4.4999999999999998E-2</v>
      </c>
      <c r="AA82" s="11">
        <v>0.23699999999999999</v>
      </c>
      <c r="AB82" s="11">
        <v>0.19</v>
      </c>
      <c r="AC82" s="11">
        <v>0.03</v>
      </c>
      <c r="AD82" s="10">
        <v>0.25</v>
      </c>
      <c r="AE82" s="11">
        <v>3.5999999999999997E-2</v>
      </c>
      <c r="AF82" s="11">
        <v>0.23300000000000001</v>
      </c>
      <c r="AG82" s="11">
        <v>0.56999999999999995</v>
      </c>
      <c r="AH82" s="11">
        <v>3.5999999999999997E-2</v>
      </c>
      <c r="AI82" s="11">
        <v>0.37</v>
      </c>
      <c r="AJ82" s="11">
        <v>0</v>
      </c>
    </row>
    <row r="83" spans="4:36">
      <c r="D83" s="10">
        <v>39508</v>
      </c>
      <c r="E83" s="11">
        <v>4.5930589689331801E-2</v>
      </c>
      <c r="F83" s="11">
        <v>4.117</v>
      </c>
      <c r="G83" s="11">
        <v>0.2225</v>
      </c>
      <c r="H83" s="11">
        <v>-0.13</v>
      </c>
      <c r="I83" s="11">
        <v>5.0000000000000001E-3</v>
      </c>
      <c r="J83" s="11">
        <v>0.223</v>
      </c>
      <c r="K83" s="11">
        <v>-7.0000000000000007E-2</v>
      </c>
      <c r="L83" s="11">
        <v>5.0000000000000001E-3</v>
      </c>
      <c r="M83" s="11">
        <v>0.223</v>
      </c>
      <c r="N83" s="11">
        <v>-0.24</v>
      </c>
      <c r="O83" s="11">
        <v>0</v>
      </c>
      <c r="P83" s="11">
        <v>0.223</v>
      </c>
      <c r="Q83" s="11">
        <v>0</v>
      </c>
      <c r="R83" s="11">
        <v>0</v>
      </c>
      <c r="S83" s="11">
        <v>0</v>
      </c>
      <c r="T83" s="11">
        <v>0</v>
      </c>
      <c r="U83" s="11">
        <v>-0.32</v>
      </c>
      <c r="V83" s="11">
        <v>0</v>
      </c>
      <c r="W83" s="11">
        <v>-0.41</v>
      </c>
      <c r="X83" s="11">
        <v>5.2725475208273004E-3</v>
      </c>
      <c r="Y83" s="11">
        <v>6.8000000000000005E-2</v>
      </c>
      <c r="Z83" s="11">
        <v>4.4999999999999998E-2</v>
      </c>
      <c r="AA83" s="11">
        <v>0.22700000000000001</v>
      </c>
      <c r="AB83" s="11">
        <v>0.19</v>
      </c>
      <c r="AC83" s="11">
        <v>0.03</v>
      </c>
      <c r="AD83" s="10">
        <v>0.25</v>
      </c>
      <c r="AE83" s="11">
        <v>3.5999999999999997E-2</v>
      </c>
      <c r="AF83" s="11">
        <v>0.223</v>
      </c>
      <c r="AG83" s="11">
        <v>0.56999999999999995</v>
      </c>
      <c r="AH83" s="11">
        <v>3.5999999999999997E-2</v>
      </c>
      <c r="AI83" s="11">
        <v>0.37</v>
      </c>
      <c r="AJ83" s="11">
        <v>0</v>
      </c>
    </row>
    <row r="84" spans="4:36">
      <c r="D84" s="10">
        <v>39539</v>
      </c>
      <c r="E84" s="11">
        <v>4.61076633616311E-2</v>
      </c>
      <c r="F84" s="11">
        <v>3.9630000000000001</v>
      </c>
      <c r="G84" s="11">
        <v>0.2225</v>
      </c>
      <c r="H84" s="11">
        <v>-0.2</v>
      </c>
      <c r="I84" s="11">
        <v>2.5000000000000001E-3</v>
      </c>
      <c r="J84" s="11">
        <v>0.223</v>
      </c>
      <c r="K84" s="11">
        <v>-7.0000000000000007E-2</v>
      </c>
      <c r="L84" s="11">
        <v>5.0000000000000001E-3</v>
      </c>
      <c r="M84" s="11">
        <v>0.223</v>
      </c>
      <c r="N84" s="11">
        <v>-0.35</v>
      </c>
      <c r="O84" s="11">
        <v>0</v>
      </c>
      <c r="P84" s="11">
        <v>0.223</v>
      </c>
      <c r="Q84" s="11">
        <v>0</v>
      </c>
      <c r="R84" s="11">
        <v>0</v>
      </c>
      <c r="S84" s="11">
        <v>0</v>
      </c>
      <c r="T84" s="11">
        <v>0</v>
      </c>
      <c r="U84" s="11">
        <v>-0.43</v>
      </c>
      <c r="V84" s="11">
        <v>0</v>
      </c>
      <c r="W84" s="11">
        <v>-0.46500000000000002</v>
      </c>
      <c r="X84" s="11">
        <v>1.6475931355538001E-3</v>
      </c>
      <c r="Y84" s="11">
        <v>-0.25</v>
      </c>
      <c r="Z84" s="11">
        <v>0.01</v>
      </c>
      <c r="AA84" s="11">
        <v>0.22700000000000001</v>
      </c>
      <c r="AB84" s="11">
        <v>0.14000000000000001</v>
      </c>
      <c r="AC84" s="11">
        <v>0.03</v>
      </c>
      <c r="AD84" s="10">
        <v>0.26</v>
      </c>
      <c r="AE84" s="11">
        <v>3.5999999999999997E-2</v>
      </c>
      <c r="AF84" s="11">
        <v>0.223</v>
      </c>
      <c r="AG84" s="11">
        <v>0.44</v>
      </c>
      <c r="AH84" s="11">
        <v>3.5999999999999997E-2</v>
      </c>
      <c r="AI84" s="11">
        <v>0.24</v>
      </c>
      <c r="AJ84" s="11">
        <v>0</v>
      </c>
    </row>
    <row r="85" spans="4:36">
      <c r="D85" s="10">
        <v>39569</v>
      </c>
      <c r="E85" s="11">
        <v>4.6279024989971197E-2</v>
      </c>
      <c r="F85" s="11">
        <v>3.9670000000000001</v>
      </c>
      <c r="G85" s="11">
        <v>0.2225</v>
      </c>
      <c r="H85" s="11">
        <v>-0.2</v>
      </c>
      <c r="I85" s="11">
        <v>2.5000000000000001E-3</v>
      </c>
      <c r="J85" s="11">
        <v>0.223</v>
      </c>
      <c r="K85" s="11">
        <v>-7.0000000000000007E-2</v>
      </c>
      <c r="L85" s="11">
        <v>5.0000000000000001E-3</v>
      </c>
      <c r="M85" s="11">
        <v>0.223</v>
      </c>
      <c r="N85" s="11">
        <v>-0.35</v>
      </c>
      <c r="O85" s="11">
        <v>0</v>
      </c>
      <c r="P85" s="11">
        <v>0.223</v>
      </c>
      <c r="Q85" s="11">
        <v>0</v>
      </c>
      <c r="R85" s="11">
        <v>0</v>
      </c>
      <c r="S85" s="11">
        <v>0</v>
      </c>
      <c r="T85" s="11">
        <v>0</v>
      </c>
      <c r="U85" s="11">
        <v>-0.43</v>
      </c>
      <c r="V85" s="11">
        <v>0</v>
      </c>
      <c r="W85" s="11">
        <v>-0.46500000000000002</v>
      </c>
      <c r="X85" s="11">
        <v>1.6475183622300001E-3</v>
      </c>
      <c r="Y85" s="11">
        <v>-0.25</v>
      </c>
      <c r="Z85" s="11">
        <v>0.01</v>
      </c>
      <c r="AA85" s="11">
        <v>0.22700000000000001</v>
      </c>
      <c r="AB85" s="11">
        <v>0.14000000000000001</v>
      </c>
      <c r="AC85" s="11">
        <v>0.03</v>
      </c>
      <c r="AD85" s="10">
        <v>0.26</v>
      </c>
      <c r="AE85" s="11">
        <v>3.5999999999999997E-2</v>
      </c>
      <c r="AF85" s="11">
        <v>0.223</v>
      </c>
      <c r="AG85" s="11">
        <v>0.44</v>
      </c>
      <c r="AH85" s="11">
        <v>3.5999999999999997E-2</v>
      </c>
      <c r="AI85" s="11">
        <v>0.24</v>
      </c>
      <c r="AJ85" s="11">
        <v>0</v>
      </c>
    </row>
    <row r="86" spans="4:36">
      <c r="D86" s="10">
        <v>39600</v>
      </c>
      <c r="E86" s="11">
        <v>4.6456098682909001E-2</v>
      </c>
      <c r="F86" s="11">
        <v>4.0069999999999997</v>
      </c>
      <c r="G86" s="11">
        <v>0.2225</v>
      </c>
      <c r="H86" s="11">
        <v>-0.2</v>
      </c>
      <c r="I86" s="11">
        <v>2.5000000000000001E-3</v>
      </c>
      <c r="J86" s="11">
        <v>0.223</v>
      </c>
      <c r="K86" s="11">
        <v>-7.0000000000000007E-2</v>
      </c>
      <c r="L86" s="11">
        <v>5.0000000000000001E-3</v>
      </c>
      <c r="M86" s="11">
        <v>0.223</v>
      </c>
      <c r="N86" s="11">
        <v>-0.35</v>
      </c>
      <c r="O86" s="11">
        <v>0</v>
      </c>
      <c r="P86" s="11">
        <v>0.223</v>
      </c>
      <c r="Q86" s="11">
        <v>0</v>
      </c>
      <c r="R86" s="11">
        <v>0</v>
      </c>
      <c r="S86" s="11">
        <v>0</v>
      </c>
      <c r="T86" s="11">
        <v>0</v>
      </c>
      <c r="U86" s="11">
        <v>-0.43</v>
      </c>
      <c r="V86" s="11">
        <v>0</v>
      </c>
      <c r="W86" s="11">
        <v>-0.46500000000000002</v>
      </c>
      <c r="X86" s="11">
        <v>1.6474417951243001E-3</v>
      </c>
      <c r="Y86" s="11">
        <v>-0.25</v>
      </c>
      <c r="Z86" s="11">
        <v>0.01</v>
      </c>
      <c r="AA86" s="11">
        <v>0.22700000000000001</v>
      </c>
      <c r="AB86" s="11">
        <v>0.14000000000000001</v>
      </c>
      <c r="AC86" s="11">
        <v>0.03</v>
      </c>
      <c r="AD86" s="10">
        <v>0.26</v>
      </c>
      <c r="AE86" s="11">
        <v>3.5999999999999997E-2</v>
      </c>
      <c r="AF86" s="11">
        <v>0.223</v>
      </c>
      <c r="AG86" s="11">
        <v>0.44</v>
      </c>
      <c r="AH86" s="11">
        <v>3.5999999999999997E-2</v>
      </c>
      <c r="AI86" s="11">
        <v>0.24</v>
      </c>
      <c r="AJ86" s="11">
        <v>0</v>
      </c>
    </row>
    <row r="87" spans="4:36">
      <c r="D87" s="10">
        <v>39630</v>
      </c>
      <c r="E87" s="11">
        <v>4.6627460331220699E-2</v>
      </c>
      <c r="F87" s="11">
        <v>4.0519999999999996</v>
      </c>
      <c r="G87" s="11">
        <v>0.22</v>
      </c>
      <c r="H87" s="11">
        <v>-0.2</v>
      </c>
      <c r="I87" s="11">
        <v>2.5000000000000001E-3</v>
      </c>
      <c r="J87" s="11">
        <v>0.22</v>
      </c>
      <c r="K87" s="11">
        <v>-7.0000000000000007E-2</v>
      </c>
      <c r="L87" s="11">
        <v>5.0000000000000001E-3</v>
      </c>
      <c r="M87" s="11">
        <v>0.22</v>
      </c>
      <c r="N87" s="11">
        <v>-0.35</v>
      </c>
      <c r="O87" s="11">
        <v>0</v>
      </c>
      <c r="P87" s="11">
        <v>0.22</v>
      </c>
      <c r="Q87" s="11">
        <v>0</v>
      </c>
      <c r="R87" s="11">
        <v>0</v>
      </c>
      <c r="S87" s="11">
        <v>0</v>
      </c>
      <c r="T87" s="11">
        <v>0</v>
      </c>
      <c r="U87" s="11">
        <v>-0.43</v>
      </c>
      <c r="V87" s="11">
        <v>0</v>
      </c>
      <c r="W87" s="11">
        <v>-0.46500000000000002</v>
      </c>
      <c r="X87" s="11">
        <v>1.6473683737889999E-3</v>
      </c>
      <c r="Y87" s="11">
        <v>-0.25</v>
      </c>
      <c r="Z87" s="11">
        <v>0.01</v>
      </c>
      <c r="AA87" s="11">
        <v>0.224</v>
      </c>
      <c r="AB87" s="11">
        <v>0.14000000000000001</v>
      </c>
      <c r="AC87" s="11">
        <v>0.03</v>
      </c>
      <c r="AD87" s="10">
        <v>0.26</v>
      </c>
      <c r="AE87" s="11">
        <v>3.5999999999999997E-2</v>
      </c>
      <c r="AF87" s="11">
        <v>0.22</v>
      </c>
      <c r="AG87" s="11">
        <v>0.44</v>
      </c>
      <c r="AH87" s="11">
        <v>3.5999999999999997E-2</v>
      </c>
      <c r="AI87" s="11">
        <v>0.24</v>
      </c>
      <c r="AJ87" s="11">
        <v>0</v>
      </c>
    </row>
    <row r="88" spans="4:36">
      <c r="D88" s="10">
        <v>39661</v>
      </c>
      <c r="E88" s="11">
        <v>4.6804534044793601E-2</v>
      </c>
      <c r="F88" s="11">
        <v>4.0910000000000002</v>
      </c>
      <c r="G88" s="11">
        <v>0.22</v>
      </c>
      <c r="H88" s="11">
        <v>-0.2</v>
      </c>
      <c r="I88" s="11">
        <v>2.5000000000000001E-3</v>
      </c>
      <c r="J88" s="11">
        <v>0.22</v>
      </c>
      <c r="K88" s="11">
        <v>-7.0000000000000007E-2</v>
      </c>
      <c r="L88" s="11">
        <v>5.0000000000000001E-3</v>
      </c>
      <c r="M88" s="11">
        <v>0.22</v>
      </c>
      <c r="N88" s="11">
        <v>-0.35</v>
      </c>
      <c r="O88" s="11">
        <v>0</v>
      </c>
      <c r="P88" s="11">
        <v>0.22</v>
      </c>
      <c r="Q88" s="11">
        <v>0</v>
      </c>
      <c r="R88" s="11">
        <v>0</v>
      </c>
      <c r="S88" s="11">
        <v>0</v>
      </c>
      <c r="T88" s="11">
        <v>0</v>
      </c>
      <c r="U88" s="11">
        <v>-0.43</v>
      </c>
      <c r="V88" s="11">
        <v>0</v>
      </c>
      <c r="W88" s="11">
        <v>-0.46500000000000002</v>
      </c>
      <c r="X88" s="11">
        <v>1.6472932031962001E-3</v>
      </c>
      <c r="Y88" s="11">
        <v>-0.25</v>
      </c>
      <c r="Z88" s="11">
        <v>0.01</v>
      </c>
      <c r="AA88" s="11">
        <v>0.224</v>
      </c>
      <c r="AB88" s="11">
        <v>0.14000000000000001</v>
      </c>
      <c r="AC88" s="11">
        <v>0.03</v>
      </c>
      <c r="AD88" s="10">
        <v>0.26</v>
      </c>
      <c r="AE88" s="11">
        <v>3.5999999999999997E-2</v>
      </c>
      <c r="AF88" s="11">
        <v>0.22</v>
      </c>
      <c r="AG88" s="11">
        <v>0.44</v>
      </c>
      <c r="AH88" s="11">
        <v>3.5999999999999997E-2</v>
      </c>
      <c r="AI88" s="11">
        <v>0.24</v>
      </c>
      <c r="AJ88" s="11">
        <v>0</v>
      </c>
    </row>
    <row r="89" spans="4:36">
      <c r="D89" s="10">
        <v>39692</v>
      </c>
      <c r="E89" s="11">
        <v>4.6981607768850998E-2</v>
      </c>
      <c r="F89" s="11">
        <v>4.085</v>
      </c>
      <c r="G89" s="11">
        <v>0.22</v>
      </c>
      <c r="H89" s="11">
        <v>-0.2</v>
      </c>
      <c r="I89" s="11">
        <v>2.5000000000000001E-3</v>
      </c>
      <c r="J89" s="11">
        <v>0.22</v>
      </c>
      <c r="K89" s="11">
        <v>-7.0000000000000007E-2</v>
      </c>
      <c r="L89" s="11">
        <v>5.0000000000000001E-3</v>
      </c>
      <c r="M89" s="11">
        <v>0.22</v>
      </c>
      <c r="N89" s="11">
        <v>-0.35</v>
      </c>
      <c r="O89" s="11">
        <v>0</v>
      </c>
      <c r="P89" s="11">
        <v>0.22</v>
      </c>
      <c r="Q89" s="11">
        <v>0</v>
      </c>
      <c r="R89" s="11">
        <v>0</v>
      </c>
      <c r="S89" s="11">
        <v>0</v>
      </c>
      <c r="T89" s="11">
        <v>0</v>
      </c>
      <c r="U89" s="11">
        <v>-0.43</v>
      </c>
      <c r="V89" s="11">
        <v>0</v>
      </c>
      <c r="W89" s="11">
        <v>-0.46500000000000002</v>
      </c>
      <c r="X89" s="11">
        <v>1.6472187418927E-3</v>
      </c>
      <c r="Y89" s="11">
        <v>-0.25</v>
      </c>
      <c r="Z89" s="11">
        <v>0.01</v>
      </c>
      <c r="AA89" s="11">
        <v>0.224</v>
      </c>
      <c r="AB89" s="11">
        <v>0.14000000000000001</v>
      </c>
      <c r="AC89" s="11">
        <v>0.03</v>
      </c>
      <c r="AD89" s="10">
        <v>0.26</v>
      </c>
      <c r="AE89" s="11">
        <v>3.5999999999999997E-2</v>
      </c>
      <c r="AF89" s="11">
        <v>0.22</v>
      </c>
      <c r="AG89" s="11">
        <v>0.44</v>
      </c>
      <c r="AH89" s="11">
        <v>3.5999999999999997E-2</v>
      </c>
      <c r="AI89" s="11">
        <v>0.24</v>
      </c>
      <c r="AJ89" s="11">
        <v>0</v>
      </c>
    </row>
    <row r="90" spans="4:36">
      <c r="D90" s="10">
        <v>39722</v>
      </c>
      <c r="E90" s="11">
        <v>4.7152969447276802E-2</v>
      </c>
      <c r="F90" s="11">
        <v>4.0949999999999998</v>
      </c>
      <c r="G90" s="11">
        <v>0.22</v>
      </c>
      <c r="H90" s="11">
        <v>-0.2</v>
      </c>
      <c r="I90" s="11">
        <v>2.5000000000000001E-3</v>
      </c>
      <c r="J90" s="11">
        <v>0.22</v>
      </c>
      <c r="K90" s="11">
        <v>-7.0000000000000007E-2</v>
      </c>
      <c r="L90" s="11">
        <v>5.0000000000000001E-3</v>
      </c>
      <c r="M90" s="11">
        <v>0.22</v>
      </c>
      <c r="N90" s="11">
        <v>-0.35</v>
      </c>
      <c r="O90" s="11">
        <v>0</v>
      </c>
      <c r="P90" s="11">
        <v>0.22</v>
      </c>
      <c r="Q90" s="11">
        <v>0</v>
      </c>
      <c r="R90" s="11">
        <v>0</v>
      </c>
      <c r="S90" s="11">
        <v>0</v>
      </c>
      <c r="T90" s="11">
        <v>0</v>
      </c>
      <c r="U90" s="11">
        <v>-0.43</v>
      </c>
      <c r="V90" s="11">
        <v>0</v>
      </c>
      <c r="W90" s="11">
        <v>-0.46500000000000002</v>
      </c>
      <c r="X90" s="11">
        <v>1.6471473576432001E-3</v>
      </c>
      <c r="Y90" s="11">
        <v>-0.25</v>
      </c>
      <c r="Z90" s="11">
        <v>0.01</v>
      </c>
      <c r="AA90" s="11">
        <v>0.224</v>
      </c>
      <c r="AB90" s="11">
        <v>0.14000000000000001</v>
      </c>
      <c r="AC90" s="11">
        <v>0.03</v>
      </c>
      <c r="AD90" s="10">
        <v>0.26</v>
      </c>
      <c r="AE90" s="11">
        <v>3.5999999999999997E-2</v>
      </c>
      <c r="AF90" s="11">
        <v>0.22</v>
      </c>
      <c r="AG90" s="11">
        <v>0.44</v>
      </c>
      <c r="AH90" s="11">
        <v>3.5999999999999997E-2</v>
      </c>
      <c r="AI90" s="11">
        <v>0.24</v>
      </c>
      <c r="AJ90" s="11">
        <v>0</v>
      </c>
    </row>
    <row r="91" spans="4:36">
      <c r="D91" s="10">
        <v>39753</v>
      </c>
      <c r="E91" s="11">
        <v>4.7330043191964301E-2</v>
      </c>
      <c r="F91" s="11">
        <v>4.2549999999999999</v>
      </c>
      <c r="G91" s="11">
        <v>0.22</v>
      </c>
      <c r="H91" s="11">
        <v>-0.13</v>
      </c>
      <c r="I91" s="11">
        <v>5.0000000000000001E-3</v>
      </c>
      <c r="J91" s="11">
        <v>0.22</v>
      </c>
      <c r="K91" s="11">
        <v>-7.0000000000000007E-2</v>
      </c>
      <c r="L91" s="11">
        <v>5.0000000000000001E-3</v>
      </c>
      <c r="M91" s="11">
        <v>0.22</v>
      </c>
      <c r="N91" s="11">
        <v>-0.24</v>
      </c>
      <c r="O91" s="11">
        <v>0</v>
      </c>
      <c r="P91" s="11">
        <v>0.22</v>
      </c>
      <c r="Q91" s="11">
        <v>0</v>
      </c>
      <c r="R91" s="11">
        <v>0</v>
      </c>
      <c r="S91" s="11">
        <v>0</v>
      </c>
      <c r="T91" s="11">
        <v>0</v>
      </c>
      <c r="U91" s="11">
        <v>-0.32</v>
      </c>
      <c r="V91" s="11">
        <v>0</v>
      </c>
      <c r="W91" s="11">
        <v>-0.44</v>
      </c>
      <c r="X91" s="11">
        <v>5.2706377319314997E-3</v>
      </c>
      <c r="Y91" s="11">
        <v>0.248</v>
      </c>
      <c r="Z91" s="11">
        <v>4.4999999999999998E-2</v>
      </c>
      <c r="AA91" s="11">
        <v>0.224</v>
      </c>
      <c r="AB91" s="11">
        <v>0</v>
      </c>
      <c r="AC91" s="11">
        <v>0.03</v>
      </c>
      <c r="AD91" s="10">
        <v>0.25</v>
      </c>
      <c r="AE91" s="11">
        <v>3.7999999999999999E-2</v>
      </c>
      <c r="AF91" s="11">
        <v>0.22</v>
      </c>
      <c r="AG91" s="11">
        <v>0.5</v>
      </c>
      <c r="AH91" s="11">
        <v>3.7999999999999999E-2</v>
      </c>
      <c r="AI91" s="11">
        <v>0.3</v>
      </c>
      <c r="AJ91" s="11">
        <v>0</v>
      </c>
    </row>
    <row r="92" spans="4:36">
      <c r="D92" s="10">
        <v>39783</v>
      </c>
      <c r="E92" s="11">
        <v>4.7444464519308803E-2</v>
      </c>
      <c r="F92" s="11">
        <v>4.4089999999999998</v>
      </c>
      <c r="G92" s="11">
        <v>0.2225</v>
      </c>
      <c r="H92" s="11">
        <v>-0.13</v>
      </c>
      <c r="I92" s="11">
        <v>5.0000000000000001E-3</v>
      </c>
      <c r="J92" s="11">
        <v>0.223</v>
      </c>
      <c r="K92" s="11">
        <v>-7.0000000000000007E-2</v>
      </c>
      <c r="L92" s="11">
        <v>5.0000000000000001E-3</v>
      </c>
      <c r="M92" s="11">
        <v>0.223</v>
      </c>
      <c r="N92" s="11">
        <v>-0.24</v>
      </c>
      <c r="O92" s="11">
        <v>0</v>
      </c>
      <c r="P92" s="11">
        <v>0.223</v>
      </c>
      <c r="Q92" s="11">
        <v>0</v>
      </c>
      <c r="R92" s="11">
        <v>0</v>
      </c>
      <c r="S92" s="11">
        <v>0</v>
      </c>
      <c r="T92" s="11">
        <v>0</v>
      </c>
      <c r="U92" s="11">
        <v>-0.32</v>
      </c>
      <c r="V92" s="11">
        <v>0</v>
      </c>
      <c r="W92" s="11">
        <v>-0.44</v>
      </c>
      <c r="X92" s="11">
        <v>5.2683409721469999E-3</v>
      </c>
      <c r="Y92" s="11">
        <v>0.308</v>
      </c>
      <c r="Z92" s="11">
        <v>4.4999999999999998E-2</v>
      </c>
      <c r="AA92" s="11">
        <v>0.22700000000000001</v>
      </c>
      <c r="AB92" s="11">
        <v>0</v>
      </c>
      <c r="AC92" s="11">
        <v>0.03</v>
      </c>
      <c r="AD92" s="10">
        <v>0.25</v>
      </c>
      <c r="AE92" s="11">
        <v>3.7999999999999999E-2</v>
      </c>
      <c r="AF92" s="11">
        <v>0.223</v>
      </c>
      <c r="AG92" s="11">
        <v>0.56999999999999995</v>
      </c>
      <c r="AH92" s="11">
        <v>3.7999999999999999E-2</v>
      </c>
      <c r="AI92" s="11">
        <v>0.37</v>
      </c>
      <c r="AJ92" s="11">
        <v>0</v>
      </c>
    </row>
    <row r="93" spans="4:36">
      <c r="D93" s="10">
        <v>39814</v>
      </c>
      <c r="E93" s="11">
        <v>4.7547990299238001E-2</v>
      </c>
      <c r="F93" s="11">
        <v>4.4539999999999997</v>
      </c>
      <c r="G93" s="11">
        <v>0.22500000000000001</v>
      </c>
      <c r="H93" s="11">
        <v>-0.13</v>
      </c>
      <c r="I93" s="11">
        <v>5.0000000000000001E-3</v>
      </c>
      <c r="J93" s="11">
        <v>0.22500000000000001</v>
      </c>
      <c r="K93" s="11">
        <v>-7.0000000000000007E-2</v>
      </c>
      <c r="L93" s="11">
        <v>5.0000000000000001E-3</v>
      </c>
      <c r="M93" s="11">
        <v>0.22500000000000001</v>
      </c>
      <c r="N93" s="11">
        <v>-0.24</v>
      </c>
      <c r="O93" s="11">
        <v>0</v>
      </c>
      <c r="P93" s="11">
        <v>0.22500000000000001</v>
      </c>
      <c r="Q93" s="11">
        <v>0</v>
      </c>
      <c r="R93" s="11">
        <v>0</v>
      </c>
      <c r="S93" s="11">
        <v>0</v>
      </c>
      <c r="T93" s="11">
        <v>0</v>
      </c>
      <c r="U93" s="11">
        <v>-0.32</v>
      </c>
      <c r="V93" s="11">
        <v>0</v>
      </c>
      <c r="W93" s="11">
        <v>-0.44</v>
      </c>
      <c r="X93" s="11">
        <v>5.2653792288851996E-3</v>
      </c>
      <c r="Y93" s="11">
        <v>0.378</v>
      </c>
      <c r="Z93" s="11">
        <v>4.4999999999999998E-2</v>
      </c>
      <c r="AA93" s="11">
        <v>0.23</v>
      </c>
      <c r="AB93" s="11">
        <v>0</v>
      </c>
      <c r="AC93" s="11">
        <v>0.03</v>
      </c>
      <c r="AD93" s="10">
        <v>0.25</v>
      </c>
      <c r="AE93" s="11">
        <v>3.7999999999999999E-2</v>
      </c>
      <c r="AF93" s="11">
        <v>0.22500000000000001</v>
      </c>
      <c r="AG93" s="11">
        <v>0.56999999999999995</v>
      </c>
      <c r="AH93" s="11">
        <v>3.7999999999999999E-2</v>
      </c>
      <c r="AI93" s="11">
        <v>0.37</v>
      </c>
      <c r="AJ93" s="11">
        <v>0</v>
      </c>
    </row>
    <row r="94" spans="4:36">
      <c r="D94" s="10">
        <v>39845</v>
      </c>
      <c r="E94" s="11">
        <v>4.7651516082749999E-2</v>
      </c>
      <c r="F94" s="11">
        <v>4.3659999999999997</v>
      </c>
      <c r="G94" s="11">
        <v>0.22</v>
      </c>
      <c r="H94" s="11">
        <v>-0.13</v>
      </c>
      <c r="I94" s="11">
        <v>5.0000000000000001E-3</v>
      </c>
      <c r="J94" s="11">
        <v>0.22</v>
      </c>
      <c r="K94" s="11">
        <v>-7.0000000000000007E-2</v>
      </c>
      <c r="L94" s="11">
        <v>5.0000000000000001E-3</v>
      </c>
      <c r="M94" s="11">
        <v>0.22</v>
      </c>
      <c r="N94" s="11">
        <v>-0.24</v>
      </c>
      <c r="O94" s="11">
        <v>0</v>
      </c>
      <c r="P94" s="11">
        <v>0.22</v>
      </c>
      <c r="Q94" s="11">
        <v>0</v>
      </c>
      <c r="R94" s="11">
        <v>0</v>
      </c>
      <c r="S94" s="11">
        <v>0</v>
      </c>
      <c r="T94" s="11">
        <v>0</v>
      </c>
      <c r="U94" s="11">
        <v>-0.32</v>
      </c>
      <c r="V94" s="11">
        <v>0</v>
      </c>
      <c r="W94" s="11">
        <v>-0.44</v>
      </c>
      <c r="X94" s="11">
        <v>5.2623576102923996E-3</v>
      </c>
      <c r="Y94" s="11">
        <v>0.248</v>
      </c>
      <c r="Z94" s="11">
        <v>4.4999999999999998E-2</v>
      </c>
      <c r="AA94" s="11">
        <v>0.224</v>
      </c>
      <c r="AB94" s="11">
        <v>0</v>
      </c>
      <c r="AC94" s="11">
        <v>0.03</v>
      </c>
      <c r="AD94" s="10">
        <v>0.25</v>
      </c>
      <c r="AE94" s="11">
        <v>3.7999999999999999E-2</v>
      </c>
      <c r="AF94" s="11">
        <v>0.22</v>
      </c>
      <c r="AG94" s="11">
        <v>0.56999999999999995</v>
      </c>
      <c r="AH94" s="11">
        <v>3.7999999999999999E-2</v>
      </c>
      <c r="AI94" s="11">
        <v>0.37</v>
      </c>
      <c r="AJ94" s="11">
        <v>0</v>
      </c>
    </row>
    <row r="95" spans="4:36">
      <c r="D95" s="10">
        <v>39873</v>
      </c>
      <c r="E95" s="11">
        <v>4.7745023245129803E-2</v>
      </c>
      <c r="F95" s="11">
        <v>4.2270000000000003</v>
      </c>
      <c r="G95" s="11">
        <v>0.20499999999999999</v>
      </c>
      <c r="H95" s="11">
        <v>-0.13</v>
      </c>
      <c r="I95" s="11">
        <v>5.0000000000000001E-3</v>
      </c>
      <c r="J95" s="11">
        <v>0.20499999999999999</v>
      </c>
      <c r="K95" s="11">
        <v>-7.0000000000000007E-2</v>
      </c>
      <c r="L95" s="11">
        <v>5.0000000000000001E-3</v>
      </c>
      <c r="M95" s="11">
        <v>0.20499999999999999</v>
      </c>
      <c r="N95" s="11">
        <v>-0.24</v>
      </c>
      <c r="O95" s="11">
        <v>0</v>
      </c>
      <c r="P95" s="11">
        <v>0.20499999999999999</v>
      </c>
      <c r="Q95" s="11">
        <v>0</v>
      </c>
      <c r="R95" s="11">
        <v>0</v>
      </c>
      <c r="S95" s="11">
        <v>0</v>
      </c>
      <c r="T95" s="11">
        <v>0</v>
      </c>
      <c r="U95" s="11">
        <v>-0.32</v>
      </c>
      <c r="V95" s="11">
        <v>0</v>
      </c>
      <c r="W95" s="11">
        <v>-0.44</v>
      </c>
      <c r="X95" s="11">
        <v>5.2595770399942003E-3</v>
      </c>
      <c r="Y95" s="11">
        <v>6.8000000000000005E-2</v>
      </c>
      <c r="Z95" s="11">
        <v>4.4999999999999998E-2</v>
      </c>
      <c r="AA95" s="11">
        <v>0.20899999999999999</v>
      </c>
      <c r="AB95" s="11">
        <v>0</v>
      </c>
      <c r="AC95" s="11">
        <v>0.03</v>
      </c>
      <c r="AD95" s="10">
        <v>0.25</v>
      </c>
      <c r="AE95" s="11">
        <v>3.7999999999999999E-2</v>
      </c>
      <c r="AF95" s="11">
        <v>0.20499999999999999</v>
      </c>
      <c r="AG95" s="11">
        <v>0.56999999999999995</v>
      </c>
      <c r="AH95" s="11">
        <v>3.7999999999999999E-2</v>
      </c>
      <c r="AI95" s="11">
        <v>0.37</v>
      </c>
      <c r="AJ95" s="11">
        <v>0</v>
      </c>
    </row>
    <row r="96" spans="4:36">
      <c r="D96" s="10">
        <v>39904</v>
      </c>
      <c r="E96" s="11">
        <v>4.7848549035459903E-2</v>
      </c>
      <c r="F96" s="11">
        <v>4.0730000000000004</v>
      </c>
      <c r="G96" s="11">
        <v>0.19500000000000001</v>
      </c>
      <c r="H96" s="11">
        <v>-0.2</v>
      </c>
      <c r="I96" s="11">
        <v>2.5000000000000001E-3</v>
      </c>
      <c r="J96" s="11">
        <v>0.19500000000000001</v>
      </c>
      <c r="K96" s="11">
        <v>-7.0000000000000007E-2</v>
      </c>
      <c r="L96" s="11">
        <v>5.0000000000000001E-3</v>
      </c>
      <c r="M96" s="11">
        <v>0.19500000000000001</v>
      </c>
      <c r="N96" s="11">
        <v>-0.35</v>
      </c>
      <c r="O96" s="11">
        <v>0</v>
      </c>
      <c r="P96" s="11">
        <v>0.19500000000000001</v>
      </c>
      <c r="Q96" s="11">
        <v>0</v>
      </c>
      <c r="R96" s="11">
        <v>0</v>
      </c>
      <c r="S96" s="11">
        <v>0</v>
      </c>
      <c r="T96" s="11">
        <v>0</v>
      </c>
      <c r="U96" s="11">
        <v>-0.43</v>
      </c>
      <c r="V96" s="11">
        <v>0</v>
      </c>
      <c r="W96" s="11">
        <v>-0.53</v>
      </c>
      <c r="X96" s="11">
        <v>1.6426380598386001E-3</v>
      </c>
      <c r="Y96" s="11">
        <v>-0.25</v>
      </c>
      <c r="Z96" s="11">
        <v>0.01</v>
      </c>
      <c r="AA96" s="11">
        <v>0.19900000000000001</v>
      </c>
      <c r="AB96" s="11">
        <v>0</v>
      </c>
      <c r="AC96" s="11">
        <v>0.03</v>
      </c>
      <c r="AD96" s="10">
        <v>0.26</v>
      </c>
      <c r="AE96" s="11">
        <v>3.7999999999999999E-2</v>
      </c>
      <c r="AF96" s="11">
        <v>0.19500000000000001</v>
      </c>
      <c r="AG96" s="11">
        <v>0.44</v>
      </c>
      <c r="AH96" s="11">
        <v>3.7999999999999999E-2</v>
      </c>
      <c r="AI96" s="11">
        <v>0.24</v>
      </c>
      <c r="AJ96" s="11">
        <v>0</v>
      </c>
    </row>
    <row r="97" spans="4:36">
      <c r="D97" s="10">
        <v>39934</v>
      </c>
      <c r="E97" s="11">
        <v>4.7948735287576899E-2</v>
      </c>
      <c r="F97" s="11">
        <v>4.077</v>
      </c>
      <c r="G97" s="11">
        <v>0.19500000000000001</v>
      </c>
      <c r="H97" s="11">
        <v>-0.2</v>
      </c>
      <c r="I97" s="11">
        <v>2.5000000000000001E-3</v>
      </c>
      <c r="J97" s="11">
        <v>0.19500000000000001</v>
      </c>
      <c r="K97" s="11">
        <v>-7.0000000000000007E-2</v>
      </c>
      <c r="L97" s="11">
        <v>5.0000000000000001E-3</v>
      </c>
      <c r="M97" s="11">
        <v>0.19500000000000001</v>
      </c>
      <c r="N97" s="11">
        <v>-0.35</v>
      </c>
      <c r="O97" s="11">
        <v>0</v>
      </c>
      <c r="P97" s="11">
        <v>0.19500000000000001</v>
      </c>
      <c r="Q97" s="11">
        <v>0</v>
      </c>
      <c r="R97" s="11">
        <v>0</v>
      </c>
      <c r="S97" s="11">
        <v>0</v>
      </c>
      <c r="T97" s="11">
        <v>0</v>
      </c>
      <c r="U97" s="11">
        <v>-0.43</v>
      </c>
      <c r="V97" s="11">
        <v>0</v>
      </c>
      <c r="W97" s="11">
        <v>-0.53</v>
      </c>
      <c r="X97" s="11">
        <v>1.6416721873761999E-3</v>
      </c>
      <c r="Y97" s="11">
        <v>-0.25</v>
      </c>
      <c r="Z97" s="11">
        <v>0.01</v>
      </c>
      <c r="AA97" s="11">
        <v>0.19900000000000001</v>
      </c>
      <c r="AB97" s="11">
        <v>0</v>
      </c>
      <c r="AC97" s="11">
        <v>0.03</v>
      </c>
      <c r="AD97" s="10">
        <v>0.26</v>
      </c>
      <c r="AE97" s="11">
        <v>3.7999999999999999E-2</v>
      </c>
      <c r="AF97" s="11">
        <v>0.19500000000000001</v>
      </c>
      <c r="AG97" s="11">
        <v>0.44</v>
      </c>
      <c r="AH97" s="11">
        <v>3.7999999999999999E-2</v>
      </c>
      <c r="AI97" s="11">
        <v>0.24</v>
      </c>
      <c r="AJ97" s="11">
        <v>0</v>
      </c>
    </row>
    <row r="98" spans="4:36">
      <c r="D98" s="10">
        <v>39965</v>
      </c>
      <c r="E98" s="11">
        <v>4.8052261084955597E-2</v>
      </c>
      <c r="F98" s="11">
        <v>4.117</v>
      </c>
      <c r="G98" s="11">
        <v>0.19500000000000001</v>
      </c>
      <c r="H98" s="11">
        <v>-0.2</v>
      </c>
      <c r="I98" s="11">
        <v>2.5000000000000001E-3</v>
      </c>
      <c r="J98" s="11">
        <v>0.19500000000000001</v>
      </c>
      <c r="K98" s="11">
        <v>-7.0000000000000007E-2</v>
      </c>
      <c r="L98" s="11">
        <v>5.0000000000000001E-3</v>
      </c>
      <c r="M98" s="11">
        <v>0.19500000000000001</v>
      </c>
      <c r="N98" s="11">
        <v>-0.35</v>
      </c>
      <c r="O98" s="11">
        <v>0</v>
      </c>
      <c r="P98" s="11">
        <v>0.19500000000000001</v>
      </c>
      <c r="Q98" s="11">
        <v>0</v>
      </c>
      <c r="R98" s="11">
        <v>0</v>
      </c>
      <c r="S98" s="11">
        <v>0</v>
      </c>
      <c r="T98" s="11">
        <v>0</v>
      </c>
      <c r="U98" s="11">
        <v>-0.43</v>
      </c>
      <c r="V98" s="11">
        <v>0</v>
      </c>
      <c r="W98" s="11">
        <v>-0.53</v>
      </c>
      <c r="X98" s="11">
        <v>1.6406558536109E-3</v>
      </c>
      <c r="Y98" s="11">
        <v>-0.25</v>
      </c>
      <c r="Z98" s="11">
        <v>0.01</v>
      </c>
      <c r="AA98" s="11">
        <v>0.19900000000000001</v>
      </c>
      <c r="AB98" s="11">
        <v>0</v>
      </c>
      <c r="AC98" s="11">
        <v>0.03</v>
      </c>
      <c r="AD98" s="10">
        <v>0.26</v>
      </c>
      <c r="AE98" s="11">
        <v>3.7999999999999999E-2</v>
      </c>
      <c r="AF98" s="11">
        <v>0.19500000000000001</v>
      </c>
      <c r="AG98" s="11">
        <v>0.44</v>
      </c>
      <c r="AH98" s="11">
        <v>3.7999999999999999E-2</v>
      </c>
      <c r="AI98" s="11">
        <v>0.24</v>
      </c>
      <c r="AJ98" s="11">
        <v>0</v>
      </c>
    </row>
    <row r="99" spans="4:36">
      <c r="D99" s="10">
        <v>39995</v>
      </c>
      <c r="E99" s="11">
        <v>4.8152447343893498E-2</v>
      </c>
      <c r="F99" s="11">
        <v>4.1619999999999999</v>
      </c>
      <c r="G99" s="11">
        <v>0.19500000000000001</v>
      </c>
      <c r="H99" s="11">
        <v>-0.2</v>
      </c>
      <c r="I99" s="11">
        <v>2.5000000000000001E-3</v>
      </c>
      <c r="J99" s="11">
        <v>0.19500000000000001</v>
      </c>
      <c r="K99" s="11">
        <v>-7.0000000000000007E-2</v>
      </c>
      <c r="L99" s="11">
        <v>5.0000000000000001E-3</v>
      </c>
      <c r="M99" s="11">
        <v>0.19500000000000001</v>
      </c>
      <c r="N99" s="11">
        <v>-0.35</v>
      </c>
      <c r="O99" s="11">
        <v>0</v>
      </c>
      <c r="P99" s="11">
        <v>0.19500000000000001</v>
      </c>
      <c r="Q99" s="11">
        <v>0</v>
      </c>
      <c r="R99" s="11">
        <v>0</v>
      </c>
      <c r="S99" s="11">
        <v>0</v>
      </c>
      <c r="T99" s="11">
        <v>0</v>
      </c>
      <c r="U99" s="11">
        <v>-0.43</v>
      </c>
      <c r="V99" s="11">
        <v>0</v>
      </c>
      <c r="W99" s="11">
        <v>-0.53</v>
      </c>
      <c r="X99" s="11">
        <v>1.6396546649235001E-3</v>
      </c>
      <c r="Y99" s="11">
        <v>-0.25</v>
      </c>
      <c r="Z99" s="11">
        <v>0.01</v>
      </c>
      <c r="AA99" s="11">
        <v>0.19900000000000001</v>
      </c>
      <c r="AB99" s="11">
        <v>0</v>
      </c>
      <c r="AC99" s="11">
        <v>0.03</v>
      </c>
      <c r="AD99" s="10">
        <v>0.26</v>
      </c>
      <c r="AE99" s="11">
        <v>3.7999999999999999E-2</v>
      </c>
      <c r="AF99" s="11">
        <v>0.19500000000000001</v>
      </c>
      <c r="AG99" s="11">
        <v>0.44</v>
      </c>
      <c r="AH99" s="11">
        <v>3.7999999999999999E-2</v>
      </c>
      <c r="AI99" s="11">
        <v>0.24</v>
      </c>
      <c r="AJ99" s="11">
        <v>0</v>
      </c>
    </row>
    <row r="100" spans="4:36">
      <c r="D100" s="10">
        <v>40026</v>
      </c>
      <c r="E100" s="11">
        <v>4.8255973148320301E-2</v>
      </c>
      <c r="F100" s="11">
        <v>4.2009999999999996</v>
      </c>
      <c r="G100" s="11">
        <v>0.19500000000000001</v>
      </c>
      <c r="H100" s="11">
        <v>-0.2</v>
      </c>
      <c r="I100" s="11">
        <v>2.5000000000000001E-3</v>
      </c>
      <c r="J100" s="11">
        <v>0.19500000000000001</v>
      </c>
      <c r="K100" s="11">
        <v>-7.0000000000000007E-2</v>
      </c>
      <c r="L100" s="11">
        <v>5.0000000000000001E-3</v>
      </c>
      <c r="M100" s="11">
        <v>0.19500000000000001</v>
      </c>
      <c r="N100" s="11">
        <v>-0.35</v>
      </c>
      <c r="O100" s="11">
        <v>0</v>
      </c>
      <c r="P100" s="11">
        <v>0.19500000000000001</v>
      </c>
      <c r="Q100" s="11">
        <v>0</v>
      </c>
      <c r="R100" s="11">
        <v>0</v>
      </c>
      <c r="S100" s="11">
        <v>0</v>
      </c>
      <c r="T100" s="11">
        <v>0</v>
      </c>
      <c r="U100" s="11">
        <v>-0.43</v>
      </c>
      <c r="V100" s="11">
        <v>0</v>
      </c>
      <c r="W100" s="11">
        <v>-0.53</v>
      </c>
      <c r="X100" s="11">
        <v>1.6386019140816001E-3</v>
      </c>
      <c r="Y100" s="11">
        <v>-0.25</v>
      </c>
      <c r="Z100" s="11">
        <v>0.01</v>
      </c>
      <c r="AA100" s="11">
        <v>0.19900000000000001</v>
      </c>
      <c r="AB100" s="11">
        <v>0</v>
      </c>
      <c r="AC100" s="11">
        <v>0.03</v>
      </c>
      <c r="AD100" s="10">
        <v>0.26</v>
      </c>
      <c r="AE100" s="11">
        <v>3.7999999999999999E-2</v>
      </c>
      <c r="AF100" s="11">
        <v>0.19500000000000001</v>
      </c>
      <c r="AG100" s="11">
        <v>0.44</v>
      </c>
      <c r="AH100" s="11">
        <v>3.7999999999999999E-2</v>
      </c>
      <c r="AI100" s="11">
        <v>0.24</v>
      </c>
      <c r="AJ100" s="11">
        <v>0</v>
      </c>
    </row>
    <row r="101" spans="4:36">
      <c r="D101" s="10">
        <v>40057</v>
      </c>
      <c r="E101" s="11">
        <v>4.8359498956328302E-2</v>
      </c>
      <c r="F101" s="11">
        <v>4.1950000000000003</v>
      </c>
      <c r="G101" s="11">
        <v>0.19500000000000001</v>
      </c>
      <c r="H101" s="11">
        <v>-0.2</v>
      </c>
      <c r="I101" s="11">
        <v>2.5000000000000001E-3</v>
      </c>
      <c r="J101" s="11">
        <v>0.19500000000000001</v>
      </c>
      <c r="K101" s="11">
        <v>-7.0000000000000007E-2</v>
      </c>
      <c r="L101" s="11">
        <v>5.0000000000000001E-3</v>
      </c>
      <c r="M101" s="11">
        <v>0.19500000000000001</v>
      </c>
      <c r="N101" s="11">
        <v>-0.35</v>
      </c>
      <c r="O101" s="11">
        <v>0</v>
      </c>
      <c r="P101" s="11">
        <v>0.19500000000000001</v>
      </c>
      <c r="Q101" s="11">
        <v>0</v>
      </c>
      <c r="R101" s="11">
        <v>0</v>
      </c>
      <c r="S101" s="11">
        <v>0</v>
      </c>
      <c r="T101" s="11">
        <v>0</v>
      </c>
      <c r="U101" s="11">
        <v>-0.43</v>
      </c>
      <c r="V101" s="11">
        <v>0</v>
      </c>
      <c r="W101" s="11">
        <v>-0.53</v>
      </c>
      <c r="X101" s="11">
        <v>1.6375307157743E-3</v>
      </c>
      <c r="Y101" s="11">
        <v>-0.25</v>
      </c>
      <c r="Z101" s="11">
        <v>0.01</v>
      </c>
      <c r="AA101" s="11">
        <v>0.19900000000000001</v>
      </c>
      <c r="AB101" s="11">
        <v>0</v>
      </c>
      <c r="AC101" s="11">
        <v>0.03</v>
      </c>
      <c r="AD101" s="10">
        <v>0.26</v>
      </c>
      <c r="AE101" s="11">
        <v>3.7999999999999999E-2</v>
      </c>
      <c r="AF101" s="11">
        <v>0.19500000000000001</v>
      </c>
      <c r="AG101" s="11">
        <v>0.44</v>
      </c>
      <c r="AH101" s="11">
        <v>3.7999999999999999E-2</v>
      </c>
      <c r="AI101" s="11">
        <v>0.24</v>
      </c>
      <c r="AJ101" s="11">
        <v>0</v>
      </c>
    </row>
    <row r="102" spans="4:36">
      <c r="D102" s="10">
        <v>40087</v>
      </c>
      <c r="E102" s="11">
        <v>4.84596852255526E-2</v>
      </c>
      <c r="F102" s="11">
        <v>4.2050000000000001</v>
      </c>
      <c r="G102" s="11">
        <v>0.19500000000000001</v>
      </c>
      <c r="H102" s="11">
        <v>-0.2</v>
      </c>
      <c r="I102" s="11">
        <v>2.5000000000000001E-3</v>
      </c>
      <c r="J102" s="11">
        <v>0.19500000000000001</v>
      </c>
      <c r="K102" s="11">
        <v>-7.0000000000000007E-2</v>
      </c>
      <c r="L102" s="11">
        <v>5.0000000000000001E-3</v>
      </c>
      <c r="M102" s="11">
        <v>0.19500000000000001</v>
      </c>
      <c r="N102" s="11">
        <v>-0.35</v>
      </c>
      <c r="O102" s="11">
        <v>0</v>
      </c>
      <c r="P102" s="11">
        <v>0.19500000000000001</v>
      </c>
      <c r="Q102" s="11">
        <v>0</v>
      </c>
      <c r="R102" s="11">
        <v>0</v>
      </c>
      <c r="S102" s="11">
        <v>0</v>
      </c>
      <c r="T102" s="11">
        <v>0</v>
      </c>
      <c r="U102" s="11">
        <v>-0.43</v>
      </c>
      <c r="V102" s="11">
        <v>0</v>
      </c>
      <c r="W102" s="11">
        <v>-0.53</v>
      </c>
      <c r="X102" s="11">
        <v>1.6364765463790999E-3</v>
      </c>
      <c r="Y102" s="11">
        <v>-0.25</v>
      </c>
      <c r="Z102" s="11">
        <v>0.01</v>
      </c>
      <c r="AA102" s="11">
        <v>0.19900000000000001</v>
      </c>
      <c r="AB102" s="11">
        <v>0</v>
      </c>
      <c r="AC102" s="11">
        <v>0.03</v>
      </c>
      <c r="AD102" s="10">
        <v>0.26</v>
      </c>
      <c r="AE102" s="11">
        <v>3.7999999999999999E-2</v>
      </c>
      <c r="AF102" s="11">
        <v>0.19500000000000001</v>
      </c>
      <c r="AG102" s="11">
        <v>0.44</v>
      </c>
      <c r="AH102" s="11">
        <v>3.7999999999999999E-2</v>
      </c>
      <c r="AI102" s="11">
        <v>0.24</v>
      </c>
      <c r="AJ102" s="11">
        <v>0</v>
      </c>
    </row>
    <row r="103" spans="4:36">
      <c r="D103" s="10">
        <v>40118</v>
      </c>
      <c r="E103" s="11">
        <v>4.8563211040607297E-2</v>
      </c>
      <c r="F103" s="11">
        <v>4.3650000000000002</v>
      </c>
      <c r="G103" s="11">
        <v>0.19500000000000001</v>
      </c>
      <c r="H103" s="11">
        <v>-0.13</v>
      </c>
      <c r="I103" s="11">
        <v>5.0000000000000001E-3</v>
      </c>
      <c r="J103" s="11">
        <v>0.19500000000000001</v>
      </c>
      <c r="K103" s="11">
        <v>-7.0000000000000007E-2</v>
      </c>
      <c r="L103" s="11">
        <v>5.0000000000000001E-3</v>
      </c>
      <c r="M103" s="11">
        <v>0.19500000000000001</v>
      </c>
      <c r="N103" s="11">
        <v>-0.24</v>
      </c>
      <c r="O103" s="11">
        <v>0</v>
      </c>
      <c r="P103" s="11">
        <v>0.19500000000000001</v>
      </c>
      <c r="Q103" s="11">
        <v>0</v>
      </c>
      <c r="R103" s="11">
        <v>0</v>
      </c>
      <c r="S103" s="11">
        <v>0</v>
      </c>
      <c r="T103" s="11">
        <v>0</v>
      </c>
      <c r="U103" s="11">
        <v>-0.32</v>
      </c>
      <c r="V103" s="11">
        <v>0</v>
      </c>
      <c r="W103" s="11">
        <v>-0.47</v>
      </c>
      <c r="X103" s="11">
        <v>5.233181338823E-3</v>
      </c>
      <c r="Y103" s="11">
        <v>0.248</v>
      </c>
      <c r="Z103" s="11">
        <v>4.4999999999999998E-2</v>
      </c>
      <c r="AA103" s="11">
        <v>0.19900000000000001</v>
      </c>
      <c r="AB103" s="11">
        <v>0</v>
      </c>
      <c r="AC103" s="11">
        <v>0.03</v>
      </c>
      <c r="AD103" s="10">
        <v>0.25</v>
      </c>
      <c r="AE103" s="11">
        <v>0.04</v>
      </c>
      <c r="AF103" s="11">
        <v>0.19500000000000001</v>
      </c>
      <c r="AG103" s="11">
        <v>0.5</v>
      </c>
      <c r="AH103" s="11">
        <v>0.04</v>
      </c>
      <c r="AI103" s="11">
        <v>0.3</v>
      </c>
      <c r="AJ103" s="11">
        <v>0</v>
      </c>
    </row>
    <row r="104" spans="4:36">
      <c r="D104" s="10">
        <v>40148</v>
      </c>
      <c r="E104" s="11">
        <v>4.8663397316651001E-2</v>
      </c>
      <c r="F104" s="11">
        <v>4.5190000000000001</v>
      </c>
      <c r="G104" s="11">
        <v>0.19500000000000001</v>
      </c>
      <c r="H104" s="11">
        <v>-0.13</v>
      </c>
      <c r="I104" s="11">
        <v>5.0000000000000001E-3</v>
      </c>
      <c r="J104" s="11">
        <v>0.19500000000000001</v>
      </c>
      <c r="K104" s="11">
        <v>-7.0000000000000007E-2</v>
      </c>
      <c r="L104" s="11">
        <v>5.0000000000000001E-3</v>
      </c>
      <c r="M104" s="11">
        <v>0.19500000000000001</v>
      </c>
      <c r="N104" s="11">
        <v>-0.24</v>
      </c>
      <c r="O104" s="11">
        <v>0</v>
      </c>
      <c r="P104" s="11">
        <v>0.19500000000000001</v>
      </c>
      <c r="Q104" s="11">
        <v>0</v>
      </c>
      <c r="R104" s="11">
        <v>0</v>
      </c>
      <c r="S104" s="11">
        <v>0</v>
      </c>
      <c r="T104" s="11">
        <v>0</v>
      </c>
      <c r="U104" s="11">
        <v>-0.32</v>
      </c>
      <c r="V104" s="11">
        <v>0</v>
      </c>
      <c r="W104" s="11">
        <v>-0.47</v>
      </c>
      <c r="X104" s="11">
        <v>5.2296962073484004E-3</v>
      </c>
      <c r="Y104" s="11">
        <v>0.308</v>
      </c>
      <c r="Z104" s="11">
        <v>4.4999999999999998E-2</v>
      </c>
      <c r="AA104" s="11">
        <v>0.19900000000000001</v>
      </c>
      <c r="AB104" s="11">
        <v>0</v>
      </c>
      <c r="AC104" s="11">
        <v>0.03</v>
      </c>
      <c r="AD104" s="10">
        <v>0.25</v>
      </c>
      <c r="AE104" s="11">
        <v>0.04</v>
      </c>
      <c r="AF104" s="11">
        <v>0.19500000000000001</v>
      </c>
      <c r="AG104" s="11">
        <v>0.56999999999999995</v>
      </c>
      <c r="AH104" s="11">
        <v>0.04</v>
      </c>
      <c r="AI104" s="11">
        <v>0.37</v>
      </c>
      <c r="AJ104" s="11">
        <v>0</v>
      </c>
    </row>
    <row r="105" spans="4:36">
      <c r="D105" s="10">
        <v>40179</v>
      </c>
      <c r="E105" s="11">
        <v>4.8766923138751798E-2</v>
      </c>
      <c r="F105" s="11">
        <v>4.5664999999999996</v>
      </c>
      <c r="G105" s="11">
        <v>0.19500000000000001</v>
      </c>
      <c r="H105" s="11">
        <v>-0.13</v>
      </c>
      <c r="I105" s="11">
        <v>5.0000000000000001E-3</v>
      </c>
      <c r="J105" s="11">
        <v>0.19500000000000001</v>
      </c>
      <c r="K105" s="11">
        <v>-7.0000000000000007E-2</v>
      </c>
      <c r="L105" s="11">
        <v>5.0000000000000001E-3</v>
      </c>
      <c r="M105" s="11">
        <v>0.19500000000000001</v>
      </c>
      <c r="N105" s="11">
        <v>-0.24</v>
      </c>
      <c r="O105" s="11">
        <v>0</v>
      </c>
      <c r="P105" s="11">
        <v>0.19500000000000001</v>
      </c>
      <c r="Q105" s="11">
        <v>0</v>
      </c>
      <c r="R105" s="11">
        <v>0</v>
      </c>
      <c r="S105" s="11">
        <v>0</v>
      </c>
      <c r="T105" s="11">
        <v>0</v>
      </c>
      <c r="U105" s="11">
        <v>-0.32</v>
      </c>
      <c r="V105" s="11">
        <v>0</v>
      </c>
      <c r="W105" s="11">
        <v>-0.47</v>
      </c>
      <c r="X105" s="11">
        <v>5.2260373450247E-3</v>
      </c>
      <c r="Y105" s="11">
        <v>0.378</v>
      </c>
      <c r="Z105" s="11">
        <v>4.4999999999999998E-2</v>
      </c>
      <c r="AA105" s="11">
        <v>0.19900000000000001</v>
      </c>
      <c r="AB105" s="11">
        <v>0</v>
      </c>
      <c r="AC105" s="11">
        <v>0.03</v>
      </c>
      <c r="AD105" s="10">
        <v>0.25</v>
      </c>
      <c r="AE105" s="11">
        <v>0.04</v>
      </c>
      <c r="AF105" s="11">
        <v>0.19500000000000001</v>
      </c>
      <c r="AG105" s="11">
        <v>0.56999999999999995</v>
      </c>
      <c r="AH105" s="11">
        <v>0.04</v>
      </c>
      <c r="AI105" s="11">
        <v>0.37</v>
      </c>
      <c r="AJ105" s="11">
        <v>0</v>
      </c>
    </row>
    <row r="106" spans="4:36">
      <c r="D106" s="10">
        <v>40210</v>
      </c>
      <c r="E106" s="11">
        <v>4.8870448964433599E-2</v>
      </c>
      <c r="F106" s="11">
        <v>4.4785000000000004</v>
      </c>
      <c r="G106" s="11">
        <v>0.19</v>
      </c>
      <c r="H106" s="11">
        <v>-0.13</v>
      </c>
      <c r="I106" s="11">
        <v>5.0000000000000001E-3</v>
      </c>
      <c r="J106" s="11">
        <v>0.19</v>
      </c>
      <c r="K106" s="11">
        <v>-7.0000000000000007E-2</v>
      </c>
      <c r="L106" s="11">
        <v>5.0000000000000001E-3</v>
      </c>
      <c r="M106" s="11">
        <v>0.19</v>
      </c>
      <c r="N106" s="11">
        <v>-0.24</v>
      </c>
      <c r="O106" s="11">
        <v>0</v>
      </c>
      <c r="P106" s="11">
        <v>0.19</v>
      </c>
      <c r="Q106" s="11">
        <v>0</v>
      </c>
      <c r="R106" s="11">
        <v>0</v>
      </c>
      <c r="S106" s="11">
        <v>0</v>
      </c>
      <c r="T106" s="11">
        <v>0</v>
      </c>
      <c r="U106" s="11">
        <v>-0.32</v>
      </c>
      <c r="V106" s="11">
        <v>0</v>
      </c>
      <c r="W106" s="11">
        <v>-0.47</v>
      </c>
      <c r="X106" s="11">
        <v>5.2223201165006996E-3</v>
      </c>
      <c r="Y106" s="11">
        <v>0.248</v>
      </c>
      <c r="Z106" s="11">
        <v>4.4999999999999998E-2</v>
      </c>
      <c r="AA106" s="11">
        <v>0.19400000000000001</v>
      </c>
      <c r="AB106" s="11">
        <v>0</v>
      </c>
      <c r="AC106" s="11">
        <v>0.03</v>
      </c>
      <c r="AD106" s="10">
        <v>0.25</v>
      </c>
      <c r="AE106" s="11">
        <v>0.04</v>
      </c>
      <c r="AF106" s="11">
        <v>0.19</v>
      </c>
      <c r="AG106" s="11">
        <v>0.56999999999999995</v>
      </c>
      <c r="AH106" s="11">
        <v>0.04</v>
      </c>
      <c r="AI106" s="11">
        <v>0.37</v>
      </c>
      <c r="AJ106" s="11">
        <v>0</v>
      </c>
    </row>
    <row r="107" spans="4:36">
      <c r="D107" s="10">
        <v>40238</v>
      </c>
      <c r="E107" s="11">
        <v>4.8963956164901103E-2</v>
      </c>
      <c r="F107" s="11">
        <v>4.3395000000000001</v>
      </c>
      <c r="G107" s="11">
        <v>0.1875</v>
      </c>
      <c r="H107" s="11">
        <v>-0.13</v>
      </c>
      <c r="I107" s="11">
        <v>5.0000000000000001E-3</v>
      </c>
      <c r="J107" s="11">
        <v>0.188</v>
      </c>
      <c r="K107" s="11">
        <v>-7.0000000000000007E-2</v>
      </c>
      <c r="L107" s="11">
        <v>5.0000000000000001E-3</v>
      </c>
      <c r="M107" s="11">
        <v>0.188</v>
      </c>
      <c r="N107" s="11">
        <v>-0.24</v>
      </c>
      <c r="O107" s="11">
        <v>0</v>
      </c>
      <c r="P107" s="11">
        <v>0.188</v>
      </c>
      <c r="Q107" s="11">
        <v>0</v>
      </c>
      <c r="R107" s="11">
        <v>0</v>
      </c>
      <c r="S107" s="11">
        <v>0</v>
      </c>
      <c r="T107" s="11">
        <v>0</v>
      </c>
      <c r="U107" s="11">
        <v>-0.32</v>
      </c>
      <c r="V107" s="11">
        <v>0</v>
      </c>
      <c r="W107" s="11">
        <v>-0.47</v>
      </c>
      <c r="X107" s="11">
        <v>5.2189125696814999E-3</v>
      </c>
      <c r="Y107" s="11">
        <v>6.8000000000000005E-2</v>
      </c>
      <c r="Z107" s="11">
        <v>4.4999999999999998E-2</v>
      </c>
      <c r="AA107" s="11">
        <v>0.191</v>
      </c>
      <c r="AB107" s="11">
        <v>0</v>
      </c>
      <c r="AC107" s="11">
        <v>0.03</v>
      </c>
      <c r="AD107" s="10">
        <v>0.25</v>
      </c>
      <c r="AE107" s="11">
        <v>0.04</v>
      </c>
      <c r="AF107" s="11">
        <v>0.188</v>
      </c>
      <c r="AG107" s="11">
        <v>0.56999999999999995</v>
      </c>
      <c r="AH107" s="11">
        <v>0.04</v>
      </c>
      <c r="AI107" s="11">
        <v>0.37</v>
      </c>
      <c r="AJ107" s="11">
        <v>0</v>
      </c>
    </row>
    <row r="108" spans="4:36">
      <c r="D108" s="10">
        <v>40269</v>
      </c>
      <c r="E108" s="11">
        <v>4.9067481997397099E-2</v>
      </c>
      <c r="F108" s="11">
        <v>4.1855000000000002</v>
      </c>
      <c r="G108" s="11">
        <v>0.185</v>
      </c>
      <c r="H108" s="11">
        <v>-0.2</v>
      </c>
      <c r="I108" s="11">
        <v>2.5000000000000001E-3</v>
      </c>
      <c r="J108" s="11">
        <v>0.185</v>
      </c>
      <c r="K108" s="11">
        <v>-7.0000000000000007E-2</v>
      </c>
      <c r="L108" s="11">
        <v>5.0000000000000001E-3</v>
      </c>
      <c r="M108" s="11">
        <v>0.185</v>
      </c>
      <c r="N108" s="11">
        <v>-0.32</v>
      </c>
      <c r="O108" s="11">
        <v>0</v>
      </c>
      <c r="P108" s="11">
        <v>0.185</v>
      </c>
      <c r="Q108" s="11">
        <v>0</v>
      </c>
      <c r="R108" s="11">
        <v>0</v>
      </c>
      <c r="S108" s="11">
        <v>0</v>
      </c>
      <c r="T108" s="11">
        <v>0</v>
      </c>
      <c r="U108" s="11">
        <v>-0.4</v>
      </c>
      <c r="V108" s="11">
        <v>0</v>
      </c>
      <c r="W108" s="11">
        <v>-0.59499999999999997</v>
      </c>
      <c r="X108" s="11">
        <v>1.6297139522212999E-3</v>
      </c>
      <c r="Y108" s="11">
        <v>-0.25</v>
      </c>
      <c r="Z108" s="11">
        <v>0.01</v>
      </c>
      <c r="AA108" s="11">
        <v>0.189</v>
      </c>
      <c r="AB108" s="11">
        <v>0</v>
      </c>
      <c r="AC108" s="11">
        <v>0.03</v>
      </c>
      <c r="AD108" s="10">
        <v>0.26</v>
      </c>
      <c r="AE108" s="11">
        <v>0.04</v>
      </c>
      <c r="AF108" s="11">
        <v>0.185</v>
      </c>
      <c r="AG108" s="11">
        <v>0.44</v>
      </c>
      <c r="AH108" s="11">
        <v>0.04</v>
      </c>
      <c r="AI108" s="11">
        <v>0.24</v>
      </c>
      <c r="AJ108" s="11">
        <v>0</v>
      </c>
    </row>
    <row r="109" spans="4:36">
      <c r="D109" s="10">
        <v>40299</v>
      </c>
      <c r="E109" s="11">
        <v>4.9167668290317899E-2</v>
      </c>
      <c r="F109" s="11">
        <v>4.1894999999999998</v>
      </c>
      <c r="G109" s="11">
        <v>0.185</v>
      </c>
      <c r="H109" s="11">
        <v>-0.2</v>
      </c>
      <c r="I109" s="11">
        <v>2.5000000000000001E-3</v>
      </c>
      <c r="J109" s="11">
        <v>0.185</v>
      </c>
      <c r="K109" s="11">
        <v>-7.0000000000000007E-2</v>
      </c>
      <c r="L109" s="11">
        <v>5.0000000000000001E-3</v>
      </c>
      <c r="M109" s="11">
        <v>0.185</v>
      </c>
      <c r="N109" s="11">
        <v>-0.32</v>
      </c>
      <c r="O109" s="11">
        <v>0</v>
      </c>
      <c r="P109" s="11">
        <v>0.185</v>
      </c>
      <c r="Q109" s="11">
        <v>0</v>
      </c>
      <c r="R109" s="11">
        <v>0</v>
      </c>
      <c r="S109" s="11">
        <v>0</v>
      </c>
      <c r="T109" s="11">
        <v>0</v>
      </c>
      <c r="U109" s="11">
        <v>-0.4</v>
      </c>
      <c r="V109" s="11">
        <v>0</v>
      </c>
      <c r="W109" s="11">
        <v>-0.59499999999999997</v>
      </c>
      <c r="X109" s="11">
        <v>1.6285390705198001E-3</v>
      </c>
      <c r="Y109" s="11">
        <v>-0.25</v>
      </c>
      <c r="Z109" s="11">
        <v>0.01</v>
      </c>
      <c r="AA109" s="11">
        <v>0.189</v>
      </c>
      <c r="AB109" s="11">
        <v>0</v>
      </c>
      <c r="AC109" s="11">
        <v>0.03</v>
      </c>
      <c r="AD109" s="10">
        <v>0.26</v>
      </c>
      <c r="AE109" s="11">
        <v>0.04</v>
      </c>
      <c r="AF109" s="11">
        <v>0.185</v>
      </c>
      <c r="AG109" s="11">
        <v>0.44</v>
      </c>
      <c r="AH109" s="11">
        <v>0.04</v>
      </c>
      <c r="AI109" s="11">
        <v>0.24</v>
      </c>
      <c r="AJ109" s="11">
        <v>0</v>
      </c>
    </row>
    <row r="110" spans="4:36">
      <c r="D110" s="10">
        <v>40330</v>
      </c>
      <c r="E110" s="11">
        <v>4.9271194129858503E-2</v>
      </c>
      <c r="F110" s="11">
        <v>4.2294999999999998</v>
      </c>
      <c r="G110" s="11">
        <v>0.185</v>
      </c>
      <c r="H110" s="11">
        <v>-0.2</v>
      </c>
      <c r="I110" s="11">
        <v>2.5000000000000001E-3</v>
      </c>
      <c r="J110" s="11">
        <v>0.185</v>
      </c>
      <c r="K110" s="11">
        <v>-7.0000000000000007E-2</v>
      </c>
      <c r="L110" s="11">
        <v>5.0000000000000001E-3</v>
      </c>
      <c r="M110" s="11">
        <v>0.185</v>
      </c>
      <c r="N110" s="11">
        <v>-0.32</v>
      </c>
      <c r="O110" s="11">
        <v>0</v>
      </c>
      <c r="P110" s="11">
        <v>0.185</v>
      </c>
      <c r="Q110" s="11">
        <v>0</v>
      </c>
      <c r="R110" s="11">
        <v>0</v>
      </c>
      <c r="S110" s="11">
        <v>0</v>
      </c>
      <c r="T110" s="11">
        <v>0</v>
      </c>
      <c r="U110" s="11">
        <v>-0.4</v>
      </c>
      <c r="V110" s="11">
        <v>0</v>
      </c>
      <c r="W110" s="11">
        <v>-0.59499999999999997</v>
      </c>
      <c r="X110" s="11">
        <v>1.6273072519022E-3</v>
      </c>
      <c r="Y110" s="11">
        <v>-0.25</v>
      </c>
      <c r="Z110" s="11">
        <v>0.01</v>
      </c>
      <c r="AA110" s="11">
        <v>0.189</v>
      </c>
      <c r="AB110" s="11">
        <v>0</v>
      </c>
      <c r="AC110" s="11">
        <v>0.03</v>
      </c>
      <c r="AD110" s="10">
        <v>0.26</v>
      </c>
      <c r="AE110" s="11">
        <v>0.04</v>
      </c>
      <c r="AF110" s="11">
        <v>0.185</v>
      </c>
      <c r="AG110" s="11">
        <v>0.44</v>
      </c>
      <c r="AH110" s="11">
        <v>0.04</v>
      </c>
      <c r="AI110" s="11">
        <v>0.24</v>
      </c>
      <c r="AJ110" s="11">
        <v>0</v>
      </c>
    </row>
    <row r="111" spans="4:36">
      <c r="D111" s="10">
        <v>40360</v>
      </c>
      <c r="E111" s="11">
        <v>4.9371380429596101E-2</v>
      </c>
      <c r="F111" s="11">
        <v>4.2744999999999997</v>
      </c>
      <c r="G111" s="11">
        <v>0.185</v>
      </c>
      <c r="H111" s="11">
        <v>-0.2</v>
      </c>
      <c r="I111" s="11">
        <v>2.5000000000000001E-3</v>
      </c>
      <c r="J111" s="11">
        <v>0.185</v>
      </c>
      <c r="K111" s="11">
        <v>-7.0000000000000007E-2</v>
      </c>
      <c r="L111" s="11">
        <v>5.0000000000000001E-3</v>
      </c>
      <c r="M111" s="11">
        <v>0.185</v>
      </c>
      <c r="N111" s="11">
        <v>-0.32</v>
      </c>
      <c r="O111" s="11">
        <v>0</v>
      </c>
      <c r="P111" s="11">
        <v>0.185</v>
      </c>
      <c r="Q111" s="11">
        <v>0</v>
      </c>
      <c r="R111" s="11">
        <v>0</v>
      </c>
      <c r="S111" s="11">
        <v>0</v>
      </c>
      <c r="T111" s="11">
        <v>0</v>
      </c>
      <c r="U111" s="11">
        <v>-0.4</v>
      </c>
      <c r="V111" s="11">
        <v>0</v>
      </c>
      <c r="W111" s="11">
        <v>-0.59499999999999997</v>
      </c>
      <c r="X111" s="11">
        <v>1.6260980116038E-3</v>
      </c>
      <c r="Y111" s="11">
        <v>-0.25</v>
      </c>
      <c r="Z111" s="11">
        <v>0.01</v>
      </c>
      <c r="AA111" s="11">
        <v>0.189</v>
      </c>
      <c r="AB111" s="11">
        <v>0</v>
      </c>
      <c r="AC111" s="11">
        <v>0.03</v>
      </c>
      <c r="AD111" s="10">
        <v>0.26</v>
      </c>
      <c r="AE111" s="11">
        <v>0.04</v>
      </c>
      <c r="AF111" s="11">
        <v>0.185</v>
      </c>
      <c r="AG111" s="11">
        <v>0.44</v>
      </c>
      <c r="AH111" s="11">
        <v>0.04</v>
      </c>
      <c r="AI111" s="11">
        <v>0.24</v>
      </c>
      <c r="AJ111" s="11">
        <v>0</v>
      </c>
    </row>
    <row r="112" spans="4:36">
      <c r="D112" s="10">
        <v>40391</v>
      </c>
      <c r="E112" s="11">
        <v>4.94749062761803E-2</v>
      </c>
      <c r="F112" s="11">
        <v>4.3135000000000003</v>
      </c>
      <c r="G112" s="11">
        <v>0.185</v>
      </c>
      <c r="H112" s="11">
        <v>-0.2</v>
      </c>
      <c r="I112" s="11">
        <v>2.5000000000000001E-3</v>
      </c>
      <c r="J112" s="11">
        <v>0.185</v>
      </c>
      <c r="K112" s="11">
        <v>-7.0000000000000007E-2</v>
      </c>
      <c r="L112" s="11">
        <v>5.0000000000000001E-3</v>
      </c>
      <c r="M112" s="11">
        <v>0.185</v>
      </c>
      <c r="N112" s="11">
        <v>-0.32</v>
      </c>
      <c r="O112" s="11">
        <v>0</v>
      </c>
      <c r="P112" s="11">
        <v>0.185</v>
      </c>
      <c r="Q112" s="11">
        <v>0</v>
      </c>
      <c r="R112" s="11">
        <v>0</v>
      </c>
      <c r="S112" s="11">
        <v>0</v>
      </c>
      <c r="T112" s="11">
        <v>0</v>
      </c>
      <c r="U112" s="11">
        <v>-0.4</v>
      </c>
      <c r="V112" s="11">
        <v>0</v>
      </c>
      <c r="W112" s="11">
        <v>-0.59499999999999997</v>
      </c>
      <c r="X112" s="11">
        <v>1.6248307791552001E-3</v>
      </c>
      <c r="Y112" s="11">
        <v>-0.25</v>
      </c>
      <c r="Z112" s="11">
        <v>0.01</v>
      </c>
      <c r="AA112" s="11">
        <v>0.189</v>
      </c>
      <c r="AB112" s="11">
        <v>0</v>
      </c>
      <c r="AC112" s="11">
        <v>0.03</v>
      </c>
      <c r="AD112" s="10">
        <v>0.26</v>
      </c>
      <c r="AE112" s="11">
        <v>0.04</v>
      </c>
      <c r="AF112" s="11">
        <v>0.185</v>
      </c>
      <c r="AG112" s="11">
        <v>0.44</v>
      </c>
      <c r="AH112" s="11">
        <v>0.04</v>
      </c>
      <c r="AI112" s="11">
        <v>0.24</v>
      </c>
      <c r="AJ112" s="11">
        <v>0</v>
      </c>
    </row>
    <row r="113" spans="4:36">
      <c r="D113" s="10">
        <v>40422</v>
      </c>
      <c r="E113" s="11">
        <v>4.9578432126343899E-2</v>
      </c>
      <c r="F113" s="11">
        <v>4.3075000000000001</v>
      </c>
      <c r="G113" s="11">
        <v>0.185</v>
      </c>
      <c r="H113" s="11">
        <v>-0.2</v>
      </c>
      <c r="I113" s="11">
        <v>2.5000000000000001E-3</v>
      </c>
      <c r="J113" s="11">
        <v>0.185</v>
      </c>
      <c r="K113" s="11">
        <v>-7.0000000000000007E-2</v>
      </c>
      <c r="L113" s="11">
        <v>5.0000000000000001E-3</v>
      </c>
      <c r="M113" s="11">
        <v>0.185</v>
      </c>
      <c r="N113" s="11">
        <v>-0.32</v>
      </c>
      <c r="O113" s="11">
        <v>0</v>
      </c>
      <c r="P113" s="11">
        <v>0.185</v>
      </c>
      <c r="Q113" s="11">
        <v>0</v>
      </c>
      <c r="R113" s="11">
        <v>0</v>
      </c>
      <c r="S113" s="11">
        <v>0</v>
      </c>
      <c r="T113" s="11">
        <v>0</v>
      </c>
      <c r="U113" s="11">
        <v>-0.4</v>
      </c>
      <c r="V113" s="11">
        <v>0</v>
      </c>
      <c r="W113" s="11">
        <v>-0.59499999999999997</v>
      </c>
      <c r="X113" s="11">
        <v>1.623545619531E-3</v>
      </c>
      <c r="Y113" s="11">
        <v>-0.25</v>
      </c>
      <c r="Z113" s="11">
        <v>0.01</v>
      </c>
      <c r="AA113" s="11">
        <v>0.189</v>
      </c>
      <c r="AB113" s="11">
        <v>0</v>
      </c>
      <c r="AC113" s="11">
        <v>0.03</v>
      </c>
      <c r="AD113" s="10">
        <v>0.26</v>
      </c>
      <c r="AE113" s="11">
        <v>0.04</v>
      </c>
      <c r="AF113" s="11">
        <v>0.185</v>
      </c>
      <c r="AG113" s="11">
        <v>0.44</v>
      </c>
      <c r="AH113" s="11">
        <v>0.04</v>
      </c>
      <c r="AI113" s="11">
        <v>0.24</v>
      </c>
      <c r="AJ113" s="11">
        <v>0</v>
      </c>
    </row>
    <row r="114" spans="4:36">
      <c r="D114" s="10">
        <v>40452</v>
      </c>
      <c r="E114" s="11">
        <v>4.9678618436361802E-2</v>
      </c>
      <c r="F114" s="11">
        <v>4.3174999999999999</v>
      </c>
      <c r="G114" s="11">
        <v>0.185</v>
      </c>
      <c r="H114" s="11">
        <v>-0.2</v>
      </c>
      <c r="I114" s="11">
        <v>2.5000000000000001E-3</v>
      </c>
      <c r="J114" s="11">
        <v>0.185</v>
      </c>
      <c r="K114" s="11">
        <v>-7.0000000000000007E-2</v>
      </c>
      <c r="L114" s="11">
        <v>5.0000000000000001E-3</v>
      </c>
      <c r="M114" s="11">
        <v>0.185</v>
      </c>
      <c r="N114" s="11">
        <v>-0.32</v>
      </c>
      <c r="O114" s="11">
        <v>0</v>
      </c>
      <c r="P114" s="11">
        <v>0.185</v>
      </c>
      <c r="Q114" s="11">
        <v>0</v>
      </c>
      <c r="R114" s="11">
        <v>0</v>
      </c>
      <c r="S114" s="11">
        <v>0</v>
      </c>
      <c r="T114" s="11">
        <v>0</v>
      </c>
      <c r="U114" s="11">
        <v>-0.4</v>
      </c>
      <c r="V114" s="11">
        <v>0</v>
      </c>
      <c r="W114" s="11">
        <v>-0.59499999999999997</v>
      </c>
      <c r="X114" s="11">
        <v>1.6222848927714001E-3</v>
      </c>
      <c r="Y114" s="11">
        <v>-0.25</v>
      </c>
      <c r="Z114" s="11">
        <v>0.01</v>
      </c>
      <c r="AA114" s="11">
        <v>0.189</v>
      </c>
      <c r="AB114" s="11">
        <v>0</v>
      </c>
      <c r="AC114" s="11">
        <v>0.03</v>
      </c>
      <c r="AD114" s="10">
        <v>0.26</v>
      </c>
      <c r="AE114" s="11">
        <v>0.04</v>
      </c>
      <c r="AF114" s="11">
        <v>0.185</v>
      </c>
      <c r="AG114" s="11">
        <v>0.44</v>
      </c>
      <c r="AH114" s="11">
        <v>0.04</v>
      </c>
      <c r="AI114" s="11">
        <v>0.24</v>
      </c>
      <c r="AJ114" s="11">
        <v>0</v>
      </c>
    </row>
    <row r="115" spans="4:36">
      <c r="D115" s="10">
        <v>40483</v>
      </c>
      <c r="E115" s="11">
        <v>4.9782144293567802E-2</v>
      </c>
      <c r="F115" s="11">
        <v>4.4775</v>
      </c>
      <c r="G115" s="11">
        <v>0.185</v>
      </c>
      <c r="H115" s="11">
        <v>-0.13</v>
      </c>
      <c r="I115" s="11">
        <v>5.0000000000000001E-3</v>
      </c>
      <c r="J115" s="11">
        <v>0.185</v>
      </c>
      <c r="K115" s="11">
        <v>-7.0000000000000007E-2</v>
      </c>
      <c r="L115" s="11">
        <v>5.0000000000000001E-3</v>
      </c>
      <c r="M115" s="11">
        <v>0.185</v>
      </c>
      <c r="N115" s="11">
        <v>-0.24</v>
      </c>
      <c r="O115" s="11">
        <v>0</v>
      </c>
      <c r="P115" s="11">
        <v>0.185</v>
      </c>
      <c r="Q115" s="11">
        <v>0</v>
      </c>
      <c r="R115" s="11">
        <v>0</v>
      </c>
      <c r="S115" s="11">
        <v>0</v>
      </c>
      <c r="T115" s="11">
        <v>0</v>
      </c>
      <c r="U115" s="11">
        <v>-0.32</v>
      </c>
      <c r="V115" s="11">
        <v>0</v>
      </c>
      <c r="W115" s="11">
        <v>-0.56499999999999995</v>
      </c>
      <c r="X115" s="11">
        <v>5.1870867124761003E-3</v>
      </c>
      <c r="Y115" s="11">
        <v>0.248</v>
      </c>
      <c r="Z115" s="11">
        <v>4.4999999999999998E-2</v>
      </c>
      <c r="AA115" s="11">
        <v>0.189</v>
      </c>
      <c r="AB115" s="11">
        <v>0</v>
      </c>
      <c r="AC115" s="11">
        <v>0.03</v>
      </c>
      <c r="AD115" s="10">
        <v>0.35</v>
      </c>
      <c r="AE115" s="11">
        <v>4.2000000000000003E-2</v>
      </c>
      <c r="AF115" s="11">
        <v>0.185</v>
      </c>
      <c r="AG115" s="11">
        <v>0.5</v>
      </c>
      <c r="AH115" s="11">
        <v>4.2000000000000003E-2</v>
      </c>
      <c r="AI115" s="11">
        <v>0.3</v>
      </c>
      <c r="AJ115" s="11">
        <v>0</v>
      </c>
    </row>
    <row r="116" spans="4:36">
      <c r="D116" s="10">
        <v>40513</v>
      </c>
      <c r="E116" s="11">
        <v>4.9882330610401003E-2</v>
      </c>
      <c r="F116" s="11">
        <v>4.6315</v>
      </c>
      <c r="G116" s="11">
        <v>0.185</v>
      </c>
      <c r="H116" s="11">
        <v>-0.13</v>
      </c>
      <c r="I116" s="11">
        <v>5.0000000000000001E-3</v>
      </c>
      <c r="J116" s="11">
        <v>0.185</v>
      </c>
      <c r="K116" s="11">
        <v>-7.0000000000000007E-2</v>
      </c>
      <c r="L116" s="11">
        <v>5.0000000000000001E-3</v>
      </c>
      <c r="M116" s="11">
        <v>0.185</v>
      </c>
      <c r="N116" s="11">
        <v>-0.24</v>
      </c>
      <c r="O116" s="11">
        <v>0</v>
      </c>
      <c r="P116" s="11">
        <v>0.185</v>
      </c>
      <c r="Q116" s="11">
        <v>0</v>
      </c>
      <c r="R116" s="11">
        <v>0</v>
      </c>
      <c r="S116" s="11">
        <v>0</v>
      </c>
      <c r="T116" s="11">
        <v>0</v>
      </c>
      <c r="U116" s="11">
        <v>-0.32</v>
      </c>
      <c r="V116" s="11">
        <v>0</v>
      </c>
      <c r="W116" s="11">
        <v>-0.56499999999999995</v>
      </c>
      <c r="X116" s="11">
        <v>5.1829438727107003E-3</v>
      </c>
      <c r="Y116" s="11">
        <v>0.308</v>
      </c>
      <c r="Z116" s="11">
        <v>4.4999999999999998E-2</v>
      </c>
      <c r="AA116" s="11">
        <v>0.189</v>
      </c>
      <c r="AB116" s="11">
        <v>0</v>
      </c>
      <c r="AC116" s="11">
        <v>0.03</v>
      </c>
      <c r="AD116" s="10">
        <v>0.35</v>
      </c>
      <c r="AE116" s="11">
        <v>4.2000000000000003E-2</v>
      </c>
      <c r="AF116" s="11">
        <v>0.185</v>
      </c>
      <c r="AG116" s="11">
        <v>0.56999999999999995</v>
      </c>
      <c r="AH116" s="11">
        <v>4.2000000000000003E-2</v>
      </c>
      <c r="AI116" s="11">
        <v>0.37</v>
      </c>
      <c r="AJ116" s="11">
        <v>0</v>
      </c>
    </row>
    <row r="117" spans="4:36">
      <c r="D117" s="10">
        <v>40544</v>
      </c>
      <c r="E117" s="11">
        <v>4.9985856474648899E-2</v>
      </c>
      <c r="F117" s="11">
        <v>4.6814999999999998</v>
      </c>
      <c r="G117" s="11">
        <v>0.185</v>
      </c>
      <c r="H117" s="11">
        <v>-0.13</v>
      </c>
      <c r="I117" s="11">
        <v>5.0000000000000001E-3</v>
      </c>
      <c r="J117" s="11">
        <v>0.185</v>
      </c>
      <c r="K117" s="11">
        <v>-7.0000000000000007E-2</v>
      </c>
      <c r="L117" s="11">
        <v>5.0000000000000001E-3</v>
      </c>
      <c r="M117" s="11">
        <v>0.185</v>
      </c>
      <c r="N117" s="11">
        <v>-0.24</v>
      </c>
      <c r="O117" s="11">
        <v>0</v>
      </c>
      <c r="P117" s="11">
        <v>0.185</v>
      </c>
      <c r="Q117" s="11">
        <v>0</v>
      </c>
      <c r="R117" s="11">
        <v>0</v>
      </c>
      <c r="S117" s="11">
        <v>0</v>
      </c>
      <c r="T117" s="11">
        <v>0</v>
      </c>
      <c r="U117" s="11">
        <v>-0.32</v>
      </c>
      <c r="V117" s="11">
        <v>0</v>
      </c>
      <c r="W117" s="11">
        <v>-0.56499999999999995</v>
      </c>
      <c r="X117" s="11">
        <v>5.1786071028720997E-3</v>
      </c>
      <c r="Y117" s="11">
        <v>0.378</v>
      </c>
      <c r="Z117" s="11">
        <v>4.4999999999999998E-2</v>
      </c>
      <c r="AA117" s="11">
        <v>0.189</v>
      </c>
      <c r="AB117" s="11">
        <v>0</v>
      </c>
      <c r="AC117" s="11">
        <v>0.03</v>
      </c>
      <c r="AD117" s="10">
        <v>0.35</v>
      </c>
      <c r="AE117" s="11">
        <v>4.2000000000000003E-2</v>
      </c>
      <c r="AF117" s="11">
        <v>0.185</v>
      </c>
      <c r="AG117" s="11">
        <v>0.56999999999999995</v>
      </c>
      <c r="AH117" s="11">
        <v>4.2000000000000003E-2</v>
      </c>
      <c r="AI117" s="11">
        <v>0.37</v>
      </c>
      <c r="AJ117" s="11">
        <v>0</v>
      </c>
    </row>
    <row r="118" spans="4:36">
      <c r="D118" s="10">
        <v>40575</v>
      </c>
      <c r="E118" s="11">
        <v>5.0089382342475702E-2</v>
      </c>
      <c r="F118" s="11">
        <v>4.5934999999999997</v>
      </c>
      <c r="G118" s="11">
        <v>0.185</v>
      </c>
      <c r="H118" s="11">
        <v>-0.13</v>
      </c>
      <c r="I118" s="11">
        <v>5.0000000000000001E-3</v>
      </c>
      <c r="J118" s="11">
        <v>0.185</v>
      </c>
      <c r="K118" s="11">
        <v>-7.0000000000000007E-2</v>
      </c>
      <c r="L118" s="11">
        <v>5.0000000000000001E-3</v>
      </c>
      <c r="M118" s="11">
        <v>0.185</v>
      </c>
      <c r="N118" s="11">
        <v>-0.24</v>
      </c>
      <c r="O118" s="11">
        <v>0</v>
      </c>
      <c r="P118" s="11">
        <v>0.185</v>
      </c>
      <c r="Q118" s="11">
        <v>0</v>
      </c>
      <c r="R118" s="11">
        <v>0</v>
      </c>
      <c r="S118" s="11">
        <v>0</v>
      </c>
      <c r="T118" s="11">
        <v>0</v>
      </c>
      <c r="U118" s="11">
        <v>-0.32</v>
      </c>
      <c r="V118" s="11">
        <v>0</v>
      </c>
      <c r="W118" s="11">
        <v>-0.56499999999999995</v>
      </c>
      <c r="X118" s="11">
        <v>5.1742137412178002E-3</v>
      </c>
      <c r="Y118" s="11">
        <v>0.248</v>
      </c>
      <c r="Z118" s="11">
        <v>4.4999999999999998E-2</v>
      </c>
      <c r="AA118" s="11">
        <v>0.189</v>
      </c>
      <c r="AB118" s="11">
        <v>0</v>
      </c>
      <c r="AC118" s="11">
        <v>0.03</v>
      </c>
      <c r="AD118" s="10">
        <v>0.35</v>
      </c>
      <c r="AE118" s="11">
        <v>4.2000000000000003E-2</v>
      </c>
      <c r="AF118" s="11">
        <v>0.185</v>
      </c>
      <c r="AG118" s="11">
        <v>0.56999999999999995</v>
      </c>
      <c r="AH118" s="11">
        <v>4.2000000000000003E-2</v>
      </c>
      <c r="AI118" s="11">
        <v>0.37</v>
      </c>
      <c r="AJ118" s="11">
        <v>0</v>
      </c>
    </row>
    <row r="119" spans="4:36">
      <c r="D119" s="10">
        <v>40603</v>
      </c>
      <c r="E119" s="11">
        <v>5.0182889581007903E-2</v>
      </c>
      <c r="F119" s="11">
        <v>4.4545000000000003</v>
      </c>
      <c r="G119" s="11">
        <v>0.18</v>
      </c>
      <c r="H119" s="11">
        <v>-0.13</v>
      </c>
      <c r="I119" s="11">
        <v>5.0000000000000001E-3</v>
      </c>
      <c r="J119" s="11">
        <v>0.18</v>
      </c>
      <c r="K119" s="11">
        <v>-7.0000000000000007E-2</v>
      </c>
      <c r="L119" s="11">
        <v>5.0000000000000001E-3</v>
      </c>
      <c r="M119" s="11">
        <v>0.18</v>
      </c>
      <c r="N119" s="11">
        <v>-0.24</v>
      </c>
      <c r="O119" s="11">
        <v>0</v>
      </c>
      <c r="P119" s="11">
        <v>0.18</v>
      </c>
      <c r="Q119" s="11">
        <v>0</v>
      </c>
      <c r="R119" s="11">
        <v>0</v>
      </c>
      <c r="S119" s="11">
        <v>0</v>
      </c>
      <c r="T119" s="11">
        <v>0</v>
      </c>
      <c r="U119" s="11">
        <v>-0.32</v>
      </c>
      <c r="V119" s="11">
        <v>0</v>
      </c>
      <c r="W119" s="11">
        <v>-0.56499999999999995</v>
      </c>
      <c r="X119" s="11">
        <v>5.1701970368120999E-3</v>
      </c>
      <c r="Y119" s="11">
        <v>6.8000000000000005E-2</v>
      </c>
      <c r="Z119" s="11">
        <v>4.4999999999999998E-2</v>
      </c>
      <c r="AA119" s="11">
        <v>0.184</v>
      </c>
      <c r="AB119" s="11">
        <v>0</v>
      </c>
      <c r="AC119" s="11">
        <v>0.03</v>
      </c>
      <c r="AD119" s="10">
        <v>0.35</v>
      </c>
      <c r="AE119" s="11">
        <v>4.2000000000000003E-2</v>
      </c>
      <c r="AF119" s="11">
        <v>0.18</v>
      </c>
      <c r="AG119" s="11">
        <v>0.56999999999999995</v>
      </c>
      <c r="AH119" s="11">
        <v>4.2000000000000003E-2</v>
      </c>
      <c r="AI119" s="11">
        <v>0.37</v>
      </c>
      <c r="AJ119" s="11">
        <v>0</v>
      </c>
    </row>
    <row r="120" spans="4:36">
      <c r="D120" s="10">
        <v>40634</v>
      </c>
      <c r="E120" s="11">
        <v>5.0286415455644801E-2</v>
      </c>
      <c r="F120" s="11">
        <v>4.3005000000000004</v>
      </c>
      <c r="G120" s="11">
        <v>0.18</v>
      </c>
      <c r="H120" s="11">
        <v>-0.2</v>
      </c>
      <c r="I120" s="11">
        <v>2.5000000000000001E-3</v>
      </c>
      <c r="J120" s="11">
        <v>0.18</v>
      </c>
      <c r="K120" s="11">
        <v>-7.0000000000000007E-2</v>
      </c>
      <c r="L120" s="11">
        <v>5.0000000000000001E-3</v>
      </c>
      <c r="M120" s="11">
        <v>0.18</v>
      </c>
      <c r="N120" s="11">
        <v>-0.32</v>
      </c>
      <c r="O120" s="11">
        <v>0</v>
      </c>
      <c r="P120" s="11">
        <v>0.18</v>
      </c>
      <c r="Q120" s="11">
        <v>0</v>
      </c>
      <c r="R120" s="11">
        <v>0</v>
      </c>
      <c r="S120" s="11">
        <v>0</v>
      </c>
      <c r="T120" s="11">
        <v>0</v>
      </c>
      <c r="U120" s="11">
        <v>-0.4</v>
      </c>
      <c r="V120" s="11">
        <v>0</v>
      </c>
      <c r="W120" s="11">
        <v>-0.56499999999999995</v>
      </c>
      <c r="X120" s="11">
        <v>1.6142801307687999E-3</v>
      </c>
      <c r="Y120" s="11">
        <v>-0.25</v>
      </c>
      <c r="Z120" s="11">
        <v>0.01</v>
      </c>
      <c r="AA120" s="11">
        <v>0.184</v>
      </c>
      <c r="AB120" s="11">
        <v>0</v>
      </c>
      <c r="AC120" s="11">
        <v>0.03</v>
      </c>
      <c r="AD120" s="10">
        <v>0.43</v>
      </c>
      <c r="AE120" s="11">
        <v>4.2000000000000003E-2</v>
      </c>
      <c r="AF120" s="11">
        <v>0.18</v>
      </c>
      <c r="AG120" s="11">
        <v>0.44</v>
      </c>
      <c r="AH120" s="11">
        <v>4.2000000000000003E-2</v>
      </c>
      <c r="AI120" s="11">
        <v>0.24</v>
      </c>
      <c r="AJ120" s="11">
        <v>0</v>
      </c>
    </row>
    <row r="121" spans="4:36">
      <c r="D121" s="10">
        <v>40664</v>
      </c>
      <c r="E121" s="11">
        <v>5.0386601789345099E-2</v>
      </c>
      <c r="F121" s="11">
        <v>4.3045</v>
      </c>
      <c r="G121" s="11">
        <v>0.18</v>
      </c>
      <c r="H121" s="11">
        <v>-0.2</v>
      </c>
      <c r="I121" s="11">
        <v>2.5000000000000001E-3</v>
      </c>
      <c r="J121" s="11">
        <v>0.18</v>
      </c>
      <c r="K121" s="11">
        <v>-7.0000000000000007E-2</v>
      </c>
      <c r="L121" s="11">
        <v>5.0000000000000001E-3</v>
      </c>
      <c r="M121" s="11">
        <v>0.18</v>
      </c>
      <c r="N121" s="11">
        <v>-0.32</v>
      </c>
      <c r="O121" s="11">
        <v>0</v>
      </c>
      <c r="P121" s="11">
        <v>0.18</v>
      </c>
      <c r="Q121" s="11">
        <v>0</v>
      </c>
      <c r="R121" s="11">
        <v>0</v>
      </c>
      <c r="S121" s="11">
        <v>0</v>
      </c>
      <c r="T121" s="11">
        <v>0</v>
      </c>
      <c r="U121" s="11">
        <v>-0.4</v>
      </c>
      <c r="V121" s="11">
        <v>0</v>
      </c>
      <c r="W121" s="11">
        <v>-0.56499999999999995</v>
      </c>
      <c r="X121" s="11">
        <v>1.6129023595189999E-3</v>
      </c>
      <c r="Y121" s="11">
        <v>-0.1</v>
      </c>
      <c r="Z121" s="11">
        <v>0.01</v>
      </c>
      <c r="AA121" s="11">
        <v>0.184</v>
      </c>
      <c r="AB121" s="11">
        <v>0</v>
      </c>
      <c r="AC121" s="11">
        <v>0.03</v>
      </c>
      <c r="AD121" s="10">
        <v>0.43</v>
      </c>
      <c r="AE121" s="11">
        <v>0</v>
      </c>
      <c r="AF121" s="11">
        <v>0.18</v>
      </c>
      <c r="AG121" s="11">
        <v>0.44</v>
      </c>
      <c r="AH121" s="11">
        <v>0</v>
      </c>
      <c r="AI121" s="11">
        <v>0.24</v>
      </c>
      <c r="AJ121" s="11">
        <v>0</v>
      </c>
    </row>
    <row r="122" spans="4:36">
      <c r="D122" s="10">
        <v>40695</v>
      </c>
      <c r="E122" s="11">
        <v>5.0490127671022601E-2</v>
      </c>
      <c r="F122" s="11">
        <v>4.3445</v>
      </c>
      <c r="G122" s="11">
        <v>0.18</v>
      </c>
      <c r="H122" s="11">
        <v>-0.2</v>
      </c>
      <c r="I122" s="11">
        <v>2.5000000000000001E-3</v>
      </c>
      <c r="J122" s="11">
        <v>0.18</v>
      </c>
      <c r="K122" s="11">
        <v>-7.0000000000000007E-2</v>
      </c>
      <c r="L122" s="11">
        <v>5.0000000000000001E-3</v>
      </c>
      <c r="M122" s="11">
        <v>0.18</v>
      </c>
      <c r="N122" s="11">
        <v>-0.32</v>
      </c>
      <c r="O122" s="11">
        <v>0</v>
      </c>
      <c r="P122" s="11">
        <v>0.18</v>
      </c>
      <c r="Q122" s="11">
        <v>0</v>
      </c>
      <c r="R122" s="11">
        <v>0</v>
      </c>
      <c r="S122" s="11">
        <v>0</v>
      </c>
      <c r="T122" s="11">
        <v>0</v>
      </c>
      <c r="U122" s="11">
        <v>-0.4</v>
      </c>
      <c r="V122" s="11">
        <v>0</v>
      </c>
      <c r="W122" s="11">
        <v>-0.56499999999999995</v>
      </c>
      <c r="X122" s="11">
        <v>1.6114614598165E-3</v>
      </c>
      <c r="Y122" s="11">
        <v>-0.1</v>
      </c>
      <c r="Z122" s="11">
        <v>0.01</v>
      </c>
      <c r="AA122" s="11">
        <v>0.184</v>
      </c>
      <c r="AB122" s="11">
        <v>0</v>
      </c>
      <c r="AC122" s="11">
        <v>0.03</v>
      </c>
      <c r="AD122" s="10">
        <v>0.43</v>
      </c>
      <c r="AE122" s="11">
        <v>0</v>
      </c>
      <c r="AF122" s="11">
        <v>0.18</v>
      </c>
      <c r="AG122" s="11">
        <v>0.44</v>
      </c>
      <c r="AH122" s="11">
        <v>0</v>
      </c>
      <c r="AI122" s="11">
        <v>0.24</v>
      </c>
      <c r="AJ122" s="11">
        <v>0</v>
      </c>
    </row>
    <row r="123" spans="4:36">
      <c r="D123" s="10">
        <v>40725</v>
      </c>
      <c r="E123" s="11">
        <v>5.0590314011535603E-2</v>
      </c>
      <c r="F123" s="11">
        <v>4.3895</v>
      </c>
      <c r="G123" s="11">
        <v>0.18</v>
      </c>
      <c r="H123" s="11">
        <v>-0.2</v>
      </c>
      <c r="I123" s="11">
        <v>2.5000000000000001E-3</v>
      </c>
      <c r="J123" s="11">
        <v>0.18</v>
      </c>
      <c r="K123" s="11">
        <v>-7.0000000000000007E-2</v>
      </c>
      <c r="L123" s="11">
        <v>5.0000000000000001E-3</v>
      </c>
      <c r="M123" s="11">
        <v>0.18</v>
      </c>
      <c r="N123" s="11">
        <v>-0.32</v>
      </c>
      <c r="O123" s="11">
        <v>0</v>
      </c>
      <c r="P123" s="11">
        <v>0.18</v>
      </c>
      <c r="Q123" s="11">
        <v>0</v>
      </c>
      <c r="R123" s="11">
        <v>0</v>
      </c>
      <c r="S123" s="11">
        <v>0</v>
      </c>
      <c r="T123" s="11">
        <v>0</v>
      </c>
      <c r="U123" s="11">
        <v>-0.4</v>
      </c>
      <c r="V123" s="11">
        <v>0</v>
      </c>
      <c r="W123" s="11">
        <v>-0.56499999999999995</v>
      </c>
      <c r="X123" s="11">
        <v>1.6100504422364001E-3</v>
      </c>
      <c r="Y123" s="11">
        <v>-0.1</v>
      </c>
      <c r="Z123" s="11">
        <v>0.01</v>
      </c>
      <c r="AA123" s="11">
        <v>0.184</v>
      </c>
      <c r="AB123" s="11">
        <v>0</v>
      </c>
      <c r="AC123" s="11">
        <v>0.03</v>
      </c>
      <c r="AD123" s="10">
        <v>0.43</v>
      </c>
      <c r="AE123" s="11">
        <v>0</v>
      </c>
      <c r="AF123" s="11">
        <v>0.18</v>
      </c>
      <c r="AG123" s="11">
        <v>0.44</v>
      </c>
      <c r="AH123" s="11">
        <v>0</v>
      </c>
      <c r="AI123" s="11">
        <v>0.24</v>
      </c>
      <c r="AJ123" s="11">
        <v>0</v>
      </c>
    </row>
    <row r="124" spans="4:36">
      <c r="D124" s="10">
        <v>40756</v>
      </c>
      <c r="E124" s="11">
        <v>5.0693839900252301E-2</v>
      </c>
      <c r="F124" s="11">
        <v>4.4284999999999997</v>
      </c>
      <c r="G124" s="11">
        <v>0.18</v>
      </c>
      <c r="H124" s="11">
        <v>-0.2</v>
      </c>
      <c r="I124" s="11">
        <v>2.5000000000000001E-3</v>
      </c>
      <c r="J124" s="11">
        <v>0.18</v>
      </c>
      <c r="K124" s="11">
        <v>-7.0000000000000007E-2</v>
      </c>
      <c r="L124" s="11">
        <v>5.0000000000000001E-3</v>
      </c>
      <c r="M124" s="11">
        <v>0.18</v>
      </c>
      <c r="N124" s="11">
        <v>-0.32</v>
      </c>
      <c r="O124" s="11">
        <v>0</v>
      </c>
      <c r="P124" s="11">
        <v>0.18</v>
      </c>
      <c r="Q124" s="11">
        <v>0</v>
      </c>
      <c r="R124" s="11">
        <v>0</v>
      </c>
      <c r="S124" s="11">
        <v>0</v>
      </c>
      <c r="T124" s="11">
        <v>0</v>
      </c>
      <c r="U124" s="11">
        <v>-0.4</v>
      </c>
      <c r="V124" s="11">
        <v>0</v>
      </c>
      <c r="W124" s="11">
        <v>-0.56499999999999995</v>
      </c>
      <c r="X124" s="11">
        <v>1.6085752909728E-3</v>
      </c>
      <c r="Y124" s="11">
        <v>-0.1</v>
      </c>
      <c r="Z124" s="11">
        <v>0.01</v>
      </c>
      <c r="AA124" s="11">
        <v>0.184</v>
      </c>
      <c r="AB124" s="11">
        <v>0</v>
      </c>
      <c r="AC124" s="11">
        <v>0.03</v>
      </c>
      <c r="AD124" s="10">
        <v>0.43</v>
      </c>
      <c r="AE124" s="11">
        <v>0</v>
      </c>
      <c r="AF124" s="11">
        <v>0.18</v>
      </c>
      <c r="AG124" s="11">
        <v>0.44</v>
      </c>
      <c r="AH124" s="11">
        <v>0</v>
      </c>
      <c r="AI124" s="11">
        <v>0.24</v>
      </c>
      <c r="AJ124" s="11">
        <v>0</v>
      </c>
    </row>
    <row r="125" spans="4:36">
      <c r="D125" s="10">
        <v>40787</v>
      </c>
      <c r="E125" s="11">
        <v>5.0797365792546199E-2</v>
      </c>
      <c r="F125" s="11">
        <v>4.4225000000000003</v>
      </c>
      <c r="G125" s="11">
        <v>0.18</v>
      </c>
      <c r="H125" s="11">
        <v>-0.2</v>
      </c>
      <c r="I125" s="11">
        <v>2.5000000000000001E-3</v>
      </c>
      <c r="J125" s="11">
        <v>0.18</v>
      </c>
      <c r="K125" s="11">
        <v>-7.0000000000000007E-2</v>
      </c>
      <c r="L125" s="11">
        <v>5.0000000000000001E-3</v>
      </c>
      <c r="M125" s="11">
        <v>0.18</v>
      </c>
      <c r="N125" s="11">
        <v>-0.32</v>
      </c>
      <c r="O125" s="11">
        <v>0</v>
      </c>
      <c r="P125" s="11">
        <v>0.18</v>
      </c>
      <c r="Q125" s="11">
        <v>0</v>
      </c>
      <c r="R125" s="11">
        <v>0</v>
      </c>
      <c r="S125" s="11">
        <v>0</v>
      </c>
      <c r="T125" s="11">
        <v>0</v>
      </c>
      <c r="U125" s="11">
        <v>-0.4</v>
      </c>
      <c r="V125" s="11">
        <v>0</v>
      </c>
      <c r="W125" s="11">
        <v>-0.56499999999999995</v>
      </c>
      <c r="X125" s="11">
        <v>1.6070828130428001E-3</v>
      </c>
      <c r="Y125" s="11">
        <v>-0.1</v>
      </c>
      <c r="Z125" s="11">
        <v>0.01</v>
      </c>
      <c r="AA125" s="11">
        <v>0.184</v>
      </c>
      <c r="AB125" s="11">
        <v>0</v>
      </c>
      <c r="AC125" s="11">
        <v>0.03</v>
      </c>
      <c r="AD125" s="10">
        <v>0.43</v>
      </c>
      <c r="AE125" s="11">
        <v>0</v>
      </c>
      <c r="AF125" s="11">
        <v>0.18</v>
      </c>
      <c r="AG125" s="11">
        <v>0.44</v>
      </c>
      <c r="AH125" s="11">
        <v>0</v>
      </c>
      <c r="AI125" s="11">
        <v>0.24</v>
      </c>
      <c r="AJ125" s="11">
        <v>0</v>
      </c>
    </row>
    <row r="126" spans="4:36">
      <c r="D126" s="10">
        <v>40817</v>
      </c>
      <c r="E126" s="11">
        <v>5.0897552143333698E-2</v>
      </c>
      <c r="F126" s="11">
        <v>4.4325000000000001</v>
      </c>
      <c r="G126" s="11">
        <v>0.18</v>
      </c>
      <c r="H126" s="11">
        <v>-0.2</v>
      </c>
      <c r="I126" s="11">
        <v>2.5000000000000001E-3</v>
      </c>
      <c r="J126" s="11">
        <v>0.18</v>
      </c>
      <c r="K126" s="11">
        <v>-7.0000000000000007E-2</v>
      </c>
      <c r="L126" s="11">
        <v>5.0000000000000001E-3</v>
      </c>
      <c r="M126" s="11">
        <v>0.18</v>
      </c>
      <c r="N126" s="11">
        <v>-0.32</v>
      </c>
      <c r="O126" s="11">
        <v>0</v>
      </c>
      <c r="P126" s="11">
        <v>0.18</v>
      </c>
      <c r="Q126" s="11">
        <v>0</v>
      </c>
      <c r="R126" s="11">
        <v>0</v>
      </c>
      <c r="S126" s="11">
        <v>0</v>
      </c>
      <c r="T126" s="11">
        <v>0</v>
      </c>
      <c r="U126" s="11">
        <v>-0.4</v>
      </c>
      <c r="V126" s="11">
        <v>0</v>
      </c>
      <c r="W126" s="11">
        <v>-0.56499999999999995</v>
      </c>
      <c r="X126" s="11">
        <v>1.6056220336347E-3</v>
      </c>
      <c r="Y126" s="11">
        <v>-0.1</v>
      </c>
      <c r="Z126" s="11">
        <v>0.01</v>
      </c>
      <c r="AA126" s="11">
        <v>0.184</v>
      </c>
      <c r="AB126" s="11">
        <v>0</v>
      </c>
      <c r="AC126" s="11">
        <v>0.03</v>
      </c>
      <c r="AD126" s="10">
        <v>0.43</v>
      </c>
      <c r="AE126" s="11">
        <v>0</v>
      </c>
      <c r="AF126" s="11">
        <v>0.18</v>
      </c>
      <c r="AG126" s="11">
        <v>0.44</v>
      </c>
      <c r="AH126" s="11">
        <v>0</v>
      </c>
      <c r="AI126" s="11">
        <v>0.24</v>
      </c>
      <c r="AJ126" s="11">
        <v>0</v>
      </c>
    </row>
    <row r="127" spans="4:36">
      <c r="D127" s="10">
        <v>40848</v>
      </c>
      <c r="E127" s="11">
        <v>5.1001078042666001E-2</v>
      </c>
      <c r="F127" s="11">
        <v>4.5925000000000002</v>
      </c>
      <c r="G127" s="11">
        <v>0.18</v>
      </c>
      <c r="H127" s="11">
        <v>-0.13</v>
      </c>
      <c r="I127" s="11">
        <v>5.0000000000000001E-3</v>
      </c>
      <c r="J127" s="11">
        <v>0.18</v>
      </c>
      <c r="K127" s="11">
        <v>-7.0000000000000007E-2</v>
      </c>
      <c r="L127" s="11">
        <v>5.0000000000000001E-3</v>
      </c>
      <c r="M127" s="11">
        <v>0.18</v>
      </c>
      <c r="N127" s="11">
        <v>-0.24</v>
      </c>
      <c r="O127" s="11">
        <v>0</v>
      </c>
      <c r="P127" s="11">
        <v>0.18</v>
      </c>
      <c r="Q127" s="11">
        <v>0</v>
      </c>
      <c r="R127" s="11">
        <v>0</v>
      </c>
      <c r="S127" s="11">
        <v>0</v>
      </c>
      <c r="T127" s="11">
        <v>0</v>
      </c>
      <c r="U127" s="11">
        <v>-0.32</v>
      </c>
      <c r="V127" s="11">
        <v>0</v>
      </c>
      <c r="W127" s="11">
        <v>-0.52</v>
      </c>
      <c r="X127" s="11">
        <v>5.1331059873753002E-3</v>
      </c>
      <c r="Y127" s="11">
        <v>0.248</v>
      </c>
      <c r="Z127" s="11">
        <v>4.4999999999999998E-2</v>
      </c>
      <c r="AA127" s="11">
        <v>0.184</v>
      </c>
      <c r="AB127" s="11">
        <v>0</v>
      </c>
      <c r="AC127" s="11">
        <v>0.03</v>
      </c>
      <c r="AD127" s="10">
        <v>0.35</v>
      </c>
      <c r="AE127" s="11">
        <v>0</v>
      </c>
      <c r="AF127" s="11">
        <v>0.18</v>
      </c>
      <c r="AG127" s="11">
        <v>0.5</v>
      </c>
      <c r="AH127" s="11">
        <v>0</v>
      </c>
      <c r="AI127" s="11">
        <v>0.3</v>
      </c>
      <c r="AJ127" s="11">
        <v>0</v>
      </c>
    </row>
    <row r="128" spans="4:36">
      <c r="D128" s="10">
        <v>40878</v>
      </c>
      <c r="E128" s="11">
        <v>5.1063651737569299E-2</v>
      </c>
      <c r="F128" s="11">
        <v>4.7465000000000002</v>
      </c>
      <c r="G128" s="11">
        <v>0.18</v>
      </c>
      <c r="H128" s="11">
        <v>-0.13</v>
      </c>
      <c r="I128" s="11">
        <v>5.0000000000000001E-3</v>
      </c>
      <c r="J128" s="11">
        <v>0.18</v>
      </c>
      <c r="K128" s="11">
        <v>-7.0000000000000007E-2</v>
      </c>
      <c r="L128" s="11">
        <v>5.0000000000000001E-3</v>
      </c>
      <c r="M128" s="11">
        <v>0.18</v>
      </c>
      <c r="N128" s="11">
        <v>-0.24</v>
      </c>
      <c r="O128" s="11">
        <v>0</v>
      </c>
      <c r="P128" s="11">
        <v>0.18</v>
      </c>
      <c r="Q128" s="11">
        <v>0</v>
      </c>
      <c r="R128" s="11">
        <v>0</v>
      </c>
      <c r="S128" s="11">
        <v>0</v>
      </c>
      <c r="T128" s="11">
        <v>0</v>
      </c>
      <c r="U128" s="11">
        <v>-0.32</v>
      </c>
      <c r="V128" s="11">
        <v>0</v>
      </c>
      <c r="W128" s="11">
        <v>-0.52</v>
      </c>
      <c r="X128" s="11">
        <v>5.1304135661341998E-3</v>
      </c>
      <c r="Y128" s="11">
        <v>0.308</v>
      </c>
      <c r="Z128" s="11">
        <v>4.4999999999999998E-2</v>
      </c>
      <c r="AA128" s="11">
        <v>0.184</v>
      </c>
      <c r="AB128" s="11">
        <v>0</v>
      </c>
      <c r="AC128" s="11">
        <v>0.03</v>
      </c>
      <c r="AD128" s="10">
        <v>0.35</v>
      </c>
      <c r="AE128" s="11">
        <v>0</v>
      </c>
      <c r="AF128" s="11">
        <v>0.18</v>
      </c>
      <c r="AG128" s="11">
        <v>0.56999999999999995</v>
      </c>
      <c r="AH128" s="11">
        <v>0</v>
      </c>
      <c r="AI128" s="11">
        <v>0.37</v>
      </c>
      <c r="AJ128" s="11">
        <v>0</v>
      </c>
    </row>
    <row r="129" spans="4:36">
      <c r="D129" s="10">
        <v>40909</v>
      </c>
      <c r="E129" s="11">
        <v>5.1118594619013802E-2</v>
      </c>
      <c r="F129" s="11">
        <v>4.7990000000000004</v>
      </c>
      <c r="G129" s="11">
        <v>0.18</v>
      </c>
      <c r="H129" s="11">
        <v>-0.13</v>
      </c>
      <c r="I129" s="11">
        <v>5.0000000000000001E-3</v>
      </c>
      <c r="J129" s="11">
        <v>0.18</v>
      </c>
      <c r="K129" s="11">
        <v>-7.0000000000000007E-2</v>
      </c>
      <c r="L129" s="11">
        <v>5.0000000000000001E-3</v>
      </c>
      <c r="M129" s="11">
        <v>0.18</v>
      </c>
      <c r="N129" s="11">
        <v>-0.24</v>
      </c>
      <c r="O129" s="11">
        <v>0</v>
      </c>
      <c r="P129" s="11">
        <v>0.18</v>
      </c>
      <c r="Q129" s="11">
        <v>0</v>
      </c>
      <c r="R129" s="11">
        <v>0</v>
      </c>
      <c r="S129" s="11">
        <v>0</v>
      </c>
      <c r="T129" s="11">
        <v>0</v>
      </c>
      <c r="U129" s="11">
        <v>-0.32</v>
      </c>
      <c r="V129" s="11">
        <v>0</v>
      </c>
      <c r="W129" s="11">
        <v>-0.52</v>
      </c>
      <c r="X129" s="11">
        <v>5.1281531463237004E-3</v>
      </c>
      <c r="Y129" s="11">
        <v>0.378</v>
      </c>
      <c r="Z129" s="11">
        <v>4.4999999999999998E-2</v>
      </c>
      <c r="AA129" s="11">
        <v>0.184</v>
      </c>
      <c r="AB129" s="11">
        <v>0</v>
      </c>
      <c r="AC129" s="11">
        <v>0.03</v>
      </c>
      <c r="AD129" s="10">
        <v>0.35</v>
      </c>
      <c r="AE129" s="11">
        <v>0</v>
      </c>
      <c r="AF129" s="11">
        <v>0.18</v>
      </c>
      <c r="AG129" s="11">
        <v>0.56999999999999995</v>
      </c>
      <c r="AH129" s="11">
        <v>0</v>
      </c>
      <c r="AI129" s="11">
        <v>0.37</v>
      </c>
      <c r="AJ129" s="11">
        <v>0</v>
      </c>
    </row>
    <row r="130" spans="4:36">
      <c r="D130" s="10">
        <v>40940</v>
      </c>
      <c r="E130" s="11">
        <v>5.1173537501465499E-2</v>
      </c>
      <c r="F130" s="11">
        <v>4.7110000000000003</v>
      </c>
      <c r="G130" s="11">
        <v>0.17499999999999999</v>
      </c>
      <c r="H130" s="11">
        <v>-0.13</v>
      </c>
      <c r="I130" s="11">
        <v>5.0000000000000001E-3</v>
      </c>
      <c r="J130" s="11">
        <v>0.17499999999999999</v>
      </c>
      <c r="K130" s="11">
        <v>-7.0000000000000007E-2</v>
      </c>
      <c r="L130" s="11">
        <v>5.0000000000000001E-3</v>
      </c>
      <c r="M130" s="11">
        <v>0.17499999999999999</v>
      </c>
      <c r="N130" s="11">
        <v>-0.24</v>
      </c>
      <c r="O130" s="11">
        <v>0</v>
      </c>
      <c r="P130" s="11">
        <v>0.17499999999999999</v>
      </c>
      <c r="Q130" s="11">
        <v>0</v>
      </c>
      <c r="R130" s="11">
        <v>0</v>
      </c>
      <c r="S130" s="11">
        <v>0</v>
      </c>
      <c r="T130" s="11">
        <v>0</v>
      </c>
      <c r="U130" s="11">
        <v>-0.32</v>
      </c>
      <c r="V130" s="11">
        <v>0</v>
      </c>
      <c r="W130" s="11">
        <v>-0.52</v>
      </c>
      <c r="X130" s="11">
        <v>5.1258791724197996E-3</v>
      </c>
      <c r="Y130" s="11">
        <v>0.248</v>
      </c>
      <c r="Z130" s="11">
        <v>4.4999999999999998E-2</v>
      </c>
      <c r="AA130" s="11">
        <v>0.17899999999999999</v>
      </c>
      <c r="AB130" s="11">
        <v>0</v>
      </c>
      <c r="AC130" s="11">
        <v>0.03</v>
      </c>
      <c r="AD130" s="10">
        <v>0.35</v>
      </c>
      <c r="AE130" s="11">
        <v>0</v>
      </c>
      <c r="AF130" s="11">
        <v>0.17499999999999999</v>
      </c>
      <c r="AG130" s="11">
        <v>0.56999999999999995</v>
      </c>
      <c r="AH130" s="11">
        <v>0</v>
      </c>
      <c r="AI130" s="11">
        <v>0.37</v>
      </c>
      <c r="AJ130" s="11">
        <v>0</v>
      </c>
    </row>
    <row r="131" spans="4:36">
      <c r="D131" s="10">
        <v>40969</v>
      </c>
      <c r="E131" s="11">
        <v>5.1224935682734798E-2</v>
      </c>
      <c r="F131" s="11">
        <v>4.5720000000000001</v>
      </c>
      <c r="G131" s="11">
        <v>0.17</v>
      </c>
      <c r="H131" s="11">
        <v>-0.13</v>
      </c>
      <c r="I131" s="11">
        <v>5.0000000000000001E-3</v>
      </c>
      <c r="J131" s="11">
        <v>0.17</v>
      </c>
      <c r="K131" s="11">
        <v>-7.0000000000000007E-2</v>
      </c>
      <c r="L131" s="11">
        <v>5.0000000000000001E-3</v>
      </c>
      <c r="M131" s="11">
        <v>0.17</v>
      </c>
      <c r="N131" s="11">
        <v>-0.24</v>
      </c>
      <c r="O131" s="11">
        <v>0</v>
      </c>
      <c r="P131" s="11">
        <v>0.17</v>
      </c>
      <c r="Q131" s="11">
        <v>0</v>
      </c>
      <c r="R131" s="11">
        <v>0</v>
      </c>
      <c r="S131" s="11">
        <v>0</v>
      </c>
      <c r="T131" s="11">
        <v>0</v>
      </c>
      <c r="U131" s="11">
        <v>-0.32</v>
      </c>
      <c r="V131" s="11">
        <v>0</v>
      </c>
      <c r="W131" s="11">
        <v>-0.52</v>
      </c>
      <c r="X131" s="11">
        <v>5.1237396538468E-3</v>
      </c>
      <c r="Y131" s="11">
        <v>6.8000000000000005E-2</v>
      </c>
      <c r="Z131" s="11">
        <v>4.4999999999999998E-2</v>
      </c>
      <c r="AA131" s="11">
        <v>0.17299999999999999</v>
      </c>
      <c r="AB131" s="11">
        <v>0</v>
      </c>
      <c r="AC131" s="11">
        <v>0.03</v>
      </c>
      <c r="AD131" s="10">
        <v>0.35</v>
      </c>
      <c r="AE131" s="11">
        <v>0</v>
      </c>
      <c r="AF131" s="11">
        <v>0.17</v>
      </c>
      <c r="AG131" s="11">
        <v>0.56999999999999995</v>
      </c>
      <c r="AH131" s="11">
        <v>0</v>
      </c>
      <c r="AI131" s="11">
        <v>0.37</v>
      </c>
      <c r="AJ131" s="11">
        <v>0</v>
      </c>
    </row>
    <row r="132" spans="4:36">
      <c r="D132" s="10">
        <v>41000</v>
      </c>
      <c r="E132" s="11">
        <v>5.1279878567135999E-2</v>
      </c>
      <c r="F132" s="11">
        <v>4.4180000000000001</v>
      </c>
      <c r="G132" s="11">
        <v>0.17</v>
      </c>
      <c r="H132" s="11">
        <v>-0.2</v>
      </c>
      <c r="I132" s="11">
        <v>2.5000000000000001E-3</v>
      </c>
      <c r="J132" s="11">
        <v>0.17</v>
      </c>
      <c r="K132" s="11">
        <v>-7.0000000000000007E-2</v>
      </c>
      <c r="L132" s="11">
        <v>5.0000000000000001E-3</v>
      </c>
      <c r="M132" s="11">
        <v>0.17</v>
      </c>
      <c r="N132" s="11">
        <v>-0.32</v>
      </c>
      <c r="O132" s="11">
        <v>0</v>
      </c>
      <c r="P132" s="11">
        <v>0.17</v>
      </c>
      <c r="Q132" s="11">
        <v>0</v>
      </c>
      <c r="R132" s="11">
        <v>0</v>
      </c>
      <c r="S132" s="11">
        <v>0</v>
      </c>
      <c r="T132" s="11">
        <v>0</v>
      </c>
      <c r="U132" s="11">
        <v>-0.4</v>
      </c>
      <c r="V132" s="11">
        <v>0</v>
      </c>
      <c r="W132" s="11">
        <v>-0.63300000000000001</v>
      </c>
      <c r="X132" s="11">
        <v>1.6004498449631E-3</v>
      </c>
      <c r="Y132" s="11">
        <v>-0.25</v>
      </c>
      <c r="Z132" s="11">
        <v>0.01</v>
      </c>
      <c r="AA132" s="11">
        <v>0.17299999999999999</v>
      </c>
      <c r="AB132" s="11">
        <v>0</v>
      </c>
      <c r="AC132" s="11">
        <v>0.03</v>
      </c>
      <c r="AD132" s="10">
        <v>0.43</v>
      </c>
      <c r="AE132" s="11">
        <v>0</v>
      </c>
      <c r="AF132" s="11">
        <v>0.17</v>
      </c>
      <c r="AG132" s="11">
        <v>0.44</v>
      </c>
      <c r="AH132" s="11">
        <v>0</v>
      </c>
      <c r="AI132" s="11">
        <v>0.24</v>
      </c>
      <c r="AJ132" s="11">
        <v>0</v>
      </c>
    </row>
    <row r="133" spans="4:36">
      <c r="D133" s="10">
        <v>41030</v>
      </c>
      <c r="E133" s="11">
        <v>5.13330491013861E-2</v>
      </c>
      <c r="F133" s="11">
        <v>4.4219999999999997</v>
      </c>
      <c r="G133" s="11">
        <v>0.17</v>
      </c>
      <c r="H133" s="11">
        <v>-0.2</v>
      </c>
      <c r="I133" s="11">
        <v>2.5000000000000001E-3</v>
      </c>
      <c r="J133" s="11">
        <v>0.17</v>
      </c>
      <c r="K133" s="11">
        <v>-7.0000000000000007E-2</v>
      </c>
      <c r="L133" s="11">
        <v>5.0000000000000001E-3</v>
      </c>
      <c r="M133" s="11">
        <v>0.17</v>
      </c>
      <c r="N133" s="11">
        <v>-0.32</v>
      </c>
      <c r="O133" s="11">
        <v>0</v>
      </c>
      <c r="P133" s="11">
        <v>0.17</v>
      </c>
      <c r="Q133" s="11">
        <v>0</v>
      </c>
      <c r="R133" s="11">
        <v>0</v>
      </c>
      <c r="S133" s="11">
        <v>0</v>
      </c>
      <c r="T133" s="11">
        <v>0</v>
      </c>
      <c r="U133" s="11">
        <v>-0.4</v>
      </c>
      <c r="V133" s="11">
        <v>0</v>
      </c>
      <c r="W133" s="11">
        <v>-0.63300000000000001</v>
      </c>
      <c r="X133" s="11">
        <v>1.5997502199124999E-3</v>
      </c>
      <c r="Y133" s="11">
        <v>-0.1</v>
      </c>
      <c r="Z133" s="11">
        <v>0.01</v>
      </c>
      <c r="AA133" s="11">
        <v>0.17299999999999999</v>
      </c>
      <c r="AB133" s="11">
        <v>0</v>
      </c>
      <c r="AC133" s="11">
        <v>0.03</v>
      </c>
      <c r="AD133" s="10">
        <v>0.43</v>
      </c>
      <c r="AE133" s="11">
        <v>0</v>
      </c>
      <c r="AF133" s="11">
        <v>0.17</v>
      </c>
      <c r="AG133" s="11">
        <v>0.44</v>
      </c>
      <c r="AH133" s="11">
        <v>0</v>
      </c>
      <c r="AI133" s="11">
        <v>0.24</v>
      </c>
      <c r="AJ133" s="11">
        <v>0</v>
      </c>
    </row>
    <row r="134" spans="4:36">
      <c r="D134" s="10">
        <v>41061</v>
      </c>
      <c r="E134" s="11">
        <v>5.1387991987769298E-2</v>
      </c>
      <c r="F134" s="11">
        <v>4.4619999999999997</v>
      </c>
      <c r="G134" s="11">
        <v>0.17</v>
      </c>
      <c r="H134" s="11">
        <v>-0.2</v>
      </c>
      <c r="I134" s="11">
        <v>2.5000000000000001E-3</v>
      </c>
      <c r="J134" s="11">
        <v>0.17</v>
      </c>
      <c r="K134" s="11">
        <v>-7.0000000000000007E-2</v>
      </c>
      <c r="L134" s="11">
        <v>5.0000000000000001E-3</v>
      </c>
      <c r="M134" s="11">
        <v>0.17</v>
      </c>
      <c r="N134" s="11">
        <v>-0.32</v>
      </c>
      <c r="O134" s="11">
        <v>0</v>
      </c>
      <c r="P134" s="11">
        <v>0.17</v>
      </c>
      <c r="Q134" s="11">
        <v>0</v>
      </c>
      <c r="R134" s="11">
        <v>0</v>
      </c>
      <c r="S134" s="11">
        <v>0</v>
      </c>
      <c r="T134" s="11">
        <v>0</v>
      </c>
      <c r="U134" s="11">
        <v>-0.4</v>
      </c>
      <c r="V134" s="11">
        <v>0</v>
      </c>
      <c r="W134" s="11">
        <v>-0.63300000000000001</v>
      </c>
      <c r="X134" s="11">
        <v>1.5990231312619E-3</v>
      </c>
      <c r="Y134" s="11">
        <v>-0.1</v>
      </c>
      <c r="Z134" s="11">
        <v>0.01</v>
      </c>
      <c r="AA134" s="11">
        <v>0.17299999999999999</v>
      </c>
      <c r="AB134" s="11">
        <v>0</v>
      </c>
      <c r="AC134" s="11">
        <v>0.03</v>
      </c>
      <c r="AD134" s="10">
        <v>0.43</v>
      </c>
      <c r="AE134" s="11">
        <v>0</v>
      </c>
      <c r="AF134" s="11">
        <v>0.17</v>
      </c>
      <c r="AG134" s="11">
        <v>0.44</v>
      </c>
      <c r="AH134" s="11">
        <v>0</v>
      </c>
      <c r="AI134" s="11">
        <v>0.24</v>
      </c>
      <c r="AJ134" s="11">
        <v>0</v>
      </c>
    </row>
    <row r="135" spans="4:36">
      <c r="D135" s="10">
        <v>41091</v>
      </c>
      <c r="E135" s="11">
        <v>5.1441162523937899E-2</v>
      </c>
      <c r="F135" s="11">
        <v>4.5069999999999997</v>
      </c>
      <c r="G135" s="11">
        <v>0.17</v>
      </c>
      <c r="H135" s="11">
        <v>-0.2</v>
      </c>
      <c r="I135" s="11">
        <v>2.5000000000000001E-3</v>
      </c>
      <c r="J135" s="11">
        <v>0.17</v>
      </c>
      <c r="K135" s="11">
        <v>-7.0000000000000007E-2</v>
      </c>
      <c r="L135" s="11">
        <v>5.0000000000000001E-3</v>
      </c>
      <c r="M135" s="11">
        <v>0.17</v>
      </c>
      <c r="N135" s="11">
        <v>-0.32</v>
      </c>
      <c r="O135" s="11">
        <v>0</v>
      </c>
      <c r="P135" s="11">
        <v>0.17</v>
      </c>
      <c r="Q135" s="11">
        <v>0</v>
      </c>
      <c r="R135" s="11">
        <v>0</v>
      </c>
      <c r="S135" s="11">
        <v>0</v>
      </c>
      <c r="T135" s="11">
        <v>0</v>
      </c>
      <c r="U135" s="11">
        <v>-0.4</v>
      </c>
      <c r="V135" s="11">
        <v>0</v>
      </c>
      <c r="W135" s="11">
        <v>-0.63300000000000001</v>
      </c>
      <c r="X135" s="11">
        <v>1.5983154939753E-3</v>
      </c>
      <c r="Y135" s="11">
        <v>-0.1</v>
      </c>
      <c r="Z135" s="11">
        <v>0.01</v>
      </c>
      <c r="AA135" s="11">
        <v>0.17299999999999999</v>
      </c>
      <c r="AB135" s="11">
        <v>0</v>
      </c>
      <c r="AC135" s="11">
        <v>0.03</v>
      </c>
      <c r="AD135" s="10">
        <v>0.43</v>
      </c>
      <c r="AE135" s="11">
        <v>0</v>
      </c>
      <c r="AF135" s="11">
        <v>0.17</v>
      </c>
      <c r="AG135" s="11">
        <v>0.44</v>
      </c>
      <c r="AH135" s="11">
        <v>0</v>
      </c>
      <c r="AI135" s="11">
        <v>0.24</v>
      </c>
      <c r="AJ135" s="11">
        <v>0</v>
      </c>
    </row>
    <row r="136" spans="4:36">
      <c r="D136" s="10">
        <v>41122</v>
      </c>
      <c r="E136" s="11">
        <v>5.1496105412302602E-2</v>
      </c>
      <c r="F136" s="11">
        <v>4.5460000000000003</v>
      </c>
      <c r="G136" s="11">
        <v>0.17</v>
      </c>
      <c r="H136" s="11">
        <v>-0.2</v>
      </c>
      <c r="I136" s="11">
        <v>2.5000000000000001E-3</v>
      </c>
      <c r="J136" s="11">
        <v>0.17</v>
      </c>
      <c r="K136" s="11">
        <v>-7.0000000000000007E-2</v>
      </c>
      <c r="L136" s="11">
        <v>5.0000000000000001E-3</v>
      </c>
      <c r="M136" s="11">
        <v>0.17</v>
      </c>
      <c r="N136" s="11">
        <v>-0.32</v>
      </c>
      <c r="O136" s="11">
        <v>0</v>
      </c>
      <c r="P136" s="11">
        <v>0.17</v>
      </c>
      <c r="Q136" s="11">
        <v>0</v>
      </c>
      <c r="R136" s="11">
        <v>0</v>
      </c>
      <c r="S136" s="11">
        <v>0</v>
      </c>
      <c r="T136" s="11">
        <v>0</v>
      </c>
      <c r="U136" s="11">
        <v>-0.4</v>
      </c>
      <c r="V136" s="11">
        <v>0</v>
      </c>
      <c r="W136" s="11">
        <v>-0.63300000000000001</v>
      </c>
      <c r="X136" s="11">
        <v>1.5975801385521001E-3</v>
      </c>
      <c r="Y136" s="11">
        <v>-0.1</v>
      </c>
      <c r="Z136" s="11">
        <v>0.01</v>
      </c>
      <c r="AA136" s="11">
        <v>0.17299999999999999</v>
      </c>
      <c r="AB136" s="11">
        <v>0</v>
      </c>
      <c r="AC136" s="11">
        <v>0.03</v>
      </c>
      <c r="AD136" s="10">
        <v>0.43</v>
      </c>
      <c r="AE136" s="11">
        <v>0</v>
      </c>
      <c r="AF136" s="11">
        <v>0.17</v>
      </c>
      <c r="AG136" s="11">
        <v>0.44</v>
      </c>
      <c r="AH136" s="11">
        <v>0</v>
      </c>
      <c r="AI136" s="11">
        <v>0.24</v>
      </c>
      <c r="AJ136" s="11">
        <v>0</v>
      </c>
    </row>
    <row r="137" spans="4:36">
      <c r="D137" s="10">
        <v>41153</v>
      </c>
      <c r="E137" s="11">
        <v>5.1551048301675E-2</v>
      </c>
      <c r="F137" s="11">
        <v>4.54</v>
      </c>
      <c r="G137" s="11">
        <v>0.17</v>
      </c>
      <c r="H137" s="11">
        <v>-0.2</v>
      </c>
      <c r="I137" s="11">
        <v>2.5000000000000001E-3</v>
      </c>
      <c r="J137" s="11">
        <v>0.17</v>
      </c>
      <c r="K137" s="11">
        <v>-7.0000000000000007E-2</v>
      </c>
      <c r="L137" s="11">
        <v>5.0000000000000001E-3</v>
      </c>
      <c r="M137" s="11">
        <v>0.17</v>
      </c>
      <c r="N137" s="11">
        <v>-0.32</v>
      </c>
      <c r="O137" s="11">
        <v>0</v>
      </c>
      <c r="P137" s="11">
        <v>0.17</v>
      </c>
      <c r="Q137" s="11">
        <v>0</v>
      </c>
      <c r="R137" s="11">
        <v>0</v>
      </c>
      <c r="S137" s="11">
        <v>0</v>
      </c>
      <c r="T137" s="11">
        <v>0</v>
      </c>
      <c r="U137" s="11">
        <v>-0.4</v>
      </c>
      <c r="V137" s="11">
        <v>0</v>
      </c>
      <c r="W137" s="11">
        <v>-0.63300000000000001</v>
      </c>
      <c r="X137" s="11">
        <v>1.5968405916469001E-3</v>
      </c>
      <c r="Y137" s="11">
        <v>-0.1</v>
      </c>
      <c r="Z137" s="11">
        <v>0.01</v>
      </c>
      <c r="AA137" s="11">
        <v>0.17299999999999999</v>
      </c>
      <c r="AB137" s="11">
        <v>0</v>
      </c>
      <c r="AC137" s="11">
        <v>0.03</v>
      </c>
      <c r="AD137" s="10">
        <v>0.43</v>
      </c>
      <c r="AE137" s="11">
        <v>0</v>
      </c>
      <c r="AF137" s="11">
        <v>0.17</v>
      </c>
      <c r="AG137" s="11">
        <v>0.44</v>
      </c>
      <c r="AH137" s="11">
        <v>0</v>
      </c>
      <c r="AI137" s="11">
        <v>0.24</v>
      </c>
      <c r="AJ137" s="11">
        <v>0</v>
      </c>
    </row>
    <row r="138" spans="4:36">
      <c r="D138" s="10">
        <v>41183</v>
      </c>
      <c r="E138" s="11">
        <v>5.1604218840736397E-2</v>
      </c>
      <c r="F138" s="11">
        <v>4.55</v>
      </c>
      <c r="G138" s="11">
        <v>0.17</v>
      </c>
      <c r="H138" s="11">
        <v>-0.2</v>
      </c>
      <c r="I138" s="11">
        <v>2.5000000000000001E-3</v>
      </c>
      <c r="J138" s="11">
        <v>0.17</v>
      </c>
      <c r="K138" s="11">
        <v>-7.0000000000000007E-2</v>
      </c>
      <c r="L138" s="11">
        <v>5.0000000000000001E-3</v>
      </c>
      <c r="M138" s="11">
        <v>0.17</v>
      </c>
      <c r="N138" s="11">
        <v>-0.32</v>
      </c>
      <c r="O138" s="11">
        <v>0</v>
      </c>
      <c r="P138" s="11">
        <v>0.17</v>
      </c>
      <c r="Q138" s="11">
        <v>0</v>
      </c>
      <c r="R138" s="11">
        <v>0</v>
      </c>
      <c r="S138" s="11">
        <v>0</v>
      </c>
      <c r="T138" s="11">
        <v>0</v>
      </c>
      <c r="U138" s="11">
        <v>-0.4</v>
      </c>
      <c r="V138" s="11">
        <v>0</v>
      </c>
      <c r="W138" s="11">
        <v>-0.63300000000000001</v>
      </c>
      <c r="X138" s="11">
        <v>1.5961209164187E-3</v>
      </c>
      <c r="Y138" s="11">
        <v>-0.1</v>
      </c>
      <c r="Z138" s="11">
        <v>0.01</v>
      </c>
      <c r="AA138" s="11">
        <v>0.17299999999999999</v>
      </c>
      <c r="AB138" s="11">
        <v>0</v>
      </c>
      <c r="AC138" s="11">
        <v>0.03</v>
      </c>
      <c r="AD138" s="10">
        <v>0.43</v>
      </c>
      <c r="AE138" s="11">
        <v>0</v>
      </c>
      <c r="AF138" s="11">
        <v>0.17</v>
      </c>
      <c r="AG138" s="11">
        <v>0.44</v>
      </c>
      <c r="AH138" s="11">
        <v>0</v>
      </c>
      <c r="AI138" s="11">
        <v>0.24</v>
      </c>
      <c r="AJ138" s="11">
        <v>0</v>
      </c>
    </row>
    <row r="139" spans="4:36">
      <c r="D139" s="10">
        <v>41214</v>
      </c>
      <c r="E139" s="11">
        <v>5.1659161732090703E-2</v>
      </c>
      <c r="F139" s="11">
        <v>4.71</v>
      </c>
      <c r="G139" s="11">
        <v>0.17</v>
      </c>
      <c r="H139" s="11">
        <v>-0.13</v>
      </c>
      <c r="I139" s="11">
        <v>5.0000000000000001E-3</v>
      </c>
      <c r="J139" s="11">
        <v>0.17</v>
      </c>
      <c r="K139" s="11">
        <v>-7.0000000000000007E-2</v>
      </c>
      <c r="L139" s="11">
        <v>5.0000000000000001E-3</v>
      </c>
      <c r="M139" s="11">
        <v>0.17</v>
      </c>
      <c r="N139" s="11">
        <v>-0.24</v>
      </c>
      <c r="O139" s="11">
        <v>0</v>
      </c>
      <c r="P139" s="11">
        <v>0.17</v>
      </c>
      <c r="Q139" s="11">
        <v>0</v>
      </c>
      <c r="R139" s="11">
        <v>0</v>
      </c>
      <c r="S139" s="11">
        <v>0</v>
      </c>
      <c r="T139" s="11">
        <v>0</v>
      </c>
      <c r="U139" s="11">
        <v>-0.32</v>
      </c>
      <c r="V139" s="11">
        <v>0</v>
      </c>
      <c r="W139" s="11">
        <v>-0.57299999999999995</v>
      </c>
      <c r="X139" s="11">
        <v>5.1051940509758004E-3</v>
      </c>
      <c r="Y139" s="11">
        <v>0.248</v>
      </c>
      <c r="Z139" s="11">
        <v>4.4999999999999998E-2</v>
      </c>
      <c r="AA139" s="11">
        <v>0.17299999999999999</v>
      </c>
      <c r="AB139" s="11">
        <v>0</v>
      </c>
      <c r="AC139" s="11">
        <v>0.03</v>
      </c>
      <c r="AD139" s="10">
        <v>0.35</v>
      </c>
      <c r="AE139" s="11">
        <v>0</v>
      </c>
      <c r="AF139" s="11">
        <v>0.17</v>
      </c>
      <c r="AG139" s="11">
        <v>0.5</v>
      </c>
      <c r="AH139" s="11">
        <v>0</v>
      </c>
      <c r="AI139" s="11">
        <v>0.3</v>
      </c>
      <c r="AJ139" s="11">
        <v>0</v>
      </c>
    </row>
    <row r="140" spans="4:36">
      <c r="D140" s="10">
        <v>41244</v>
      </c>
      <c r="E140" s="11">
        <v>5.1712332273069303E-2</v>
      </c>
      <c r="F140" s="11">
        <v>4.8639999999999999</v>
      </c>
      <c r="G140" s="11">
        <v>0.17</v>
      </c>
      <c r="H140" s="11">
        <v>-0.13</v>
      </c>
      <c r="I140" s="11">
        <v>5.0000000000000001E-3</v>
      </c>
      <c r="J140" s="11">
        <v>0.17</v>
      </c>
      <c r="K140" s="11">
        <v>-7.0000000000000007E-2</v>
      </c>
      <c r="L140" s="11">
        <v>5.0000000000000001E-3</v>
      </c>
      <c r="M140" s="11">
        <v>0.17</v>
      </c>
      <c r="N140" s="11">
        <v>-0.24</v>
      </c>
      <c r="O140" s="11">
        <v>0</v>
      </c>
      <c r="P140" s="11">
        <v>0.17</v>
      </c>
      <c r="Q140" s="11">
        <v>0</v>
      </c>
      <c r="R140" s="11">
        <v>0</v>
      </c>
      <c r="S140" s="11">
        <v>0</v>
      </c>
      <c r="T140" s="11">
        <v>0</v>
      </c>
      <c r="U140" s="11">
        <v>-0.32</v>
      </c>
      <c r="V140" s="11">
        <v>0</v>
      </c>
      <c r="W140" s="11">
        <v>-0.57299999999999995</v>
      </c>
      <c r="X140" s="11">
        <v>5.1028656477647002E-3</v>
      </c>
      <c r="Y140" s="11">
        <v>0.308</v>
      </c>
      <c r="Z140" s="11">
        <v>4.4999999999999998E-2</v>
      </c>
      <c r="AA140" s="11">
        <v>0.17299999999999999</v>
      </c>
      <c r="AB140" s="11">
        <v>0</v>
      </c>
      <c r="AC140" s="11">
        <v>0.03</v>
      </c>
      <c r="AD140" s="10">
        <v>0.35</v>
      </c>
      <c r="AE140" s="11">
        <v>0</v>
      </c>
      <c r="AF140" s="11">
        <v>0.17</v>
      </c>
      <c r="AG140" s="11">
        <v>0.56999999999999995</v>
      </c>
      <c r="AH140" s="11">
        <v>0</v>
      </c>
      <c r="AI140" s="11">
        <v>0.37</v>
      </c>
      <c r="AJ140" s="11">
        <v>0</v>
      </c>
    </row>
    <row r="141" spans="4:36">
      <c r="D141" s="10">
        <v>41275</v>
      </c>
      <c r="E141" s="11">
        <v>5.17672751664051E-2</v>
      </c>
      <c r="F141" s="11">
        <v>4.9165000000000001</v>
      </c>
      <c r="G141" s="11">
        <v>0.17</v>
      </c>
      <c r="H141" s="11">
        <v>-0.13</v>
      </c>
      <c r="I141" s="11">
        <v>5.0000000000000001E-3</v>
      </c>
      <c r="J141" s="11">
        <v>0.17</v>
      </c>
      <c r="K141" s="11">
        <v>-7.0000000000000007E-2</v>
      </c>
      <c r="L141" s="11">
        <v>5.0000000000000001E-3</v>
      </c>
      <c r="M141" s="11">
        <v>0.17</v>
      </c>
      <c r="N141" s="11">
        <v>-0.24</v>
      </c>
      <c r="O141" s="11">
        <v>0</v>
      </c>
      <c r="P141" s="11">
        <v>0.17</v>
      </c>
      <c r="Q141" s="11">
        <v>0</v>
      </c>
      <c r="R141" s="11">
        <v>0</v>
      </c>
      <c r="S141" s="11">
        <v>0</v>
      </c>
      <c r="T141" s="11">
        <v>0</v>
      </c>
      <c r="U141" s="11">
        <v>-0.32</v>
      </c>
      <c r="V141" s="11">
        <v>0</v>
      </c>
      <c r="W141" s="11">
        <v>-0.57299999999999995</v>
      </c>
      <c r="X141" s="11">
        <v>5.1004465167360999E-3</v>
      </c>
      <c r="Y141" s="11">
        <v>0.378</v>
      </c>
      <c r="Z141" s="11">
        <v>4.4999999999999998E-2</v>
      </c>
      <c r="AA141" s="11">
        <v>0.17299999999999999</v>
      </c>
      <c r="AB141" s="11">
        <v>0</v>
      </c>
      <c r="AC141" s="11">
        <v>0.03</v>
      </c>
      <c r="AD141" s="10">
        <v>0.35</v>
      </c>
      <c r="AE141" s="11">
        <v>0</v>
      </c>
      <c r="AF141" s="11">
        <v>0.17</v>
      </c>
      <c r="AG141" s="11">
        <v>0.56999999999999995</v>
      </c>
      <c r="AH141" s="11">
        <v>0</v>
      </c>
      <c r="AI141" s="11">
        <v>0.37</v>
      </c>
      <c r="AJ141" s="11">
        <v>0</v>
      </c>
    </row>
    <row r="142" spans="4:36">
      <c r="D142" s="10">
        <v>41306</v>
      </c>
      <c r="E142" s="11">
        <v>5.1822218060747702E-2</v>
      </c>
      <c r="F142" s="11">
        <v>4.8285</v>
      </c>
      <c r="G142" s="11">
        <v>0.17</v>
      </c>
      <c r="H142" s="11">
        <v>-0.13</v>
      </c>
      <c r="I142" s="11">
        <v>5.0000000000000001E-3</v>
      </c>
      <c r="J142" s="11">
        <v>0.17</v>
      </c>
      <c r="K142" s="11">
        <v>-7.0000000000000007E-2</v>
      </c>
      <c r="L142" s="11">
        <v>5.0000000000000001E-3</v>
      </c>
      <c r="M142" s="11">
        <v>0.17</v>
      </c>
      <c r="N142" s="11">
        <v>-0.24</v>
      </c>
      <c r="O142" s="11">
        <v>0</v>
      </c>
      <c r="P142" s="11">
        <v>0.17</v>
      </c>
      <c r="Q142" s="11">
        <v>0</v>
      </c>
      <c r="R142" s="11">
        <v>0</v>
      </c>
      <c r="S142" s="11">
        <v>0</v>
      </c>
      <c r="T142" s="11">
        <v>0</v>
      </c>
      <c r="U142" s="11">
        <v>-0.32</v>
      </c>
      <c r="V142" s="11">
        <v>0</v>
      </c>
      <c r="W142" s="11">
        <v>-0.57299999999999995</v>
      </c>
      <c r="X142" s="11">
        <v>5.0980140774893002E-3</v>
      </c>
      <c r="Y142" s="11">
        <v>0.248</v>
      </c>
      <c r="Z142" s="11">
        <v>4.4999999999999998E-2</v>
      </c>
      <c r="AA142" s="11">
        <v>0.17299999999999999</v>
      </c>
      <c r="AB142" s="11">
        <v>0</v>
      </c>
      <c r="AC142" s="11">
        <v>0.03</v>
      </c>
      <c r="AD142" s="10">
        <v>0.35</v>
      </c>
      <c r="AE142" s="11">
        <v>0</v>
      </c>
      <c r="AF142" s="11">
        <v>0.17</v>
      </c>
      <c r="AG142" s="11">
        <v>0.56999999999999995</v>
      </c>
      <c r="AH142" s="11">
        <v>0</v>
      </c>
      <c r="AI142" s="11">
        <v>0.37</v>
      </c>
      <c r="AJ142" s="11">
        <v>0</v>
      </c>
    </row>
    <row r="143" spans="4:36">
      <c r="D143" s="10">
        <v>41334</v>
      </c>
      <c r="E143" s="11">
        <v>5.1871843901664799E-2</v>
      </c>
      <c r="F143" s="11">
        <v>4.6894999999999998</v>
      </c>
      <c r="G143" s="11">
        <v>0.17</v>
      </c>
      <c r="H143" s="11">
        <v>-0.13</v>
      </c>
      <c r="I143" s="11">
        <v>5.0000000000000001E-3</v>
      </c>
      <c r="J143" s="11">
        <v>0.17</v>
      </c>
      <c r="K143" s="11">
        <v>-7.0000000000000007E-2</v>
      </c>
      <c r="L143" s="11">
        <v>5.0000000000000001E-3</v>
      </c>
      <c r="M143" s="11">
        <v>0.17</v>
      </c>
      <c r="N143" s="11">
        <v>-0.24</v>
      </c>
      <c r="O143" s="11">
        <v>0</v>
      </c>
      <c r="P143" s="11">
        <v>0.17</v>
      </c>
      <c r="Q143" s="11">
        <v>0</v>
      </c>
      <c r="R143" s="11">
        <v>0</v>
      </c>
      <c r="S143" s="11">
        <v>0</v>
      </c>
      <c r="T143" s="11">
        <v>0</v>
      </c>
      <c r="U143" s="11">
        <v>-0.32</v>
      </c>
      <c r="V143" s="11">
        <v>0</v>
      </c>
      <c r="W143" s="11">
        <v>-0.57299999999999995</v>
      </c>
      <c r="X143" s="11">
        <v>5.0958056147555999E-3</v>
      </c>
      <c r="Y143" s="11">
        <v>6.8000000000000005E-2</v>
      </c>
      <c r="Z143" s="11">
        <v>4.4999999999999998E-2</v>
      </c>
      <c r="AA143" s="11">
        <v>0.17299999999999999</v>
      </c>
      <c r="AB143" s="11">
        <v>0</v>
      </c>
      <c r="AC143" s="11">
        <v>0.03</v>
      </c>
      <c r="AD143" s="10">
        <v>0.35</v>
      </c>
      <c r="AE143" s="11">
        <v>0</v>
      </c>
      <c r="AF143" s="11">
        <v>0.17</v>
      </c>
      <c r="AG143" s="11">
        <v>0.56999999999999995</v>
      </c>
      <c r="AH143" s="11">
        <v>0</v>
      </c>
      <c r="AI143" s="11">
        <v>0.37</v>
      </c>
      <c r="AJ143" s="11">
        <v>0</v>
      </c>
    </row>
    <row r="144" spans="4:36">
      <c r="D144" s="10">
        <v>41365</v>
      </c>
      <c r="E144" s="11">
        <v>5.1926786797924097E-2</v>
      </c>
      <c r="F144" s="11">
        <v>4.5354999999999999</v>
      </c>
      <c r="G144" s="11">
        <v>0.17</v>
      </c>
      <c r="H144" s="11">
        <v>-0.2</v>
      </c>
      <c r="I144" s="11">
        <v>2.5000000000000001E-3</v>
      </c>
      <c r="J144" s="11">
        <v>0.17</v>
      </c>
      <c r="K144" s="11">
        <v>-7.0000000000000007E-2</v>
      </c>
      <c r="L144" s="11">
        <v>5.0000000000000001E-3</v>
      </c>
      <c r="M144" s="11">
        <v>0.17</v>
      </c>
      <c r="N144" s="11">
        <v>-0.32</v>
      </c>
      <c r="O144" s="11">
        <v>0</v>
      </c>
      <c r="P144" s="11">
        <v>0.17</v>
      </c>
      <c r="Q144" s="11">
        <v>0</v>
      </c>
      <c r="R144" s="11">
        <v>0</v>
      </c>
      <c r="S144" s="11">
        <v>0</v>
      </c>
      <c r="T144" s="11">
        <v>0</v>
      </c>
      <c r="U144" s="11">
        <v>-0.4</v>
      </c>
      <c r="V144" s="11">
        <v>0</v>
      </c>
      <c r="W144" s="11">
        <v>-0.67300000000000004</v>
      </c>
      <c r="X144" s="11">
        <v>1.5916712207465001E-3</v>
      </c>
      <c r="Y144" s="11">
        <v>-0.25</v>
      </c>
      <c r="Z144" s="11">
        <v>0.01</v>
      </c>
      <c r="AA144" s="11">
        <v>0.17299999999999999</v>
      </c>
      <c r="AB144" s="11">
        <v>0</v>
      </c>
      <c r="AC144" s="11">
        <v>0.03</v>
      </c>
      <c r="AD144" s="10">
        <v>0.43</v>
      </c>
      <c r="AE144" s="11">
        <v>0</v>
      </c>
      <c r="AF144" s="11">
        <v>0.17</v>
      </c>
      <c r="AG144" s="11">
        <v>0.44</v>
      </c>
      <c r="AH144" s="11">
        <v>0</v>
      </c>
      <c r="AI144" s="11">
        <v>0.24</v>
      </c>
      <c r="AJ144" s="11">
        <v>0</v>
      </c>
    </row>
    <row r="145" spans="4:36">
      <c r="D145" s="10">
        <v>41395</v>
      </c>
      <c r="E145" s="11">
        <v>5.1979957343649498E-2</v>
      </c>
      <c r="F145" s="11">
        <v>4.5395000000000003</v>
      </c>
      <c r="G145" s="11">
        <v>0.17</v>
      </c>
      <c r="H145" s="11">
        <v>-0.2</v>
      </c>
      <c r="I145" s="11">
        <v>2.5000000000000001E-3</v>
      </c>
      <c r="J145" s="11">
        <v>0.17</v>
      </c>
      <c r="K145" s="11">
        <v>-7.0000000000000007E-2</v>
      </c>
      <c r="L145" s="11">
        <v>5.0000000000000001E-3</v>
      </c>
      <c r="M145" s="11">
        <v>0.17</v>
      </c>
      <c r="N145" s="11">
        <v>-0.32</v>
      </c>
      <c r="O145" s="11">
        <v>0</v>
      </c>
      <c r="P145" s="11">
        <v>0.17</v>
      </c>
      <c r="Q145" s="11">
        <v>0</v>
      </c>
      <c r="R145" s="11">
        <v>0</v>
      </c>
      <c r="S145" s="11">
        <v>0</v>
      </c>
      <c r="T145" s="11">
        <v>0</v>
      </c>
      <c r="U145" s="11">
        <v>-0.4</v>
      </c>
      <c r="V145" s="11">
        <v>0</v>
      </c>
      <c r="W145" s="11">
        <v>-0.67300000000000004</v>
      </c>
      <c r="X145" s="11">
        <v>1.5909240209862E-3</v>
      </c>
      <c r="Y145" s="11">
        <v>-0.1</v>
      </c>
      <c r="Z145" s="11">
        <v>0.01</v>
      </c>
      <c r="AA145" s="11">
        <v>0.17299999999999999</v>
      </c>
      <c r="AB145" s="11">
        <v>0</v>
      </c>
      <c r="AC145" s="11">
        <v>0.03</v>
      </c>
      <c r="AD145" s="10">
        <v>0.43</v>
      </c>
      <c r="AE145" s="11">
        <v>0</v>
      </c>
      <c r="AF145" s="11">
        <v>0.17</v>
      </c>
      <c r="AG145" s="11">
        <v>0.44</v>
      </c>
      <c r="AH145" s="11">
        <v>0</v>
      </c>
      <c r="AI145" s="11">
        <v>0.24</v>
      </c>
      <c r="AJ145" s="11">
        <v>0</v>
      </c>
    </row>
    <row r="146" spans="4:36">
      <c r="D146" s="10">
        <v>41426</v>
      </c>
      <c r="E146" s="11">
        <v>5.2034900241890301E-2</v>
      </c>
      <c r="F146" s="11">
        <v>4.5795000000000003</v>
      </c>
      <c r="G146" s="11">
        <v>0.17</v>
      </c>
      <c r="H146" s="11">
        <v>-0.2</v>
      </c>
      <c r="I146" s="11">
        <v>2.5000000000000001E-3</v>
      </c>
      <c r="J146" s="11">
        <v>0.17</v>
      </c>
      <c r="K146" s="11">
        <v>-7.0000000000000007E-2</v>
      </c>
      <c r="L146" s="11">
        <v>5.0000000000000001E-3</v>
      </c>
      <c r="M146" s="11">
        <v>0.17</v>
      </c>
      <c r="N146" s="11">
        <v>-0.32</v>
      </c>
      <c r="O146" s="11">
        <v>0</v>
      </c>
      <c r="P146" s="11">
        <v>0.17</v>
      </c>
      <c r="Q146" s="11">
        <v>0</v>
      </c>
      <c r="R146" s="11">
        <v>0</v>
      </c>
      <c r="S146" s="11">
        <v>0</v>
      </c>
      <c r="T146" s="11">
        <v>0</v>
      </c>
      <c r="U146" s="11">
        <v>-0.4</v>
      </c>
      <c r="V146" s="11">
        <v>0</v>
      </c>
      <c r="W146" s="11">
        <v>-0.67300000000000004</v>
      </c>
      <c r="X146" s="11">
        <v>1.5901478486339E-3</v>
      </c>
      <c r="Y146" s="11">
        <v>-0.1</v>
      </c>
      <c r="Z146" s="11">
        <v>0.01</v>
      </c>
      <c r="AA146" s="11">
        <v>0.17299999999999999</v>
      </c>
      <c r="AB146" s="11">
        <v>0</v>
      </c>
      <c r="AC146" s="11">
        <v>0.03</v>
      </c>
      <c r="AD146" s="10">
        <v>0.43</v>
      </c>
      <c r="AE146" s="11">
        <v>0</v>
      </c>
      <c r="AF146" s="11">
        <v>0.17</v>
      </c>
      <c r="AG146" s="11">
        <v>0.44</v>
      </c>
      <c r="AH146" s="11">
        <v>0</v>
      </c>
      <c r="AI146" s="11">
        <v>0.24</v>
      </c>
      <c r="AJ146" s="11">
        <v>0</v>
      </c>
    </row>
    <row r="147" spans="4:36">
      <c r="D147" s="10">
        <v>41456</v>
      </c>
      <c r="E147" s="11">
        <v>5.2088070789533703E-2</v>
      </c>
      <c r="F147" s="11">
        <v>4.6245000000000003</v>
      </c>
      <c r="G147" s="11">
        <v>0.17</v>
      </c>
      <c r="H147" s="11">
        <v>-0.2</v>
      </c>
      <c r="I147" s="11">
        <v>2.5000000000000001E-3</v>
      </c>
      <c r="J147" s="11">
        <v>0.17</v>
      </c>
      <c r="K147" s="11">
        <v>-7.0000000000000007E-2</v>
      </c>
      <c r="L147" s="11">
        <v>5.0000000000000001E-3</v>
      </c>
      <c r="M147" s="11">
        <v>0.17</v>
      </c>
      <c r="N147" s="11">
        <v>-0.32</v>
      </c>
      <c r="O147" s="11">
        <v>0</v>
      </c>
      <c r="P147" s="11">
        <v>0.17</v>
      </c>
      <c r="Q147" s="11">
        <v>0</v>
      </c>
      <c r="R147" s="11">
        <v>0</v>
      </c>
      <c r="S147" s="11">
        <v>0</v>
      </c>
      <c r="T147" s="11">
        <v>0</v>
      </c>
      <c r="U147" s="11">
        <v>-0.4</v>
      </c>
      <c r="V147" s="11">
        <v>0</v>
      </c>
      <c r="W147" s="11">
        <v>-0.67300000000000004</v>
      </c>
      <c r="X147" s="11">
        <v>1.5893927856914E-3</v>
      </c>
      <c r="Y147" s="11">
        <v>-0.1</v>
      </c>
      <c r="Z147" s="11">
        <v>0.01</v>
      </c>
      <c r="AA147" s="11">
        <v>0.17299999999999999</v>
      </c>
      <c r="AB147" s="11">
        <v>0</v>
      </c>
      <c r="AC147" s="11">
        <v>0.03</v>
      </c>
      <c r="AD147" s="10">
        <v>0.43</v>
      </c>
      <c r="AE147" s="11">
        <v>0</v>
      </c>
      <c r="AF147" s="11">
        <v>0.17</v>
      </c>
      <c r="AG147" s="11">
        <v>0.44</v>
      </c>
      <c r="AH147" s="11">
        <v>0</v>
      </c>
      <c r="AI147" s="11">
        <v>0.24</v>
      </c>
      <c r="AJ147" s="11">
        <v>0</v>
      </c>
    </row>
    <row r="148" spans="4:36">
      <c r="D148" s="10">
        <v>41487</v>
      </c>
      <c r="E148" s="11">
        <v>5.2143013689755199E-2</v>
      </c>
      <c r="F148" s="11">
        <v>4.6635</v>
      </c>
      <c r="G148" s="11">
        <v>0.17</v>
      </c>
      <c r="H148" s="11">
        <v>-0.2</v>
      </c>
      <c r="I148" s="11">
        <v>2.5000000000000001E-3</v>
      </c>
      <c r="J148" s="11">
        <v>0.17</v>
      </c>
      <c r="K148" s="11">
        <v>-7.0000000000000007E-2</v>
      </c>
      <c r="L148" s="11">
        <v>5.0000000000000001E-3</v>
      </c>
      <c r="M148" s="11">
        <v>0.17</v>
      </c>
      <c r="N148" s="11">
        <v>-0.32</v>
      </c>
      <c r="O148" s="11">
        <v>0</v>
      </c>
      <c r="P148" s="11">
        <v>0.17</v>
      </c>
      <c r="Q148" s="11">
        <v>0</v>
      </c>
      <c r="R148" s="11">
        <v>0</v>
      </c>
      <c r="S148" s="11">
        <v>0</v>
      </c>
      <c r="T148" s="11">
        <v>0</v>
      </c>
      <c r="U148" s="11">
        <v>-0.4</v>
      </c>
      <c r="V148" s="11">
        <v>0</v>
      </c>
      <c r="W148" s="11">
        <v>-0.67300000000000004</v>
      </c>
      <c r="X148" s="11">
        <v>1.5886085013096999E-3</v>
      </c>
      <c r="Y148" s="11">
        <v>-0.1</v>
      </c>
      <c r="Z148" s="11">
        <v>0.01</v>
      </c>
      <c r="AA148" s="11">
        <v>0.17299999999999999</v>
      </c>
      <c r="AB148" s="11">
        <v>0</v>
      </c>
      <c r="AC148" s="11">
        <v>0.03</v>
      </c>
      <c r="AD148" s="10">
        <v>0.43</v>
      </c>
      <c r="AE148" s="11">
        <v>0</v>
      </c>
      <c r="AF148" s="11">
        <v>0.17</v>
      </c>
      <c r="AG148" s="11">
        <v>0.44</v>
      </c>
      <c r="AH148" s="11">
        <v>0</v>
      </c>
      <c r="AI148" s="11">
        <v>0.24</v>
      </c>
      <c r="AJ148" s="11">
        <v>0</v>
      </c>
    </row>
    <row r="149" spans="4:36">
      <c r="D149" s="10">
        <v>41518</v>
      </c>
      <c r="E149" s="11">
        <v>5.2197956590984203E-2</v>
      </c>
      <c r="F149" s="11">
        <v>4.6574999999999998</v>
      </c>
      <c r="G149" s="11">
        <v>0.17</v>
      </c>
      <c r="H149" s="11">
        <v>-0.2</v>
      </c>
      <c r="I149" s="11">
        <v>2.5000000000000001E-3</v>
      </c>
      <c r="J149" s="11">
        <v>0.17</v>
      </c>
      <c r="K149" s="11">
        <v>-7.0000000000000007E-2</v>
      </c>
      <c r="L149" s="11">
        <v>5.0000000000000001E-3</v>
      </c>
      <c r="M149" s="11">
        <v>0.17</v>
      </c>
      <c r="N149" s="11">
        <v>-0.32</v>
      </c>
      <c r="O149" s="11">
        <v>0</v>
      </c>
      <c r="P149" s="11">
        <v>0.17</v>
      </c>
      <c r="Q149" s="11">
        <v>0</v>
      </c>
      <c r="R149" s="11">
        <v>0</v>
      </c>
      <c r="S149" s="11">
        <v>0</v>
      </c>
      <c r="T149" s="11">
        <v>0</v>
      </c>
      <c r="U149" s="11">
        <v>-0.4</v>
      </c>
      <c r="V149" s="11">
        <v>0</v>
      </c>
      <c r="W149" s="11">
        <v>-0.67300000000000004</v>
      </c>
      <c r="X149" s="11">
        <v>1.587820104637E-3</v>
      </c>
      <c r="Y149" s="11">
        <v>-0.1</v>
      </c>
      <c r="Z149" s="11">
        <v>0.01</v>
      </c>
      <c r="AA149" s="11">
        <v>0.17299999999999999</v>
      </c>
      <c r="AB149" s="11">
        <v>0</v>
      </c>
      <c r="AC149" s="11">
        <v>0.03</v>
      </c>
      <c r="AD149" s="10">
        <v>0.43</v>
      </c>
      <c r="AE149" s="11">
        <v>0</v>
      </c>
      <c r="AF149" s="11">
        <v>0.17</v>
      </c>
      <c r="AG149" s="11">
        <v>0.44</v>
      </c>
      <c r="AH149" s="11">
        <v>0</v>
      </c>
      <c r="AI149" s="11">
        <v>0.24</v>
      </c>
      <c r="AJ149" s="11">
        <v>0</v>
      </c>
    </row>
    <row r="150" spans="4:36">
      <c r="D150" s="10">
        <v>41548</v>
      </c>
      <c r="E150" s="11">
        <v>5.2251127141519103E-2</v>
      </c>
      <c r="F150" s="11">
        <v>4.6675000000000004</v>
      </c>
      <c r="G150" s="11">
        <v>0.17</v>
      </c>
      <c r="H150" s="11">
        <v>-0.2</v>
      </c>
      <c r="I150" s="11">
        <v>2.5000000000000001E-3</v>
      </c>
      <c r="J150" s="11">
        <v>0.17</v>
      </c>
      <c r="K150" s="11">
        <v>-7.0000000000000007E-2</v>
      </c>
      <c r="L150" s="11">
        <v>5.0000000000000001E-3</v>
      </c>
      <c r="M150" s="11">
        <v>0.17</v>
      </c>
      <c r="N150" s="11">
        <v>-0.32</v>
      </c>
      <c r="O150" s="11">
        <v>0</v>
      </c>
      <c r="P150" s="11">
        <v>0.17</v>
      </c>
      <c r="Q150" s="11">
        <v>0</v>
      </c>
      <c r="R150" s="11">
        <v>0</v>
      </c>
      <c r="S150" s="11">
        <v>0</v>
      </c>
      <c r="T150" s="11">
        <v>0</v>
      </c>
      <c r="U150" s="11">
        <v>-0.4</v>
      </c>
      <c r="V150" s="11">
        <v>0</v>
      </c>
      <c r="W150" s="11">
        <v>-0.67300000000000004</v>
      </c>
      <c r="X150" s="11">
        <v>1.5870532311885999E-3</v>
      </c>
      <c r="Y150" s="11">
        <v>-0.1</v>
      </c>
      <c r="Z150" s="11">
        <v>0.01</v>
      </c>
      <c r="AA150" s="11">
        <v>0.17299999999999999</v>
      </c>
      <c r="AB150" s="11">
        <v>0</v>
      </c>
      <c r="AC150" s="11">
        <v>0.03</v>
      </c>
      <c r="AD150" s="10">
        <v>0.43</v>
      </c>
      <c r="AE150" s="11">
        <v>0</v>
      </c>
      <c r="AF150" s="11">
        <v>0.17</v>
      </c>
      <c r="AG150" s="11">
        <v>0.44</v>
      </c>
      <c r="AH150" s="11">
        <v>0</v>
      </c>
      <c r="AI150" s="11">
        <v>0.24</v>
      </c>
      <c r="AJ150" s="11">
        <v>0</v>
      </c>
    </row>
    <row r="151" spans="4:36">
      <c r="D151" s="10">
        <v>41579</v>
      </c>
      <c r="E151" s="11">
        <v>5.2306070044728897E-2</v>
      </c>
      <c r="F151" s="11">
        <v>4.8274999999999997</v>
      </c>
      <c r="G151" s="11">
        <v>0.17</v>
      </c>
      <c r="H151" s="11">
        <v>-0.13</v>
      </c>
      <c r="I151" s="11">
        <v>5.0000000000000001E-3</v>
      </c>
      <c r="J151" s="11">
        <v>0.17</v>
      </c>
      <c r="K151" s="11">
        <v>-7.0000000000000007E-2</v>
      </c>
      <c r="L151" s="11">
        <v>5.0000000000000001E-3</v>
      </c>
      <c r="M151" s="11">
        <v>0.17</v>
      </c>
      <c r="N151" s="11">
        <v>-0.24</v>
      </c>
      <c r="O151" s="11">
        <v>0</v>
      </c>
      <c r="P151" s="11">
        <v>0.17</v>
      </c>
      <c r="Q151" s="11">
        <v>0</v>
      </c>
      <c r="R151" s="11">
        <v>0</v>
      </c>
      <c r="S151" s="11">
        <v>0</v>
      </c>
      <c r="T151" s="11">
        <v>0</v>
      </c>
      <c r="U151" s="11">
        <v>-0.32</v>
      </c>
      <c r="V151" s="11">
        <v>0</v>
      </c>
      <c r="W151" s="11">
        <v>-0.61299999999999999</v>
      </c>
      <c r="X151" s="11">
        <v>5.0760216410809999E-3</v>
      </c>
      <c r="Y151" s="11">
        <v>0.248</v>
      </c>
      <c r="Z151" s="11">
        <v>4.4999999999999998E-2</v>
      </c>
      <c r="AA151" s="11">
        <v>0.17299999999999999</v>
      </c>
      <c r="AB151" s="11">
        <v>0</v>
      </c>
      <c r="AC151" s="11">
        <v>0.03</v>
      </c>
      <c r="AD151" s="10">
        <v>0.35</v>
      </c>
      <c r="AE151" s="11">
        <v>0</v>
      </c>
      <c r="AF151" s="11">
        <v>0.17</v>
      </c>
      <c r="AG151" s="11">
        <v>0.5</v>
      </c>
      <c r="AH151" s="11">
        <v>0</v>
      </c>
      <c r="AI151" s="11">
        <v>0.3</v>
      </c>
      <c r="AJ151" s="11">
        <v>0</v>
      </c>
    </row>
    <row r="152" spans="4:36">
      <c r="D152" s="10">
        <v>41609</v>
      </c>
      <c r="E152" s="11">
        <v>5.2359240597180903E-2</v>
      </c>
      <c r="F152" s="11">
        <v>4.9814999999999996</v>
      </c>
      <c r="G152" s="11">
        <v>0.17</v>
      </c>
      <c r="H152" s="11">
        <v>-0.13</v>
      </c>
      <c r="I152" s="11">
        <v>5.0000000000000001E-3</v>
      </c>
      <c r="J152" s="11">
        <v>0.17</v>
      </c>
      <c r="K152" s="11">
        <v>-7.0000000000000007E-2</v>
      </c>
      <c r="L152" s="11">
        <v>5.0000000000000001E-3</v>
      </c>
      <c r="M152" s="11">
        <v>0.17</v>
      </c>
      <c r="N152" s="11">
        <v>-0.24</v>
      </c>
      <c r="O152" s="11">
        <v>0</v>
      </c>
      <c r="P152" s="11">
        <v>0.17</v>
      </c>
      <c r="Q152" s="11">
        <v>0</v>
      </c>
      <c r="R152" s="11">
        <v>0</v>
      </c>
      <c r="S152" s="11">
        <v>0</v>
      </c>
      <c r="T152" s="11">
        <v>0</v>
      </c>
      <c r="U152" s="11">
        <v>-0.32</v>
      </c>
      <c r="V152" s="11">
        <v>0</v>
      </c>
      <c r="W152" s="11">
        <v>-0.61299999999999999</v>
      </c>
      <c r="X152" s="11">
        <v>5.0735426916724002E-3</v>
      </c>
      <c r="Y152" s="11">
        <v>0.308</v>
      </c>
      <c r="Z152" s="11">
        <v>4.4999999999999998E-2</v>
      </c>
      <c r="AA152" s="11">
        <v>0.17299999999999999</v>
      </c>
      <c r="AB152" s="11">
        <v>0</v>
      </c>
      <c r="AC152" s="11">
        <v>0.03</v>
      </c>
      <c r="AD152" s="10">
        <v>0.35</v>
      </c>
      <c r="AE152" s="11">
        <v>0</v>
      </c>
      <c r="AF152" s="11">
        <v>0.17</v>
      </c>
      <c r="AG152" s="11">
        <v>0.56999999999999995</v>
      </c>
      <c r="AH152" s="11">
        <v>0</v>
      </c>
      <c r="AI152" s="11">
        <v>0.37</v>
      </c>
      <c r="AJ152" s="11">
        <v>0</v>
      </c>
    </row>
    <row r="153" spans="4:36">
      <c r="D153" s="10">
        <v>41640</v>
      </c>
      <c r="E153" s="11">
        <v>5.2414183502372202E-2</v>
      </c>
      <c r="F153" s="11">
        <v>5.0339999999999998</v>
      </c>
      <c r="G153" s="11">
        <v>0.17</v>
      </c>
      <c r="H153" s="11">
        <v>-0.13</v>
      </c>
      <c r="I153" s="11">
        <v>5.0000000000000001E-3</v>
      </c>
      <c r="J153" s="11">
        <v>0.17</v>
      </c>
      <c r="K153" s="11">
        <v>-7.0000000000000007E-2</v>
      </c>
      <c r="L153" s="11">
        <v>5.0000000000000001E-3</v>
      </c>
      <c r="M153" s="11">
        <v>0.17</v>
      </c>
      <c r="N153" s="11">
        <v>-0.24</v>
      </c>
      <c r="O153" s="11">
        <v>0</v>
      </c>
      <c r="P153" s="11">
        <v>0.17</v>
      </c>
      <c r="Q153" s="11">
        <v>0</v>
      </c>
      <c r="R153" s="11">
        <v>0</v>
      </c>
      <c r="S153" s="11">
        <v>0</v>
      </c>
      <c r="T153" s="11">
        <v>0</v>
      </c>
      <c r="U153" s="11">
        <v>-0.32</v>
      </c>
      <c r="V153" s="11">
        <v>0</v>
      </c>
      <c r="W153" s="11">
        <v>-0.61299999999999999</v>
      </c>
      <c r="X153" s="11">
        <v>5.0709682501349001E-3</v>
      </c>
      <c r="Y153" s="11">
        <v>0.378</v>
      </c>
      <c r="Z153" s="11">
        <v>4.4999999999999998E-2</v>
      </c>
      <c r="AA153" s="11">
        <v>0.17299999999999999</v>
      </c>
      <c r="AB153" s="11">
        <v>0</v>
      </c>
      <c r="AC153" s="11">
        <v>0.03</v>
      </c>
      <c r="AD153" s="10">
        <v>0.35</v>
      </c>
      <c r="AE153" s="11">
        <v>0</v>
      </c>
      <c r="AF153" s="11">
        <v>0.17</v>
      </c>
      <c r="AG153" s="11">
        <v>0.56999999999999995</v>
      </c>
      <c r="AH153" s="11">
        <v>0</v>
      </c>
      <c r="AI153" s="11">
        <v>0.37</v>
      </c>
      <c r="AJ153" s="11">
        <v>0</v>
      </c>
    </row>
    <row r="154" spans="4:36">
      <c r="D154" s="10">
        <v>41671</v>
      </c>
      <c r="E154" s="11">
        <v>5.2469126408569697E-2</v>
      </c>
      <c r="F154" s="11">
        <v>4.9459999999999997</v>
      </c>
      <c r="G154" s="11">
        <v>0.17</v>
      </c>
      <c r="H154" s="11">
        <v>-0.13</v>
      </c>
      <c r="I154" s="11">
        <v>5.0000000000000001E-3</v>
      </c>
      <c r="J154" s="11">
        <v>0.17</v>
      </c>
      <c r="K154" s="11">
        <v>-7.0000000000000007E-2</v>
      </c>
      <c r="L154" s="11">
        <v>5.0000000000000001E-3</v>
      </c>
      <c r="M154" s="11">
        <v>0.17</v>
      </c>
      <c r="N154" s="11">
        <v>-0.24</v>
      </c>
      <c r="O154" s="11">
        <v>0</v>
      </c>
      <c r="P154" s="11">
        <v>0.17</v>
      </c>
      <c r="Q154" s="11">
        <v>0</v>
      </c>
      <c r="R154" s="11">
        <v>0</v>
      </c>
      <c r="S154" s="11">
        <v>0</v>
      </c>
      <c r="T154" s="11">
        <v>0</v>
      </c>
      <c r="U154" s="11">
        <v>-0.32</v>
      </c>
      <c r="V154" s="11">
        <v>0</v>
      </c>
      <c r="W154" s="11">
        <v>-0.61299999999999999</v>
      </c>
      <c r="X154" s="11">
        <v>5.0683807595921998E-3</v>
      </c>
      <c r="Y154" s="11">
        <v>0.248</v>
      </c>
      <c r="Z154" s="11">
        <v>4.4999999999999998E-2</v>
      </c>
      <c r="AA154" s="11">
        <v>0.17299999999999999</v>
      </c>
      <c r="AB154" s="11">
        <v>0</v>
      </c>
      <c r="AC154" s="11">
        <v>0.03</v>
      </c>
      <c r="AD154" s="10">
        <v>0.35</v>
      </c>
      <c r="AE154" s="11">
        <v>0</v>
      </c>
      <c r="AF154" s="11">
        <v>0.17</v>
      </c>
      <c r="AG154" s="11">
        <v>0.56999999999999995</v>
      </c>
      <c r="AH154" s="11">
        <v>0</v>
      </c>
      <c r="AI154" s="11">
        <v>0.37</v>
      </c>
      <c r="AJ154" s="11">
        <v>0</v>
      </c>
    </row>
    <row r="155" spans="4:36">
      <c r="D155" s="10">
        <v>41699</v>
      </c>
      <c r="E155" s="11">
        <v>5.2518752260194201E-2</v>
      </c>
      <c r="F155" s="11">
        <v>4.8070000000000004</v>
      </c>
      <c r="G155" s="11">
        <v>0.17</v>
      </c>
      <c r="H155" s="11">
        <v>-0.13</v>
      </c>
      <c r="I155" s="11">
        <v>5.0000000000000001E-3</v>
      </c>
      <c r="J155" s="11">
        <v>0.17</v>
      </c>
      <c r="K155" s="11">
        <v>-7.0000000000000007E-2</v>
      </c>
      <c r="L155" s="11">
        <v>5.0000000000000001E-3</v>
      </c>
      <c r="M155" s="11">
        <v>0.17</v>
      </c>
      <c r="N155" s="11">
        <v>-0.24</v>
      </c>
      <c r="O155" s="11">
        <v>0</v>
      </c>
      <c r="P155" s="11">
        <v>0.17</v>
      </c>
      <c r="Q155" s="11">
        <v>0</v>
      </c>
      <c r="R155" s="11">
        <v>0</v>
      </c>
      <c r="S155" s="11">
        <v>0</v>
      </c>
      <c r="T155" s="11">
        <v>0</v>
      </c>
      <c r="U155" s="11">
        <v>-0.32</v>
      </c>
      <c r="V155" s="11">
        <v>0</v>
      </c>
      <c r="W155" s="11">
        <v>-0.61299999999999999</v>
      </c>
      <c r="X155" s="11">
        <v>5.0660324742945999E-3</v>
      </c>
      <c r="Y155" s="11">
        <v>6.8000000000000005E-2</v>
      </c>
      <c r="Z155" s="11">
        <v>4.4999999999999998E-2</v>
      </c>
      <c r="AA155" s="11">
        <v>0.17299999999999999</v>
      </c>
      <c r="AB155" s="11">
        <v>0</v>
      </c>
      <c r="AC155" s="11">
        <v>0.03</v>
      </c>
      <c r="AD155" s="10">
        <v>0.35</v>
      </c>
      <c r="AE155" s="11">
        <v>0</v>
      </c>
      <c r="AF155" s="11">
        <v>0.17</v>
      </c>
      <c r="AG155" s="11">
        <v>0.56999999999999995</v>
      </c>
      <c r="AH155" s="11">
        <v>0</v>
      </c>
      <c r="AI155" s="11">
        <v>0.37</v>
      </c>
      <c r="AJ155" s="11">
        <v>0</v>
      </c>
    </row>
    <row r="156" spans="4:36">
      <c r="D156" s="10">
        <v>41730</v>
      </c>
      <c r="E156" s="11">
        <v>5.2573695168308003E-2</v>
      </c>
      <c r="F156" s="11">
        <v>4.6529999999999996</v>
      </c>
      <c r="G156" s="11">
        <v>0.17</v>
      </c>
      <c r="H156" s="11">
        <v>-0.2</v>
      </c>
      <c r="I156" s="11">
        <v>2.5000000000000001E-3</v>
      </c>
      <c r="J156" s="11">
        <v>0.17</v>
      </c>
      <c r="K156" s="11">
        <v>-7.0000000000000007E-2</v>
      </c>
      <c r="L156" s="11">
        <v>5.0000000000000001E-3</v>
      </c>
      <c r="M156" s="11">
        <v>0.17</v>
      </c>
      <c r="N156" s="11">
        <v>-0.32</v>
      </c>
      <c r="O156" s="11">
        <v>0</v>
      </c>
      <c r="P156" s="11">
        <v>0.17</v>
      </c>
      <c r="Q156" s="11">
        <v>0</v>
      </c>
      <c r="R156" s="11">
        <v>0</v>
      </c>
      <c r="S156" s="11">
        <v>0</v>
      </c>
      <c r="T156" s="11">
        <v>0</v>
      </c>
      <c r="U156" s="11">
        <v>-0.4</v>
      </c>
      <c r="V156" s="11">
        <v>0</v>
      </c>
      <c r="W156" s="11">
        <v>-0.71299999999999997</v>
      </c>
      <c r="X156" s="11">
        <v>1.582318815996E-3</v>
      </c>
      <c r="Y156" s="11">
        <v>-0.25</v>
      </c>
      <c r="Z156" s="11">
        <v>0.01</v>
      </c>
      <c r="AA156" s="11">
        <v>0.17299999999999999</v>
      </c>
      <c r="AB156" s="11">
        <v>0</v>
      </c>
      <c r="AC156" s="11">
        <v>0.03</v>
      </c>
      <c r="AD156" s="10">
        <v>0.43</v>
      </c>
      <c r="AE156" s="11">
        <v>0</v>
      </c>
      <c r="AF156" s="11">
        <v>0.17</v>
      </c>
      <c r="AG156" s="11">
        <v>0.44</v>
      </c>
      <c r="AH156" s="11">
        <v>0</v>
      </c>
      <c r="AI156" s="11">
        <v>0.24</v>
      </c>
      <c r="AJ156" s="11">
        <v>0</v>
      </c>
    </row>
    <row r="157" spans="4:36">
      <c r="D157" s="10">
        <v>41760</v>
      </c>
      <c r="E157" s="11">
        <v>5.2626865725505102E-2</v>
      </c>
      <c r="F157" s="11">
        <v>4.657</v>
      </c>
      <c r="G157" s="11">
        <v>0.17</v>
      </c>
      <c r="H157" s="11">
        <v>-0.2</v>
      </c>
      <c r="I157" s="11">
        <v>2.5000000000000001E-3</v>
      </c>
      <c r="J157" s="11">
        <v>0.17</v>
      </c>
      <c r="K157" s="11">
        <v>-7.0000000000000007E-2</v>
      </c>
      <c r="L157" s="11">
        <v>5.0000000000000001E-3</v>
      </c>
      <c r="M157" s="11">
        <v>0.17</v>
      </c>
      <c r="N157" s="11">
        <v>-0.32</v>
      </c>
      <c r="O157" s="11">
        <v>0</v>
      </c>
      <c r="P157" s="11">
        <v>0.17</v>
      </c>
      <c r="Q157" s="11">
        <v>0</v>
      </c>
      <c r="R157" s="11">
        <v>0</v>
      </c>
      <c r="S157" s="11">
        <v>0</v>
      </c>
      <c r="T157" s="11">
        <v>0</v>
      </c>
      <c r="U157" s="11">
        <v>-0.4</v>
      </c>
      <c r="V157" s="11">
        <v>0</v>
      </c>
      <c r="W157" s="11">
        <v>-0.71299999999999997</v>
      </c>
      <c r="X157" s="11">
        <v>1.5815249540166E-3</v>
      </c>
      <c r="Y157" s="11">
        <v>-0.1</v>
      </c>
      <c r="Z157" s="11">
        <v>0.01</v>
      </c>
      <c r="AA157" s="11">
        <v>0.17299999999999999</v>
      </c>
      <c r="AB157" s="11">
        <v>0</v>
      </c>
      <c r="AC157" s="11">
        <v>0.03</v>
      </c>
      <c r="AD157" s="10">
        <v>0.43</v>
      </c>
      <c r="AE157" s="11">
        <v>0</v>
      </c>
      <c r="AF157" s="11">
        <v>0.17</v>
      </c>
      <c r="AG157" s="11">
        <v>0.44</v>
      </c>
      <c r="AH157" s="11">
        <v>0</v>
      </c>
      <c r="AI157" s="11">
        <v>0.24</v>
      </c>
      <c r="AJ157" s="11">
        <v>0</v>
      </c>
    </row>
    <row r="158" spans="4:36">
      <c r="D158" s="10">
        <v>41791</v>
      </c>
      <c r="E158" s="11">
        <v>5.2681808635599597E-2</v>
      </c>
      <c r="F158" s="11">
        <v>4.6970000000000001</v>
      </c>
      <c r="G158" s="11">
        <v>0.17</v>
      </c>
      <c r="H158" s="11">
        <v>-0.2</v>
      </c>
      <c r="I158" s="11">
        <v>2.5000000000000001E-3</v>
      </c>
      <c r="J158" s="11">
        <v>0.17</v>
      </c>
      <c r="K158" s="11">
        <v>-7.0000000000000007E-2</v>
      </c>
      <c r="L158" s="11">
        <v>5.0000000000000001E-3</v>
      </c>
      <c r="M158" s="11">
        <v>0.17</v>
      </c>
      <c r="N158" s="11">
        <v>-0.32</v>
      </c>
      <c r="O158" s="11">
        <v>0</v>
      </c>
      <c r="P158" s="11">
        <v>0.17</v>
      </c>
      <c r="Q158" s="11">
        <v>0</v>
      </c>
      <c r="R158" s="11">
        <v>0</v>
      </c>
      <c r="S158" s="11">
        <v>0</v>
      </c>
      <c r="T158" s="11">
        <v>0</v>
      </c>
      <c r="U158" s="11">
        <v>-0.4</v>
      </c>
      <c r="V158" s="11">
        <v>0</v>
      </c>
      <c r="W158" s="11">
        <v>-0.71299999999999997</v>
      </c>
      <c r="X158" s="11">
        <v>1.5807006451187E-3</v>
      </c>
      <c r="Y158" s="11">
        <v>-0.1</v>
      </c>
      <c r="Z158" s="11">
        <v>0.01</v>
      </c>
      <c r="AA158" s="11">
        <v>0.17299999999999999</v>
      </c>
      <c r="AB158" s="11">
        <v>0</v>
      </c>
      <c r="AC158" s="11">
        <v>0.03</v>
      </c>
      <c r="AD158" s="10">
        <v>0.43</v>
      </c>
      <c r="AE158" s="11">
        <v>0</v>
      </c>
      <c r="AF158" s="11">
        <v>0.17</v>
      </c>
      <c r="AG158" s="11">
        <v>0.44</v>
      </c>
      <c r="AH158" s="11">
        <v>0</v>
      </c>
      <c r="AI158" s="11">
        <v>0.24</v>
      </c>
      <c r="AJ158" s="11">
        <v>0</v>
      </c>
    </row>
    <row r="159" spans="4:36">
      <c r="D159" s="10">
        <v>41821</v>
      </c>
      <c r="E159" s="11">
        <v>5.2734979194714302E-2</v>
      </c>
      <c r="F159" s="11">
        <v>4.742</v>
      </c>
      <c r="G159" s="11">
        <v>0.17</v>
      </c>
      <c r="H159" s="11">
        <v>-0.2</v>
      </c>
      <c r="I159" s="11">
        <v>2.5000000000000001E-3</v>
      </c>
      <c r="J159" s="11">
        <v>0.17</v>
      </c>
      <c r="K159" s="11">
        <v>-7.0000000000000007E-2</v>
      </c>
      <c r="L159" s="11">
        <v>5.0000000000000001E-3</v>
      </c>
      <c r="M159" s="11">
        <v>0.17</v>
      </c>
      <c r="N159" s="11">
        <v>-0.32</v>
      </c>
      <c r="O159" s="11">
        <v>0</v>
      </c>
      <c r="P159" s="11">
        <v>0.17</v>
      </c>
      <c r="Q159" s="11">
        <v>0</v>
      </c>
      <c r="R159" s="11">
        <v>0</v>
      </c>
      <c r="S159" s="11">
        <v>0</v>
      </c>
      <c r="T159" s="11">
        <v>0</v>
      </c>
      <c r="U159" s="11">
        <v>-0.4</v>
      </c>
      <c r="V159" s="11">
        <v>0</v>
      </c>
      <c r="W159" s="11">
        <v>-0.71299999999999997</v>
      </c>
      <c r="X159" s="11">
        <v>1.5798990772227001E-3</v>
      </c>
      <c r="Y159" s="11">
        <v>-0.1</v>
      </c>
      <c r="Z159" s="11">
        <v>0.01</v>
      </c>
      <c r="AA159" s="11">
        <v>0.17299999999999999</v>
      </c>
      <c r="AB159" s="11">
        <v>0</v>
      </c>
      <c r="AC159" s="11">
        <v>0.03</v>
      </c>
      <c r="AD159" s="10">
        <v>0.43</v>
      </c>
      <c r="AE159" s="11">
        <v>0</v>
      </c>
      <c r="AF159" s="11">
        <v>0.17</v>
      </c>
      <c r="AG159" s="11">
        <v>0.44</v>
      </c>
      <c r="AH159" s="11">
        <v>0</v>
      </c>
      <c r="AI159" s="11">
        <v>0.24</v>
      </c>
      <c r="AJ159" s="11">
        <v>0</v>
      </c>
    </row>
    <row r="160" spans="4:36">
      <c r="D160" s="10">
        <v>41852</v>
      </c>
      <c r="E160" s="11">
        <v>5.27899221067889E-2</v>
      </c>
      <c r="F160" s="11">
        <v>4.7809999999999997</v>
      </c>
      <c r="G160" s="11">
        <v>0.17</v>
      </c>
      <c r="H160" s="11">
        <v>-0.2</v>
      </c>
      <c r="I160" s="11">
        <v>2.5000000000000001E-3</v>
      </c>
      <c r="J160" s="11">
        <v>0.17</v>
      </c>
      <c r="K160" s="11">
        <v>-7.0000000000000007E-2</v>
      </c>
      <c r="L160" s="11">
        <v>5.0000000000000001E-3</v>
      </c>
      <c r="M160" s="11">
        <v>0.17</v>
      </c>
      <c r="N160" s="11">
        <v>-0.32</v>
      </c>
      <c r="O160" s="11">
        <v>0</v>
      </c>
      <c r="P160" s="11">
        <v>0.17</v>
      </c>
      <c r="Q160" s="11">
        <v>0</v>
      </c>
      <c r="R160" s="11">
        <v>0</v>
      </c>
      <c r="S160" s="11">
        <v>0</v>
      </c>
      <c r="T160" s="11">
        <v>0</v>
      </c>
      <c r="U160" s="11">
        <v>-0.4</v>
      </c>
      <c r="V160" s="11">
        <v>0</v>
      </c>
      <c r="W160" s="11">
        <v>-0.71299999999999997</v>
      </c>
      <c r="X160" s="11">
        <v>1.5790668194978999E-3</v>
      </c>
      <c r="Y160" s="11">
        <v>-0.1</v>
      </c>
      <c r="Z160" s="11">
        <v>0.01</v>
      </c>
      <c r="AA160" s="11">
        <v>0.17299999999999999</v>
      </c>
      <c r="AB160" s="11">
        <v>0</v>
      </c>
      <c r="AC160" s="11">
        <v>0.03</v>
      </c>
      <c r="AD160" s="10">
        <v>0.43</v>
      </c>
      <c r="AE160" s="11">
        <v>0</v>
      </c>
      <c r="AF160" s="11">
        <v>0.17</v>
      </c>
      <c r="AG160" s="11">
        <v>0.44</v>
      </c>
      <c r="AH160" s="11">
        <v>0</v>
      </c>
      <c r="AI160" s="11">
        <v>0.24</v>
      </c>
      <c r="AJ160" s="11">
        <v>0</v>
      </c>
    </row>
    <row r="161" spans="4:36">
      <c r="D161" s="10">
        <v>41883</v>
      </c>
      <c r="E161" s="11">
        <v>5.28448650198707E-2</v>
      </c>
      <c r="F161" s="11">
        <v>4.7750000000000004</v>
      </c>
      <c r="G161" s="11">
        <v>0.17</v>
      </c>
      <c r="H161" s="11">
        <v>-0.2</v>
      </c>
      <c r="I161" s="11">
        <v>2.5000000000000001E-3</v>
      </c>
      <c r="J161" s="11">
        <v>0.17</v>
      </c>
      <c r="K161" s="11">
        <v>-7.0000000000000007E-2</v>
      </c>
      <c r="L161" s="11">
        <v>5.0000000000000001E-3</v>
      </c>
      <c r="M161" s="11">
        <v>0.17</v>
      </c>
      <c r="N161" s="11">
        <v>-0.32</v>
      </c>
      <c r="O161" s="11">
        <v>0</v>
      </c>
      <c r="P161" s="11">
        <v>0.17</v>
      </c>
      <c r="Q161" s="11">
        <v>0</v>
      </c>
      <c r="R161" s="11">
        <v>0</v>
      </c>
      <c r="S161" s="11">
        <v>0</v>
      </c>
      <c r="T161" s="11">
        <v>0</v>
      </c>
      <c r="U161" s="11">
        <v>-0.4</v>
      </c>
      <c r="V161" s="11">
        <v>0</v>
      </c>
      <c r="W161" s="11">
        <v>-0.71299999999999997</v>
      </c>
      <c r="X161" s="11">
        <v>1.5782305329511E-3</v>
      </c>
      <c r="Y161" s="11">
        <v>-0.1</v>
      </c>
      <c r="Z161" s="11">
        <v>0.01</v>
      </c>
      <c r="AA161" s="11">
        <v>0.17299999999999999</v>
      </c>
      <c r="AB161" s="11">
        <v>0</v>
      </c>
      <c r="AC161" s="11">
        <v>0.03</v>
      </c>
      <c r="AD161" s="10">
        <v>0.43</v>
      </c>
      <c r="AE161" s="11">
        <v>0</v>
      </c>
      <c r="AF161" s="11">
        <v>0.17</v>
      </c>
      <c r="AG161" s="11">
        <v>0.44</v>
      </c>
      <c r="AH161" s="11">
        <v>0</v>
      </c>
      <c r="AI161" s="11">
        <v>0.24</v>
      </c>
      <c r="AJ161" s="11">
        <v>0</v>
      </c>
    </row>
    <row r="162" spans="4:36">
      <c r="D162" s="10">
        <v>41913</v>
      </c>
      <c r="E162" s="11">
        <v>5.2898035581876002E-2</v>
      </c>
      <c r="F162" s="11">
        <v>4.7850000000000001</v>
      </c>
      <c r="G162" s="11">
        <v>0.17</v>
      </c>
      <c r="H162" s="11">
        <v>-0.2</v>
      </c>
      <c r="I162" s="11">
        <v>2.5000000000000001E-3</v>
      </c>
      <c r="J162" s="11">
        <v>0.17</v>
      </c>
      <c r="K162" s="11">
        <v>-7.0000000000000007E-2</v>
      </c>
      <c r="L162" s="11">
        <v>5.0000000000000001E-3</v>
      </c>
      <c r="M162" s="11">
        <v>0.17</v>
      </c>
      <c r="N162" s="11">
        <v>-0.32</v>
      </c>
      <c r="O162" s="11">
        <v>0</v>
      </c>
      <c r="P162" s="11">
        <v>0.17</v>
      </c>
      <c r="Q162" s="11">
        <v>0</v>
      </c>
      <c r="R162" s="11">
        <v>0</v>
      </c>
      <c r="S162" s="11">
        <v>0</v>
      </c>
      <c r="T162" s="11">
        <v>0</v>
      </c>
      <c r="U162" s="11">
        <v>-0.4</v>
      </c>
      <c r="V162" s="11">
        <v>0</v>
      </c>
      <c r="W162" s="11">
        <v>-0.71299999999999997</v>
      </c>
      <c r="X162" s="11">
        <v>1.5774173942722999E-3</v>
      </c>
      <c r="Y162" s="11">
        <v>-0.1</v>
      </c>
      <c r="Z162" s="11">
        <v>0.01</v>
      </c>
      <c r="AA162" s="11">
        <v>0.17299999999999999</v>
      </c>
      <c r="AB162" s="11">
        <v>0</v>
      </c>
      <c r="AC162" s="11">
        <v>0.03</v>
      </c>
      <c r="AD162" s="10">
        <v>0.43</v>
      </c>
      <c r="AE162" s="11">
        <v>0</v>
      </c>
      <c r="AF162" s="11">
        <v>0.17</v>
      </c>
      <c r="AG162" s="11">
        <v>0.44</v>
      </c>
      <c r="AH162" s="11">
        <v>0</v>
      </c>
      <c r="AI162" s="11">
        <v>0.24</v>
      </c>
      <c r="AJ162" s="11">
        <v>0</v>
      </c>
    </row>
    <row r="163" spans="4:36">
      <c r="D163" s="10">
        <v>41944</v>
      </c>
      <c r="E163" s="11">
        <v>5.29529784969376E-2</v>
      </c>
      <c r="F163" s="11">
        <v>4.9450000000000003</v>
      </c>
      <c r="G163" s="11">
        <v>0.17</v>
      </c>
      <c r="H163" s="11">
        <v>-0.13</v>
      </c>
      <c r="I163" s="11">
        <v>5.0000000000000001E-3</v>
      </c>
      <c r="J163" s="11">
        <v>0.17</v>
      </c>
      <c r="K163" s="11">
        <v>-7.0000000000000007E-2</v>
      </c>
      <c r="L163" s="11">
        <v>5.0000000000000001E-3</v>
      </c>
      <c r="M163" s="11">
        <v>0.17</v>
      </c>
      <c r="N163" s="11">
        <v>-0.24</v>
      </c>
      <c r="O163" s="11">
        <v>0</v>
      </c>
      <c r="P163" s="11">
        <v>0.17</v>
      </c>
      <c r="Q163" s="11">
        <v>0</v>
      </c>
      <c r="R163" s="11">
        <v>0</v>
      </c>
      <c r="S163" s="11">
        <v>0</v>
      </c>
      <c r="T163" s="11">
        <v>0</v>
      </c>
      <c r="U163" s="11">
        <v>-0.32</v>
      </c>
      <c r="V163" s="11">
        <v>0</v>
      </c>
      <c r="W163" s="11">
        <v>-0.67300000000000004</v>
      </c>
      <c r="X163" s="11">
        <v>5.0450342442592997E-3</v>
      </c>
      <c r="Y163" s="11">
        <v>0.248</v>
      </c>
      <c r="Z163" s="11">
        <v>4.4999999999999998E-2</v>
      </c>
      <c r="AA163" s="11">
        <v>0.17299999999999999</v>
      </c>
      <c r="AB163" s="11">
        <v>0</v>
      </c>
      <c r="AC163" s="11">
        <v>0.03</v>
      </c>
      <c r="AD163" s="10">
        <v>0.35</v>
      </c>
      <c r="AE163" s="11">
        <v>0</v>
      </c>
      <c r="AF163" s="11">
        <v>0.17</v>
      </c>
      <c r="AG163" s="11">
        <v>0.5</v>
      </c>
      <c r="AH163" s="11">
        <v>0</v>
      </c>
      <c r="AI163" s="11">
        <v>0.3</v>
      </c>
      <c r="AJ163" s="11">
        <v>0</v>
      </c>
    </row>
    <row r="164" spans="4:36">
      <c r="D164" s="10">
        <v>41974</v>
      </c>
      <c r="E164" s="11">
        <v>5.30061490608595E-2</v>
      </c>
      <c r="F164" s="11">
        <v>5.0990000000000002</v>
      </c>
      <c r="G164" s="11">
        <v>0.17</v>
      </c>
      <c r="H164" s="11">
        <v>-0.13</v>
      </c>
      <c r="I164" s="11">
        <v>5.0000000000000001E-3</v>
      </c>
      <c r="J164" s="11">
        <v>0.17</v>
      </c>
      <c r="K164" s="11">
        <v>-7.0000000000000007E-2</v>
      </c>
      <c r="L164" s="11">
        <v>5.0000000000000001E-3</v>
      </c>
      <c r="M164" s="11">
        <v>0.17</v>
      </c>
      <c r="N164" s="11">
        <v>-0.24</v>
      </c>
      <c r="O164" s="11">
        <v>0</v>
      </c>
      <c r="P164" s="11">
        <v>0.17</v>
      </c>
      <c r="Q164" s="11">
        <v>0</v>
      </c>
      <c r="R164" s="11">
        <v>0</v>
      </c>
      <c r="S164" s="11">
        <v>0</v>
      </c>
      <c r="T164" s="11">
        <v>0</v>
      </c>
      <c r="U164" s="11">
        <v>-0.32</v>
      </c>
      <c r="V164" s="11">
        <v>0</v>
      </c>
      <c r="W164" s="11">
        <v>-0.67300000000000004</v>
      </c>
      <c r="X164" s="11">
        <v>5.0424077600815E-3</v>
      </c>
      <c r="Y164" s="11">
        <v>0.308</v>
      </c>
      <c r="Z164" s="11">
        <v>4.4999999999999998E-2</v>
      </c>
      <c r="AA164" s="11">
        <v>0.17299999999999999</v>
      </c>
      <c r="AB164" s="11">
        <v>0</v>
      </c>
      <c r="AC164" s="11">
        <v>0.03</v>
      </c>
      <c r="AD164" s="10">
        <v>0.35</v>
      </c>
      <c r="AE164" s="11">
        <v>0</v>
      </c>
      <c r="AF164" s="11">
        <v>0.17</v>
      </c>
      <c r="AG164" s="11">
        <v>0.56999999999999995</v>
      </c>
      <c r="AH164" s="11">
        <v>0</v>
      </c>
      <c r="AI164" s="11">
        <v>0.37</v>
      </c>
      <c r="AJ164" s="11">
        <v>0</v>
      </c>
    </row>
    <row r="165" spans="4:36">
      <c r="D165" s="10">
        <v>42005</v>
      </c>
      <c r="E165" s="11">
        <v>5.3061091977902201E-2</v>
      </c>
      <c r="F165" s="11">
        <v>5.1515000000000004</v>
      </c>
      <c r="G165" s="11">
        <v>0.17</v>
      </c>
      <c r="H165" s="11">
        <v>-0.13</v>
      </c>
      <c r="I165" s="11">
        <v>0</v>
      </c>
      <c r="J165" s="11">
        <v>0.17</v>
      </c>
      <c r="K165" s="11">
        <v>-7.0000000000000007E-2</v>
      </c>
      <c r="L165" s="11">
        <v>5.0000000000000001E-3</v>
      </c>
      <c r="M165" s="11">
        <v>0.17</v>
      </c>
      <c r="N165" s="11">
        <v>-0.24</v>
      </c>
      <c r="O165" s="11">
        <v>0</v>
      </c>
      <c r="P165" s="11">
        <v>0.17</v>
      </c>
      <c r="Q165" s="11">
        <v>0</v>
      </c>
      <c r="R165" s="11">
        <v>0</v>
      </c>
      <c r="S165" s="11">
        <v>0</v>
      </c>
      <c r="T165" s="11">
        <v>0</v>
      </c>
      <c r="U165" s="11">
        <v>-0.32</v>
      </c>
      <c r="V165" s="11">
        <v>0</v>
      </c>
      <c r="W165" s="11">
        <v>-0.67300000000000004</v>
      </c>
      <c r="X165" s="11">
        <v>5.0396811331405002E-3</v>
      </c>
      <c r="Y165" s="11">
        <v>0.378</v>
      </c>
      <c r="Z165" s="11">
        <v>4.4999999999999998E-2</v>
      </c>
      <c r="AA165" s="11">
        <v>0.17299999999999999</v>
      </c>
      <c r="AB165" s="11">
        <v>0</v>
      </c>
      <c r="AC165" s="11">
        <v>0.03</v>
      </c>
      <c r="AD165" s="10">
        <v>0.35</v>
      </c>
      <c r="AE165" s="11">
        <v>0</v>
      </c>
      <c r="AF165" s="11">
        <v>0.17</v>
      </c>
      <c r="AG165" s="11">
        <v>0.56999999999999995</v>
      </c>
      <c r="AH165" s="11">
        <v>0</v>
      </c>
      <c r="AI165" s="11">
        <v>0.37</v>
      </c>
      <c r="AJ165" s="11">
        <v>0</v>
      </c>
    </row>
    <row r="166" spans="4:36">
      <c r="D166" s="10">
        <v>42036</v>
      </c>
      <c r="E166" s="11">
        <v>5.3116034895951202E-2</v>
      </c>
      <c r="F166" s="11">
        <v>5.0635000000000003</v>
      </c>
      <c r="G166" s="11">
        <v>0.17</v>
      </c>
      <c r="H166" s="11">
        <v>-0.13</v>
      </c>
      <c r="I166" s="11">
        <v>0</v>
      </c>
      <c r="J166" s="11">
        <v>0.17</v>
      </c>
      <c r="K166" s="11">
        <v>-7.0000000000000007E-2</v>
      </c>
      <c r="L166" s="11">
        <v>5.0000000000000001E-3</v>
      </c>
      <c r="M166" s="11">
        <v>0.17</v>
      </c>
      <c r="N166" s="11">
        <v>-0.24</v>
      </c>
      <c r="O166" s="11">
        <v>0</v>
      </c>
      <c r="P166" s="11">
        <v>0.17</v>
      </c>
      <c r="Q166" s="11">
        <v>0</v>
      </c>
      <c r="R166" s="11">
        <v>0</v>
      </c>
      <c r="S166" s="11">
        <v>0</v>
      </c>
      <c r="T166" s="11">
        <v>0</v>
      </c>
      <c r="U166" s="11">
        <v>-0.32</v>
      </c>
      <c r="V166" s="11">
        <v>0</v>
      </c>
      <c r="W166" s="11">
        <v>-0.67300000000000004</v>
      </c>
      <c r="X166" s="11">
        <v>5.0369417298772E-3</v>
      </c>
      <c r="Y166" s="11">
        <v>0.248</v>
      </c>
      <c r="Z166" s="11">
        <v>4.4999999999999998E-2</v>
      </c>
      <c r="AA166" s="11">
        <v>0.17299999999999999</v>
      </c>
      <c r="AB166" s="11">
        <v>0</v>
      </c>
      <c r="AC166" s="11">
        <v>0.03</v>
      </c>
      <c r="AD166" s="10">
        <v>0.35</v>
      </c>
      <c r="AE166" s="11">
        <v>0</v>
      </c>
      <c r="AF166" s="11">
        <v>0.17</v>
      </c>
      <c r="AG166" s="11">
        <v>0.56999999999999995</v>
      </c>
      <c r="AH166" s="11">
        <v>0</v>
      </c>
      <c r="AI166" s="11">
        <v>0.37</v>
      </c>
      <c r="AJ166" s="11">
        <v>0</v>
      </c>
    </row>
    <row r="167" spans="4:36">
      <c r="D167" s="10">
        <v>42064</v>
      </c>
      <c r="E167" s="11">
        <v>5.3165660758279602E-2</v>
      </c>
      <c r="F167" s="11">
        <v>4.9245000000000001</v>
      </c>
      <c r="G167" s="11">
        <v>0.17</v>
      </c>
      <c r="H167" s="11">
        <v>-0.13</v>
      </c>
      <c r="I167" s="11">
        <v>0</v>
      </c>
      <c r="J167" s="11">
        <v>0.17</v>
      </c>
      <c r="K167" s="11">
        <v>-7.0000000000000007E-2</v>
      </c>
      <c r="L167" s="11">
        <v>5.0000000000000001E-3</v>
      </c>
      <c r="M167" s="11">
        <v>0.17</v>
      </c>
      <c r="N167" s="11">
        <v>-0.24</v>
      </c>
      <c r="O167" s="11">
        <v>0</v>
      </c>
      <c r="P167" s="11">
        <v>0.17</v>
      </c>
      <c r="Q167" s="11">
        <v>0</v>
      </c>
      <c r="R167" s="11">
        <v>0</v>
      </c>
      <c r="S167" s="11">
        <v>0</v>
      </c>
      <c r="T167" s="11">
        <v>0</v>
      </c>
      <c r="U167" s="11">
        <v>-0.32</v>
      </c>
      <c r="V167" s="11">
        <v>0</v>
      </c>
      <c r="W167" s="11">
        <v>-0.67300000000000004</v>
      </c>
      <c r="X167" s="11">
        <v>5.0344564683979E-3</v>
      </c>
      <c r="Y167" s="11">
        <v>6.8000000000000005E-2</v>
      </c>
      <c r="Z167" s="11">
        <v>4.4999999999999998E-2</v>
      </c>
      <c r="AA167" s="11">
        <v>0.17299999999999999</v>
      </c>
      <c r="AB167" s="11">
        <v>0</v>
      </c>
      <c r="AC167" s="11">
        <v>0.03</v>
      </c>
      <c r="AD167" s="10">
        <v>0.35</v>
      </c>
      <c r="AE167" s="11">
        <v>0</v>
      </c>
      <c r="AF167" s="11">
        <v>0.17</v>
      </c>
      <c r="AG167" s="11">
        <v>0.56999999999999995</v>
      </c>
      <c r="AH167" s="11">
        <v>0</v>
      </c>
      <c r="AI167" s="11">
        <v>0.37</v>
      </c>
      <c r="AJ167" s="11">
        <v>0</v>
      </c>
    </row>
    <row r="168" spans="4:36">
      <c r="D168" s="10">
        <v>42095</v>
      </c>
      <c r="E168" s="11">
        <v>5.3220603678244299E-2</v>
      </c>
      <c r="F168" s="11">
        <v>4.7705000000000002</v>
      </c>
      <c r="G168" s="11">
        <v>0.17</v>
      </c>
      <c r="H168" s="11">
        <v>-0.2</v>
      </c>
      <c r="I168" s="11">
        <v>0</v>
      </c>
      <c r="J168" s="11">
        <v>0.17</v>
      </c>
      <c r="K168" s="11">
        <v>-7.0000000000000007E-2</v>
      </c>
      <c r="L168" s="11">
        <v>5.0000000000000001E-3</v>
      </c>
      <c r="M168" s="11">
        <v>0.17</v>
      </c>
      <c r="N168" s="11">
        <v>-0.32</v>
      </c>
      <c r="O168" s="11">
        <v>0</v>
      </c>
      <c r="P168" s="11">
        <v>0.17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-0.80800000000000005</v>
      </c>
      <c r="X168" s="11">
        <v>5.0316928146361996E-3</v>
      </c>
      <c r="Y168" s="11">
        <v>-0.25</v>
      </c>
      <c r="Z168" s="11">
        <v>0.01</v>
      </c>
      <c r="AA168" s="11">
        <v>0.17299999999999999</v>
      </c>
      <c r="AB168" s="11">
        <v>0</v>
      </c>
      <c r="AC168" s="11">
        <v>0.03</v>
      </c>
      <c r="AD168" s="10">
        <v>0.43</v>
      </c>
      <c r="AE168" s="11">
        <v>0</v>
      </c>
      <c r="AF168" s="11">
        <v>0.17</v>
      </c>
      <c r="AG168" s="11">
        <v>0.44</v>
      </c>
      <c r="AH168" s="11">
        <v>0</v>
      </c>
      <c r="AI168" s="11">
        <v>0.24</v>
      </c>
      <c r="AJ168" s="11">
        <v>0</v>
      </c>
    </row>
    <row r="169" spans="4:36">
      <c r="D169" s="10">
        <v>42125</v>
      </c>
      <c r="E169" s="11">
        <v>5.32737742469096E-2</v>
      </c>
      <c r="F169" s="11">
        <v>4.7744999999999997</v>
      </c>
      <c r="G169" s="11">
        <v>0.17</v>
      </c>
      <c r="H169" s="11">
        <v>-0.2</v>
      </c>
      <c r="I169" s="11">
        <v>0</v>
      </c>
      <c r="J169" s="11">
        <v>0.17</v>
      </c>
      <c r="K169" s="11">
        <v>-7.0000000000000007E-2</v>
      </c>
      <c r="L169" s="11">
        <v>5.0000000000000001E-3</v>
      </c>
      <c r="M169" s="11">
        <v>0.17</v>
      </c>
      <c r="N169" s="11">
        <v>-0.32</v>
      </c>
      <c r="O169" s="11">
        <v>0</v>
      </c>
      <c r="P169" s="11">
        <v>0.17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-0.80800000000000005</v>
      </c>
      <c r="X169" s="11">
        <v>5.0290062119199997E-3</v>
      </c>
      <c r="Y169" s="11">
        <v>-0.1</v>
      </c>
      <c r="Z169" s="11">
        <v>0.01</v>
      </c>
      <c r="AA169" s="11">
        <v>0.17299999999999999</v>
      </c>
      <c r="AB169" s="11">
        <v>0</v>
      </c>
      <c r="AC169" s="11">
        <v>0.03</v>
      </c>
      <c r="AD169" s="10">
        <v>0.43</v>
      </c>
      <c r="AE169" s="11">
        <v>0</v>
      </c>
      <c r="AF169" s="11">
        <v>0.17</v>
      </c>
      <c r="AG169" s="11">
        <v>0.44</v>
      </c>
      <c r="AH169" s="11">
        <v>0</v>
      </c>
      <c r="AI169" s="11">
        <v>0.24</v>
      </c>
      <c r="AJ169" s="11">
        <v>0</v>
      </c>
    </row>
    <row r="170" spans="4:36">
      <c r="D170" s="10">
        <v>42156</v>
      </c>
      <c r="E170" s="11">
        <v>5.3328717168854102E-2</v>
      </c>
      <c r="F170" s="11">
        <v>4.8144999999999998</v>
      </c>
      <c r="G170" s="11">
        <v>0.17</v>
      </c>
      <c r="H170" s="11">
        <v>-0.2</v>
      </c>
      <c r="I170" s="11">
        <v>0</v>
      </c>
      <c r="J170" s="11">
        <v>0.17</v>
      </c>
      <c r="K170" s="11">
        <v>-7.0000000000000007E-2</v>
      </c>
      <c r="L170" s="11">
        <v>5.0000000000000001E-3</v>
      </c>
      <c r="M170" s="11">
        <v>0.17</v>
      </c>
      <c r="N170" s="11">
        <v>-0.32</v>
      </c>
      <c r="O170" s="11">
        <v>0</v>
      </c>
      <c r="P170" s="11">
        <v>0.17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-0.80800000000000005</v>
      </c>
      <c r="X170" s="11">
        <v>5.0262175767899998E-3</v>
      </c>
      <c r="Y170" s="11">
        <v>-0.1</v>
      </c>
      <c r="Z170" s="11">
        <v>0.01</v>
      </c>
      <c r="AA170" s="11">
        <v>0.17299999999999999</v>
      </c>
      <c r="AB170" s="11">
        <v>0</v>
      </c>
      <c r="AC170" s="11">
        <v>0.03</v>
      </c>
      <c r="AD170" s="10">
        <v>0.43</v>
      </c>
      <c r="AE170" s="11">
        <v>0</v>
      </c>
      <c r="AF170" s="11">
        <v>0.17</v>
      </c>
      <c r="AG170" s="11">
        <v>0.44</v>
      </c>
      <c r="AH170" s="11">
        <v>0</v>
      </c>
      <c r="AI170" s="11">
        <v>0.24</v>
      </c>
      <c r="AJ170" s="11">
        <v>0</v>
      </c>
    </row>
    <row r="171" spans="4:36">
      <c r="D171" s="10">
        <v>42186</v>
      </c>
      <c r="E171" s="11">
        <v>5.3381887739436099E-2</v>
      </c>
      <c r="F171" s="11">
        <v>4.8594999999999997</v>
      </c>
      <c r="G171" s="11">
        <v>0.17</v>
      </c>
      <c r="H171" s="11">
        <v>-0.2</v>
      </c>
      <c r="I171" s="11">
        <v>0</v>
      </c>
      <c r="J171" s="11">
        <v>0.17</v>
      </c>
      <c r="K171" s="11">
        <v>-7.0000000000000007E-2</v>
      </c>
      <c r="L171" s="11">
        <v>5.0000000000000001E-3</v>
      </c>
      <c r="M171" s="11">
        <v>0.17</v>
      </c>
      <c r="N171" s="11">
        <v>-0.32</v>
      </c>
      <c r="O171" s="11">
        <v>0</v>
      </c>
      <c r="P171" s="11">
        <v>0.17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-0.80800000000000005</v>
      </c>
      <c r="X171" s="11">
        <v>5.0235068436619004E-3</v>
      </c>
      <c r="Y171" s="11">
        <v>-0.1</v>
      </c>
      <c r="Z171" s="11">
        <v>0.01</v>
      </c>
      <c r="AA171" s="11">
        <v>0.17299999999999999</v>
      </c>
      <c r="AB171" s="11">
        <v>0</v>
      </c>
      <c r="AC171" s="11">
        <v>0.03</v>
      </c>
      <c r="AD171" s="10">
        <v>0.43</v>
      </c>
      <c r="AE171" s="11">
        <v>0</v>
      </c>
      <c r="AF171" s="11">
        <v>0.17</v>
      </c>
      <c r="AG171" s="11">
        <v>0.44</v>
      </c>
      <c r="AH171" s="11">
        <v>0</v>
      </c>
      <c r="AI171" s="11">
        <v>0.24</v>
      </c>
      <c r="AJ171" s="11">
        <v>0</v>
      </c>
    </row>
    <row r="172" spans="4:36">
      <c r="D172" s="10">
        <v>42217</v>
      </c>
      <c r="E172" s="11">
        <v>5.3436830663360399E-2</v>
      </c>
      <c r="F172" s="11">
        <v>4.8985000000000003</v>
      </c>
      <c r="G172" s="11">
        <v>0.17</v>
      </c>
      <c r="H172" s="11">
        <v>-0.2</v>
      </c>
      <c r="I172" s="11">
        <v>0</v>
      </c>
      <c r="J172" s="11">
        <v>0.17</v>
      </c>
      <c r="K172" s="11">
        <v>-7.0000000000000007E-2</v>
      </c>
      <c r="L172" s="11">
        <v>5.0000000000000001E-3</v>
      </c>
      <c r="M172" s="11">
        <v>0.17</v>
      </c>
      <c r="N172" s="11">
        <v>-0.32</v>
      </c>
      <c r="O172" s="11">
        <v>0</v>
      </c>
      <c r="P172" s="11">
        <v>0.17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-0.80800000000000005</v>
      </c>
      <c r="X172" s="11">
        <v>5.0206933205580997E-3</v>
      </c>
      <c r="Y172" s="11">
        <v>-0.1</v>
      </c>
      <c r="Z172" s="11">
        <v>0.01</v>
      </c>
      <c r="AA172" s="11">
        <v>0.17299999999999999</v>
      </c>
      <c r="AB172" s="11">
        <v>0</v>
      </c>
      <c r="AC172" s="11">
        <v>0.03</v>
      </c>
      <c r="AD172" s="10">
        <v>0.43</v>
      </c>
      <c r="AE172" s="11">
        <v>0</v>
      </c>
      <c r="AF172" s="11">
        <v>0.17</v>
      </c>
      <c r="AG172" s="11">
        <v>0.44</v>
      </c>
      <c r="AH172" s="11">
        <v>0</v>
      </c>
      <c r="AI172" s="11">
        <v>0.24</v>
      </c>
      <c r="AJ172" s="11">
        <v>0</v>
      </c>
    </row>
    <row r="173" spans="4:36">
      <c r="D173" s="10">
        <v>42248</v>
      </c>
      <c r="E173" s="11">
        <v>5.3491773588290902E-2</v>
      </c>
      <c r="F173" s="11">
        <v>4.8925000000000001</v>
      </c>
      <c r="G173" s="11">
        <v>0.17</v>
      </c>
      <c r="H173" s="11">
        <v>-0.2</v>
      </c>
      <c r="I173" s="11">
        <v>0</v>
      </c>
      <c r="J173" s="11">
        <v>0.17</v>
      </c>
      <c r="K173" s="11">
        <v>-7.0000000000000007E-2</v>
      </c>
      <c r="L173" s="11">
        <v>5.0000000000000001E-3</v>
      </c>
      <c r="M173" s="11">
        <v>0.17</v>
      </c>
      <c r="N173" s="11">
        <v>-0.32</v>
      </c>
      <c r="O173" s="11">
        <v>0</v>
      </c>
      <c r="P173" s="11">
        <v>0.17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-0.80800000000000005</v>
      </c>
      <c r="X173" s="11">
        <v>5.0178671854827998E-3</v>
      </c>
      <c r="Y173" s="11">
        <v>-0.1</v>
      </c>
      <c r="Z173" s="11">
        <v>0.01</v>
      </c>
      <c r="AA173" s="11">
        <v>0.17299999999999999</v>
      </c>
      <c r="AB173" s="11">
        <v>0</v>
      </c>
      <c r="AC173" s="11">
        <v>0.03</v>
      </c>
      <c r="AD173" s="10">
        <v>0.43</v>
      </c>
      <c r="AE173" s="11">
        <v>0</v>
      </c>
      <c r="AF173" s="11">
        <v>0.17</v>
      </c>
      <c r="AG173" s="11">
        <v>0.44</v>
      </c>
      <c r="AH173" s="11">
        <v>0</v>
      </c>
      <c r="AI173" s="11">
        <v>0.24</v>
      </c>
      <c r="AJ173" s="11">
        <v>0</v>
      </c>
    </row>
    <row r="174" spans="4:36">
      <c r="D174" s="10">
        <v>42278</v>
      </c>
      <c r="E174" s="11">
        <v>5.3544944161763003E-2</v>
      </c>
      <c r="F174" s="11">
        <v>4.9024999999999999</v>
      </c>
      <c r="G174" s="11">
        <v>0.17</v>
      </c>
      <c r="H174" s="11">
        <v>-0.2</v>
      </c>
      <c r="I174" s="11">
        <v>0</v>
      </c>
      <c r="J174" s="11">
        <v>0.17</v>
      </c>
      <c r="K174" s="11">
        <v>-7.0000000000000007E-2</v>
      </c>
      <c r="L174" s="11">
        <v>5.0000000000000001E-3</v>
      </c>
      <c r="M174" s="11">
        <v>0.17</v>
      </c>
      <c r="N174" s="11">
        <v>-0.32</v>
      </c>
      <c r="O174" s="11">
        <v>0</v>
      </c>
      <c r="P174" s="11">
        <v>0.17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-0.80800000000000005</v>
      </c>
      <c r="X174" s="11">
        <v>5.0151202307518001E-3</v>
      </c>
      <c r="Y174" s="11">
        <v>-0.1</v>
      </c>
      <c r="Z174" s="11">
        <v>0.01</v>
      </c>
      <c r="AA174" s="11">
        <v>0.17299999999999999</v>
      </c>
      <c r="AB174" s="11">
        <v>0</v>
      </c>
      <c r="AC174" s="11">
        <v>0.03</v>
      </c>
      <c r="AD174" s="10">
        <v>0.43</v>
      </c>
      <c r="AE174" s="11">
        <v>0</v>
      </c>
      <c r="AF174" s="11">
        <v>0.17</v>
      </c>
      <c r="AG174" s="11">
        <v>0.44</v>
      </c>
      <c r="AH174" s="11">
        <v>0</v>
      </c>
      <c r="AI174" s="11">
        <v>0.24</v>
      </c>
      <c r="AJ174" s="11">
        <v>0</v>
      </c>
    </row>
    <row r="175" spans="4:36">
      <c r="D175" s="10">
        <v>42309</v>
      </c>
      <c r="E175" s="11">
        <v>5.3599887088673401E-2</v>
      </c>
      <c r="F175" s="11">
        <v>5.0625</v>
      </c>
      <c r="G175" s="11">
        <v>0.17</v>
      </c>
      <c r="H175" s="11">
        <v>-0.13</v>
      </c>
      <c r="I175" s="11">
        <v>0</v>
      </c>
      <c r="J175" s="11">
        <v>0.17</v>
      </c>
      <c r="K175" s="11">
        <v>-7.0000000000000007E-2</v>
      </c>
      <c r="L175" s="11">
        <v>5.0000000000000001E-3</v>
      </c>
      <c r="M175" s="11">
        <v>0.17</v>
      </c>
      <c r="N175" s="11">
        <v>-0.24</v>
      </c>
      <c r="O175" s="11">
        <v>0</v>
      </c>
      <c r="P175" s="11">
        <v>0.17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-0.70799999999999996</v>
      </c>
      <c r="X175" s="11">
        <v>5.0122693498764002E-3</v>
      </c>
      <c r="Y175" s="11">
        <v>0</v>
      </c>
      <c r="Z175" s="11">
        <v>4.4999999999999998E-2</v>
      </c>
      <c r="AA175" s="11">
        <v>0.17299999999999999</v>
      </c>
      <c r="AB175" s="11">
        <v>0</v>
      </c>
      <c r="AC175" s="11">
        <v>0</v>
      </c>
      <c r="AD175" s="10">
        <v>0.35</v>
      </c>
      <c r="AE175" s="11">
        <v>0</v>
      </c>
      <c r="AF175" s="11">
        <v>0.17</v>
      </c>
      <c r="AG175" s="11">
        <v>0.5</v>
      </c>
      <c r="AH175" s="11">
        <v>0</v>
      </c>
      <c r="AI175" s="11">
        <v>0.3</v>
      </c>
      <c r="AJ175" s="11">
        <v>0</v>
      </c>
    </row>
    <row r="176" spans="4:36">
      <c r="D176" s="10">
        <v>42339</v>
      </c>
      <c r="E176" s="11">
        <v>5.3653057664060803E-2</v>
      </c>
      <c r="F176" s="11">
        <v>5.2164999999999999</v>
      </c>
      <c r="G176" s="11">
        <v>0.17</v>
      </c>
      <c r="H176" s="11">
        <v>-0.13</v>
      </c>
      <c r="I176" s="11">
        <v>0</v>
      </c>
      <c r="J176" s="11">
        <v>0.17</v>
      </c>
      <c r="K176" s="11">
        <v>-7.0000000000000007E-2</v>
      </c>
      <c r="L176" s="11">
        <v>5.0000000000000001E-3</v>
      </c>
      <c r="M176" s="11">
        <v>0.17</v>
      </c>
      <c r="N176" s="11">
        <v>-0.24</v>
      </c>
      <c r="O176" s="11">
        <v>0</v>
      </c>
      <c r="P176" s="11">
        <v>0.17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-0.70799999999999996</v>
      </c>
      <c r="X176" s="11">
        <v>5.0094984935451E-3</v>
      </c>
      <c r="Y176" s="11">
        <v>0</v>
      </c>
      <c r="Z176" s="11">
        <v>4.4999999999999998E-2</v>
      </c>
      <c r="AA176" s="11">
        <v>0.17299999999999999</v>
      </c>
      <c r="AB176" s="11">
        <v>0</v>
      </c>
      <c r="AC176" s="11">
        <v>0</v>
      </c>
      <c r="AD176" s="10">
        <v>0.35</v>
      </c>
      <c r="AE176" s="11">
        <v>0</v>
      </c>
      <c r="AF176" s="11">
        <v>0.17</v>
      </c>
      <c r="AG176" s="11">
        <v>0.56999999999999995</v>
      </c>
      <c r="AH176" s="11">
        <v>0</v>
      </c>
      <c r="AI176" s="11">
        <v>0.37</v>
      </c>
      <c r="AJ176" s="11">
        <v>0</v>
      </c>
    </row>
    <row r="177" spans="4:36">
      <c r="D177" s="10">
        <v>42370</v>
      </c>
      <c r="E177" s="11">
        <v>5.3708000592951298E-2</v>
      </c>
      <c r="F177" s="11">
        <v>5.2690000000000001</v>
      </c>
      <c r="G177" s="11">
        <v>0.17</v>
      </c>
      <c r="H177" s="11">
        <v>-0.13</v>
      </c>
      <c r="I177" s="11">
        <v>0</v>
      </c>
      <c r="J177" s="11">
        <v>0.17</v>
      </c>
      <c r="K177" s="11">
        <v>-7.0000000000000007E-2</v>
      </c>
      <c r="L177" s="11">
        <v>5.0000000000000001E-3</v>
      </c>
      <c r="M177" s="11">
        <v>0.17</v>
      </c>
      <c r="N177" s="11">
        <v>-0.24</v>
      </c>
      <c r="O177" s="11">
        <v>0</v>
      </c>
      <c r="P177" s="11">
        <v>0.17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-0.70799999999999996</v>
      </c>
      <c r="X177" s="11">
        <v>5.0066229620017002E-3</v>
      </c>
      <c r="Y177" s="11">
        <v>0</v>
      </c>
      <c r="Z177" s="11">
        <v>4.4999999999999998E-2</v>
      </c>
      <c r="AA177" s="11">
        <v>0.17299999999999999</v>
      </c>
      <c r="AB177" s="11">
        <v>0</v>
      </c>
      <c r="AC177" s="11">
        <v>0</v>
      </c>
      <c r="AD177" s="10">
        <v>0.35</v>
      </c>
      <c r="AE177" s="11">
        <v>0</v>
      </c>
      <c r="AF177" s="11">
        <v>0.17</v>
      </c>
      <c r="AG177" s="11">
        <v>0.56999999999999995</v>
      </c>
      <c r="AH177" s="11">
        <v>0</v>
      </c>
      <c r="AI177" s="11">
        <v>0.37</v>
      </c>
      <c r="AJ177" s="11">
        <v>0</v>
      </c>
    </row>
    <row r="178" spans="4:36">
      <c r="D178" s="10">
        <v>42401</v>
      </c>
      <c r="E178" s="11">
        <v>5.3762943522847703E-2</v>
      </c>
      <c r="F178" s="11">
        <v>5.181</v>
      </c>
      <c r="G178" s="11">
        <v>0.17</v>
      </c>
      <c r="H178" s="11">
        <v>-0.13</v>
      </c>
      <c r="I178" s="11">
        <v>0</v>
      </c>
      <c r="J178" s="11">
        <v>0.17</v>
      </c>
      <c r="K178" s="11">
        <v>-7.0000000000000007E-2</v>
      </c>
      <c r="L178" s="11">
        <v>5.0000000000000001E-3</v>
      </c>
      <c r="M178" s="11">
        <v>0.17</v>
      </c>
      <c r="N178" s="11">
        <v>-0.24</v>
      </c>
      <c r="O178" s="11">
        <v>0</v>
      </c>
      <c r="P178" s="11">
        <v>0.17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-0.70799999999999996</v>
      </c>
      <c r="X178" s="11">
        <v>5.0037349397465004E-3</v>
      </c>
      <c r="Y178" s="11">
        <v>0</v>
      </c>
      <c r="Z178" s="11">
        <v>4.4999999999999998E-2</v>
      </c>
      <c r="AA178" s="11">
        <v>0.17299999999999999</v>
      </c>
      <c r="AB178" s="11">
        <v>0</v>
      </c>
      <c r="AC178" s="11">
        <v>0</v>
      </c>
      <c r="AD178" s="10">
        <v>0.35</v>
      </c>
      <c r="AE178" s="11">
        <v>0</v>
      </c>
      <c r="AF178" s="11">
        <v>0.17</v>
      </c>
      <c r="AG178" s="11">
        <v>0.56999999999999995</v>
      </c>
      <c r="AH178" s="11">
        <v>0</v>
      </c>
      <c r="AI178" s="11">
        <v>0.37</v>
      </c>
      <c r="AJ178" s="11">
        <v>0</v>
      </c>
    </row>
    <row r="179" spans="4:36">
      <c r="D179" s="10">
        <v>42430</v>
      </c>
      <c r="E179" s="11">
        <v>5.3814341748500603E-2</v>
      </c>
      <c r="F179" s="11">
        <v>5.0419999999999998</v>
      </c>
      <c r="G179" s="11">
        <v>0.17</v>
      </c>
      <c r="H179" s="11">
        <v>-0.13</v>
      </c>
      <c r="I179" s="11">
        <v>0</v>
      </c>
      <c r="J179" s="11">
        <v>0.17</v>
      </c>
      <c r="K179" s="11">
        <v>-7.0000000000000007E-2</v>
      </c>
      <c r="L179" s="11">
        <v>5.0000000000000001E-3</v>
      </c>
      <c r="M179" s="11">
        <v>0.17</v>
      </c>
      <c r="N179" s="11">
        <v>-0.24</v>
      </c>
      <c r="O179" s="11">
        <v>0</v>
      </c>
      <c r="P179" s="11">
        <v>0.17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-0.70799999999999996</v>
      </c>
      <c r="X179" s="11">
        <v>5.0010219555779003E-3</v>
      </c>
      <c r="Y179" s="11">
        <v>0</v>
      </c>
      <c r="Z179" s="11">
        <v>4.4999999999999998E-2</v>
      </c>
      <c r="AA179" s="11">
        <v>0.17299999999999999</v>
      </c>
      <c r="AB179" s="11">
        <v>0</v>
      </c>
      <c r="AC179" s="11">
        <v>0</v>
      </c>
      <c r="AD179" s="10">
        <v>0.35</v>
      </c>
      <c r="AE179" s="11">
        <v>0</v>
      </c>
      <c r="AF179" s="11">
        <v>0.17</v>
      </c>
      <c r="AG179" s="11">
        <v>0.56999999999999995</v>
      </c>
      <c r="AH179" s="11">
        <v>0</v>
      </c>
      <c r="AI179" s="11">
        <v>0.37</v>
      </c>
      <c r="AJ179" s="11">
        <v>0</v>
      </c>
    </row>
    <row r="180" spans="4:36">
      <c r="D180" s="10">
        <v>42461</v>
      </c>
      <c r="E180" s="11">
        <v>5.3869284680344402E-2</v>
      </c>
      <c r="F180" s="11">
        <v>4.8879999999999999</v>
      </c>
      <c r="G180" s="11">
        <v>0.17</v>
      </c>
      <c r="H180" s="11">
        <v>-0.2</v>
      </c>
      <c r="I180" s="11">
        <v>0</v>
      </c>
      <c r="J180" s="11">
        <v>0.17</v>
      </c>
      <c r="K180" s="11">
        <v>-7.0000000000000007E-2</v>
      </c>
      <c r="L180" s="11">
        <v>5.0000000000000001E-3</v>
      </c>
      <c r="M180" s="11">
        <v>0.17</v>
      </c>
      <c r="N180" s="11">
        <v>-0.32</v>
      </c>
      <c r="O180" s="11">
        <v>0</v>
      </c>
      <c r="P180" s="11">
        <v>0.17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-0.80800000000000005</v>
      </c>
      <c r="X180" s="11">
        <v>4.9981098283812002E-3</v>
      </c>
      <c r="Y180" s="11">
        <v>0</v>
      </c>
      <c r="Z180" s="11">
        <v>0.01</v>
      </c>
      <c r="AA180" s="11">
        <v>0.17299999999999999</v>
      </c>
      <c r="AB180" s="11">
        <v>0</v>
      </c>
      <c r="AC180" s="11">
        <v>0</v>
      </c>
      <c r="AD180" s="10">
        <v>0.43</v>
      </c>
      <c r="AE180" s="11">
        <v>0</v>
      </c>
      <c r="AF180" s="11">
        <v>0.17</v>
      </c>
      <c r="AG180" s="11">
        <v>0.44</v>
      </c>
      <c r="AH180" s="11">
        <v>0</v>
      </c>
      <c r="AI180" s="11">
        <v>0.24</v>
      </c>
      <c r="AJ180" s="11">
        <v>0</v>
      </c>
    </row>
    <row r="181" spans="4:36">
      <c r="D181" s="10">
        <v>42491</v>
      </c>
      <c r="E181" s="11">
        <v>5.3922455260505799E-2</v>
      </c>
      <c r="F181" s="11">
        <v>4.8920000000000003</v>
      </c>
      <c r="G181" s="11">
        <v>0.17</v>
      </c>
      <c r="H181" s="11">
        <v>-0.2</v>
      </c>
      <c r="I181" s="11">
        <v>0</v>
      </c>
      <c r="J181" s="11">
        <v>0.17</v>
      </c>
      <c r="K181" s="11">
        <v>-7.0000000000000007E-2</v>
      </c>
      <c r="L181" s="11">
        <v>5.0000000000000001E-3</v>
      </c>
      <c r="M181" s="11">
        <v>0.17</v>
      </c>
      <c r="N181" s="11">
        <v>-0.32</v>
      </c>
      <c r="O181" s="11">
        <v>0</v>
      </c>
      <c r="P181" s="11">
        <v>0.17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-0.80800000000000005</v>
      </c>
      <c r="X181" s="11">
        <v>4.9952798173469003E-3</v>
      </c>
      <c r="Y181" s="11">
        <v>0</v>
      </c>
      <c r="Z181" s="11">
        <v>0.01</v>
      </c>
      <c r="AA181" s="11">
        <v>0.17299999999999999</v>
      </c>
      <c r="AB181" s="11">
        <v>0</v>
      </c>
      <c r="AC181" s="11">
        <v>0</v>
      </c>
      <c r="AD181" s="10">
        <v>0.43</v>
      </c>
      <c r="AE181" s="11">
        <v>0</v>
      </c>
      <c r="AF181" s="11">
        <v>0.17</v>
      </c>
      <c r="AG181" s="11">
        <v>0.44</v>
      </c>
      <c r="AH181" s="11">
        <v>0</v>
      </c>
      <c r="AI181" s="11">
        <v>0.24</v>
      </c>
      <c r="AJ181" s="11">
        <v>0</v>
      </c>
    </row>
    <row r="182" spans="4:36">
      <c r="D182" s="10">
        <v>42522</v>
      </c>
      <c r="E182" s="11">
        <v>5.3977398194328799E-2</v>
      </c>
      <c r="F182" s="11">
        <v>4.9320000000000004</v>
      </c>
      <c r="G182" s="11">
        <v>0.17</v>
      </c>
      <c r="H182" s="11">
        <v>-0.2</v>
      </c>
      <c r="I182" s="11">
        <v>0</v>
      </c>
      <c r="J182" s="11">
        <v>0.17</v>
      </c>
      <c r="K182" s="11">
        <v>-7.0000000000000007E-2</v>
      </c>
      <c r="L182" s="11">
        <v>5.0000000000000001E-3</v>
      </c>
      <c r="M182" s="11">
        <v>0.17</v>
      </c>
      <c r="N182" s="11">
        <v>-0.32</v>
      </c>
      <c r="O182" s="11">
        <v>0</v>
      </c>
      <c r="P182" s="11">
        <v>0.17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-0.80800000000000005</v>
      </c>
      <c r="X182" s="11">
        <v>4.9923432794956001E-3</v>
      </c>
      <c r="Y182" s="11">
        <v>0</v>
      </c>
      <c r="Z182" s="11">
        <v>0.01</v>
      </c>
      <c r="AA182" s="11">
        <v>0.17299999999999999</v>
      </c>
      <c r="AB182" s="11">
        <v>0</v>
      </c>
      <c r="AC182" s="11">
        <v>0</v>
      </c>
      <c r="AD182" s="10">
        <v>0.43</v>
      </c>
      <c r="AE182" s="11">
        <v>0</v>
      </c>
      <c r="AF182" s="11">
        <v>0.17</v>
      </c>
      <c r="AG182" s="11">
        <v>0.44</v>
      </c>
      <c r="AH182" s="11">
        <v>0</v>
      </c>
      <c r="AI182" s="11">
        <v>0.24</v>
      </c>
      <c r="AJ182" s="11">
        <v>0</v>
      </c>
    </row>
    <row r="183" spans="4:36">
      <c r="D183" s="10">
        <v>42552</v>
      </c>
      <c r="E183" s="11">
        <v>5.4030568776406003E-2</v>
      </c>
      <c r="F183" s="11">
        <v>4.9770000000000003</v>
      </c>
      <c r="G183" s="11">
        <v>0.17</v>
      </c>
      <c r="H183" s="11">
        <v>-0.2</v>
      </c>
      <c r="I183" s="11">
        <v>0</v>
      </c>
      <c r="J183" s="11">
        <v>0.17</v>
      </c>
      <c r="K183" s="11">
        <v>-7.0000000000000007E-2</v>
      </c>
      <c r="L183" s="11">
        <v>5.0000000000000001E-3</v>
      </c>
      <c r="M183" s="11">
        <v>0.17</v>
      </c>
      <c r="N183" s="11">
        <v>-0.32</v>
      </c>
      <c r="O183" s="11">
        <v>0</v>
      </c>
      <c r="P183" s="11">
        <v>0.17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-0.80800000000000005</v>
      </c>
      <c r="X183" s="11">
        <v>4.9894896923415996E-3</v>
      </c>
      <c r="Y183" s="11">
        <v>0</v>
      </c>
      <c r="Z183" s="11">
        <v>0.01</v>
      </c>
      <c r="AA183" s="11">
        <v>0.17299999999999999</v>
      </c>
      <c r="AB183" s="11">
        <v>0</v>
      </c>
      <c r="AC183" s="11">
        <v>0</v>
      </c>
      <c r="AD183" s="10">
        <v>0.43</v>
      </c>
      <c r="AE183" s="11">
        <v>0</v>
      </c>
      <c r="AF183" s="11">
        <v>0.17</v>
      </c>
      <c r="AG183" s="11">
        <v>0.44</v>
      </c>
      <c r="AH183" s="11">
        <v>0</v>
      </c>
      <c r="AI183" s="11">
        <v>0.24</v>
      </c>
      <c r="AJ183" s="11">
        <v>0</v>
      </c>
    </row>
    <row r="184" spans="4:36">
      <c r="D184" s="10">
        <v>42583</v>
      </c>
      <c r="E184" s="11">
        <v>5.4085511712208802E-2</v>
      </c>
      <c r="F184" s="11">
        <v>5.016</v>
      </c>
      <c r="G184" s="11">
        <v>0.17</v>
      </c>
      <c r="H184" s="11">
        <v>-0.2</v>
      </c>
      <c r="I184" s="11">
        <v>0</v>
      </c>
      <c r="J184" s="11">
        <v>0.17</v>
      </c>
      <c r="K184" s="11">
        <v>-7.0000000000000007E-2</v>
      </c>
      <c r="L184" s="11">
        <v>5.0000000000000001E-3</v>
      </c>
      <c r="M184" s="11">
        <v>0.17</v>
      </c>
      <c r="N184" s="11">
        <v>-0.32</v>
      </c>
      <c r="O184" s="11">
        <v>0</v>
      </c>
      <c r="P184" s="11">
        <v>0.17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-0.80800000000000005</v>
      </c>
      <c r="X184" s="11">
        <v>4.9865288413320002E-3</v>
      </c>
      <c r="Y184" s="11">
        <v>0</v>
      </c>
      <c r="Z184" s="11">
        <v>0.01</v>
      </c>
      <c r="AA184" s="11">
        <v>0.17299999999999999</v>
      </c>
      <c r="AB184" s="11">
        <v>0</v>
      </c>
      <c r="AC184" s="11">
        <v>0</v>
      </c>
      <c r="AD184" s="10">
        <v>0.43</v>
      </c>
      <c r="AE184" s="11">
        <v>0</v>
      </c>
      <c r="AF184" s="11">
        <v>0.17</v>
      </c>
      <c r="AG184" s="11">
        <v>0.44</v>
      </c>
      <c r="AH184" s="11">
        <v>0</v>
      </c>
      <c r="AI184" s="11">
        <v>0.24</v>
      </c>
      <c r="AJ184" s="11">
        <v>0</v>
      </c>
    </row>
    <row r="185" spans="4:36">
      <c r="D185" s="10">
        <v>42614</v>
      </c>
      <c r="E185" s="11">
        <v>5.41404546490174E-2</v>
      </c>
      <c r="F185" s="11">
        <v>5.01</v>
      </c>
      <c r="G185" s="11">
        <v>0.17</v>
      </c>
      <c r="H185" s="11">
        <v>-0.2</v>
      </c>
      <c r="I185" s="11">
        <v>0</v>
      </c>
      <c r="J185" s="11">
        <v>0.17</v>
      </c>
      <c r="K185" s="11">
        <v>-7.0000000000000007E-2</v>
      </c>
      <c r="L185" s="11">
        <v>5.0000000000000001E-3</v>
      </c>
      <c r="M185" s="11">
        <v>0.17</v>
      </c>
      <c r="N185" s="11">
        <v>-0.32</v>
      </c>
      <c r="O185" s="11">
        <v>0</v>
      </c>
      <c r="P185" s="11">
        <v>0.17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-0.80800000000000005</v>
      </c>
      <c r="X185" s="11">
        <v>4.9835556720320999E-3</v>
      </c>
      <c r="Y185" s="11">
        <v>0</v>
      </c>
      <c r="Z185" s="11">
        <v>0.01</v>
      </c>
      <c r="AA185" s="11">
        <v>0.17299999999999999</v>
      </c>
      <c r="AB185" s="11">
        <v>0</v>
      </c>
      <c r="AC185" s="11">
        <v>0</v>
      </c>
      <c r="AD185" s="10">
        <v>0.43</v>
      </c>
      <c r="AE185" s="11">
        <v>0</v>
      </c>
      <c r="AF185" s="11">
        <v>0.17</v>
      </c>
      <c r="AG185" s="11">
        <v>0.44</v>
      </c>
      <c r="AH185" s="11">
        <v>0</v>
      </c>
      <c r="AI185" s="11">
        <v>0.24</v>
      </c>
      <c r="AJ185" s="11">
        <v>0</v>
      </c>
    </row>
    <row r="186" spans="4:36">
      <c r="D186" s="10">
        <v>42644</v>
      </c>
      <c r="E186" s="11">
        <v>5.4193625233983397E-2</v>
      </c>
      <c r="F186" s="11">
        <v>5.0199999999999996</v>
      </c>
      <c r="G186" s="11">
        <v>0.17</v>
      </c>
      <c r="H186" s="11">
        <v>-0.2</v>
      </c>
      <c r="I186" s="11">
        <v>0</v>
      </c>
      <c r="J186" s="11">
        <v>0.17</v>
      </c>
      <c r="K186" s="11">
        <v>-7.0000000000000007E-2</v>
      </c>
      <c r="L186" s="11">
        <v>5.0000000000000001E-3</v>
      </c>
      <c r="M186" s="11">
        <v>0.17</v>
      </c>
      <c r="N186" s="11">
        <v>-0.32</v>
      </c>
      <c r="O186" s="11">
        <v>0</v>
      </c>
      <c r="P186" s="11">
        <v>0.17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-0.80800000000000005</v>
      </c>
      <c r="X186" s="11">
        <v>4.9806667067256996E-3</v>
      </c>
      <c r="Y186" s="11">
        <v>0</v>
      </c>
      <c r="Z186" s="11">
        <v>0.01</v>
      </c>
      <c r="AA186" s="11">
        <v>0.17299999999999999</v>
      </c>
      <c r="AB186" s="11">
        <v>0</v>
      </c>
      <c r="AC186" s="11">
        <v>0</v>
      </c>
      <c r="AD186" s="10">
        <v>0.43</v>
      </c>
      <c r="AE186" s="11">
        <v>0</v>
      </c>
      <c r="AF186" s="11">
        <v>0.17</v>
      </c>
      <c r="AG186" s="11">
        <v>0.44</v>
      </c>
      <c r="AH186" s="11">
        <v>0</v>
      </c>
      <c r="AI186" s="11">
        <v>0.24</v>
      </c>
      <c r="AJ186" s="11">
        <v>0</v>
      </c>
    </row>
    <row r="187" spans="4:36">
      <c r="D187" s="10">
        <v>42675</v>
      </c>
      <c r="E187" s="11">
        <v>5.4248568172770899E-2</v>
      </c>
      <c r="F187" s="11">
        <v>5.18</v>
      </c>
      <c r="G187" s="11">
        <v>0.17</v>
      </c>
      <c r="H187" s="11">
        <v>-0.13</v>
      </c>
      <c r="I187" s="11">
        <v>0</v>
      </c>
      <c r="J187" s="11">
        <v>0.17</v>
      </c>
      <c r="K187" s="11">
        <v>-7.0000000000000007E-2</v>
      </c>
      <c r="L187" s="11">
        <v>5.0000000000000001E-3</v>
      </c>
      <c r="M187" s="11">
        <v>0.17</v>
      </c>
      <c r="N187" s="11">
        <v>-0.24</v>
      </c>
      <c r="O187" s="11">
        <v>0</v>
      </c>
      <c r="P187" s="11">
        <v>0.17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-0.70799999999999996</v>
      </c>
      <c r="X187" s="11">
        <v>4.9776693725672996E-3</v>
      </c>
      <c r="Y187" s="11">
        <v>0</v>
      </c>
      <c r="Z187" s="11">
        <v>4.4999999999999998E-2</v>
      </c>
      <c r="AA187" s="11">
        <v>0.17299999999999999</v>
      </c>
      <c r="AB187" s="11">
        <v>0</v>
      </c>
      <c r="AC187" s="11">
        <v>0</v>
      </c>
      <c r="AD187" s="10">
        <v>0.35</v>
      </c>
      <c r="AE187" s="11">
        <v>0</v>
      </c>
      <c r="AF187" s="11">
        <v>0.17</v>
      </c>
      <c r="AG187" s="11">
        <v>0.5</v>
      </c>
      <c r="AH187" s="11">
        <v>0</v>
      </c>
      <c r="AI187" s="11">
        <v>0.3</v>
      </c>
      <c r="AJ187" s="11">
        <v>0</v>
      </c>
    </row>
    <row r="188" spans="4:36">
      <c r="D188" s="10">
        <v>42705</v>
      </c>
      <c r="E188" s="11">
        <v>5.4301738759652697E-2</v>
      </c>
      <c r="F188" s="11">
        <v>5.3339999999999996</v>
      </c>
      <c r="G188" s="11">
        <v>0.17</v>
      </c>
      <c r="H188" s="11">
        <v>-0.13</v>
      </c>
      <c r="I188" s="11">
        <v>0</v>
      </c>
      <c r="J188" s="11">
        <v>0.17</v>
      </c>
      <c r="K188" s="11">
        <v>-7.0000000000000007E-2</v>
      </c>
      <c r="L188" s="11">
        <v>5.0000000000000001E-3</v>
      </c>
      <c r="M188" s="11">
        <v>0.17</v>
      </c>
      <c r="N188" s="11">
        <v>-0.24</v>
      </c>
      <c r="O188" s="11">
        <v>0</v>
      </c>
      <c r="P188" s="11">
        <v>0.17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-0.70799999999999996</v>
      </c>
      <c r="X188" s="11">
        <v>4.9773047122962004E-3</v>
      </c>
      <c r="Y188" s="11">
        <v>0</v>
      </c>
      <c r="Z188" s="11">
        <v>4.4999999999999998E-2</v>
      </c>
      <c r="AA188" s="11">
        <v>0.17299999999999999</v>
      </c>
      <c r="AB188" s="11">
        <v>0</v>
      </c>
      <c r="AC188" s="11">
        <v>0</v>
      </c>
      <c r="AD188" s="10">
        <v>0.35</v>
      </c>
      <c r="AE188" s="11">
        <v>0</v>
      </c>
      <c r="AF188" s="11">
        <v>0.17</v>
      </c>
      <c r="AG188" s="11">
        <v>0.56999999999999995</v>
      </c>
      <c r="AH188" s="11">
        <v>0</v>
      </c>
      <c r="AI188" s="11">
        <v>0.37</v>
      </c>
      <c r="AJ188" s="11">
        <v>0</v>
      </c>
    </row>
    <row r="189" spans="4:36">
      <c r="D189" s="10">
        <v>42736</v>
      </c>
      <c r="E189" s="11">
        <v>5.4356681700419497E-2</v>
      </c>
      <c r="F189" s="11">
        <v>5.3864999999999998</v>
      </c>
      <c r="G189" s="11">
        <v>0.17</v>
      </c>
      <c r="H189" s="11">
        <v>-0.13</v>
      </c>
      <c r="I189" s="11">
        <v>0</v>
      </c>
      <c r="J189" s="11">
        <v>0.17</v>
      </c>
      <c r="K189" s="11">
        <v>-7.0000000000000007E-2</v>
      </c>
      <c r="L189" s="11">
        <v>5.0000000000000001E-3</v>
      </c>
      <c r="M189" s="11">
        <v>0.17</v>
      </c>
      <c r="N189" s="11">
        <v>-0.24</v>
      </c>
      <c r="O189" s="11">
        <v>0</v>
      </c>
      <c r="P189" s="11">
        <v>0.17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-0.70799999999999996</v>
      </c>
      <c r="X189" s="11">
        <v>4.977605147099E-3</v>
      </c>
      <c r="Y189" s="11">
        <v>0</v>
      </c>
      <c r="Z189" s="11">
        <v>4.4999999999999998E-2</v>
      </c>
      <c r="AA189" s="11">
        <v>0.17299999999999999</v>
      </c>
      <c r="AB189" s="11">
        <v>0</v>
      </c>
      <c r="AC189" s="11">
        <v>0</v>
      </c>
      <c r="AD189" s="10">
        <v>0.35</v>
      </c>
      <c r="AE189" s="11">
        <v>0</v>
      </c>
      <c r="AF189" s="11">
        <v>0.17</v>
      </c>
      <c r="AG189" s="11">
        <v>0.56999999999999995</v>
      </c>
      <c r="AH189" s="11">
        <v>0</v>
      </c>
      <c r="AI189" s="11">
        <v>0.37</v>
      </c>
      <c r="AJ189" s="11">
        <v>0</v>
      </c>
    </row>
    <row r="190" spans="4:36">
      <c r="D190" s="10">
        <v>42767</v>
      </c>
      <c r="E190" s="11">
        <v>5.4411624642192603E-2</v>
      </c>
      <c r="F190" s="11">
        <v>5.2984999999999998</v>
      </c>
      <c r="G190" s="11">
        <v>0.17</v>
      </c>
      <c r="H190" s="11">
        <v>-0.13</v>
      </c>
      <c r="I190" s="11">
        <v>0</v>
      </c>
      <c r="J190" s="11">
        <v>0.17</v>
      </c>
      <c r="K190" s="11">
        <v>-7.0000000000000007E-2</v>
      </c>
      <c r="L190" s="11">
        <v>5.0000000000000001E-3</v>
      </c>
      <c r="M190" s="11">
        <v>0.17</v>
      </c>
      <c r="N190" s="11">
        <v>-0.24</v>
      </c>
      <c r="O190" s="11">
        <v>0</v>
      </c>
      <c r="P190" s="11">
        <v>0.17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-0.70799999999999996</v>
      </c>
      <c r="X190" s="11">
        <v>4.9779284605014004E-3</v>
      </c>
      <c r="Y190" s="11">
        <v>0</v>
      </c>
      <c r="Z190" s="11">
        <v>4.4999999999999998E-2</v>
      </c>
      <c r="AA190" s="11">
        <v>0.17299999999999999</v>
      </c>
      <c r="AB190" s="11">
        <v>0</v>
      </c>
      <c r="AC190" s="11">
        <v>0</v>
      </c>
      <c r="AD190" s="10">
        <v>0.35</v>
      </c>
      <c r="AE190" s="11">
        <v>0</v>
      </c>
      <c r="AF190" s="11">
        <v>0.17</v>
      </c>
      <c r="AG190" s="11">
        <v>0.56999999999999995</v>
      </c>
      <c r="AH190" s="11">
        <v>0</v>
      </c>
      <c r="AI190" s="11">
        <v>0.37</v>
      </c>
      <c r="AJ190" s="11">
        <v>0</v>
      </c>
    </row>
    <row r="191" spans="4:36">
      <c r="D191" s="10">
        <v>42795</v>
      </c>
      <c r="E191" s="11">
        <v>5.4461250525948302E-2</v>
      </c>
      <c r="F191" s="11">
        <v>5.1595000000000004</v>
      </c>
      <c r="G191" s="11">
        <v>0.17</v>
      </c>
      <c r="H191" s="11">
        <v>-0.13</v>
      </c>
      <c r="I191" s="11">
        <v>0</v>
      </c>
      <c r="J191" s="11">
        <v>0.17</v>
      </c>
      <c r="K191" s="11">
        <v>-7.0000000000000007E-2</v>
      </c>
      <c r="L191" s="11">
        <v>5.0000000000000001E-3</v>
      </c>
      <c r="M191" s="11">
        <v>0.17</v>
      </c>
      <c r="N191" s="11">
        <v>-0.24</v>
      </c>
      <c r="O191" s="11">
        <v>0</v>
      </c>
      <c r="P191" s="11">
        <v>0.17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-0.70799999999999996</v>
      </c>
      <c r="X191" s="11">
        <v>4.9782401527169E-3</v>
      </c>
      <c r="Y191" s="11">
        <v>0</v>
      </c>
      <c r="Z191" s="11">
        <v>4.4999999999999998E-2</v>
      </c>
      <c r="AA191" s="11">
        <v>0.17299999999999999</v>
      </c>
      <c r="AB191" s="11">
        <v>0</v>
      </c>
      <c r="AC191" s="11">
        <v>0</v>
      </c>
      <c r="AD191" s="10">
        <v>0.35</v>
      </c>
      <c r="AE191" s="11">
        <v>0</v>
      </c>
      <c r="AF191" s="11">
        <v>0.17</v>
      </c>
      <c r="AG191" s="11">
        <v>0.56999999999999995</v>
      </c>
      <c r="AH191" s="11">
        <v>0</v>
      </c>
      <c r="AI191" s="11">
        <v>0.37</v>
      </c>
      <c r="AJ191" s="11">
        <v>0</v>
      </c>
    </row>
    <row r="192" spans="4:36">
      <c r="D192" s="10">
        <v>42826</v>
      </c>
      <c r="E192" s="11">
        <v>5.4516193469635398E-2</v>
      </c>
      <c r="F192" s="11">
        <v>5.0054999999999996</v>
      </c>
      <c r="G192" s="11">
        <v>0.17</v>
      </c>
      <c r="H192" s="11">
        <v>-0.2</v>
      </c>
      <c r="I192" s="11">
        <v>0</v>
      </c>
      <c r="J192" s="11">
        <v>0.17</v>
      </c>
      <c r="K192" s="11">
        <v>-7.0000000000000007E-2</v>
      </c>
      <c r="L192" s="11">
        <v>5.0000000000000001E-3</v>
      </c>
      <c r="M192" s="11">
        <v>0.17</v>
      </c>
      <c r="N192" s="11">
        <v>-0.32</v>
      </c>
      <c r="O192" s="11">
        <v>0</v>
      </c>
      <c r="P192" s="11">
        <v>0.17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-0.80800000000000005</v>
      </c>
      <c r="X192" s="11">
        <v>4.9786070180545001E-3</v>
      </c>
      <c r="Y192" s="11">
        <v>0</v>
      </c>
      <c r="Z192" s="11">
        <v>0.01</v>
      </c>
      <c r="AA192" s="11">
        <v>0.17299999999999999</v>
      </c>
      <c r="AB192" s="11">
        <v>0</v>
      </c>
      <c r="AC192" s="11">
        <v>0</v>
      </c>
      <c r="AD192" s="10">
        <v>0.43</v>
      </c>
      <c r="AE192" s="11">
        <v>0</v>
      </c>
      <c r="AF192" s="11">
        <v>0.17</v>
      </c>
      <c r="AG192" s="11">
        <v>0.44</v>
      </c>
      <c r="AH192" s="11">
        <v>0</v>
      </c>
      <c r="AI192" s="11">
        <v>0.24</v>
      </c>
      <c r="AJ192" s="11">
        <v>0</v>
      </c>
    </row>
    <row r="193" spans="4:36">
      <c r="D193" s="10">
        <v>42856</v>
      </c>
      <c r="E193" s="11">
        <v>5.4569364061257397E-2</v>
      </c>
      <c r="F193" s="11">
        <v>5.0095000000000001</v>
      </c>
      <c r="G193" s="11">
        <v>0.17</v>
      </c>
      <c r="H193" s="11">
        <v>-0.2</v>
      </c>
      <c r="I193" s="11">
        <v>0</v>
      </c>
      <c r="J193" s="11">
        <v>0.17</v>
      </c>
      <c r="K193" s="11">
        <v>-7.0000000000000007E-2</v>
      </c>
      <c r="L193" s="11">
        <v>5.0000000000000001E-3</v>
      </c>
      <c r="M193" s="11">
        <v>0.17</v>
      </c>
      <c r="N193" s="11">
        <v>-0.32</v>
      </c>
      <c r="O193" s="11">
        <v>0</v>
      </c>
      <c r="P193" s="11">
        <v>0.17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-0.80800000000000005</v>
      </c>
      <c r="X193" s="11">
        <v>4.9789838418261003E-3</v>
      </c>
      <c r="Y193" s="11">
        <v>0</v>
      </c>
      <c r="Z193" s="11">
        <v>0.01</v>
      </c>
      <c r="AA193" s="11">
        <v>0.17299999999999999</v>
      </c>
      <c r="AB193" s="11">
        <v>0</v>
      </c>
      <c r="AC193" s="11">
        <v>0</v>
      </c>
      <c r="AD193" s="10">
        <v>0.43</v>
      </c>
      <c r="AE193" s="11">
        <v>0</v>
      </c>
      <c r="AF193" s="11">
        <v>0.17</v>
      </c>
      <c r="AG193" s="11">
        <v>0.44</v>
      </c>
      <c r="AH193" s="11">
        <v>0</v>
      </c>
      <c r="AI193" s="11">
        <v>0.24</v>
      </c>
      <c r="AJ193" s="11">
        <v>0</v>
      </c>
    </row>
    <row r="194" spans="4:36">
      <c r="D194" s="10">
        <v>42887</v>
      </c>
      <c r="E194" s="11">
        <v>5.4624307006923403E-2</v>
      </c>
      <c r="F194" s="11">
        <v>5.0495000000000001</v>
      </c>
      <c r="G194" s="11">
        <v>0.17</v>
      </c>
      <c r="H194" s="11">
        <v>-0.2</v>
      </c>
      <c r="I194" s="11">
        <v>0</v>
      </c>
      <c r="J194" s="11">
        <v>0.17</v>
      </c>
      <c r="K194" s="11">
        <v>-7.0000000000000007E-2</v>
      </c>
      <c r="L194" s="11">
        <v>5.0000000000000001E-3</v>
      </c>
      <c r="M194" s="11">
        <v>0.17</v>
      </c>
      <c r="N194" s="11">
        <v>-0.32</v>
      </c>
      <c r="O194" s="11">
        <v>0</v>
      </c>
      <c r="P194" s="11">
        <v>0.17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-0.80800000000000005</v>
      </c>
      <c r="X194" s="11">
        <v>4.9793957495081996E-3</v>
      </c>
      <c r="Y194" s="11">
        <v>0</v>
      </c>
      <c r="Z194" s="11">
        <v>0.01</v>
      </c>
      <c r="AA194" s="11">
        <v>0.17299999999999999</v>
      </c>
      <c r="AB194" s="11">
        <v>0</v>
      </c>
      <c r="AC194" s="11">
        <v>0</v>
      </c>
      <c r="AD194" s="10">
        <v>0.43</v>
      </c>
      <c r="AE194" s="11">
        <v>0</v>
      </c>
      <c r="AF194" s="11">
        <v>0.17</v>
      </c>
      <c r="AG194" s="11">
        <v>0.44</v>
      </c>
      <c r="AH194" s="11">
        <v>0</v>
      </c>
      <c r="AI194" s="11">
        <v>0.24</v>
      </c>
      <c r="AJ194" s="11">
        <v>0</v>
      </c>
    </row>
    <row r="195" spans="4:36">
      <c r="D195" s="10">
        <v>42917</v>
      </c>
      <c r="E195" s="11">
        <v>5.4677477600460801E-2</v>
      </c>
      <c r="F195" s="11">
        <v>5.0945</v>
      </c>
      <c r="G195" s="11">
        <v>0.17</v>
      </c>
      <c r="H195" s="11">
        <v>-0.2</v>
      </c>
      <c r="I195" s="11">
        <v>0</v>
      </c>
      <c r="J195" s="11">
        <v>0.17</v>
      </c>
      <c r="K195" s="11">
        <v>-7.0000000000000007E-2</v>
      </c>
      <c r="L195" s="11">
        <v>5.0000000000000001E-3</v>
      </c>
      <c r="M195" s="11">
        <v>0.17</v>
      </c>
      <c r="N195" s="11">
        <v>-0.32</v>
      </c>
      <c r="O195" s="11">
        <v>0</v>
      </c>
      <c r="P195" s="11">
        <v>0.17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-0.80800000000000005</v>
      </c>
      <c r="X195" s="11">
        <v>4.9798161704261001E-3</v>
      </c>
      <c r="Y195" s="11">
        <v>0</v>
      </c>
      <c r="Z195" s="11">
        <v>0.01</v>
      </c>
      <c r="AA195" s="11">
        <v>0.17299999999999999</v>
      </c>
      <c r="AB195" s="11">
        <v>0</v>
      </c>
      <c r="AC195" s="11">
        <v>0</v>
      </c>
      <c r="AD195" s="10">
        <v>0.43</v>
      </c>
      <c r="AE195" s="11">
        <v>0</v>
      </c>
      <c r="AF195" s="11">
        <v>0.17</v>
      </c>
      <c r="AG195" s="11">
        <v>0.44</v>
      </c>
      <c r="AH195" s="11">
        <v>0</v>
      </c>
      <c r="AI195" s="11">
        <v>0.24</v>
      </c>
      <c r="AJ195" s="11">
        <v>0</v>
      </c>
    </row>
    <row r="196" spans="4:36">
      <c r="D196" s="10">
        <v>42948</v>
      </c>
      <c r="E196" s="11">
        <v>5.4732420548105197E-2</v>
      </c>
      <c r="F196" s="11">
        <v>5.1334999999999997</v>
      </c>
      <c r="G196" s="11">
        <v>0.17</v>
      </c>
      <c r="H196" s="11">
        <v>-0.2</v>
      </c>
      <c r="I196" s="11">
        <v>0</v>
      </c>
      <c r="J196" s="11">
        <v>0.17</v>
      </c>
      <c r="K196" s="11">
        <v>-7.0000000000000007E-2</v>
      </c>
      <c r="L196" s="11">
        <v>5.0000000000000001E-3</v>
      </c>
      <c r="M196" s="11">
        <v>0.17</v>
      </c>
      <c r="N196" s="11">
        <v>-0.32</v>
      </c>
      <c r="O196" s="11">
        <v>0</v>
      </c>
      <c r="P196" s="11">
        <v>0.17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-0.80800000000000005</v>
      </c>
      <c r="X196" s="11">
        <v>4.9802731371366002E-3</v>
      </c>
      <c r="Y196" s="11">
        <v>0</v>
      </c>
      <c r="Z196" s="11">
        <v>0.01</v>
      </c>
      <c r="AA196" s="11">
        <v>0.17299999999999999</v>
      </c>
      <c r="AB196" s="11">
        <v>0</v>
      </c>
      <c r="AC196" s="11">
        <v>0</v>
      </c>
      <c r="AD196" s="10">
        <v>0.43</v>
      </c>
      <c r="AE196" s="11">
        <v>0</v>
      </c>
      <c r="AF196" s="11">
        <v>0.17</v>
      </c>
      <c r="AG196" s="11">
        <v>0.44</v>
      </c>
      <c r="AH196" s="11">
        <v>0</v>
      </c>
      <c r="AI196" s="11">
        <v>0.24</v>
      </c>
      <c r="AJ196" s="11">
        <v>0</v>
      </c>
    </row>
    <row r="197" spans="4:36">
      <c r="D197" s="10">
        <v>42979</v>
      </c>
      <c r="E197" s="11">
        <v>5.4787363496755503E-2</v>
      </c>
      <c r="F197" s="11">
        <v>5.1275000000000004</v>
      </c>
      <c r="G197" s="11">
        <v>0.17</v>
      </c>
      <c r="H197" s="11">
        <v>-0.2</v>
      </c>
      <c r="I197" s="11">
        <v>0</v>
      </c>
      <c r="J197" s="11">
        <v>0.17</v>
      </c>
      <c r="K197" s="11">
        <v>-7.0000000000000007E-2</v>
      </c>
      <c r="L197" s="11">
        <v>5.0000000000000001E-3</v>
      </c>
      <c r="M197" s="11">
        <v>0.17</v>
      </c>
      <c r="N197" s="11">
        <v>-0.32</v>
      </c>
      <c r="O197" s="11">
        <v>0</v>
      </c>
      <c r="P197" s="11">
        <v>0.17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-0.80800000000000005</v>
      </c>
      <c r="X197" s="11">
        <v>4.9807530098617998E-3</v>
      </c>
      <c r="Y197" s="11">
        <v>0</v>
      </c>
      <c r="Z197" s="11">
        <v>0.01</v>
      </c>
      <c r="AA197" s="11">
        <v>0.17299999999999999</v>
      </c>
      <c r="AB197" s="11">
        <v>0</v>
      </c>
      <c r="AC197" s="11">
        <v>0</v>
      </c>
      <c r="AD197" s="10">
        <v>0.43</v>
      </c>
      <c r="AE197" s="11">
        <v>0</v>
      </c>
      <c r="AF197" s="11">
        <v>0.17</v>
      </c>
      <c r="AG197" s="11">
        <v>0.44</v>
      </c>
      <c r="AH197" s="11">
        <v>0</v>
      </c>
      <c r="AI197" s="11">
        <v>0.24</v>
      </c>
      <c r="AJ197" s="11">
        <v>0</v>
      </c>
    </row>
    <row r="198" spans="4:36">
      <c r="D198" s="10">
        <v>43009</v>
      </c>
      <c r="E198" s="11">
        <v>5.4840534093181202E-2</v>
      </c>
      <c r="F198" s="11">
        <v>5.1375000000000002</v>
      </c>
      <c r="G198" s="11">
        <v>0.17</v>
      </c>
      <c r="H198" s="11">
        <v>-0.2</v>
      </c>
      <c r="I198" s="11">
        <v>0</v>
      </c>
      <c r="J198" s="11">
        <v>0.17</v>
      </c>
      <c r="K198" s="11">
        <v>-7.0000000000000007E-2</v>
      </c>
      <c r="L198" s="11">
        <v>5.0000000000000001E-3</v>
      </c>
      <c r="M198" s="11">
        <v>0.17</v>
      </c>
      <c r="N198" s="11">
        <v>-0.32</v>
      </c>
      <c r="O198" s="11">
        <v>0</v>
      </c>
      <c r="P198" s="11">
        <v>0.17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-0.80800000000000005</v>
      </c>
      <c r="X198" s="11">
        <v>4.9812392173367E-3</v>
      </c>
      <c r="Y198" s="11">
        <v>0</v>
      </c>
      <c r="Z198" s="11">
        <v>0.01</v>
      </c>
      <c r="AA198" s="11">
        <v>0.17299999999999999</v>
      </c>
      <c r="AB198" s="11">
        <v>0</v>
      </c>
      <c r="AC198" s="11">
        <v>0</v>
      </c>
      <c r="AD198" s="10">
        <v>0.43</v>
      </c>
      <c r="AE198" s="11">
        <v>0</v>
      </c>
      <c r="AF198" s="11">
        <v>0.17</v>
      </c>
      <c r="AG198" s="11">
        <v>0.44</v>
      </c>
      <c r="AH198" s="11">
        <v>0</v>
      </c>
      <c r="AI198" s="11">
        <v>0.24</v>
      </c>
      <c r="AJ198" s="11">
        <v>0</v>
      </c>
    </row>
    <row r="199" spans="4:36">
      <c r="D199" s="10">
        <v>43040</v>
      </c>
      <c r="E199" s="11">
        <v>5.4895477043809503E-2</v>
      </c>
      <c r="F199" s="11">
        <v>5.2975000000000003</v>
      </c>
      <c r="G199" s="11">
        <v>0.17</v>
      </c>
      <c r="H199" s="11">
        <v>-0.13</v>
      </c>
      <c r="I199" s="11">
        <v>0</v>
      </c>
      <c r="J199" s="11">
        <v>0.17</v>
      </c>
      <c r="K199" s="11">
        <v>-7.0000000000000007E-2</v>
      </c>
      <c r="L199" s="11">
        <v>5.0000000000000001E-3</v>
      </c>
      <c r="M199" s="11">
        <v>0.17</v>
      </c>
      <c r="N199" s="11">
        <v>-0.24</v>
      </c>
      <c r="O199" s="11">
        <v>0</v>
      </c>
      <c r="P199" s="11">
        <v>0.17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-0.70799999999999996</v>
      </c>
      <c r="X199" s="11">
        <v>4.9817641788006996E-3</v>
      </c>
      <c r="Y199" s="11">
        <v>0</v>
      </c>
      <c r="Z199" s="11">
        <v>4.4999999999999998E-2</v>
      </c>
      <c r="AA199" s="11">
        <v>0.17299999999999999</v>
      </c>
      <c r="AB199" s="11">
        <v>0</v>
      </c>
      <c r="AC199" s="11">
        <v>0</v>
      </c>
      <c r="AD199" s="10">
        <v>0.35</v>
      </c>
      <c r="AE199" s="11">
        <v>0</v>
      </c>
      <c r="AF199" s="11">
        <v>0.17</v>
      </c>
      <c r="AG199" s="11">
        <v>0.5</v>
      </c>
      <c r="AH199" s="11">
        <v>0</v>
      </c>
      <c r="AI199" s="11">
        <v>0.3</v>
      </c>
      <c r="AJ199" s="11">
        <v>0</v>
      </c>
    </row>
    <row r="200" spans="4:36">
      <c r="D200" s="10">
        <v>43070</v>
      </c>
      <c r="E200" s="11">
        <v>5.49486476421501E-2</v>
      </c>
      <c r="F200" s="11">
        <v>5.4515000000000002</v>
      </c>
      <c r="G200" s="11">
        <v>0.17</v>
      </c>
      <c r="H200" s="11">
        <v>-0.13</v>
      </c>
      <c r="I200" s="11">
        <v>0</v>
      </c>
      <c r="J200" s="11">
        <v>0.17</v>
      </c>
      <c r="K200" s="11">
        <v>-7.0000000000000007E-2</v>
      </c>
      <c r="L200" s="11">
        <v>5.0000000000000001E-3</v>
      </c>
      <c r="M200" s="11">
        <v>0.17</v>
      </c>
      <c r="N200" s="11">
        <v>-0.24</v>
      </c>
      <c r="O200" s="11">
        <v>0</v>
      </c>
      <c r="P200" s="11">
        <v>0.17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-0.70799999999999996</v>
      </c>
      <c r="X200" s="11">
        <v>4.982294031238E-3</v>
      </c>
      <c r="Y200" s="11">
        <v>0</v>
      </c>
      <c r="Z200" s="11">
        <v>4.4999999999999998E-2</v>
      </c>
      <c r="AA200" s="11">
        <v>0.17299999999999999</v>
      </c>
      <c r="AB200" s="11">
        <v>0</v>
      </c>
      <c r="AC200" s="11">
        <v>0</v>
      </c>
      <c r="AD200" s="10">
        <v>0.35</v>
      </c>
      <c r="AE200" s="11">
        <v>0</v>
      </c>
      <c r="AF200" s="11">
        <v>0.17</v>
      </c>
      <c r="AG200" s="11">
        <v>0.56999999999999995</v>
      </c>
      <c r="AH200" s="11">
        <v>0</v>
      </c>
      <c r="AI200" s="11">
        <v>0.37</v>
      </c>
      <c r="AJ200" s="11">
        <v>0</v>
      </c>
    </row>
    <row r="201" spans="4:36">
      <c r="D201" s="10">
        <v>43101</v>
      </c>
      <c r="E201" s="11">
        <v>5.5003590594757699E-2</v>
      </c>
      <c r="F201" s="11">
        <v>5.5039999999999996</v>
      </c>
      <c r="G201" s="11">
        <v>0.17</v>
      </c>
      <c r="H201" s="11">
        <v>-0.13</v>
      </c>
      <c r="I201" s="11">
        <v>0</v>
      </c>
      <c r="J201" s="11">
        <v>0.17</v>
      </c>
      <c r="K201" s="11">
        <v>-7.0000000000000007E-2</v>
      </c>
      <c r="L201" s="11">
        <v>5.0000000000000001E-3</v>
      </c>
      <c r="M201" s="11">
        <v>0.17</v>
      </c>
      <c r="N201" s="11">
        <v>-0.24</v>
      </c>
      <c r="O201" s="11">
        <v>0</v>
      </c>
      <c r="P201" s="11">
        <v>0.17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-0.70799999999999996</v>
      </c>
      <c r="X201" s="11">
        <v>4.9828641041572003E-3</v>
      </c>
      <c r="Y201" s="11">
        <v>0</v>
      </c>
      <c r="Z201" s="11">
        <v>4.4999999999999998E-2</v>
      </c>
      <c r="AA201" s="11">
        <v>0.17299999999999999</v>
      </c>
      <c r="AB201" s="11">
        <v>0</v>
      </c>
      <c r="AC201" s="11">
        <v>0</v>
      </c>
      <c r="AD201" s="10">
        <v>0.35</v>
      </c>
      <c r="AE201" s="11">
        <v>0</v>
      </c>
      <c r="AF201" s="11">
        <v>0.17</v>
      </c>
      <c r="AG201" s="11">
        <v>0.56999999999999995</v>
      </c>
      <c r="AH201" s="11">
        <v>0</v>
      </c>
      <c r="AI201" s="11">
        <v>0.37</v>
      </c>
      <c r="AJ201" s="11">
        <v>0</v>
      </c>
    </row>
    <row r="202" spans="4:36">
      <c r="D202" s="10">
        <v>43132</v>
      </c>
      <c r="E202" s="11">
        <v>5.5058533548370599E-2</v>
      </c>
      <c r="F202" s="11">
        <v>5.4160000000000004</v>
      </c>
      <c r="G202" s="11">
        <v>0.17</v>
      </c>
      <c r="H202" s="11">
        <v>-0.13</v>
      </c>
      <c r="I202" s="11">
        <v>0</v>
      </c>
      <c r="J202" s="11">
        <v>0.17</v>
      </c>
      <c r="K202" s="11">
        <v>-7.0000000000000007E-2</v>
      </c>
      <c r="L202" s="11">
        <v>5.0000000000000001E-3</v>
      </c>
      <c r="M202" s="11">
        <v>0.17</v>
      </c>
      <c r="N202" s="11">
        <v>-0.24</v>
      </c>
      <c r="O202" s="11">
        <v>0</v>
      </c>
      <c r="P202" s="11">
        <v>0.17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-0.70799999999999996</v>
      </c>
      <c r="X202" s="11">
        <v>4.9834571120470003E-3</v>
      </c>
      <c r="Y202" s="11">
        <v>0</v>
      </c>
      <c r="Z202" s="11">
        <v>4.4999999999999998E-2</v>
      </c>
      <c r="AA202" s="11">
        <v>0.17299999999999999</v>
      </c>
      <c r="AB202" s="11">
        <v>0</v>
      </c>
      <c r="AC202" s="11">
        <v>0</v>
      </c>
      <c r="AD202" s="10">
        <v>0.35</v>
      </c>
      <c r="AE202" s="11">
        <v>0</v>
      </c>
      <c r="AF202" s="11">
        <v>0.17</v>
      </c>
      <c r="AG202" s="11">
        <v>0.56999999999999995</v>
      </c>
      <c r="AH202" s="11">
        <v>0</v>
      </c>
      <c r="AI202" s="11">
        <v>0.37</v>
      </c>
      <c r="AJ202" s="11">
        <v>0</v>
      </c>
    </row>
    <row r="203" spans="4:36">
      <c r="D203" s="10">
        <v>43160</v>
      </c>
      <c r="E203" s="11">
        <v>5.5108159442820402E-2</v>
      </c>
      <c r="F203" s="11">
        <v>5.2770000000000001</v>
      </c>
      <c r="G203" s="11">
        <v>0.17</v>
      </c>
      <c r="H203" s="11">
        <v>-0.13</v>
      </c>
      <c r="I203" s="11">
        <v>0</v>
      </c>
      <c r="J203" s="11">
        <v>0.17</v>
      </c>
      <c r="K203" s="11">
        <v>-7.0000000000000007E-2</v>
      </c>
      <c r="L203" s="11">
        <v>5.0000000000000001E-3</v>
      </c>
      <c r="M203" s="11">
        <v>0.17</v>
      </c>
      <c r="N203" s="11">
        <v>-0.24</v>
      </c>
      <c r="O203" s="11">
        <v>0</v>
      </c>
      <c r="P203" s="11">
        <v>0.17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-0.70799999999999996</v>
      </c>
      <c r="X203" s="11">
        <v>4.9840124508267001E-3</v>
      </c>
      <c r="Y203" s="11">
        <v>0</v>
      </c>
      <c r="Z203" s="11">
        <v>4.4999999999999998E-2</v>
      </c>
      <c r="AA203" s="11">
        <v>0.17299999999999999</v>
      </c>
      <c r="AB203" s="11">
        <v>0</v>
      </c>
      <c r="AC203" s="11">
        <v>0</v>
      </c>
      <c r="AD203" s="10">
        <v>0.35</v>
      </c>
      <c r="AE203" s="11">
        <v>0</v>
      </c>
      <c r="AF203" s="11">
        <v>0.17</v>
      </c>
      <c r="AG203" s="11">
        <v>0.56999999999999995</v>
      </c>
      <c r="AH203" s="11">
        <v>0</v>
      </c>
      <c r="AI203" s="11">
        <v>0.37</v>
      </c>
      <c r="AJ203" s="11">
        <v>0</v>
      </c>
    </row>
    <row r="204" spans="4:36">
      <c r="D204" s="10">
        <v>43191</v>
      </c>
      <c r="E204" s="11">
        <v>5.5163102398347E-2</v>
      </c>
      <c r="F204" s="11">
        <v>5.1230000000000002</v>
      </c>
      <c r="G204" s="11">
        <v>0.17</v>
      </c>
      <c r="H204" s="11">
        <v>-0.2</v>
      </c>
      <c r="I204" s="11">
        <v>0</v>
      </c>
      <c r="J204" s="11">
        <v>0.17</v>
      </c>
      <c r="K204" s="11">
        <v>-7.0000000000000007E-2</v>
      </c>
      <c r="L204" s="11">
        <v>5.0000000000000001E-3</v>
      </c>
      <c r="M204" s="11">
        <v>0.17</v>
      </c>
      <c r="N204" s="11">
        <v>-0.32</v>
      </c>
      <c r="O204" s="11">
        <v>0</v>
      </c>
      <c r="P204" s="11">
        <v>0.17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-0.80800000000000005</v>
      </c>
      <c r="X204" s="11">
        <v>4.9846491282072997E-3</v>
      </c>
      <c r="Y204" s="11">
        <v>0</v>
      </c>
      <c r="Z204" s="11">
        <v>0.01</v>
      </c>
      <c r="AA204" s="11">
        <v>0.17299999999999999</v>
      </c>
      <c r="AB204" s="11">
        <v>0</v>
      </c>
      <c r="AC204" s="11">
        <v>0</v>
      </c>
      <c r="AD204" s="10">
        <v>0.43</v>
      </c>
      <c r="AE204" s="11">
        <v>0</v>
      </c>
      <c r="AF204" s="11">
        <v>0.17</v>
      </c>
      <c r="AG204" s="11">
        <v>0.44</v>
      </c>
      <c r="AH204" s="11">
        <v>0</v>
      </c>
      <c r="AI204" s="11">
        <v>0.24</v>
      </c>
      <c r="AJ204" s="11">
        <v>0</v>
      </c>
    </row>
    <row r="205" spans="4:36">
      <c r="D205" s="10">
        <v>43221</v>
      </c>
      <c r="E205" s="11">
        <v>5.5216273001426099E-2</v>
      </c>
      <c r="F205" s="11">
        <v>5.1269999999999998</v>
      </c>
      <c r="G205" s="11">
        <v>0.17</v>
      </c>
      <c r="H205" s="11">
        <v>-0.2</v>
      </c>
      <c r="I205" s="11">
        <v>0</v>
      </c>
      <c r="J205" s="11">
        <v>0.17</v>
      </c>
      <c r="K205" s="11">
        <v>-7.0000000000000007E-2</v>
      </c>
      <c r="L205" s="11">
        <v>5.0000000000000001E-3</v>
      </c>
      <c r="M205" s="11">
        <v>0.17</v>
      </c>
      <c r="N205" s="11">
        <v>-0.32</v>
      </c>
      <c r="O205" s="11">
        <v>0</v>
      </c>
      <c r="P205" s="11">
        <v>0.17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-0.80800000000000005</v>
      </c>
      <c r="X205" s="11">
        <v>4.9852871243187E-3</v>
      </c>
      <c r="Y205" s="11">
        <v>0</v>
      </c>
      <c r="Z205" s="11">
        <v>0.01</v>
      </c>
      <c r="AA205" s="11">
        <v>0.17299999999999999</v>
      </c>
      <c r="AB205" s="11">
        <v>0</v>
      </c>
      <c r="AC205" s="11">
        <v>0</v>
      </c>
      <c r="AD205" s="10">
        <v>0.43</v>
      </c>
      <c r="AE205" s="11">
        <v>0</v>
      </c>
      <c r="AF205" s="11">
        <v>0.17</v>
      </c>
      <c r="AG205" s="11">
        <v>0.44</v>
      </c>
      <c r="AH205" s="11">
        <v>0</v>
      </c>
      <c r="AI205" s="11">
        <v>0.24</v>
      </c>
      <c r="AJ205" s="11">
        <v>0</v>
      </c>
    </row>
    <row r="206" spans="4:36">
      <c r="D206" s="10">
        <v>43252</v>
      </c>
      <c r="E206" s="11">
        <v>5.5271215958931003E-2</v>
      </c>
      <c r="F206" s="11">
        <v>5.1669999999999998</v>
      </c>
      <c r="G206" s="11">
        <v>0.17</v>
      </c>
      <c r="H206" s="11">
        <v>-0.2</v>
      </c>
      <c r="I206" s="11">
        <v>0</v>
      </c>
      <c r="J206" s="11">
        <v>0.17</v>
      </c>
      <c r="K206" s="11">
        <v>-7.0000000000000007E-2</v>
      </c>
      <c r="L206" s="11">
        <v>5.0000000000000001E-3</v>
      </c>
      <c r="M206" s="11">
        <v>0.17</v>
      </c>
      <c r="N206" s="11">
        <v>-0.32</v>
      </c>
      <c r="O206" s="11">
        <v>0</v>
      </c>
      <c r="P206" s="11">
        <v>0.17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-0.80800000000000005</v>
      </c>
      <c r="X206" s="11">
        <v>4.9859689797470998E-3</v>
      </c>
      <c r="Y206" s="11">
        <v>0</v>
      </c>
      <c r="Z206" s="11">
        <v>0.01</v>
      </c>
      <c r="AA206" s="11">
        <v>0.17299999999999999</v>
      </c>
      <c r="AB206" s="11">
        <v>0</v>
      </c>
      <c r="AC206" s="11">
        <v>0</v>
      </c>
      <c r="AD206" s="10">
        <v>0.43</v>
      </c>
      <c r="AE206" s="11">
        <v>0</v>
      </c>
      <c r="AF206" s="11">
        <v>0.17</v>
      </c>
      <c r="AG206" s="11">
        <v>0.44</v>
      </c>
      <c r="AH206" s="11">
        <v>0</v>
      </c>
      <c r="AI206" s="11">
        <v>0.24</v>
      </c>
      <c r="AJ206" s="11">
        <v>0</v>
      </c>
    </row>
    <row r="207" spans="4:36">
      <c r="D207" s="10">
        <v>43282</v>
      </c>
      <c r="E207" s="11">
        <v>5.5324386563925E-2</v>
      </c>
      <c r="F207" s="11">
        <v>5.2119999999999997</v>
      </c>
      <c r="G207" s="11">
        <v>0.17</v>
      </c>
      <c r="H207" s="11">
        <v>-0.2</v>
      </c>
      <c r="I207" s="11">
        <v>0</v>
      </c>
      <c r="K207" s="11">
        <v>-7.0000000000000007E-2</v>
      </c>
      <c r="L207" s="11">
        <v>5.0000000000000001E-3</v>
      </c>
      <c r="N207" s="11">
        <v>-0.32</v>
      </c>
      <c r="O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-0.80800000000000005</v>
      </c>
      <c r="X207" s="11">
        <v>4.9866507113008E-3</v>
      </c>
      <c r="Y207" s="11">
        <v>0</v>
      </c>
      <c r="Z207" s="11">
        <v>0.01</v>
      </c>
      <c r="AB207" s="11">
        <v>0</v>
      </c>
      <c r="AC207" s="11">
        <v>0</v>
      </c>
      <c r="AD207" s="10">
        <v>0.43</v>
      </c>
      <c r="AE207" s="11">
        <v>0</v>
      </c>
      <c r="AG207" s="11">
        <v>0.44</v>
      </c>
      <c r="AH207" s="11">
        <v>0</v>
      </c>
      <c r="AI207" s="11">
        <v>0.24</v>
      </c>
      <c r="AJ207" s="11">
        <v>0</v>
      </c>
    </row>
    <row r="208" spans="4:36">
      <c r="D208" s="10">
        <v>43313</v>
      </c>
      <c r="E208" s="11">
        <v>5.5379329523407503E-2</v>
      </c>
      <c r="F208" s="11">
        <v>5.2510000000000003</v>
      </c>
      <c r="G208" s="11">
        <v>0.17</v>
      </c>
      <c r="H208" s="11">
        <v>-0.2</v>
      </c>
      <c r="I208" s="11">
        <v>0</v>
      </c>
      <c r="K208" s="11">
        <v>-7.0000000000000007E-2</v>
      </c>
      <c r="L208" s="11">
        <v>5.0000000000000001E-3</v>
      </c>
      <c r="N208" s="11">
        <v>-0.32</v>
      </c>
      <c r="O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-0.80800000000000005</v>
      </c>
      <c r="X208" s="11">
        <v>4.9873777758690004E-3</v>
      </c>
      <c r="Y208" s="11">
        <v>0</v>
      </c>
      <c r="Z208" s="11">
        <v>0.01</v>
      </c>
      <c r="AB208" s="11">
        <v>0</v>
      </c>
      <c r="AC208" s="11">
        <v>0</v>
      </c>
      <c r="AD208" s="10">
        <v>0.43</v>
      </c>
      <c r="AE208" s="11">
        <v>0</v>
      </c>
      <c r="AG208" s="11">
        <v>0.44</v>
      </c>
      <c r="AH208" s="11">
        <v>0</v>
      </c>
      <c r="AI208" s="11">
        <v>0.24</v>
      </c>
      <c r="AJ208" s="11">
        <v>0</v>
      </c>
    </row>
    <row r="209" spans="4:36">
      <c r="D209" s="10">
        <v>43344</v>
      </c>
      <c r="E209" s="11">
        <v>5.5434272483895902E-2</v>
      </c>
      <c r="F209" s="11">
        <v>5.2450000000000001</v>
      </c>
      <c r="G209" s="11">
        <v>0.17</v>
      </c>
      <c r="H209" s="11">
        <v>-0.2</v>
      </c>
      <c r="I209" s="11">
        <v>0</v>
      </c>
      <c r="K209" s="11">
        <v>-7.0000000000000007E-2</v>
      </c>
      <c r="L209" s="11">
        <v>5.0000000000000001E-3</v>
      </c>
      <c r="N209" s="11">
        <v>-0.32</v>
      </c>
      <c r="O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-0.80800000000000005</v>
      </c>
      <c r="X209" s="11">
        <v>4.9881278282626999E-3</v>
      </c>
      <c r="Y209" s="11">
        <v>0</v>
      </c>
      <c r="Z209" s="11">
        <v>0.01</v>
      </c>
      <c r="AB209" s="11">
        <v>0</v>
      </c>
      <c r="AC209" s="11">
        <v>0</v>
      </c>
      <c r="AD209" s="10">
        <v>0.43</v>
      </c>
      <c r="AE209" s="11">
        <v>0</v>
      </c>
      <c r="AG209" s="11">
        <v>0.44</v>
      </c>
      <c r="AH209" s="11">
        <v>0</v>
      </c>
      <c r="AI209" s="11">
        <v>0.24</v>
      </c>
      <c r="AJ209" s="11">
        <v>0</v>
      </c>
    </row>
    <row r="210" spans="4:36">
      <c r="D210" s="10">
        <v>43374</v>
      </c>
      <c r="E210" s="11">
        <v>5.5487443091777298E-2</v>
      </c>
      <c r="F210" s="11">
        <v>5.2549999999999999</v>
      </c>
      <c r="G210" s="11">
        <v>0.17</v>
      </c>
      <c r="H210" s="11">
        <v>-0.2</v>
      </c>
      <c r="I210" s="11">
        <v>0</v>
      </c>
      <c r="K210" s="11">
        <v>-7.0000000000000007E-2</v>
      </c>
      <c r="L210" s="11">
        <v>5.0000000000000001E-3</v>
      </c>
      <c r="N210" s="11">
        <v>-0.32</v>
      </c>
      <c r="O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-0.80800000000000005</v>
      </c>
      <c r="X210" s="11">
        <v>4.9888755813367004E-3</v>
      </c>
      <c r="Y210" s="11">
        <v>0</v>
      </c>
      <c r="Z210" s="11">
        <v>0.01</v>
      </c>
      <c r="AB210" s="11">
        <v>0</v>
      </c>
      <c r="AC210" s="11">
        <v>0</v>
      </c>
      <c r="AD210" s="10">
        <v>0.43</v>
      </c>
      <c r="AE210" s="11">
        <v>0</v>
      </c>
      <c r="AG210" s="11">
        <v>0.44</v>
      </c>
      <c r="AH210" s="11">
        <v>0</v>
      </c>
      <c r="AI210" s="11">
        <v>0.24</v>
      </c>
      <c r="AJ210" s="11">
        <v>0</v>
      </c>
    </row>
    <row r="211" spans="4:36">
      <c r="D211" s="10">
        <v>43405</v>
      </c>
      <c r="E211" s="11">
        <v>5.5542386054243199E-2</v>
      </c>
      <c r="F211" s="11">
        <v>5.415</v>
      </c>
      <c r="G211" s="11">
        <v>0.17</v>
      </c>
      <c r="H211" s="11">
        <v>-0.13</v>
      </c>
      <c r="I211" s="11">
        <v>0</v>
      </c>
      <c r="K211" s="11">
        <v>-7.0000000000000007E-2</v>
      </c>
      <c r="L211" s="11">
        <v>5.0000000000000001E-3</v>
      </c>
      <c r="N211" s="11">
        <v>-0.24</v>
      </c>
      <c r="O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-0.70799999999999996</v>
      </c>
      <c r="X211" s="11">
        <v>4.9896708943308003E-3</v>
      </c>
      <c r="Y211" s="11">
        <v>0</v>
      </c>
      <c r="Z211" s="11">
        <v>4.4999999999999998E-2</v>
      </c>
      <c r="AB211" s="11">
        <v>0</v>
      </c>
      <c r="AC211" s="11">
        <v>0</v>
      </c>
      <c r="AD211" s="10">
        <v>0.35</v>
      </c>
      <c r="AE211" s="11">
        <v>0</v>
      </c>
      <c r="AG211" s="11">
        <v>0.5</v>
      </c>
      <c r="AH211" s="11">
        <v>0</v>
      </c>
      <c r="AI211" s="11">
        <v>0.3</v>
      </c>
      <c r="AJ211" s="11">
        <v>0</v>
      </c>
    </row>
    <row r="212" spans="4:36">
      <c r="D212" s="10">
        <v>43435</v>
      </c>
      <c r="E212" s="11">
        <v>5.5595556664038301E-2</v>
      </c>
      <c r="F212" s="11">
        <v>5.569</v>
      </c>
      <c r="G212" s="11">
        <v>0.17</v>
      </c>
      <c r="H212" s="11">
        <v>-0.13</v>
      </c>
      <c r="I212" s="11">
        <v>0</v>
      </c>
      <c r="K212" s="11">
        <v>-7.0000000000000007E-2</v>
      </c>
      <c r="L212" s="11">
        <v>5.0000000000000001E-3</v>
      </c>
      <c r="N212" s="11">
        <v>-0.24</v>
      </c>
      <c r="O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-0.70799999999999996</v>
      </c>
      <c r="X212" s="11">
        <v>4.9904624656687997E-3</v>
      </c>
      <c r="Y212" s="11">
        <v>0</v>
      </c>
      <c r="Z212" s="11">
        <v>4.4999999999999998E-2</v>
      </c>
      <c r="AB212" s="11">
        <v>0</v>
      </c>
      <c r="AC212" s="11">
        <v>0</v>
      </c>
      <c r="AD212" s="10">
        <v>0.35</v>
      </c>
      <c r="AE212" s="11">
        <v>0</v>
      </c>
      <c r="AG212" s="11">
        <v>0.56999999999999995</v>
      </c>
      <c r="AH212" s="11">
        <v>0</v>
      </c>
      <c r="AI212" s="11">
        <v>0.37</v>
      </c>
      <c r="AJ212" s="11">
        <v>0</v>
      </c>
    </row>
    <row r="213" spans="4:36">
      <c r="D213" s="10">
        <v>43466</v>
      </c>
      <c r="E213" s="11">
        <v>5.5650499628482598E-2</v>
      </c>
      <c r="F213" s="11">
        <v>5.6215000000000002</v>
      </c>
      <c r="G213" s="11">
        <v>0.17</v>
      </c>
      <c r="H213" s="11">
        <v>-0.13</v>
      </c>
      <c r="I213" s="11">
        <v>0</v>
      </c>
      <c r="K213" s="11">
        <v>-7.0000000000000007E-2</v>
      </c>
      <c r="L213" s="11">
        <v>5.0000000000000001E-3</v>
      </c>
      <c r="N213" s="11">
        <v>-0.24</v>
      </c>
      <c r="O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-0.70799999999999996</v>
      </c>
      <c r="X213" s="11">
        <v>4.9913030764164997E-3</v>
      </c>
      <c r="Y213" s="11">
        <v>0</v>
      </c>
      <c r="Z213" s="11">
        <v>4.4999999999999998E-2</v>
      </c>
      <c r="AB213" s="11">
        <v>0</v>
      </c>
      <c r="AC213" s="11">
        <v>0</v>
      </c>
      <c r="AD213" s="10">
        <v>0.35</v>
      </c>
      <c r="AE213" s="11">
        <v>0</v>
      </c>
      <c r="AG213" s="11">
        <v>0.56999999999999995</v>
      </c>
      <c r="AH213" s="11">
        <v>0</v>
      </c>
      <c r="AI213" s="11">
        <v>0.37</v>
      </c>
      <c r="AJ213" s="11">
        <v>0</v>
      </c>
    </row>
    <row r="214" spans="4:36">
      <c r="D214" s="10">
        <v>43497</v>
      </c>
      <c r="E214" s="11">
        <v>5.5705442593931398E-2</v>
      </c>
      <c r="F214" s="11">
        <v>5.5335000000000001</v>
      </c>
      <c r="G214" s="11">
        <v>0.17</v>
      </c>
      <c r="H214" s="11">
        <v>-0.13</v>
      </c>
      <c r="I214" s="11">
        <v>0</v>
      </c>
      <c r="K214" s="11">
        <v>-7.0000000000000007E-2</v>
      </c>
      <c r="L214" s="11">
        <v>0</v>
      </c>
      <c r="N214" s="11">
        <v>-0.24</v>
      </c>
      <c r="O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-0.70799999999999996</v>
      </c>
      <c r="X214" s="11">
        <v>4.9921667223480001E-3</v>
      </c>
      <c r="Y214" s="11">
        <v>0</v>
      </c>
      <c r="Z214" s="11">
        <v>4.4999999999999998E-2</v>
      </c>
      <c r="AB214" s="11">
        <v>0</v>
      </c>
      <c r="AC214" s="11">
        <v>0</v>
      </c>
      <c r="AD214" s="10">
        <v>0.35</v>
      </c>
      <c r="AE214" s="11">
        <v>0</v>
      </c>
      <c r="AG214" s="11">
        <v>0.56999999999999995</v>
      </c>
      <c r="AH214" s="11">
        <v>0</v>
      </c>
      <c r="AI214" s="11">
        <v>0.37</v>
      </c>
      <c r="AJ214" s="11">
        <v>0</v>
      </c>
    </row>
    <row r="215" spans="4:36">
      <c r="D215" s="10">
        <v>43525</v>
      </c>
      <c r="E215" s="11">
        <v>5.5755068499072601E-2</v>
      </c>
      <c r="F215" s="11">
        <v>5.3944999999999999</v>
      </c>
      <c r="G215" s="11">
        <v>0.17</v>
      </c>
      <c r="H215" s="11">
        <v>-0.13</v>
      </c>
      <c r="I215" s="11">
        <v>0</v>
      </c>
      <c r="K215" s="11">
        <v>-7.0000000000000007E-2</v>
      </c>
      <c r="L215" s="11">
        <v>0</v>
      </c>
      <c r="N215" s="11">
        <v>-0.24</v>
      </c>
      <c r="O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-0.70799999999999996</v>
      </c>
      <c r="X215" s="11">
        <v>4.9929665976323001E-3</v>
      </c>
      <c r="Y215" s="11">
        <v>0</v>
      </c>
      <c r="Z215" s="11">
        <v>4.4999999999999998E-2</v>
      </c>
      <c r="AB215" s="11">
        <v>0</v>
      </c>
      <c r="AC215" s="11">
        <v>0</v>
      </c>
      <c r="AD215" s="10">
        <v>0.35</v>
      </c>
      <c r="AE215" s="11">
        <v>0</v>
      </c>
      <c r="AG215" s="11">
        <v>0.56999999999999995</v>
      </c>
      <c r="AH215" s="11">
        <v>0</v>
      </c>
      <c r="AI215" s="11">
        <v>0.37</v>
      </c>
      <c r="AJ215" s="11">
        <v>0</v>
      </c>
    </row>
    <row r="216" spans="4:36">
      <c r="D216" s="10">
        <v>43556</v>
      </c>
      <c r="E216" s="11">
        <v>5.5810011466434599E-2</v>
      </c>
      <c r="F216" s="11">
        <v>5.2404999999999999</v>
      </c>
      <c r="G216" s="11">
        <v>0.17</v>
      </c>
      <c r="H216" s="11">
        <v>-0.2</v>
      </c>
      <c r="I216" s="11">
        <v>0</v>
      </c>
      <c r="K216" s="11">
        <v>-7.0000000000000007E-2</v>
      </c>
      <c r="L216" s="11">
        <v>0</v>
      </c>
      <c r="N216" s="11">
        <v>-0.32</v>
      </c>
      <c r="O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-0.80800000000000005</v>
      </c>
      <c r="X216" s="11">
        <v>4.9938741141007E-3</v>
      </c>
      <c r="Y216" s="11">
        <v>0</v>
      </c>
      <c r="Z216" s="11">
        <v>0.01</v>
      </c>
      <c r="AB216" s="11">
        <v>0</v>
      </c>
      <c r="AC216" s="11">
        <v>0</v>
      </c>
      <c r="AD216" s="10">
        <v>0.43</v>
      </c>
      <c r="AE216" s="11">
        <v>0</v>
      </c>
      <c r="AG216" s="11">
        <v>0.44</v>
      </c>
      <c r="AH216" s="11">
        <v>0</v>
      </c>
      <c r="AI216" s="11">
        <v>0.24</v>
      </c>
      <c r="AJ216" s="11">
        <v>0</v>
      </c>
    </row>
    <row r="217" spans="4:36">
      <c r="D217" s="10">
        <v>43586</v>
      </c>
      <c r="E217" s="11">
        <v>5.5863182080967598E-2</v>
      </c>
      <c r="F217" s="11">
        <v>5.2445000000000004</v>
      </c>
      <c r="G217" s="11">
        <v>0.17</v>
      </c>
      <c r="H217" s="11">
        <v>-0.2</v>
      </c>
      <c r="I217" s="11">
        <v>0</v>
      </c>
      <c r="K217" s="11">
        <v>-7.0000000000000007E-2</v>
      </c>
      <c r="L217" s="11">
        <v>0</v>
      </c>
      <c r="N217" s="11">
        <v>-0.32</v>
      </c>
      <c r="O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-0.80800000000000005</v>
      </c>
      <c r="X217" s="11">
        <v>4.9947743182600004E-3</v>
      </c>
      <c r="Y217" s="11">
        <v>0</v>
      </c>
      <c r="Z217" s="11">
        <v>0.01</v>
      </c>
      <c r="AB217" s="11">
        <v>0</v>
      </c>
      <c r="AC217" s="11">
        <v>0</v>
      </c>
      <c r="AD217" s="10">
        <v>0.43</v>
      </c>
      <c r="AE217" s="11">
        <v>0</v>
      </c>
      <c r="AG217" s="11">
        <v>0.44</v>
      </c>
      <c r="AH217" s="11">
        <v>0</v>
      </c>
      <c r="AI217" s="11">
        <v>0.24</v>
      </c>
      <c r="AJ217" s="11">
        <v>0</v>
      </c>
    </row>
    <row r="218" spans="4:36">
      <c r="D218" s="10">
        <v>43617</v>
      </c>
      <c r="E218" s="11">
        <v>5.5918125050307597E-2</v>
      </c>
      <c r="F218" s="11">
        <v>5.2845000000000004</v>
      </c>
      <c r="G218" s="11">
        <v>0.17</v>
      </c>
      <c r="H218" s="11">
        <v>-0.2</v>
      </c>
      <c r="I218" s="11">
        <v>0</v>
      </c>
      <c r="K218" s="11">
        <v>-7.0000000000000007E-2</v>
      </c>
      <c r="L218" s="11">
        <v>0</v>
      </c>
      <c r="N218" s="11">
        <v>-0.32</v>
      </c>
      <c r="O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-0.80800000000000005</v>
      </c>
      <c r="X218" s="11">
        <v>4.9957272348731003E-3</v>
      </c>
      <c r="Y218" s="11">
        <v>0</v>
      </c>
      <c r="Z218" s="11">
        <v>0.01</v>
      </c>
      <c r="AB218" s="11">
        <v>0</v>
      </c>
      <c r="AC218" s="11">
        <v>0</v>
      </c>
      <c r="AD218" s="10">
        <v>0.43</v>
      </c>
      <c r="AE218" s="11">
        <v>0</v>
      </c>
      <c r="AG218" s="11">
        <v>0.44</v>
      </c>
      <c r="AH218" s="11">
        <v>0</v>
      </c>
      <c r="AI218" s="11">
        <v>0.24</v>
      </c>
      <c r="AJ218" s="11">
        <v>0</v>
      </c>
    </row>
    <row r="219" spans="4:36">
      <c r="D219" s="10">
        <v>43647</v>
      </c>
      <c r="E219" s="11">
        <v>5.59712956667551E-2</v>
      </c>
      <c r="F219" s="11">
        <v>5.3295000000000003</v>
      </c>
      <c r="G219" s="11">
        <v>0.17</v>
      </c>
      <c r="H219" s="11">
        <v>-0.2</v>
      </c>
      <c r="I219" s="11">
        <v>0</v>
      </c>
      <c r="K219" s="11">
        <v>-7.0000000000000007E-2</v>
      </c>
      <c r="L219" s="11">
        <v>0</v>
      </c>
      <c r="N219" s="11">
        <v>-0.32</v>
      </c>
      <c r="O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-0.80800000000000005</v>
      </c>
      <c r="X219" s="11">
        <v>4.9966713964166003E-3</v>
      </c>
      <c r="Y219" s="11">
        <v>0</v>
      </c>
      <c r="Z219" s="11">
        <v>0.01</v>
      </c>
      <c r="AB219" s="11">
        <v>0</v>
      </c>
      <c r="AC219" s="11">
        <v>0</v>
      </c>
      <c r="AD219" s="10">
        <v>0.43</v>
      </c>
      <c r="AE219" s="11">
        <v>0</v>
      </c>
      <c r="AG219" s="11">
        <v>0.44</v>
      </c>
      <c r="AH219" s="11">
        <v>0</v>
      </c>
      <c r="AI219" s="11">
        <v>0.24</v>
      </c>
      <c r="AJ219" s="11">
        <v>0</v>
      </c>
    </row>
    <row r="220" spans="4:36">
      <c r="D220" s="10">
        <v>43678</v>
      </c>
      <c r="E220" s="11">
        <v>5.6026238638072101E-2</v>
      </c>
      <c r="F220" s="11">
        <v>5.3685</v>
      </c>
      <c r="G220" s="11">
        <v>0.17</v>
      </c>
      <c r="H220" s="11">
        <v>-0.2</v>
      </c>
      <c r="I220" s="11">
        <v>0</v>
      </c>
      <c r="K220" s="11">
        <v>-7.0000000000000007E-2</v>
      </c>
      <c r="L220" s="11">
        <v>0</v>
      </c>
      <c r="N220" s="11">
        <v>-0.32</v>
      </c>
      <c r="O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-0.80800000000000005</v>
      </c>
      <c r="X220" s="11">
        <v>4.9976697587568002E-3</v>
      </c>
      <c r="Y220" s="11">
        <v>0</v>
      </c>
      <c r="Z220" s="11">
        <v>0.01</v>
      </c>
      <c r="AB220" s="11">
        <v>0</v>
      </c>
      <c r="AC220" s="11">
        <v>0</v>
      </c>
      <c r="AD220" s="10">
        <v>0.43</v>
      </c>
      <c r="AE220" s="11">
        <v>0</v>
      </c>
      <c r="AG220" s="11">
        <v>0.44</v>
      </c>
      <c r="AH220" s="11">
        <v>0</v>
      </c>
      <c r="AI220" s="11">
        <v>0.24</v>
      </c>
      <c r="AJ220" s="11">
        <v>0</v>
      </c>
    </row>
    <row r="221" spans="4:36">
      <c r="D221" s="10">
        <v>43709</v>
      </c>
      <c r="E221" s="11">
        <v>5.6081181610394597E-2</v>
      </c>
      <c r="F221" s="11">
        <v>5.3624999999999998</v>
      </c>
      <c r="G221" s="11">
        <v>0.17</v>
      </c>
      <c r="H221" s="11">
        <v>-0.2</v>
      </c>
      <c r="I221" s="11">
        <v>0</v>
      </c>
      <c r="K221" s="11">
        <v>-7.0000000000000007E-2</v>
      </c>
      <c r="L221" s="11">
        <v>0</v>
      </c>
      <c r="N221" s="11">
        <v>-0.32</v>
      </c>
      <c r="O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-0.80800000000000005</v>
      </c>
      <c r="X221" s="11">
        <v>4.9986912347141001E-3</v>
      </c>
      <c r="Y221" s="11">
        <v>0</v>
      </c>
      <c r="Z221" s="11">
        <v>0.01</v>
      </c>
      <c r="AB221" s="11">
        <v>0</v>
      </c>
      <c r="AC221" s="11">
        <v>0</v>
      </c>
      <c r="AD221" s="10">
        <v>0.43</v>
      </c>
      <c r="AE221" s="11">
        <v>0</v>
      </c>
      <c r="AG221" s="11">
        <v>0.44</v>
      </c>
      <c r="AH221" s="11">
        <v>0</v>
      </c>
      <c r="AI221" s="11">
        <v>0.24</v>
      </c>
      <c r="AJ221" s="11">
        <v>0</v>
      </c>
    </row>
    <row r="222" spans="4:36">
      <c r="D222" s="10">
        <v>43739</v>
      </c>
      <c r="E222" s="11">
        <v>5.6134352229727701E-2</v>
      </c>
      <c r="F222" s="11">
        <v>5.3724999999999996</v>
      </c>
      <c r="G222" s="11">
        <v>0.17</v>
      </c>
      <c r="H222" s="11">
        <v>-0.2</v>
      </c>
      <c r="I222" s="11">
        <v>0</v>
      </c>
      <c r="K222" s="11">
        <v>-7.0000000000000007E-2</v>
      </c>
      <c r="L222" s="11">
        <v>0</v>
      </c>
      <c r="N222" s="11">
        <v>-0.32</v>
      </c>
      <c r="O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-0.80800000000000005</v>
      </c>
      <c r="X222" s="11">
        <v>4.9997017790548003E-3</v>
      </c>
      <c r="Y222" s="11">
        <v>0</v>
      </c>
      <c r="Z222" s="11">
        <v>0.01</v>
      </c>
      <c r="AB222" s="11">
        <v>0</v>
      </c>
      <c r="AC222" s="11">
        <v>0</v>
      </c>
      <c r="AD222" s="10">
        <v>0.43</v>
      </c>
      <c r="AE222" s="11">
        <v>0</v>
      </c>
      <c r="AG222" s="11">
        <v>0.44</v>
      </c>
      <c r="AH222" s="11">
        <v>0</v>
      </c>
      <c r="AI222" s="11">
        <v>0.24</v>
      </c>
      <c r="AJ222" s="11">
        <v>0</v>
      </c>
    </row>
    <row r="223" spans="4:36">
      <c r="D223" s="10">
        <v>43770</v>
      </c>
      <c r="E223" s="11">
        <v>5.6189295204027302E-2</v>
      </c>
      <c r="F223" s="11">
        <v>5.5324999999999998</v>
      </c>
      <c r="G223" s="11">
        <v>0.17</v>
      </c>
      <c r="H223" s="11">
        <v>-0.13</v>
      </c>
      <c r="I223" s="11">
        <v>0</v>
      </c>
      <c r="K223" s="11">
        <v>-7.0000000000000007E-2</v>
      </c>
      <c r="L223" s="11">
        <v>0</v>
      </c>
      <c r="N223" s="11">
        <v>-0.24</v>
      </c>
      <c r="O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-0.70799999999999996</v>
      </c>
      <c r="X223" s="11">
        <v>5.0007687740882996E-3</v>
      </c>
      <c r="Y223" s="11">
        <v>0</v>
      </c>
      <c r="Z223" s="11">
        <v>4.4999999999999998E-2</v>
      </c>
      <c r="AB223" s="11">
        <v>0</v>
      </c>
      <c r="AC223" s="11">
        <v>0</v>
      </c>
      <c r="AD223" s="10">
        <v>0.35</v>
      </c>
      <c r="AE223" s="11">
        <v>0</v>
      </c>
      <c r="AG223" s="11">
        <v>0.5</v>
      </c>
      <c r="AH223" s="11">
        <v>0</v>
      </c>
      <c r="AI223" s="11">
        <v>0.3</v>
      </c>
      <c r="AJ223" s="11">
        <v>0</v>
      </c>
    </row>
    <row r="224" spans="4:36">
      <c r="D224" s="10">
        <v>43800</v>
      </c>
      <c r="E224" s="11">
        <v>5.62424658252745E-2</v>
      </c>
      <c r="F224" s="11">
        <v>5.6864999999999997</v>
      </c>
      <c r="G224" s="11">
        <v>0.17</v>
      </c>
      <c r="H224" s="11">
        <v>-0.13</v>
      </c>
      <c r="I224" s="11">
        <v>0</v>
      </c>
      <c r="K224" s="11">
        <v>-7.0000000000000007E-2</v>
      </c>
      <c r="L224" s="11">
        <v>0</v>
      </c>
      <c r="N224" s="11">
        <v>-0.24</v>
      </c>
      <c r="O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-0.70799999999999996</v>
      </c>
      <c r="X224" s="11">
        <v>5.0018233938631E-3</v>
      </c>
      <c r="Y224" s="11">
        <v>0</v>
      </c>
      <c r="Z224" s="11">
        <v>4.4999999999999998E-2</v>
      </c>
      <c r="AB224" s="11">
        <v>0</v>
      </c>
      <c r="AC224" s="11">
        <v>0</v>
      </c>
      <c r="AD224" s="10">
        <v>0.35</v>
      </c>
      <c r="AE224" s="11">
        <v>0</v>
      </c>
      <c r="AG224" s="11">
        <v>0.56999999999999995</v>
      </c>
      <c r="AH224" s="11">
        <v>0</v>
      </c>
      <c r="AI224" s="11">
        <v>0.37</v>
      </c>
      <c r="AJ224" s="11">
        <v>0</v>
      </c>
    </row>
    <row r="225" spans="4:36">
      <c r="D225" s="10">
        <v>43831</v>
      </c>
      <c r="E225" s="11">
        <v>5.6297408801551499E-2</v>
      </c>
      <c r="F225" s="11">
        <v>5.7389999999999999</v>
      </c>
      <c r="G225" s="11">
        <v>0.17</v>
      </c>
      <c r="H225" s="11">
        <v>-0.13</v>
      </c>
      <c r="I225" s="11">
        <v>0</v>
      </c>
      <c r="K225" s="11">
        <v>-7.0000000000000007E-2</v>
      </c>
      <c r="L225" s="11">
        <v>0</v>
      </c>
      <c r="N225" s="11">
        <v>-0.24</v>
      </c>
      <c r="O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-0.70799999999999996</v>
      </c>
      <c r="X225" s="11">
        <v>5.0029359596644001E-3</v>
      </c>
      <c r="Y225" s="11">
        <v>0</v>
      </c>
      <c r="Z225" s="11">
        <v>4.4999999999999998E-2</v>
      </c>
      <c r="AB225" s="11">
        <v>0</v>
      </c>
      <c r="AC225" s="11">
        <v>0</v>
      </c>
      <c r="AD225" s="10">
        <v>0.35</v>
      </c>
      <c r="AE225" s="11">
        <v>0</v>
      </c>
      <c r="AG225" s="11">
        <v>0.56999999999999995</v>
      </c>
      <c r="AH225" s="11">
        <v>0</v>
      </c>
      <c r="AI225" s="11">
        <v>0.37</v>
      </c>
      <c r="AJ225" s="11">
        <v>0</v>
      </c>
    </row>
    <row r="226" spans="4:36">
      <c r="D226" s="10">
        <v>43862</v>
      </c>
      <c r="E226" s="11">
        <v>5.6352351778833097E-2</v>
      </c>
      <c r="F226" s="11">
        <v>5.6509999999999998</v>
      </c>
      <c r="G226" s="11">
        <v>0.17</v>
      </c>
      <c r="H226" s="11">
        <v>-0.13</v>
      </c>
      <c r="I226" s="11">
        <v>0</v>
      </c>
      <c r="K226" s="11">
        <v>-7.0000000000000007E-2</v>
      </c>
      <c r="L226" s="11">
        <v>0</v>
      </c>
      <c r="N226" s="11">
        <v>-0.24</v>
      </c>
      <c r="O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-0.70799999999999996</v>
      </c>
      <c r="X226" s="11">
        <v>5.0040717049725002E-3</v>
      </c>
      <c r="Y226" s="11">
        <v>0</v>
      </c>
      <c r="Z226" s="11">
        <v>4.4999999999999998E-2</v>
      </c>
      <c r="AB226" s="11">
        <v>0</v>
      </c>
      <c r="AC226" s="11">
        <v>0</v>
      </c>
      <c r="AD226" s="10">
        <v>0.35</v>
      </c>
      <c r="AE226" s="11">
        <v>0</v>
      </c>
      <c r="AG226" s="11">
        <v>0.56999999999999995</v>
      </c>
      <c r="AH226" s="11">
        <v>0</v>
      </c>
      <c r="AI226" s="11">
        <v>0.37</v>
      </c>
      <c r="AJ226" s="11">
        <v>0</v>
      </c>
    </row>
    <row r="227" spans="4:36">
      <c r="D227" s="10">
        <v>43891</v>
      </c>
      <c r="E227" s="11">
        <v>5.6403750048813303E-2</v>
      </c>
      <c r="F227" s="11">
        <v>5.5119999999999996</v>
      </c>
      <c r="G227" s="11">
        <v>0.17</v>
      </c>
      <c r="H227" s="11">
        <v>-0.13</v>
      </c>
      <c r="I227" s="11">
        <v>0</v>
      </c>
      <c r="K227" s="11">
        <v>-7.0000000000000007E-2</v>
      </c>
      <c r="L227" s="11">
        <v>0</v>
      </c>
      <c r="N227" s="11">
        <v>-0.24</v>
      </c>
      <c r="O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-0.70799999999999996</v>
      </c>
      <c r="X227" s="11">
        <v>5.0051551736237003E-3</v>
      </c>
      <c r="Y227" s="11">
        <v>0</v>
      </c>
      <c r="Z227" s="11">
        <v>4.4999999999999998E-2</v>
      </c>
      <c r="AB227" s="11">
        <v>0</v>
      </c>
      <c r="AC227" s="11">
        <v>0</v>
      </c>
      <c r="AD227" s="10">
        <v>0.35</v>
      </c>
      <c r="AE227" s="11">
        <v>0</v>
      </c>
      <c r="AG227" s="11">
        <v>0.56999999999999995</v>
      </c>
      <c r="AH227" s="11">
        <v>0</v>
      </c>
      <c r="AI227" s="11">
        <v>0.37</v>
      </c>
      <c r="AJ227" s="11">
        <v>0</v>
      </c>
    </row>
    <row r="228" spans="4:36">
      <c r="D228" s="10">
        <v>43922</v>
      </c>
      <c r="E228" s="11">
        <v>5.6458693028039998E-2</v>
      </c>
      <c r="F228" s="11">
        <v>5.3579999999999997</v>
      </c>
      <c r="G228" s="11">
        <v>0.17</v>
      </c>
      <c r="H228" s="11">
        <v>-0.2</v>
      </c>
      <c r="I228" s="11">
        <v>0</v>
      </c>
      <c r="K228" s="11">
        <v>-7.0000000000000007E-2</v>
      </c>
      <c r="L228" s="11">
        <v>0</v>
      </c>
      <c r="N228" s="11">
        <v>-0.32</v>
      </c>
      <c r="O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-0.80800000000000005</v>
      </c>
      <c r="X228" s="11">
        <v>5.0063358234068E-3</v>
      </c>
      <c r="Y228" s="11">
        <v>0</v>
      </c>
      <c r="Z228" s="11">
        <v>0.01</v>
      </c>
      <c r="AB228" s="11">
        <v>0</v>
      </c>
      <c r="AC228" s="11">
        <v>0</v>
      </c>
      <c r="AD228" s="10">
        <v>0.43</v>
      </c>
      <c r="AE228" s="11">
        <v>0</v>
      </c>
      <c r="AG228" s="11">
        <v>0.44</v>
      </c>
      <c r="AH228" s="11">
        <v>0</v>
      </c>
      <c r="AI228" s="11">
        <v>0.24</v>
      </c>
      <c r="AJ228" s="11">
        <v>0</v>
      </c>
    </row>
    <row r="229" spans="4:36">
      <c r="D229" s="10">
        <v>43952</v>
      </c>
      <c r="E229" s="11">
        <v>5.6511863654054001E-2</v>
      </c>
      <c r="F229" s="11">
        <v>5.3620000000000001</v>
      </c>
      <c r="G229" s="11">
        <v>0.17</v>
      </c>
      <c r="H229" s="11">
        <v>-0.2</v>
      </c>
      <c r="I229" s="11">
        <v>0</v>
      </c>
      <c r="K229" s="11">
        <v>-7.0000000000000007E-2</v>
      </c>
      <c r="L229" s="11">
        <v>0</v>
      </c>
      <c r="N229" s="11">
        <v>-0.32</v>
      </c>
      <c r="O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-0.80800000000000005</v>
      </c>
      <c r="X229" s="11">
        <v>5.0075004983786003E-3</v>
      </c>
      <c r="Y229" s="11">
        <v>0</v>
      </c>
      <c r="Z229" s="11">
        <v>0.01</v>
      </c>
      <c r="AB229" s="11">
        <v>0</v>
      </c>
      <c r="AC229" s="11">
        <v>0</v>
      </c>
      <c r="AD229" s="10">
        <v>0.43</v>
      </c>
      <c r="AE229" s="11">
        <v>0</v>
      </c>
      <c r="AG229" s="11">
        <v>0.44</v>
      </c>
      <c r="AH229" s="11">
        <v>0</v>
      </c>
      <c r="AI229" s="11">
        <v>0.24</v>
      </c>
      <c r="AJ229" s="11">
        <v>0</v>
      </c>
    </row>
    <row r="230" spans="4:36">
      <c r="D230" s="10">
        <v>43983</v>
      </c>
      <c r="E230" s="11">
        <v>5.6566806635257802E-2</v>
      </c>
      <c r="F230" s="11">
        <v>5.4020000000000001</v>
      </c>
      <c r="G230" s="11">
        <v>0.17</v>
      </c>
      <c r="H230" s="11">
        <v>-0.2</v>
      </c>
      <c r="I230" s="11">
        <v>0</v>
      </c>
      <c r="K230" s="11">
        <v>-7.0000000000000007E-2</v>
      </c>
      <c r="L230" s="11">
        <v>0</v>
      </c>
      <c r="N230" s="11">
        <v>-0.32</v>
      </c>
      <c r="O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-0.80800000000000005</v>
      </c>
      <c r="X230" s="11">
        <v>5.008726858371E-3</v>
      </c>
      <c r="Y230" s="11">
        <v>0</v>
      </c>
      <c r="Z230" s="11">
        <v>0.01</v>
      </c>
      <c r="AB230" s="11">
        <v>0</v>
      </c>
      <c r="AC230" s="11">
        <v>0</v>
      </c>
      <c r="AD230" s="10">
        <v>0.43</v>
      </c>
      <c r="AE230" s="11">
        <v>0</v>
      </c>
      <c r="AG230" s="11">
        <v>0.44</v>
      </c>
      <c r="AH230" s="11">
        <v>0</v>
      </c>
      <c r="AI230" s="11">
        <v>0.24</v>
      </c>
      <c r="AJ230" s="11">
        <v>0</v>
      </c>
    </row>
    <row r="231" spans="4:36">
      <c r="D231" s="10">
        <v>44013</v>
      </c>
      <c r="E231" s="11">
        <v>5.6619977263185899E-2</v>
      </c>
      <c r="F231" s="11">
        <v>5.4470000000000001</v>
      </c>
      <c r="G231" s="11">
        <v>0.17</v>
      </c>
      <c r="H231" s="11">
        <v>-0.2</v>
      </c>
      <c r="I231" s="11">
        <v>0</v>
      </c>
      <c r="K231" s="11">
        <v>-7.0000000000000007E-2</v>
      </c>
      <c r="L231" s="11">
        <v>0</v>
      </c>
      <c r="N231" s="11">
        <v>-0.32</v>
      </c>
      <c r="O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-0.80800000000000005</v>
      </c>
      <c r="X231" s="11">
        <v>5.0099357978789002E-3</v>
      </c>
      <c r="Y231" s="11">
        <v>0</v>
      </c>
      <c r="Z231" s="11">
        <v>0.01</v>
      </c>
      <c r="AB231" s="11">
        <v>0</v>
      </c>
      <c r="AC231" s="11">
        <v>0</v>
      </c>
      <c r="AD231" s="10">
        <v>0.43</v>
      </c>
      <c r="AE231" s="11">
        <v>0</v>
      </c>
      <c r="AG231" s="11">
        <v>0.44</v>
      </c>
      <c r="AH231" s="11">
        <v>0</v>
      </c>
      <c r="AI231" s="11">
        <v>0.24</v>
      </c>
      <c r="AJ231" s="11">
        <v>0</v>
      </c>
    </row>
    <row r="232" spans="4:36">
      <c r="D232" s="10">
        <v>44044</v>
      </c>
      <c r="E232" s="11">
        <v>5.6674920246366299E-2</v>
      </c>
      <c r="F232" s="11">
        <v>5.4859999999999998</v>
      </c>
      <c r="G232" s="11">
        <v>0.17</v>
      </c>
      <c r="H232" s="11">
        <v>-0.2</v>
      </c>
      <c r="I232" s="11">
        <v>0</v>
      </c>
      <c r="K232" s="11">
        <v>-7.0000000000000007E-2</v>
      </c>
      <c r="L232" s="11">
        <v>0</v>
      </c>
      <c r="N232" s="11">
        <v>-0.32</v>
      </c>
      <c r="O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-0.80800000000000005</v>
      </c>
      <c r="X232" s="11">
        <v>5.0112079283207997E-3</v>
      </c>
      <c r="Y232" s="11">
        <v>0</v>
      </c>
      <c r="Z232" s="11">
        <v>0.01</v>
      </c>
      <c r="AB232" s="11">
        <v>0</v>
      </c>
      <c r="AC232" s="11">
        <v>0</v>
      </c>
      <c r="AD232" s="10">
        <v>0.43</v>
      </c>
      <c r="AE232" s="11">
        <v>0</v>
      </c>
      <c r="AG232" s="11">
        <v>0.44</v>
      </c>
      <c r="AH232" s="11">
        <v>0</v>
      </c>
      <c r="AI232" s="11">
        <v>0.24</v>
      </c>
      <c r="AJ232" s="11">
        <v>0</v>
      </c>
    </row>
    <row r="233" spans="4:36">
      <c r="D233" s="10">
        <v>44075</v>
      </c>
      <c r="E233" s="11">
        <v>5.6729863230551701E-2</v>
      </c>
      <c r="F233" s="11">
        <v>5.48</v>
      </c>
      <c r="G233" s="11">
        <v>0.17</v>
      </c>
      <c r="H233" s="11">
        <v>-0.2</v>
      </c>
      <c r="I233" s="11">
        <v>0</v>
      </c>
      <c r="K233" s="11">
        <v>-7.0000000000000007E-2</v>
      </c>
      <c r="L233" s="11">
        <v>0</v>
      </c>
      <c r="N233" s="11">
        <v>-0.32</v>
      </c>
      <c r="O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-0.80800000000000005</v>
      </c>
      <c r="X233" s="11">
        <v>5.0125033430289002E-3</v>
      </c>
      <c r="Y233" s="11">
        <v>0</v>
      </c>
      <c r="Z233" s="11">
        <v>0.01</v>
      </c>
      <c r="AB233" s="11">
        <v>0</v>
      </c>
      <c r="AC233" s="11">
        <v>0</v>
      </c>
      <c r="AD233" s="10">
        <v>0.43</v>
      </c>
      <c r="AE233" s="11">
        <v>0</v>
      </c>
      <c r="AG233" s="11">
        <v>0.44</v>
      </c>
      <c r="AH233" s="11">
        <v>0</v>
      </c>
      <c r="AI233" s="11">
        <v>0.24</v>
      </c>
      <c r="AJ233" s="11">
        <v>0</v>
      </c>
    </row>
    <row r="234" spans="4:36">
      <c r="D234" s="10">
        <v>44105</v>
      </c>
      <c r="E234" s="11">
        <v>5.6783033861365101E-2</v>
      </c>
      <c r="F234" s="11">
        <v>5.49</v>
      </c>
      <c r="G234" s="11">
        <v>0.17</v>
      </c>
      <c r="H234" s="11">
        <v>-0.2</v>
      </c>
      <c r="I234" s="11">
        <v>0</v>
      </c>
      <c r="K234" s="11">
        <v>-7.0000000000000007E-2</v>
      </c>
      <c r="L234" s="11">
        <v>0</v>
      </c>
      <c r="N234" s="11">
        <v>-0.32</v>
      </c>
      <c r="O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-0.80800000000000005</v>
      </c>
      <c r="X234" s="11">
        <v>5.0137791554423997E-3</v>
      </c>
      <c r="Y234" s="11">
        <v>0</v>
      </c>
      <c r="Z234" s="11">
        <v>0.01</v>
      </c>
      <c r="AB234" s="11">
        <v>0</v>
      </c>
      <c r="AC234" s="11">
        <v>0</v>
      </c>
      <c r="AD234" s="10">
        <v>0.43</v>
      </c>
      <c r="AE234" s="11">
        <v>0</v>
      </c>
      <c r="AG234" s="11">
        <v>0.44</v>
      </c>
      <c r="AH234" s="11">
        <v>0</v>
      </c>
      <c r="AI234" s="11">
        <v>0.24</v>
      </c>
      <c r="AJ234" s="11">
        <v>0</v>
      </c>
    </row>
    <row r="235" spans="4:36">
      <c r="D235" s="10">
        <v>44136</v>
      </c>
      <c r="E235" s="11">
        <v>5.68379768475267E-2</v>
      </c>
      <c r="F235" s="11">
        <v>5.65</v>
      </c>
      <c r="G235" s="11">
        <v>0.17</v>
      </c>
      <c r="H235" s="11">
        <v>0</v>
      </c>
      <c r="I235" s="11">
        <v>0</v>
      </c>
      <c r="K235" s="11">
        <v>-7.0000000000000007E-2</v>
      </c>
      <c r="L235" s="11">
        <v>0</v>
      </c>
      <c r="N235" s="11">
        <v>0</v>
      </c>
      <c r="O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-0.70799999999999996</v>
      </c>
      <c r="X235" s="11">
        <v>5.0151204361072003E-3</v>
      </c>
      <c r="Y235" s="11">
        <v>0</v>
      </c>
      <c r="Z235" s="11">
        <v>4.4999999999999998E-2</v>
      </c>
      <c r="AB235" s="11">
        <v>0</v>
      </c>
      <c r="AC235" s="11">
        <v>0</v>
      </c>
      <c r="AD235" s="10">
        <v>0.35</v>
      </c>
      <c r="AE235" s="11">
        <v>0</v>
      </c>
      <c r="AG235" s="11">
        <v>0.5</v>
      </c>
      <c r="AH235" s="11">
        <v>0</v>
      </c>
      <c r="AI235" s="11">
        <v>0.3</v>
      </c>
      <c r="AJ235" s="11">
        <v>0</v>
      </c>
    </row>
    <row r="236" spans="4:36">
      <c r="D236" s="10">
        <v>44166</v>
      </c>
      <c r="E236" s="11">
        <v>5.6891147480253097E-2</v>
      </c>
      <c r="F236" s="11">
        <v>5.8040000000000003</v>
      </c>
      <c r="G236" s="11">
        <v>0.17</v>
      </c>
      <c r="H236" s="11">
        <v>0</v>
      </c>
      <c r="I236" s="11">
        <v>0</v>
      </c>
      <c r="K236" s="11">
        <v>-7.0000000000000007E-2</v>
      </c>
      <c r="L236" s="11">
        <v>0</v>
      </c>
      <c r="N236" s="11">
        <v>0</v>
      </c>
      <c r="O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-0.70799999999999996</v>
      </c>
      <c r="X236" s="11">
        <v>5.0164406667676997E-3</v>
      </c>
      <c r="Y236" s="11">
        <v>0</v>
      </c>
      <c r="Z236" s="11">
        <v>4.4999999999999998E-2</v>
      </c>
      <c r="AB236" s="11">
        <v>0</v>
      </c>
      <c r="AC236" s="11">
        <v>0</v>
      </c>
      <c r="AD236" s="10">
        <v>0.35</v>
      </c>
      <c r="AE236" s="11">
        <v>0</v>
      </c>
      <c r="AG236" s="11">
        <v>0.56999999999999995</v>
      </c>
      <c r="AH236" s="11">
        <v>0</v>
      </c>
      <c r="AI236" s="11">
        <v>0.37</v>
      </c>
      <c r="AJ236" s="11">
        <v>0</v>
      </c>
    </row>
    <row r="237" spans="4:36">
      <c r="D237" s="10">
        <v>44197</v>
      </c>
      <c r="E237" s="11">
        <v>5.6946090468391802E-2</v>
      </c>
      <c r="F237" s="11">
        <v>5.8564999999999996</v>
      </c>
      <c r="G237" s="11">
        <v>0.17</v>
      </c>
      <c r="H237" s="11">
        <v>0</v>
      </c>
      <c r="I237" s="11">
        <v>0</v>
      </c>
      <c r="K237" s="11">
        <v>-7.0000000000000007E-2</v>
      </c>
      <c r="L237" s="11">
        <v>0</v>
      </c>
      <c r="N237" s="11">
        <v>0</v>
      </c>
      <c r="O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AB237" s="11">
        <v>0</v>
      </c>
      <c r="AC237" s="11">
        <v>0</v>
      </c>
      <c r="AD237" s="10">
        <v>0.35</v>
      </c>
      <c r="AE237" s="11">
        <v>0</v>
      </c>
      <c r="AG237" s="11">
        <v>0.56999999999999995</v>
      </c>
      <c r="AH237" s="11">
        <v>0</v>
      </c>
      <c r="AI237" s="11">
        <v>0.37</v>
      </c>
      <c r="AJ237" s="11">
        <v>0</v>
      </c>
    </row>
    <row r="238" spans="4:36">
      <c r="D238" s="10">
        <v>44228</v>
      </c>
      <c r="E238" s="11">
        <v>5.70010334575346E-2</v>
      </c>
      <c r="F238" s="11">
        <v>5.7685000000000004</v>
      </c>
      <c r="G238" s="11">
        <v>0.17</v>
      </c>
      <c r="H238" s="11">
        <v>0</v>
      </c>
      <c r="I238" s="11">
        <v>0</v>
      </c>
      <c r="K238" s="11">
        <v>-7.0000000000000007E-2</v>
      </c>
      <c r="L238" s="11">
        <v>0</v>
      </c>
      <c r="N238" s="11">
        <v>0</v>
      </c>
      <c r="O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AB238" s="11">
        <v>0</v>
      </c>
      <c r="AC238" s="11">
        <v>0</v>
      </c>
      <c r="AD238" s="10">
        <v>0.35</v>
      </c>
      <c r="AE238" s="11">
        <v>0</v>
      </c>
      <c r="AG238" s="11">
        <v>0.56999999999999995</v>
      </c>
      <c r="AH238" s="11">
        <v>0</v>
      </c>
      <c r="AI238" s="11">
        <v>0.37</v>
      </c>
      <c r="AJ238" s="11">
        <v>0</v>
      </c>
    </row>
    <row r="239" spans="4:36">
      <c r="D239" s="10">
        <v>44256</v>
      </c>
      <c r="E239" s="11">
        <v>5.7050659384075997E-2</v>
      </c>
      <c r="F239" s="11">
        <v>5.6295000000000002</v>
      </c>
      <c r="G239" s="11">
        <v>0.17</v>
      </c>
      <c r="H239" s="11">
        <v>0</v>
      </c>
      <c r="I239" s="11">
        <v>0</v>
      </c>
      <c r="K239" s="11">
        <v>-7.0000000000000007E-2</v>
      </c>
      <c r="L239" s="11">
        <v>0</v>
      </c>
      <c r="N239" s="11">
        <v>0</v>
      </c>
      <c r="O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AB239" s="11">
        <v>0</v>
      </c>
      <c r="AC239" s="11">
        <v>0</v>
      </c>
      <c r="AD239" s="10">
        <v>0.35</v>
      </c>
      <c r="AE239" s="11">
        <v>0</v>
      </c>
      <c r="AG239" s="11">
        <v>0.56999999999999995</v>
      </c>
      <c r="AH239" s="11">
        <v>0</v>
      </c>
      <c r="AI239" s="11">
        <v>0.37</v>
      </c>
      <c r="AJ239" s="11">
        <v>0</v>
      </c>
    </row>
    <row r="240" spans="4:36">
      <c r="D240" s="10">
        <v>44287</v>
      </c>
      <c r="E240" s="11">
        <v>5.7105602375131098E-2</v>
      </c>
      <c r="F240" s="11">
        <v>5.4755000000000003</v>
      </c>
      <c r="G240" s="11">
        <v>0.17</v>
      </c>
      <c r="H240" s="11">
        <v>0</v>
      </c>
      <c r="I240" s="11">
        <v>0</v>
      </c>
      <c r="K240" s="11">
        <v>-7.0000000000000007E-2</v>
      </c>
      <c r="L240" s="11">
        <v>0</v>
      </c>
      <c r="N240" s="11">
        <v>0</v>
      </c>
      <c r="O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AB240" s="11">
        <v>0</v>
      </c>
      <c r="AC240" s="11">
        <v>0</v>
      </c>
      <c r="AD240" s="10">
        <v>0.43</v>
      </c>
      <c r="AE240" s="11">
        <v>0</v>
      </c>
      <c r="AG240" s="11">
        <v>0.44</v>
      </c>
      <c r="AH240" s="11">
        <v>0</v>
      </c>
      <c r="AI240" s="11">
        <v>0.24</v>
      </c>
      <c r="AJ240" s="11">
        <v>0</v>
      </c>
    </row>
    <row r="241" spans="4:36">
      <c r="D241" s="10">
        <v>44317</v>
      </c>
      <c r="E241" s="11">
        <v>5.7158773012592E-2</v>
      </c>
      <c r="F241" s="11">
        <v>5.4794999999999998</v>
      </c>
      <c r="G241" s="11">
        <v>0.17</v>
      </c>
      <c r="H241" s="11">
        <v>0</v>
      </c>
      <c r="I241" s="11">
        <v>0</v>
      </c>
      <c r="K241" s="11">
        <v>-7.0000000000000007E-2</v>
      </c>
      <c r="L241" s="11">
        <v>0</v>
      </c>
      <c r="N241" s="11">
        <v>0</v>
      </c>
      <c r="O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AB241" s="11">
        <v>0</v>
      </c>
      <c r="AC241" s="11">
        <v>0</v>
      </c>
      <c r="AD241" s="10">
        <v>0.43</v>
      </c>
      <c r="AE241" s="11">
        <v>0</v>
      </c>
      <c r="AG241" s="11">
        <v>0.44</v>
      </c>
      <c r="AH241" s="11">
        <v>0</v>
      </c>
      <c r="AI241" s="11">
        <v>0.24</v>
      </c>
      <c r="AJ241" s="11">
        <v>0</v>
      </c>
    </row>
    <row r="242" spans="4:36">
      <c r="D242" s="10">
        <v>44348</v>
      </c>
      <c r="E242" s="11">
        <v>5.7213716005623597E-2</v>
      </c>
      <c r="F242" s="11">
        <v>5.5194999999999999</v>
      </c>
      <c r="G242" s="11">
        <v>0.17</v>
      </c>
      <c r="H242" s="11">
        <v>0</v>
      </c>
      <c r="I242" s="11">
        <v>0</v>
      </c>
      <c r="K242" s="11">
        <v>-7.0000000000000007E-2</v>
      </c>
      <c r="L242" s="11">
        <v>0</v>
      </c>
      <c r="N242" s="11">
        <v>0</v>
      </c>
      <c r="O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AB242" s="11">
        <v>0</v>
      </c>
      <c r="AC242" s="11">
        <v>0</v>
      </c>
      <c r="AD242" s="10">
        <v>0.43</v>
      </c>
      <c r="AE242" s="11">
        <v>0</v>
      </c>
      <c r="AG242" s="11">
        <v>0.44</v>
      </c>
      <c r="AH242" s="11">
        <v>0</v>
      </c>
      <c r="AI242" s="11">
        <v>0.24</v>
      </c>
      <c r="AJ242" s="11">
        <v>0</v>
      </c>
    </row>
    <row r="243" spans="4:36">
      <c r="D243" s="10">
        <v>44378</v>
      </c>
      <c r="E243" s="11">
        <v>5.7266886644997197E-2</v>
      </c>
      <c r="F243" s="11">
        <v>5.5644999999999998</v>
      </c>
      <c r="G243" s="11">
        <v>0.17</v>
      </c>
      <c r="H243" s="11">
        <v>0</v>
      </c>
      <c r="I243" s="11">
        <v>0</v>
      </c>
      <c r="K243" s="11">
        <v>-7.0000000000000007E-2</v>
      </c>
      <c r="L243" s="11">
        <v>0</v>
      </c>
      <c r="N243" s="11">
        <v>0</v>
      </c>
      <c r="O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AB243" s="11">
        <v>0</v>
      </c>
      <c r="AC243" s="11">
        <v>0</v>
      </c>
      <c r="AD243" s="10">
        <v>0.43</v>
      </c>
      <c r="AE243" s="11">
        <v>0</v>
      </c>
      <c r="AG243" s="11">
        <v>0.44</v>
      </c>
      <c r="AH243" s="11">
        <v>0</v>
      </c>
      <c r="AI243" s="11">
        <v>0.24</v>
      </c>
      <c r="AJ243" s="11">
        <v>0</v>
      </c>
    </row>
    <row r="244" spans="4:36">
      <c r="D244" s="10">
        <v>44409</v>
      </c>
      <c r="E244" s="11">
        <v>5.7321829640004603E-2</v>
      </c>
      <c r="F244" s="11">
        <v>5.6035000000000004</v>
      </c>
      <c r="G244" s="11">
        <v>0.17</v>
      </c>
      <c r="H244" s="11">
        <v>0</v>
      </c>
      <c r="I244" s="11">
        <v>0</v>
      </c>
      <c r="K244" s="11">
        <v>-7.0000000000000007E-2</v>
      </c>
      <c r="L244" s="11">
        <v>0</v>
      </c>
      <c r="N244" s="11">
        <v>0</v>
      </c>
      <c r="O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AB244" s="11">
        <v>0</v>
      </c>
      <c r="AC244" s="11">
        <v>0</v>
      </c>
      <c r="AD244" s="10">
        <v>0.43</v>
      </c>
      <c r="AE244" s="11">
        <v>0</v>
      </c>
      <c r="AG244" s="11">
        <v>0.44</v>
      </c>
      <c r="AH244" s="11">
        <v>0</v>
      </c>
      <c r="AI244" s="11">
        <v>0.24</v>
      </c>
      <c r="AJ244" s="11">
        <v>0</v>
      </c>
    </row>
    <row r="245" spans="4:36">
      <c r="D245" s="10">
        <v>44440</v>
      </c>
      <c r="E245" s="11">
        <v>5.7376772636017002E-2</v>
      </c>
      <c r="F245" s="11">
        <v>5.5975000000000001</v>
      </c>
      <c r="G245" s="11">
        <v>0.17</v>
      </c>
      <c r="H245" s="11">
        <v>0</v>
      </c>
      <c r="I245" s="11">
        <v>0</v>
      </c>
      <c r="K245" s="11">
        <v>-7.0000000000000007E-2</v>
      </c>
      <c r="L245" s="11">
        <v>0</v>
      </c>
      <c r="N245" s="11">
        <v>0</v>
      </c>
      <c r="O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AB245" s="11">
        <v>0</v>
      </c>
      <c r="AC245" s="11">
        <v>0</v>
      </c>
      <c r="AD245" s="10">
        <v>0.43</v>
      </c>
      <c r="AE245" s="11">
        <v>0</v>
      </c>
      <c r="AG245" s="11">
        <v>0.44</v>
      </c>
      <c r="AH245" s="11">
        <v>0</v>
      </c>
      <c r="AI245" s="11">
        <v>0.24</v>
      </c>
      <c r="AJ245" s="11">
        <v>0</v>
      </c>
    </row>
    <row r="246" spans="4:36">
      <c r="D246" s="10">
        <v>44470</v>
      </c>
      <c r="E246" s="11">
        <v>5.7429943278274997E-2</v>
      </c>
      <c r="F246" s="11">
        <v>5.6074999999999999</v>
      </c>
      <c r="G246" s="11">
        <v>0.17</v>
      </c>
      <c r="H246" s="11">
        <v>0</v>
      </c>
      <c r="I246" s="11">
        <v>0</v>
      </c>
      <c r="K246" s="11">
        <v>-7.0000000000000007E-2</v>
      </c>
      <c r="L246" s="11">
        <v>0</v>
      </c>
      <c r="N246" s="11">
        <v>0</v>
      </c>
      <c r="O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AB246" s="11">
        <v>0</v>
      </c>
      <c r="AC246" s="11">
        <v>0</v>
      </c>
      <c r="AD246" s="10">
        <v>0.43</v>
      </c>
      <c r="AE246" s="11">
        <v>0</v>
      </c>
      <c r="AG246" s="11">
        <v>0.44</v>
      </c>
      <c r="AH246" s="11">
        <v>0</v>
      </c>
      <c r="AI246" s="11">
        <v>0.24</v>
      </c>
      <c r="AJ246" s="11">
        <v>0</v>
      </c>
    </row>
    <row r="247" spans="4:36">
      <c r="D247" s="10">
        <v>44501</v>
      </c>
      <c r="E247" s="11">
        <v>5.7484886276263102E-2</v>
      </c>
      <c r="F247" s="11">
        <v>5.7675000000000001</v>
      </c>
      <c r="G247" s="11">
        <v>0.17</v>
      </c>
      <c r="H247" s="11">
        <v>0</v>
      </c>
      <c r="I247" s="11">
        <v>0</v>
      </c>
      <c r="K247" s="11">
        <v>-7.0000000000000007E-2</v>
      </c>
      <c r="L247" s="11">
        <v>0</v>
      </c>
      <c r="N247" s="11">
        <v>0</v>
      </c>
      <c r="O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AB247" s="11">
        <v>0</v>
      </c>
      <c r="AC247" s="11">
        <v>0</v>
      </c>
      <c r="AD247" s="10">
        <v>0</v>
      </c>
      <c r="AE247" s="11">
        <v>0</v>
      </c>
      <c r="AG247" s="11">
        <v>0</v>
      </c>
      <c r="AH247" s="11">
        <v>0</v>
      </c>
      <c r="AI247" s="11">
        <v>-0.2</v>
      </c>
      <c r="AJ247" s="11">
        <v>0</v>
      </c>
    </row>
    <row r="248" spans="4:36">
      <c r="D248" s="10">
        <v>44531</v>
      </c>
      <c r="E248" s="11">
        <v>5.7499064424872098E-2</v>
      </c>
      <c r="F248" s="11">
        <v>5.9215</v>
      </c>
      <c r="G248" s="11">
        <v>0.17</v>
      </c>
      <c r="H248" s="11">
        <v>0</v>
      </c>
      <c r="I248" s="11">
        <v>0</v>
      </c>
      <c r="K248" s="11">
        <v>-7.0000000000000007E-2</v>
      </c>
      <c r="L248" s="11">
        <v>0</v>
      </c>
      <c r="N248" s="11">
        <v>0</v>
      </c>
      <c r="O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AB248" s="11">
        <v>0</v>
      </c>
      <c r="AC248" s="11">
        <v>0</v>
      </c>
      <c r="AD248" s="10">
        <v>0</v>
      </c>
      <c r="AE248" s="11">
        <v>0</v>
      </c>
      <c r="AG248" s="11">
        <v>0</v>
      </c>
      <c r="AH248" s="11">
        <v>0</v>
      </c>
      <c r="AI248" s="11">
        <v>-0.2</v>
      </c>
      <c r="AJ248" s="11">
        <v>0</v>
      </c>
    </row>
    <row r="249" spans="4:36">
      <c r="D249" s="10">
        <v>44562</v>
      </c>
      <c r="E249" s="11">
        <v>5.750145232125E-2</v>
      </c>
      <c r="F249" s="11">
        <v>5.9740000000000002</v>
      </c>
      <c r="G249" s="11">
        <v>0.17</v>
      </c>
      <c r="H249" s="11">
        <v>0</v>
      </c>
      <c r="I249" s="11">
        <v>0</v>
      </c>
      <c r="K249" s="11">
        <v>-7.0000000000000007E-2</v>
      </c>
      <c r="L249" s="11">
        <v>0</v>
      </c>
      <c r="N249" s="11">
        <v>0</v>
      </c>
      <c r="O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AB249" s="11">
        <v>0</v>
      </c>
      <c r="AC249" s="11">
        <v>0</v>
      </c>
      <c r="AD249" s="10">
        <v>0</v>
      </c>
      <c r="AE249" s="11">
        <v>0</v>
      </c>
      <c r="AG249" s="11">
        <v>0</v>
      </c>
      <c r="AH249" s="11">
        <v>0</v>
      </c>
      <c r="AI249" s="11">
        <v>-0.2</v>
      </c>
      <c r="AJ249" s="11">
        <v>0</v>
      </c>
    </row>
    <row r="250" spans="4:36">
      <c r="D250" s="10">
        <v>44593</v>
      </c>
      <c r="E250" s="11">
        <v>5.7503840217629297E-2</v>
      </c>
      <c r="F250" s="11">
        <v>5.8860000000000001</v>
      </c>
      <c r="G250" s="11">
        <v>0.17</v>
      </c>
      <c r="H250" s="11">
        <v>0</v>
      </c>
      <c r="I250" s="11">
        <v>0</v>
      </c>
      <c r="K250" s="11">
        <v>-7.0000000000000007E-2</v>
      </c>
      <c r="L250" s="11">
        <v>0</v>
      </c>
      <c r="N250" s="11">
        <v>0</v>
      </c>
      <c r="O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AB250" s="11">
        <v>0</v>
      </c>
      <c r="AC250" s="11">
        <v>0</v>
      </c>
      <c r="AD250" s="10">
        <v>0</v>
      </c>
      <c r="AE250" s="11">
        <v>0</v>
      </c>
      <c r="AG250" s="11">
        <v>0</v>
      </c>
      <c r="AH250" s="11">
        <v>0</v>
      </c>
      <c r="AI250" s="11">
        <v>-0.2</v>
      </c>
      <c r="AJ250" s="11">
        <v>0</v>
      </c>
    </row>
    <row r="251" spans="4:36">
      <c r="D251" s="10">
        <v>44621</v>
      </c>
      <c r="E251" s="11">
        <v>5.7505997027264201E-2</v>
      </c>
      <c r="F251" s="11">
        <v>5.7469999999999999</v>
      </c>
      <c r="G251" s="11">
        <v>0.17</v>
      </c>
      <c r="H251" s="11">
        <v>0</v>
      </c>
      <c r="I251" s="11">
        <v>0</v>
      </c>
      <c r="K251" s="11">
        <v>-7.0000000000000007E-2</v>
      </c>
      <c r="L251" s="11">
        <v>0</v>
      </c>
      <c r="N251" s="11">
        <v>0</v>
      </c>
      <c r="O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AB251" s="11">
        <v>0</v>
      </c>
      <c r="AC251" s="11">
        <v>0</v>
      </c>
      <c r="AD251" s="10">
        <v>0</v>
      </c>
      <c r="AE251" s="11">
        <v>0</v>
      </c>
      <c r="AG251" s="11">
        <v>0</v>
      </c>
      <c r="AH251" s="11">
        <v>0</v>
      </c>
      <c r="AI251" s="11">
        <v>-0.2</v>
      </c>
      <c r="AJ251" s="11">
        <v>0</v>
      </c>
    </row>
    <row r="252" spans="4:36">
      <c r="D252" s="10">
        <v>44652</v>
      </c>
      <c r="E252" s="11">
        <v>5.7508384923647501E-2</v>
      </c>
      <c r="F252" s="11">
        <v>5.593</v>
      </c>
      <c r="G252" s="11">
        <v>0.17</v>
      </c>
      <c r="H252" s="11">
        <v>0</v>
      </c>
      <c r="I252" s="11">
        <v>0</v>
      </c>
      <c r="K252" s="11">
        <v>-7.0000000000000007E-2</v>
      </c>
      <c r="L252" s="11">
        <v>0</v>
      </c>
      <c r="N252" s="11">
        <v>0</v>
      </c>
      <c r="O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AB252" s="11">
        <v>0</v>
      </c>
      <c r="AC252" s="11">
        <v>0</v>
      </c>
      <c r="AD252" s="10">
        <v>0</v>
      </c>
      <c r="AE252" s="11">
        <v>0</v>
      </c>
      <c r="AG252" s="11">
        <v>0</v>
      </c>
      <c r="AH252" s="11">
        <v>0</v>
      </c>
      <c r="AI252" s="11">
        <v>-0.2</v>
      </c>
      <c r="AJ252" s="11">
        <v>0</v>
      </c>
    </row>
    <row r="253" spans="4:36">
      <c r="D253" s="10">
        <v>44682</v>
      </c>
      <c r="E253" s="11">
        <v>5.7510695791116902E-2</v>
      </c>
      <c r="F253" s="11">
        <v>5.5970000000000004</v>
      </c>
      <c r="G253" s="11">
        <v>0.17</v>
      </c>
      <c r="H253" s="11">
        <v>0</v>
      </c>
      <c r="I253" s="11">
        <v>0</v>
      </c>
      <c r="K253" s="11">
        <v>-7.0000000000000007E-2</v>
      </c>
      <c r="L253" s="11">
        <v>0</v>
      </c>
      <c r="N253" s="11">
        <v>0</v>
      </c>
      <c r="O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AB253" s="11">
        <v>0</v>
      </c>
      <c r="AC253" s="11">
        <v>0</v>
      </c>
      <c r="AD253" s="10">
        <v>0</v>
      </c>
      <c r="AE253" s="11">
        <v>0</v>
      </c>
      <c r="AG253" s="11">
        <v>0</v>
      </c>
      <c r="AH253" s="11">
        <v>0</v>
      </c>
      <c r="AI253" s="11">
        <v>-0.2</v>
      </c>
      <c r="AJ253" s="11">
        <v>0</v>
      </c>
    </row>
    <row r="254" spans="4:36">
      <c r="D254" s="10">
        <v>44713</v>
      </c>
      <c r="E254" s="11">
        <v>5.7513083687503699E-2</v>
      </c>
      <c r="F254" s="11">
        <v>5.6369999999999996</v>
      </c>
      <c r="G254" s="11">
        <v>0.17</v>
      </c>
      <c r="H254" s="11">
        <v>0</v>
      </c>
      <c r="I254" s="11">
        <v>0</v>
      </c>
      <c r="K254" s="11">
        <v>-7.0000000000000007E-2</v>
      </c>
      <c r="L254" s="11">
        <v>0</v>
      </c>
      <c r="N254" s="11">
        <v>0</v>
      </c>
      <c r="O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AB254" s="11">
        <v>0</v>
      </c>
      <c r="AC254" s="11">
        <v>0</v>
      </c>
      <c r="AD254" s="10">
        <v>0</v>
      </c>
      <c r="AE254" s="11">
        <v>0</v>
      </c>
      <c r="AG254" s="11">
        <v>0</v>
      </c>
      <c r="AH254" s="11">
        <v>0</v>
      </c>
      <c r="AI254" s="11">
        <v>-0.2</v>
      </c>
      <c r="AJ254" s="11">
        <v>0</v>
      </c>
    </row>
    <row r="255" spans="4:36">
      <c r="D255" s="10">
        <v>44743</v>
      </c>
      <c r="E255" s="11">
        <v>5.7515394554976701E-2</v>
      </c>
      <c r="F255" s="11">
        <v>5.6820000000000004</v>
      </c>
      <c r="G255" s="11">
        <v>0.17</v>
      </c>
      <c r="H255" s="11">
        <v>0</v>
      </c>
      <c r="I255" s="11">
        <v>0</v>
      </c>
      <c r="K255" s="11">
        <v>-7.0000000000000007E-2</v>
      </c>
      <c r="L255" s="11">
        <v>0</v>
      </c>
      <c r="N255" s="11">
        <v>0</v>
      </c>
      <c r="O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AB255" s="11">
        <v>0</v>
      </c>
      <c r="AC255" s="11">
        <v>0</v>
      </c>
      <c r="AD255" s="10">
        <v>0</v>
      </c>
      <c r="AE255" s="11">
        <v>0</v>
      </c>
      <c r="AG255" s="11">
        <v>0</v>
      </c>
      <c r="AH255" s="11">
        <v>0</v>
      </c>
      <c r="AI255" s="11">
        <v>-0.2</v>
      </c>
      <c r="AJ255" s="11">
        <v>0</v>
      </c>
    </row>
    <row r="256" spans="4:36">
      <c r="D256" s="10">
        <v>44774</v>
      </c>
      <c r="E256" s="11">
        <v>5.7517782451368002E-2</v>
      </c>
      <c r="F256" s="11">
        <v>5.7210000000000001</v>
      </c>
      <c r="G256" s="11">
        <v>0.17</v>
      </c>
      <c r="H256" s="11">
        <v>0</v>
      </c>
      <c r="I256" s="11">
        <v>0</v>
      </c>
      <c r="K256" s="11">
        <v>-7.0000000000000007E-2</v>
      </c>
      <c r="L256" s="11">
        <v>0</v>
      </c>
      <c r="N256" s="11">
        <v>0</v>
      </c>
      <c r="O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AB256" s="11">
        <v>0</v>
      </c>
      <c r="AC256" s="11">
        <v>0</v>
      </c>
      <c r="AD256" s="10">
        <v>0</v>
      </c>
      <c r="AE256" s="11">
        <v>0</v>
      </c>
      <c r="AG256" s="11">
        <v>0</v>
      </c>
      <c r="AH256" s="11">
        <v>0</v>
      </c>
      <c r="AI256" s="11">
        <v>-0.2</v>
      </c>
      <c r="AJ256" s="11">
        <v>0</v>
      </c>
    </row>
    <row r="257" spans="4:36">
      <c r="D257" s="10">
        <v>44805</v>
      </c>
      <c r="E257" s="11">
        <v>5.7520170347760101E-2</v>
      </c>
      <c r="F257" s="11">
        <v>5.7149999999999999</v>
      </c>
      <c r="G257" s="11">
        <v>0.17</v>
      </c>
      <c r="H257" s="11">
        <v>0</v>
      </c>
      <c r="I257" s="11">
        <v>0</v>
      </c>
      <c r="K257" s="11">
        <v>-7.0000000000000007E-2</v>
      </c>
      <c r="L257" s="11">
        <v>0</v>
      </c>
      <c r="N257" s="11">
        <v>0</v>
      </c>
      <c r="O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AB257" s="11">
        <v>0</v>
      </c>
      <c r="AC257" s="11">
        <v>0</v>
      </c>
      <c r="AD257" s="10">
        <v>0</v>
      </c>
      <c r="AE257" s="11">
        <v>0</v>
      </c>
      <c r="AG257" s="11">
        <v>0</v>
      </c>
      <c r="AH257" s="11">
        <v>0</v>
      </c>
      <c r="AI257" s="11">
        <v>-0.2</v>
      </c>
      <c r="AJ257" s="11">
        <v>0</v>
      </c>
    </row>
    <row r="258" spans="4:36">
      <c r="D258" s="10">
        <v>44835</v>
      </c>
      <c r="E258" s="11">
        <v>5.7522481215238799E-2</v>
      </c>
      <c r="F258" s="11">
        <v>5.7249999999999996</v>
      </c>
      <c r="G258" s="11">
        <v>0.17</v>
      </c>
      <c r="H258" s="11">
        <v>0</v>
      </c>
      <c r="I258" s="11">
        <v>0</v>
      </c>
      <c r="K258" s="11">
        <v>-7.0000000000000007E-2</v>
      </c>
      <c r="L258" s="11">
        <v>0</v>
      </c>
      <c r="N258" s="11">
        <v>0</v>
      </c>
      <c r="O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AB258" s="11">
        <v>0</v>
      </c>
      <c r="AC258" s="11">
        <v>0</v>
      </c>
      <c r="AD258" s="10">
        <v>0</v>
      </c>
      <c r="AE258" s="11">
        <v>0</v>
      </c>
      <c r="AG258" s="11">
        <v>0</v>
      </c>
      <c r="AH258" s="11">
        <v>0</v>
      </c>
      <c r="AI258" s="11">
        <v>-0.2</v>
      </c>
      <c r="AJ258" s="11">
        <v>0</v>
      </c>
    </row>
    <row r="259" spans="4:36">
      <c r="D259" s="10">
        <v>44866</v>
      </c>
      <c r="E259" s="11">
        <v>5.7524869111634999E-2</v>
      </c>
      <c r="F259" s="11">
        <v>5.8849999999999998</v>
      </c>
      <c r="G259" s="11">
        <v>0.17</v>
      </c>
      <c r="H259" s="11">
        <v>0</v>
      </c>
      <c r="I259" s="11">
        <v>0</v>
      </c>
      <c r="K259" s="11">
        <v>-7.0000000000000007E-2</v>
      </c>
      <c r="L259" s="11">
        <v>0</v>
      </c>
      <c r="N259" s="11">
        <v>0</v>
      </c>
      <c r="O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AB259" s="11">
        <v>0</v>
      </c>
      <c r="AC259" s="11">
        <v>0</v>
      </c>
      <c r="AD259" s="10">
        <v>0</v>
      </c>
      <c r="AE259" s="11">
        <v>0</v>
      </c>
      <c r="AG259" s="11">
        <v>0</v>
      </c>
      <c r="AH259" s="11">
        <v>0</v>
      </c>
      <c r="AI259" s="11">
        <v>-0.2</v>
      </c>
      <c r="AJ259" s="11">
        <v>0</v>
      </c>
    </row>
    <row r="260" spans="4:36">
      <c r="D260" s="10">
        <v>44896</v>
      </c>
      <c r="E260" s="11">
        <v>5.7527179979117299E-2</v>
      </c>
      <c r="F260" s="11">
        <v>6.0389999999999997</v>
      </c>
      <c r="G260" s="11">
        <v>0.17</v>
      </c>
      <c r="H260" s="11">
        <v>0</v>
      </c>
      <c r="I260" s="11">
        <v>0</v>
      </c>
      <c r="K260" s="11">
        <v>-7.0000000000000007E-2</v>
      </c>
      <c r="L260" s="11">
        <v>0</v>
      </c>
      <c r="N260" s="11">
        <v>0</v>
      </c>
      <c r="O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AB260" s="11">
        <v>0</v>
      </c>
      <c r="AC260" s="11">
        <v>0</v>
      </c>
      <c r="AD260" s="10">
        <v>0</v>
      </c>
      <c r="AE260" s="11">
        <v>0</v>
      </c>
      <c r="AG260" s="11">
        <v>0</v>
      </c>
      <c r="AH260" s="11">
        <v>0</v>
      </c>
      <c r="AI260" s="11">
        <v>-0.2</v>
      </c>
      <c r="AJ260" s="11">
        <v>0</v>
      </c>
    </row>
    <row r="261" spans="4:36">
      <c r="D261" s="10">
        <v>44927</v>
      </c>
      <c r="E261" s="11">
        <v>5.7529567875517398E-2</v>
      </c>
      <c r="F261" s="11">
        <v>6.0914999999999999</v>
      </c>
      <c r="G261" s="11">
        <v>0.17</v>
      </c>
      <c r="H261" s="11">
        <v>0</v>
      </c>
      <c r="I261" s="11">
        <v>0</v>
      </c>
      <c r="K261" s="11">
        <v>-7.0000000000000007E-2</v>
      </c>
      <c r="L261" s="11">
        <v>0</v>
      </c>
      <c r="N261" s="11">
        <v>0</v>
      </c>
      <c r="O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AB261" s="11">
        <v>0</v>
      </c>
      <c r="AC261" s="11">
        <v>0</v>
      </c>
      <c r="AD261" s="10">
        <v>0</v>
      </c>
      <c r="AE261" s="11">
        <v>0</v>
      </c>
      <c r="AG261" s="11">
        <v>0</v>
      </c>
      <c r="AH261" s="11">
        <v>0</v>
      </c>
      <c r="AI261" s="11">
        <v>-0.2</v>
      </c>
      <c r="AJ261" s="11">
        <v>0</v>
      </c>
    </row>
    <row r="262" spans="4:36">
      <c r="D262" s="10">
        <v>44958</v>
      </c>
      <c r="E262" s="11">
        <v>5.75319557719189E-2</v>
      </c>
      <c r="F262" s="11">
        <v>6.0034999999999998</v>
      </c>
      <c r="G262" s="11">
        <v>0.17</v>
      </c>
      <c r="H262" s="11">
        <v>0</v>
      </c>
      <c r="I262" s="11">
        <v>0</v>
      </c>
      <c r="K262" s="11">
        <v>-7.0000000000000007E-2</v>
      </c>
      <c r="L262" s="11">
        <v>0</v>
      </c>
      <c r="N262" s="11">
        <v>0</v>
      </c>
      <c r="O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AB262" s="11">
        <v>0</v>
      </c>
      <c r="AC262" s="11">
        <v>0</v>
      </c>
      <c r="AD262" s="10">
        <v>0</v>
      </c>
      <c r="AE262" s="11">
        <v>0</v>
      </c>
      <c r="AG262" s="11">
        <v>0</v>
      </c>
      <c r="AH262" s="11">
        <v>0</v>
      </c>
      <c r="AI262" s="11">
        <v>-0.2</v>
      </c>
      <c r="AJ262" s="11">
        <v>0</v>
      </c>
    </row>
    <row r="263" spans="4:36">
      <c r="D263" s="10">
        <v>44986</v>
      </c>
      <c r="E263" s="11">
        <v>5.7534112581574301E-2</v>
      </c>
      <c r="F263" s="11">
        <v>5.8644999999999996</v>
      </c>
      <c r="G263" s="11">
        <v>0.17</v>
      </c>
      <c r="H263" s="11">
        <v>0</v>
      </c>
      <c r="I263" s="11">
        <v>0</v>
      </c>
      <c r="K263" s="11">
        <v>-7.0000000000000007E-2</v>
      </c>
      <c r="L263" s="11">
        <v>0</v>
      </c>
      <c r="N263" s="11">
        <v>0</v>
      </c>
      <c r="O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AB263" s="11">
        <v>0</v>
      </c>
      <c r="AC263" s="11">
        <v>0</v>
      </c>
      <c r="AD263" s="10">
        <v>0</v>
      </c>
      <c r="AE263" s="11">
        <v>0</v>
      </c>
      <c r="AG263" s="11">
        <v>0</v>
      </c>
      <c r="AH263" s="11">
        <v>0</v>
      </c>
      <c r="AI263" s="11">
        <v>-0.2</v>
      </c>
      <c r="AJ263" s="11">
        <v>0</v>
      </c>
    </row>
    <row r="264" spans="4:36">
      <c r="D264" s="10">
        <v>45017</v>
      </c>
      <c r="E264" s="11">
        <v>5.7536500477979799E-2</v>
      </c>
      <c r="F264" s="11">
        <v>5.7104999999999997</v>
      </c>
      <c r="G264" s="11">
        <v>0.17</v>
      </c>
      <c r="H264" s="11">
        <v>0</v>
      </c>
      <c r="I264" s="11">
        <v>0</v>
      </c>
      <c r="K264" s="11">
        <v>-7.0000000000000007E-2</v>
      </c>
      <c r="L264" s="11">
        <v>0</v>
      </c>
      <c r="N264" s="11">
        <v>0</v>
      </c>
      <c r="O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AB264" s="11">
        <v>0</v>
      </c>
      <c r="AC264" s="11">
        <v>0</v>
      </c>
      <c r="AD264" s="10">
        <v>0</v>
      </c>
      <c r="AE264" s="11">
        <v>0</v>
      </c>
      <c r="AG264" s="11">
        <v>0</v>
      </c>
      <c r="AH264" s="11">
        <v>0</v>
      </c>
      <c r="AI264" s="11">
        <v>-0.2</v>
      </c>
      <c r="AJ264" s="11">
        <v>0</v>
      </c>
    </row>
    <row r="265" spans="4:36">
      <c r="D265" s="10">
        <v>45047</v>
      </c>
      <c r="E265" s="11">
        <v>5.7538811345470897E-2</v>
      </c>
      <c r="F265" s="11">
        <v>5.7145000000000001</v>
      </c>
      <c r="G265" s="11">
        <v>0.17</v>
      </c>
      <c r="H265" s="11">
        <v>0</v>
      </c>
      <c r="I265" s="11">
        <v>0</v>
      </c>
      <c r="K265" s="11">
        <v>-7.0000000000000007E-2</v>
      </c>
      <c r="L265" s="11">
        <v>0</v>
      </c>
      <c r="N265" s="11">
        <v>0</v>
      </c>
      <c r="O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AB265" s="11">
        <v>0</v>
      </c>
      <c r="AC265" s="11">
        <v>0</v>
      </c>
      <c r="AD265" s="10">
        <v>0</v>
      </c>
      <c r="AE265" s="11">
        <v>0</v>
      </c>
      <c r="AG265" s="11">
        <v>0</v>
      </c>
      <c r="AH265" s="11">
        <v>0</v>
      </c>
      <c r="AI265" s="11">
        <v>-0.2</v>
      </c>
      <c r="AJ265" s="11">
        <v>0</v>
      </c>
    </row>
    <row r="266" spans="4:36">
      <c r="D266" s="10">
        <v>45078</v>
      </c>
      <c r="E266" s="11">
        <v>5.7541199241880003E-2</v>
      </c>
      <c r="F266" s="11">
        <v>5.7545000000000002</v>
      </c>
      <c r="G266" s="11">
        <v>0.17</v>
      </c>
      <c r="H266" s="11">
        <v>0</v>
      </c>
      <c r="I266" s="11">
        <v>0</v>
      </c>
      <c r="K266" s="11">
        <v>-7.0000000000000007E-2</v>
      </c>
      <c r="L266" s="11">
        <v>0</v>
      </c>
      <c r="N266" s="11">
        <v>0</v>
      </c>
      <c r="O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AB266" s="11">
        <v>0</v>
      </c>
      <c r="AC266" s="11">
        <v>0</v>
      </c>
      <c r="AD266" s="10">
        <v>0</v>
      </c>
      <c r="AE266" s="11">
        <v>0</v>
      </c>
      <c r="AG266" s="11">
        <v>0</v>
      </c>
      <c r="AH266" s="11">
        <v>0</v>
      </c>
      <c r="AI266" s="11">
        <v>-0.2</v>
      </c>
      <c r="AJ266" s="11">
        <v>0</v>
      </c>
    </row>
    <row r="267" spans="4:36">
      <c r="D267" s="10">
        <v>45108</v>
      </c>
      <c r="E267" s="11">
        <v>5.7543510109375098E-2</v>
      </c>
      <c r="F267" s="11">
        <v>5.7995000000000001</v>
      </c>
      <c r="G267" s="11">
        <v>0.17</v>
      </c>
      <c r="H267" s="11">
        <v>0</v>
      </c>
      <c r="I267" s="11">
        <v>0</v>
      </c>
      <c r="K267" s="11">
        <v>-7.0000000000000007E-2</v>
      </c>
      <c r="L267" s="11">
        <v>0</v>
      </c>
      <c r="N267" s="11">
        <v>0</v>
      </c>
      <c r="O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AB267" s="11">
        <v>0</v>
      </c>
      <c r="AC267" s="11">
        <v>0</v>
      </c>
      <c r="AD267" s="10">
        <v>0</v>
      </c>
      <c r="AE267" s="11">
        <v>0</v>
      </c>
      <c r="AG267" s="11">
        <v>0</v>
      </c>
      <c r="AH267" s="11">
        <v>0</v>
      </c>
      <c r="AI267" s="11">
        <v>-0.2</v>
      </c>
      <c r="AJ267" s="11">
        <v>0</v>
      </c>
    </row>
    <row r="268" spans="4:36">
      <c r="D268" s="10">
        <v>45139</v>
      </c>
      <c r="E268" s="11">
        <v>5.7545898005788097E-2</v>
      </c>
      <c r="F268" s="11">
        <v>5.8384999999999998</v>
      </c>
      <c r="G268" s="11">
        <v>0.17</v>
      </c>
      <c r="H268" s="11">
        <v>0</v>
      </c>
      <c r="I268" s="11">
        <v>0</v>
      </c>
      <c r="K268" s="11">
        <v>-7.0000000000000007E-2</v>
      </c>
      <c r="L268" s="11">
        <v>0</v>
      </c>
      <c r="N268" s="11">
        <v>0</v>
      </c>
      <c r="O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AB268" s="11">
        <v>0</v>
      </c>
      <c r="AC268" s="11">
        <v>0</v>
      </c>
      <c r="AD268" s="10">
        <v>0</v>
      </c>
      <c r="AE268" s="11">
        <v>0</v>
      </c>
      <c r="AG268" s="11">
        <v>0</v>
      </c>
      <c r="AH268" s="11">
        <v>0</v>
      </c>
      <c r="AI268" s="11">
        <v>-0.2</v>
      </c>
      <c r="AJ268" s="11">
        <v>0</v>
      </c>
    </row>
    <row r="269" spans="4:36">
      <c r="D269" s="10">
        <v>45170</v>
      </c>
      <c r="E269" s="11">
        <v>5.7548285902202498E-2</v>
      </c>
      <c r="F269" s="11">
        <v>5.8324999999999996</v>
      </c>
      <c r="G269" s="11">
        <v>0.17</v>
      </c>
      <c r="H269" s="11">
        <v>0</v>
      </c>
      <c r="I269" s="11">
        <v>0</v>
      </c>
      <c r="K269" s="11">
        <v>-7.0000000000000007E-2</v>
      </c>
      <c r="L269" s="11">
        <v>0</v>
      </c>
      <c r="N269" s="11">
        <v>0</v>
      </c>
      <c r="O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AB269" s="11">
        <v>0</v>
      </c>
      <c r="AC269" s="11">
        <v>0</v>
      </c>
      <c r="AD269" s="10">
        <v>0</v>
      </c>
      <c r="AE269" s="11">
        <v>0</v>
      </c>
      <c r="AG269" s="11">
        <v>0</v>
      </c>
      <c r="AH269" s="11">
        <v>0</v>
      </c>
      <c r="AI269" s="11">
        <v>-0.2</v>
      </c>
      <c r="AJ269" s="11">
        <v>0</v>
      </c>
    </row>
    <row r="270" spans="4:36">
      <c r="D270" s="10">
        <v>45200</v>
      </c>
      <c r="E270" s="11">
        <v>5.7550596769702998E-2</v>
      </c>
      <c r="F270" s="11">
        <v>5.8425000000000002</v>
      </c>
      <c r="G270" s="11">
        <v>0.17</v>
      </c>
      <c r="H270" s="11">
        <v>0</v>
      </c>
      <c r="I270" s="11">
        <v>0</v>
      </c>
      <c r="K270" s="11">
        <v>-7.0000000000000007E-2</v>
      </c>
      <c r="L270" s="11">
        <v>0</v>
      </c>
      <c r="N270" s="11">
        <v>0</v>
      </c>
      <c r="O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AB270" s="11">
        <v>0</v>
      </c>
      <c r="AC270" s="11">
        <v>0</v>
      </c>
      <c r="AD270" s="10">
        <v>0</v>
      </c>
      <c r="AE270" s="11">
        <v>0</v>
      </c>
      <c r="AG270" s="11">
        <v>0</v>
      </c>
      <c r="AH270" s="11">
        <v>0</v>
      </c>
      <c r="AI270" s="11">
        <v>-0.2</v>
      </c>
      <c r="AJ270" s="11">
        <v>0</v>
      </c>
    </row>
    <row r="271" spans="4:36">
      <c r="D271" s="10">
        <v>45231</v>
      </c>
      <c r="E271" s="11">
        <v>5.7552984666121798E-2</v>
      </c>
      <c r="F271" s="11">
        <v>6.0025000000000004</v>
      </c>
      <c r="G271" s="11">
        <v>0.17</v>
      </c>
      <c r="H271" s="11">
        <v>0</v>
      </c>
      <c r="I271" s="11">
        <v>0</v>
      </c>
      <c r="K271" s="11">
        <v>-7.0000000000000007E-2</v>
      </c>
      <c r="L271" s="11">
        <v>0</v>
      </c>
      <c r="N271" s="11">
        <v>0</v>
      </c>
      <c r="O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AB271" s="11">
        <v>0</v>
      </c>
      <c r="AC271" s="11">
        <v>0</v>
      </c>
      <c r="AD271" s="10">
        <v>0</v>
      </c>
      <c r="AE271" s="11">
        <v>0</v>
      </c>
      <c r="AG271" s="11">
        <v>0</v>
      </c>
      <c r="AH271" s="11">
        <v>0</v>
      </c>
      <c r="AI271" s="11">
        <v>-0.2</v>
      </c>
      <c r="AJ271" s="11">
        <v>0</v>
      </c>
    </row>
    <row r="272" spans="4:36">
      <c r="D272" s="10">
        <v>45261</v>
      </c>
      <c r="E272" s="11">
        <v>5.75552955336254E-2</v>
      </c>
      <c r="F272" s="11">
        <v>6.1565000000000003</v>
      </c>
      <c r="G272" s="11">
        <v>0.17</v>
      </c>
      <c r="H272" s="11">
        <v>0</v>
      </c>
      <c r="I272" s="11">
        <v>0</v>
      </c>
      <c r="K272" s="11">
        <v>-7.0000000000000007E-2</v>
      </c>
      <c r="L272" s="11">
        <v>0</v>
      </c>
      <c r="N272" s="11">
        <v>0</v>
      </c>
      <c r="O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AB272" s="11">
        <v>0</v>
      </c>
      <c r="AC272" s="11">
        <v>0</v>
      </c>
      <c r="AD272" s="10">
        <v>0</v>
      </c>
      <c r="AE272" s="11">
        <v>0</v>
      </c>
      <c r="AG272" s="11">
        <v>0</v>
      </c>
      <c r="AH272" s="11">
        <v>0</v>
      </c>
      <c r="AI272" s="11">
        <v>-0.2</v>
      </c>
      <c r="AJ272" s="11">
        <v>0</v>
      </c>
    </row>
    <row r="273" spans="4:36">
      <c r="D273" s="10">
        <v>45292</v>
      </c>
      <c r="E273" s="11">
        <v>5.7557683430047697E-2</v>
      </c>
      <c r="F273" s="11">
        <v>6.2089999999999996</v>
      </c>
      <c r="G273" s="11">
        <v>0.17</v>
      </c>
      <c r="H273" s="11">
        <v>0</v>
      </c>
      <c r="I273" s="11">
        <v>0</v>
      </c>
      <c r="K273" s="11">
        <v>-7.0000000000000007E-2</v>
      </c>
      <c r="L273" s="11">
        <v>0</v>
      </c>
      <c r="N273" s="11">
        <v>0</v>
      </c>
      <c r="O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AB273" s="11">
        <v>0</v>
      </c>
      <c r="AC273" s="11">
        <v>0</v>
      </c>
      <c r="AD273" s="10">
        <v>0</v>
      </c>
      <c r="AE273" s="11">
        <v>0</v>
      </c>
      <c r="AG273" s="11">
        <v>0</v>
      </c>
      <c r="AH273" s="11">
        <v>0</v>
      </c>
      <c r="AI273" s="11">
        <v>-0.2</v>
      </c>
      <c r="AJ273" s="11">
        <v>0</v>
      </c>
    </row>
    <row r="274" spans="4:36">
      <c r="D274" s="10">
        <v>45323</v>
      </c>
      <c r="E274" s="11">
        <v>5.7560071326472298E-2</v>
      </c>
      <c r="F274" s="11">
        <v>6.1210000000000004</v>
      </c>
      <c r="G274" s="11">
        <v>0.17</v>
      </c>
      <c r="H274" s="11">
        <v>0</v>
      </c>
      <c r="I274" s="11">
        <v>0</v>
      </c>
      <c r="K274" s="11">
        <v>-7.0000000000000007E-2</v>
      </c>
      <c r="L274" s="11">
        <v>0</v>
      </c>
      <c r="N274" s="11">
        <v>0</v>
      </c>
      <c r="O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AB274" s="11">
        <v>0</v>
      </c>
      <c r="AC274" s="11">
        <v>0</v>
      </c>
      <c r="AD274" s="10">
        <v>0</v>
      </c>
      <c r="AE274" s="11">
        <v>0</v>
      </c>
      <c r="AG274" s="11">
        <v>0</v>
      </c>
      <c r="AH274" s="11">
        <v>0</v>
      </c>
      <c r="AI274" s="11">
        <v>-0.2</v>
      </c>
      <c r="AJ274" s="11">
        <v>0</v>
      </c>
    </row>
    <row r="275" spans="4:36">
      <c r="D275" s="10">
        <v>45352</v>
      </c>
      <c r="E275" s="11">
        <v>5.75623051650642E-2</v>
      </c>
      <c r="F275" s="11">
        <v>5.9820000000000002</v>
      </c>
      <c r="G275" s="11">
        <v>0.17</v>
      </c>
      <c r="H275" s="11">
        <v>0</v>
      </c>
      <c r="I275" s="11">
        <v>0</v>
      </c>
      <c r="K275" s="11">
        <v>-7.0000000000000007E-2</v>
      </c>
      <c r="L275" s="11">
        <v>0</v>
      </c>
      <c r="N275" s="11">
        <v>0</v>
      </c>
      <c r="O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AB275" s="11">
        <v>0</v>
      </c>
      <c r="AC275" s="11">
        <v>0</v>
      </c>
      <c r="AD275" s="10">
        <v>0</v>
      </c>
      <c r="AE275" s="11">
        <v>0</v>
      </c>
      <c r="AG275" s="11">
        <v>0</v>
      </c>
      <c r="AH275" s="11">
        <v>0</v>
      </c>
      <c r="AI275" s="11">
        <v>-0.2</v>
      </c>
      <c r="AJ275" s="11">
        <v>0</v>
      </c>
    </row>
    <row r="276" spans="4:36">
      <c r="D276" s="10">
        <v>45383</v>
      </c>
      <c r="E276" s="11">
        <v>5.7564693061491902E-2</v>
      </c>
      <c r="F276" s="11">
        <v>5.8280000000000003</v>
      </c>
      <c r="G276" s="11">
        <v>0.17</v>
      </c>
      <c r="H276" s="11">
        <v>0</v>
      </c>
      <c r="I276" s="11">
        <v>0</v>
      </c>
      <c r="K276" s="11">
        <v>-7.0000000000000007E-2</v>
      </c>
      <c r="L276" s="11">
        <v>0</v>
      </c>
      <c r="N276" s="11">
        <v>0</v>
      </c>
      <c r="O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AB276" s="11">
        <v>0</v>
      </c>
      <c r="AC276" s="11">
        <v>0</v>
      </c>
      <c r="AD276" s="10">
        <v>0</v>
      </c>
      <c r="AE276" s="11">
        <v>0</v>
      </c>
      <c r="AG276" s="11">
        <v>0</v>
      </c>
      <c r="AH276" s="11">
        <v>0</v>
      </c>
      <c r="AI276" s="11">
        <v>-0.2</v>
      </c>
      <c r="AJ276" s="11">
        <v>0</v>
      </c>
    </row>
    <row r="277" spans="4:36">
      <c r="D277" s="10">
        <v>45413</v>
      </c>
      <c r="E277" s="11">
        <v>5.7567003929004802E-2</v>
      </c>
      <c r="F277" s="11">
        <v>5.8319999999999999</v>
      </c>
      <c r="G277" s="11">
        <v>0.17</v>
      </c>
      <c r="H277" s="11">
        <v>0</v>
      </c>
      <c r="I277" s="11">
        <v>0</v>
      </c>
      <c r="K277" s="11">
        <v>-7.0000000000000007E-2</v>
      </c>
      <c r="L277" s="11">
        <v>0</v>
      </c>
      <c r="N277" s="11">
        <v>0</v>
      </c>
      <c r="O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AB277" s="11">
        <v>0</v>
      </c>
      <c r="AC277" s="11">
        <v>0</v>
      </c>
      <c r="AD277" s="10">
        <v>0</v>
      </c>
      <c r="AE277" s="11">
        <v>0</v>
      </c>
      <c r="AG277" s="11">
        <v>0</v>
      </c>
      <c r="AH277" s="11">
        <v>0</v>
      </c>
      <c r="AI277" s="11">
        <v>-0.2</v>
      </c>
      <c r="AJ277" s="11">
        <v>0</v>
      </c>
    </row>
    <row r="278" spans="4:36">
      <c r="D278" s="10">
        <v>45444</v>
      </c>
      <c r="E278" s="11">
        <v>5.7569391825436501E-2</v>
      </c>
      <c r="F278" s="11">
        <v>5.8719999999999999</v>
      </c>
      <c r="G278" s="11">
        <v>0.17</v>
      </c>
      <c r="H278" s="11">
        <v>0</v>
      </c>
      <c r="I278" s="11">
        <v>0</v>
      </c>
      <c r="K278" s="11">
        <v>-7.0000000000000007E-2</v>
      </c>
      <c r="L278" s="11">
        <v>0</v>
      </c>
      <c r="N278" s="11">
        <v>0</v>
      </c>
      <c r="O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AB278" s="11">
        <v>0</v>
      </c>
      <c r="AC278" s="11">
        <v>0</v>
      </c>
      <c r="AD278" s="10">
        <v>0</v>
      </c>
      <c r="AE278" s="11">
        <v>0</v>
      </c>
      <c r="AG278" s="11">
        <v>0</v>
      </c>
      <c r="AH278" s="11">
        <v>0</v>
      </c>
      <c r="AI278" s="11">
        <v>-0.2</v>
      </c>
      <c r="AJ278" s="11">
        <v>0</v>
      </c>
    </row>
    <row r="279" spans="4:36">
      <c r="D279" s="10">
        <v>45474</v>
      </c>
      <c r="E279" s="11">
        <v>5.7571702692953003E-2</v>
      </c>
      <c r="F279" s="11">
        <v>5.9169999999999998</v>
      </c>
      <c r="G279" s="11">
        <v>0.17</v>
      </c>
      <c r="H279" s="11">
        <v>0</v>
      </c>
      <c r="I279" s="11">
        <v>0</v>
      </c>
      <c r="K279" s="11">
        <v>-7.0000000000000007E-2</v>
      </c>
      <c r="L279" s="11">
        <v>0</v>
      </c>
      <c r="N279" s="11">
        <v>0</v>
      </c>
      <c r="O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AB279" s="11">
        <v>0</v>
      </c>
      <c r="AC279" s="11">
        <v>0</v>
      </c>
      <c r="AD279" s="10">
        <v>0</v>
      </c>
      <c r="AE279" s="11">
        <v>0</v>
      </c>
      <c r="AG279" s="11">
        <v>0</v>
      </c>
      <c r="AH279" s="11">
        <v>0</v>
      </c>
      <c r="AI279" s="11">
        <v>-0.2</v>
      </c>
      <c r="AJ279" s="11">
        <v>0</v>
      </c>
    </row>
    <row r="280" spans="4:36">
      <c r="D280" s="10">
        <v>45505</v>
      </c>
      <c r="E280" s="11">
        <v>5.7574090589388199E-2</v>
      </c>
      <c r="F280" s="11">
        <v>5.9560000000000004</v>
      </c>
      <c r="G280" s="11">
        <v>0.17</v>
      </c>
      <c r="H280" s="11">
        <v>0</v>
      </c>
      <c r="I280" s="11">
        <v>0</v>
      </c>
      <c r="K280" s="11">
        <v>-7.0000000000000007E-2</v>
      </c>
      <c r="L280" s="11">
        <v>0</v>
      </c>
      <c r="N280" s="11">
        <v>0</v>
      </c>
      <c r="O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AB280" s="11">
        <v>0</v>
      </c>
      <c r="AC280" s="11">
        <v>0</v>
      </c>
      <c r="AD280" s="10">
        <v>0</v>
      </c>
      <c r="AE280" s="11">
        <v>0</v>
      </c>
      <c r="AG280" s="11">
        <v>0</v>
      </c>
      <c r="AH280" s="11">
        <v>0</v>
      </c>
      <c r="AI280" s="11">
        <v>-0.2</v>
      </c>
      <c r="AJ280" s="11">
        <v>0</v>
      </c>
    </row>
    <row r="281" spans="4:36">
      <c r="D281" s="10">
        <v>45536</v>
      </c>
      <c r="E281" s="11">
        <v>5.7576478485826102E-2</v>
      </c>
      <c r="F281" s="11">
        <v>5.95</v>
      </c>
      <c r="G281" s="11">
        <v>0.17</v>
      </c>
      <c r="H281" s="11">
        <v>0</v>
      </c>
      <c r="I281" s="11">
        <v>0</v>
      </c>
      <c r="K281" s="11">
        <v>-7.0000000000000007E-2</v>
      </c>
      <c r="L281" s="11">
        <v>0</v>
      </c>
      <c r="N281" s="11">
        <v>0</v>
      </c>
      <c r="O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AB281" s="11">
        <v>0</v>
      </c>
      <c r="AC281" s="11">
        <v>0</v>
      </c>
      <c r="AD281" s="10">
        <v>0</v>
      </c>
      <c r="AE281" s="11">
        <v>0</v>
      </c>
      <c r="AG281" s="11">
        <v>0</v>
      </c>
      <c r="AH281" s="11">
        <v>0</v>
      </c>
      <c r="AI281" s="11">
        <v>-0.2</v>
      </c>
      <c r="AJ281" s="11">
        <v>0</v>
      </c>
    </row>
    <row r="282" spans="4:36">
      <c r="D282" s="10">
        <v>45566</v>
      </c>
      <c r="E282" s="11">
        <v>5.7578789353347502E-2</v>
      </c>
      <c r="F282" s="11">
        <v>5.96</v>
      </c>
      <c r="G282" s="11">
        <v>0.17</v>
      </c>
      <c r="H282" s="11">
        <v>0</v>
      </c>
      <c r="I282" s="11">
        <v>0</v>
      </c>
      <c r="K282" s="11">
        <v>-7.0000000000000007E-2</v>
      </c>
      <c r="L282" s="11">
        <v>0</v>
      </c>
      <c r="N282" s="11">
        <v>0</v>
      </c>
      <c r="O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AB282" s="11">
        <v>0</v>
      </c>
      <c r="AC282" s="11">
        <v>0</v>
      </c>
      <c r="AD282" s="10">
        <v>0</v>
      </c>
      <c r="AE282" s="11">
        <v>0</v>
      </c>
      <c r="AG282" s="11">
        <v>0</v>
      </c>
      <c r="AH282" s="11">
        <v>0</v>
      </c>
      <c r="AI282" s="11">
        <v>-0.2</v>
      </c>
      <c r="AJ282" s="11">
        <v>0</v>
      </c>
    </row>
    <row r="283" spans="4:36">
      <c r="D283" s="10">
        <v>45597</v>
      </c>
      <c r="E283" s="11">
        <v>5.75811772497885E-2</v>
      </c>
      <c r="F283" s="11">
        <v>6.12</v>
      </c>
      <c r="G283" s="11">
        <v>0.17</v>
      </c>
      <c r="H283" s="11">
        <v>0</v>
      </c>
      <c r="I283" s="11">
        <v>0</v>
      </c>
      <c r="K283" s="11">
        <v>-7.0000000000000007E-2</v>
      </c>
      <c r="L283" s="11">
        <v>0</v>
      </c>
      <c r="N283" s="11">
        <v>0</v>
      </c>
      <c r="O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AB283" s="11">
        <v>0</v>
      </c>
      <c r="AC283" s="11">
        <v>0</v>
      </c>
      <c r="AD283" s="10">
        <v>0</v>
      </c>
      <c r="AE283" s="11">
        <v>0</v>
      </c>
      <c r="AG283" s="11">
        <v>0</v>
      </c>
      <c r="AH283" s="11">
        <v>0</v>
      </c>
      <c r="AI283" s="11">
        <v>-0.2</v>
      </c>
      <c r="AJ283" s="11">
        <v>0</v>
      </c>
    </row>
    <row r="284" spans="4:36">
      <c r="D284" s="10">
        <v>45627</v>
      </c>
      <c r="E284" s="11">
        <v>5.75834881173138E-2</v>
      </c>
      <c r="F284" s="11">
        <v>6.274</v>
      </c>
      <c r="G284" s="11">
        <v>0.17</v>
      </c>
      <c r="H284" s="11">
        <v>0</v>
      </c>
      <c r="I284" s="11">
        <v>0</v>
      </c>
      <c r="K284" s="11">
        <v>-7.0000000000000007E-2</v>
      </c>
      <c r="L284" s="11">
        <v>0</v>
      </c>
      <c r="N284" s="11">
        <v>0</v>
      </c>
      <c r="O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AB284" s="11">
        <v>0</v>
      </c>
      <c r="AC284" s="11">
        <v>0</v>
      </c>
      <c r="AD284" s="10">
        <v>0</v>
      </c>
      <c r="AE284" s="11">
        <v>0</v>
      </c>
      <c r="AG284" s="11">
        <v>0</v>
      </c>
      <c r="AH284" s="11">
        <v>0</v>
      </c>
      <c r="AI284" s="11">
        <v>-0.2</v>
      </c>
      <c r="AJ284" s="11">
        <v>0</v>
      </c>
    </row>
    <row r="285" spans="4:36">
      <c r="D285" s="10">
        <v>45658</v>
      </c>
      <c r="E285" s="11">
        <v>5.7585876013758898E-2</v>
      </c>
      <c r="H285" s="11">
        <v>0</v>
      </c>
      <c r="I285" s="11">
        <v>0</v>
      </c>
      <c r="K285" s="11">
        <v>-7.0000000000000007E-2</v>
      </c>
      <c r="L285" s="11">
        <v>0</v>
      </c>
      <c r="N285" s="11">
        <v>0</v>
      </c>
      <c r="O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AB285" s="11">
        <v>0</v>
      </c>
      <c r="AC285" s="11">
        <v>0</v>
      </c>
      <c r="AD285" s="10">
        <v>0</v>
      </c>
      <c r="AE285" s="11">
        <v>0</v>
      </c>
      <c r="AG285" s="11">
        <v>0</v>
      </c>
      <c r="AH285" s="11">
        <v>0</v>
      </c>
      <c r="AI285" s="11">
        <v>-0.2</v>
      </c>
      <c r="AJ285" s="11">
        <v>0</v>
      </c>
    </row>
    <row r="286" spans="4:36">
      <c r="D286" s="10">
        <v>45689</v>
      </c>
      <c r="E286" s="11">
        <v>5.7588263910205703E-2</v>
      </c>
      <c r="H286" s="11">
        <v>0</v>
      </c>
      <c r="I286" s="11">
        <v>0</v>
      </c>
      <c r="K286" s="11">
        <v>-7.0000000000000007E-2</v>
      </c>
      <c r="L286" s="11">
        <v>0</v>
      </c>
      <c r="N286" s="11">
        <v>0</v>
      </c>
      <c r="O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AB286" s="11">
        <v>0</v>
      </c>
      <c r="AC286" s="11">
        <v>0</v>
      </c>
      <c r="AD286" s="10">
        <v>0</v>
      </c>
      <c r="AE286" s="11">
        <v>0</v>
      </c>
      <c r="AG286" s="11">
        <v>0</v>
      </c>
      <c r="AH286" s="11">
        <v>0</v>
      </c>
      <c r="AI286" s="11">
        <v>-0.2</v>
      </c>
      <c r="AJ286" s="11">
        <v>0</v>
      </c>
    </row>
    <row r="287" spans="4:36">
      <c r="D287" s="10">
        <v>45717</v>
      </c>
      <c r="E287" s="11">
        <v>5.7590420719901003E-2</v>
      </c>
      <c r="H287" s="11">
        <v>0</v>
      </c>
      <c r="I287" s="11">
        <v>0</v>
      </c>
      <c r="K287" s="11">
        <v>-7.0000000000000007E-2</v>
      </c>
      <c r="L287" s="11">
        <v>0</v>
      </c>
      <c r="N287" s="11">
        <v>0</v>
      </c>
      <c r="O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AB287" s="11">
        <v>0</v>
      </c>
      <c r="AC287" s="11">
        <v>0</v>
      </c>
      <c r="AD287" s="10">
        <v>0</v>
      </c>
      <c r="AE287" s="11">
        <v>0</v>
      </c>
      <c r="AG287" s="11">
        <v>0</v>
      </c>
      <c r="AH287" s="11">
        <v>0</v>
      </c>
      <c r="AI287" s="11">
        <v>-0.2</v>
      </c>
      <c r="AJ287" s="11">
        <v>0</v>
      </c>
    </row>
    <row r="288" spans="4:36">
      <c r="D288" s="10">
        <v>45748</v>
      </c>
      <c r="E288" s="11">
        <v>5.7592808616350903E-2</v>
      </c>
      <c r="H288" s="11">
        <v>0</v>
      </c>
      <c r="I288" s="11">
        <v>0</v>
      </c>
      <c r="K288" s="11">
        <v>-7.0000000000000007E-2</v>
      </c>
      <c r="L288" s="11">
        <v>0</v>
      </c>
      <c r="N288" s="11">
        <v>0</v>
      </c>
      <c r="O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AB288" s="11">
        <v>0</v>
      </c>
      <c r="AC288" s="11">
        <v>0</v>
      </c>
      <c r="AD288" s="10">
        <v>0</v>
      </c>
      <c r="AE288" s="11">
        <v>0</v>
      </c>
      <c r="AG288" s="11">
        <v>0</v>
      </c>
      <c r="AH288" s="11">
        <v>0</v>
      </c>
      <c r="AI288" s="11">
        <v>-0.2</v>
      </c>
      <c r="AJ288" s="11">
        <v>0</v>
      </c>
    </row>
    <row r="289" spans="4:36">
      <c r="D289" s="10">
        <v>45778</v>
      </c>
      <c r="E289" s="11">
        <v>5.7595119483885501E-2</v>
      </c>
      <c r="H289" s="11">
        <v>0</v>
      </c>
      <c r="I289" s="11">
        <v>0</v>
      </c>
      <c r="K289" s="11">
        <v>-7.0000000000000007E-2</v>
      </c>
      <c r="L289" s="11">
        <v>0</v>
      </c>
      <c r="N289" s="11">
        <v>0</v>
      </c>
      <c r="O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AB289" s="11">
        <v>0</v>
      </c>
      <c r="AC289" s="11">
        <v>0</v>
      </c>
      <c r="AD289" s="10">
        <v>0</v>
      </c>
      <c r="AE289" s="11">
        <v>0</v>
      </c>
      <c r="AG289" s="11">
        <v>0</v>
      </c>
      <c r="AH289" s="11">
        <v>0</v>
      </c>
      <c r="AI289" s="11">
        <v>-0.2</v>
      </c>
      <c r="AJ289" s="11">
        <v>0</v>
      </c>
    </row>
    <row r="290" spans="4:36">
      <c r="D290" s="10">
        <v>45809</v>
      </c>
      <c r="E290" s="11">
        <v>5.7597507380339398E-2</v>
      </c>
      <c r="H290" s="11">
        <v>0</v>
      </c>
      <c r="I290" s="11">
        <v>0</v>
      </c>
      <c r="K290" s="11">
        <v>-7.0000000000000007E-2</v>
      </c>
      <c r="L290" s="11">
        <v>0</v>
      </c>
      <c r="N290" s="11">
        <v>0</v>
      </c>
      <c r="O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AB290" s="11">
        <v>0</v>
      </c>
      <c r="AC290" s="11">
        <v>0</v>
      </c>
      <c r="AD290" s="10">
        <v>0</v>
      </c>
      <c r="AE290" s="11">
        <v>0</v>
      </c>
      <c r="AG290" s="11">
        <v>0</v>
      </c>
      <c r="AH290" s="11">
        <v>0</v>
      </c>
      <c r="AI290" s="11">
        <v>-0.2</v>
      </c>
      <c r="AJ290" s="11">
        <v>0</v>
      </c>
    </row>
    <row r="291" spans="4:36">
      <c r="D291" s="10">
        <v>45839</v>
      </c>
      <c r="E291" s="11">
        <v>5.7599818247877202E-2</v>
      </c>
      <c r="H291" s="11">
        <v>0</v>
      </c>
      <c r="I291" s="11">
        <v>0</v>
      </c>
      <c r="K291" s="11">
        <v>-7.0000000000000007E-2</v>
      </c>
      <c r="L291" s="11">
        <v>0</v>
      </c>
      <c r="N291" s="11">
        <v>0</v>
      </c>
      <c r="O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AB291" s="11">
        <v>0</v>
      </c>
      <c r="AC291" s="11">
        <v>0</v>
      </c>
      <c r="AD291" s="10">
        <v>0</v>
      </c>
      <c r="AE291" s="11">
        <v>0</v>
      </c>
      <c r="AG291" s="11">
        <v>0</v>
      </c>
      <c r="AH291" s="11">
        <v>0</v>
      </c>
      <c r="AI291" s="11">
        <v>-0.2</v>
      </c>
      <c r="AJ291" s="11">
        <v>0</v>
      </c>
    </row>
    <row r="292" spans="4:36">
      <c r="D292" s="10">
        <v>45870</v>
      </c>
      <c r="E292" s="11">
        <v>5.7602206144335498E-2</v>
      </c>
      <c r="H292" s="11">
        <v>0</v>
      </c>
      <c r="I292" s="11">
        <v>0</v>
      </c>
      <c r="K292" s="11">
        <v>-7.0000000000000007E-2</v>
      </c>
      <c r="L292" s="11">
        <v>0</v>
      </c>
      <c r="N292" s="11">
        <v>0</v>
      </c>
      <c r="O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AB292" s="11">
        <v>0</v>
      </c>
      <c r="AC292" s="11">
        <v>0</v>
      </c>
      <c r="AD292" s="10">
        <v>0</v>
      </c>
      <c r="AE292" s="11">
        <v>0</v>
      </c>
      <c r="AG292" s="11">
        <v>0</v>
      </c>
      <c r="AH292" s="11">
        <v>0</v>
      </c>
      <c r="AI292" s="11">
        <v>-0.2</v>
      </c>
      <c r="AJ292" s="11">
        <v>0</v>
      </c>
    </row>
    <row r="293" spans="4:36">
      <c r="D293" s="10">
        <v>45901</v>
      </c>
      <c r="E293" s="11">
        <v>5.7604594040795203E-2</v>
      </c>
      <c r="H293" s="11">
        <v>0</v>
      </c>
      <c r="I293" s="11">
        <v>0</v>
      </c>
      <c r="K293" s="11">
        <v>-7.0000000000000007E-2</v>
      </c>
      <c r="L293" s="11">
        <v>0</v>
      </c>
      <c r="N293" s="11">
        <v>0</v>
      </c>
      <c r="O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AB293" s="11">
        <v>0</v>
      </c>
      <c r="AC293" s="11">
        <v>0</v>
      </c>
      <c r="AD293" s="10">
        <v>0</v>
      </c>
      <c r="AE293" s="11">
        <v>0</v>
      </c>
      <c r="AG293" s="11">
        <v>0</v>
      </c>
      <c r="AH293" s="11">
        <v>0</v>
      </c>
      <c r="AI293" s="11">
        <v>-0.2</v>
      </c>
      <c r="AJ293" s="11">
        <v>0</v>
      </c>
    </row>
    <row r="294" spans="4:36">
      <c r="D294" s="10">
        <v>45931</v>
      </c>
      <c r="E294" s="11">
        <v>5.7606904908338301E-2</v>
      </c>
      <c r="H294" s="11">
        <v>0</v>
      </c>
      <c r="I294" s="11">
        <v>0</v>
      </c>
      <c r="K294" s="11">
        <v>-7.0000000000000007E-2</v>
      </c>
      <c r="L294" s="11">
        <v>0</v>
      </c>
      <c r="N294" s="11">
        <v>0</v>
      </c>
      <c r="O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AB294" s="11">
        <v>0</v>
      </c>
      <c r="AC294" s="11">
        <v>0</v>
      </c>
      <c r="AD294" s="10">
        <v>0</v>
      </c>
      <c r="AE294" s="11">
        <v>0</v>
      </c>
      <c r="AG294" s="11">
        <v>0</v>
      </c>
      <c r="AH294" s="11">
        <v>0</v>
      </c>
      <c r="AI294" s="11">
        <v>-0.2</v>
      </c>
      <c r="AJ294" s="11">
        <v>0</v>
      </c>
    </row>
    <row r="295" spans="4:36">
      <c r="D295" s="10">
        <v>45962</v>
      </c>
      <c r="E295" s="11">
        <v>5.7609292804801503E-2</v>
      </c>
      <c r="H295" s="11">
        <v>0</v>
      </c>
      <c r="I295" s="11">
        <v>0</v>
      </c>
      <c r="K295" s="11">
        <v>-7.0000000000000007E-2</v>
      </c>
      <c r="L295" s="11">
        <v>0</v>
      </c>
      <c r="N295" s="11">
        <v>0</v>
      </c>
      <c r="O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AB295" s="11">
        <v>0</v>
      </c>
      <c r="AC295" s="11">
        <v>0</v>
      </c>
      <c r="AD295" s="10">
        <v>0</v>
      </c>
      <c r="AE295" s="11">
        <v>0</v>
      </c>
      <c r="AG295" s="11">
        <v>0</v>
      </c>
      <c r="AH295" s="11">
        <v>0</v>
      </c>
      <c r="AI295" s="11">
        <v>-0.2</v>
      </c>
      <c r="AJ295" s="11">
        <v>0</v>
      </c>
    </row>
    <row r="296" spans="4:36">
      <c r="D296" s="10">
        <v>45992</v>
      </c>
      <c r="E296" s="11">
        <v>5.7611603672349097E-2</v>
      </c>
      <c r="H296" s="11">
        <v>0</v>
      </c>
      <c r="I296" s="11">
        <v>0</v>
      </c>
      <c r="K296" s="11">
        <v>-7.0000000000000007E-2</v>
      </c>
      <c r="L296" s="11">
        <v>0</v>
      </c>
      <c r="N296" s="11">
        <v>0</v>
      </c>
      <c r="O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AB296" s="11">
        <v>0</v>
      </c>
      <c r="AC296" s="11">
        <v>0</v>
      </c>
      <c r="AD296" s="10">
        <v>0</v>
      </c>
      <c r="AE296" s="11">
        <v>0</v>
      </c>
      <c r="AG296" s="11">
        <v>0</v>
      </c>
      <c r="AH296" s="11">
        <v>0</v>
      </c>
      <c r="AI296" s="11">
        <v>-0.2</v>
      </c>
      <c r="AJ296" s="11">
        <v>0</v>
      </c>
    </row>
    <row r="297" spans="4:36">
      <c r="D297" s="10">
        <v>46023</v>
      </c>
      <c r="E297" s="11">
        <v>5.76139915688159E-2</v>
      </c>
      <c r="H297" s="11">
        <v>0</v>
      </c>
      <c r="I297" s="11">
        <v>0</v>
      </c>
      <c r="K297" s="11">
        <v>-7.0000000000000007E-2</v>
      </c>
      <c r="L297" s="11">
        <v>0</v>
      </c>
      <c r="N297" s="11">
        <v>0</v>
      </c>
      <c r="O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AB297" s="11">
        <v>0</v>
      </c>
      <c r="AC297" s="11">
        <v>0</v>
      </c>
      <c r="AD297" s="10">
        <v>0</v>
      </c>
      <c r="AE297" s="11">
        <v>0</v>
      </c>
      <c r="AG297" s="11">
        <v>0</v>
      </c>
      <c r="AH297" s="11">
        <v>0</v>
      </c>
      <c r="AI297" s="11">
        <v>-0.2</v>
      </c>
      <c r="AJ297" s="11">
        <v>0</v>
      </c>
    </row>
    <row r="298" spans="4:36">
      <c r="D298" s="10">
        <v>46054</v>
      </c>
      <c r="E298" s="11">
        <v>5.7616379465284903E-2</v>
      </c>
      <c r="H298" s="11">
        <v>0</v>
      </c>
      <c r="I298" s="11">
        <v>0</v>
      </c>
      <c r="K298" s="11">
        <v>-7.0000000000000007E-2</v>
      </c>
      <c r="L298" s="11">
        <v>0</v>
      </c>
      <c r="N298" s="11">
        <v>0</v>
      </c>
      <c r="O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AB298" s="11">
        <v>0</v>
      </c>
      <c r="AC298" s="11">
        <v>0</v>
      </c>
      <c r="AD298" s="10">
        <v>0</v>
      </c>
      <c r="AE298" s="11">
        <v>0</v>
      </c>
      <c r="AG298" s="11">
        <v>0</v>
      </c>
      <c r="AH298" s="11">
        <v>0</v>
      </c>
      <c r="AI298" s="11">
        <v>-0.2</v>
      </c>
      <c r="AJ298" s="11">
        <v>0</v>
      </c>
    </row>
    <row r="299" spans="4:36">
      <c r="D299" s="10">
        <v>46082</v>
      </c>
      <c r="E299" s="11">
        <v>5.7618536275000097E-2</v>
      </c>
      <c r="H299" s="11">
        <v>0</v>
      </c>
      <c r="I299" s="11">
        <v>0</v>
      </c>
      <c r="K299" s="11">
        <v>-7.0000000000000007E-2</v>
      </c>
      <c r="L299" s="11">
        <v>0</v>
      </c>
      <c r="N299" s="11">
        <v>0</v>
      </c>
      <c r="O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AB299" s="11">
        <v>0</v>
      </c>
      <c r="AC299" s="11">
        <v>0</v>
      </c>
      <c r="AD299" s="10">
        <v>0</v>
      </c>
      <c r="AE299" s="11">
        <v>0</v>
      </c>
      <c r="AG299" s="11">
        <v>0</v>
      </c>
      <c r="AH299" s="11">
        <v>0</v>
      </c>
      <c r="AI299" s="11">
        <v>-0.2</v>
      </c>
      <c r="AJ299" s="11">
        <v>0</v>
      </c>
    </row>
    <row r="300" spans="4:36">
      <c r="D300" s="10">
        <v>46113</v>
      </c>
      <c r="E300" s="11">
        <v>5.7620924171473097E-2</v>
      </c>
      <c r="H300" s="11">
        <v>0</v>
      </c>
      <c r="I300" s="11">
        <v>0</v>
      </c>
      <c r="K300" s="11">
        <v>-7.0000000000000007E-2</v>
      </c>
      <c r="L300" s="11">
        <v>0</v>
      </c>
      <c r="N300" s="11">
        <v>0</v>
      </c>
      <c r="O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AB300" s="11">
        <v>0</v>
      </c>
      <c r="AC300" s="11">
        <v>0</v>
      </c>
      <c r="AD300" s="10">
        <v>0</v>
      </c>
      <c r="AE300" s="11">
        <v>0</v>
      </c>
      <c r="AG300" s="11">
        <v>0</v>
      </c>
      <c r="AH300" s="11">
        <v>0</v>
      </c>
      <c r="AI300" s="11">
        <v>-0.2</v>
      </c>
      <c r="AJ300" s="11">
        <v>0</v>
      </c>
    </row>
    <row r="301" spans="4:36">
      <c r="D301" s="10">
        <v>46143</v>
      </c>
      <c r="E301" s="11">
        <v>5.7623235039029101E-2</v>
      </c>
      <c r="H301" s="11">
        <v>0</v>
      </c>
      <c r="I301" s="11">
        <v>0</v>
      </c>
      <c r="K301" s="11">
        <v>-7.0000000000000007E-2</v>
      </c>
      <c r="L301" s="11">
        <v>0</v>
      </c>
      <c r="N301" s="11">
        <v>0</v>
      </c>
      <c r="O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AB301" s="11">
        <v>0</v>
      </c>
      <c r="AC301" s="11">
        <v>0</v>
      </c>
      <c r="AD301" s="10">
        <v>0</v>
      </c>
      <c r="AE301" s="11">
        <v>0</v>
      </c>
      <c r="AG301" s="11">
        <v>0</v>
      </c>
      <c r="AH301" s="11">
        <v>0</v>
      </c>
      <c r="AI301" s="11">
        <v>-0.2</v>
      </c>
      <c r="AJ301" s="11">
        <v>0</v>
      </c>
    </row>
    <row r="302" spans="4:36">
      <c r="D302" s="10">
        <v>46174</v>
      </c>
      <c r="E302" s="11">
        <v>5.7625622935505202E-2</v>
      </c>
      <c r="H302" s="11">
        <v>0</v>
      </c>
      <c r="I302" s="11">
        <v>0</v>
      </c>
      <c r="K302" s="11">
        <v>-7.0000000000000007E-2</v>
      </c>
      <c r="L302" s="11">
        <v>0</v>
      </c>
      <c r="N302" s="11">
        <v>0</v>
      </c>
      <c r="O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AB302" s="11">
        <v>0</v>
      </c>
      <c r="AC302" s="11">
        <v>0</v>
      </c>
      <c r="AD302" s="10">
        <v>0</v>
      </c>
      <c r="AE302" s="11">
        <v>0</v>
      </c>
      <c r="AG302" s="11">
        <v>0</v>
      </c>
      <c r="AH302" s="11">
        <v>0</v>
      </c>
      <c r="AI302" s="11">
        <v>-0.2</v>
      </c>
      <c r="AJ302" s="11">
        <v>0</v>
      </c>
    </row>
    <row r="303" spans="4:36">
      <c r="D303" s="10">
        <v>46204</v>
      </c>
      <c r="E303" s="11">
        <v>5.7627933803065197E-2</v>
      </c>
      <c r="H303" s="11">
        <v>0</v>
      </c>
      <c r="I303" s="11">
        <v>0</v>
      </c>
      <c r="K303" s="11">
        <v>-7.0000000000000007E-2</v>
      </c>
      <c r="L303" s="11">
        <v>0</v>
      </c>
      <c r="N303" s="11">
        <v>0</v>
      </c>
      <c r="O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AB303" s="11">
        <v>0</v>
      </c>
      <c r="AC303" s="11">
        <v>0</v>
      </c>
      <c r="AD303" s="10">
        <v>0</v>
      </c>
      <c r="AE303" s="11">
        <v>0</v>
      </c>
      <c r="AG303" s="11">
        <v>0</v>
      </c>
      <c r="AH303" s="11">
        <v>0</v>
      </c>
      <c r="AI303" s="11">
        <v>-0.2</v>
      </c>
      <c r="AJ303" s="11">
        <v>0</v>
      </c>
    </row>
    <row r="304" spans="4:36">
      <c r="D304" s="10">
        <v>46235</v>
      </c>
      <c r="E304" s="11">
        <v>5.7630321699545302E-2</v>
      </c>
      <c r="H304" s="11">
        <v>0</v>
      </c>
      <c r="I304" s="11">
        <v>0</v>
      </c>
      <c r="K304" s="11">
        <v>-7.0000000000000007E-2</v>
      </c>
      <c r="L304" s="11">
        <v>0</v>
      </c>
      <c r="N304" s="11">
        <v>0</v>
      </c>
      <c r="O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AB304" s="11">
        <v>0</v>
      </c>
      <c r="AC304" s="11">
        <v>0</v>
      </c>
      <c r="AD304" s="10">
        <v>0</v>
      </c>
      <c r="AE304" s="11">
        <v>0</v>
      </c>
      <c r="AG304" s="11">
        <v>0</v>
      </c>
      <c r="AH304" s="11">
        <v>0</v>
      </c>
      <c r="AI304" s="11">
        <v>-0.2</v>
      </c>
      <c r="AJ304" s="11">
        <v>0</v>
      </c>
    </row>
    <row r="305" spans="4:36">
      <c r="D305" s="10">
        <v>46266</v>
      </c>
      <c r="E305" s="11">
        <v>5.7632709596027197E-2</v>
      </c>
      <c r="H305" s="11">
        <v>0</v>
      </c>
      <c r="I305" s="11">
        <v>0</v>
      </c>
      <c r="K305" s="11">
        <v>-7.0000000000000007E-2</v>
      </c>
      <c r="L305" s="11">
        <v>0</v>
      </c>
      <c r="N305" s="11">
        <v>0</v>
      </c>
      <c r="O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AB305" s="11">
        <v>0</v>
      </c>
      <c r="AC305" s="11">
        <v>0</v>
      </c>
      <c r="AD305" s="10">
        <v>0</v>
      </c>
      <c r="AE305" s="11">
        <v>0</v>
      </c>
      <c r="AG305" s="11">
        <v>0</v>
      </c>
      <c r="AH305" s="11">
        <v>0</v>
      </c>
      <c r="AI305" s="11">
        <v>-0.2</v>
      </c>
      <c r="AJ305" s="11">
        <v>0</v>
      </c>
    </row>
    <row r="306" spans="4:36">
      <c r="D306" s="10">
        <v>46296</v>
      </c>
      <c r="E306" s="11">
        <v>5.7635020463592E-2</v>
      </c>
      <c r="H306" s="11">
        <v>0</v>
      </c>
      <c r="I306" s="11">
        <v>0</v>
      </c>
      <c r="K306" s="11">
        <v>-7.0000000000000007E-2</v>
      </c>
      <c r="L306" s="11">
        <v>0</v>
      </c>
      <c r="N306" s="11">
        <v>0</v>
      </c>
      <c r="O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AB306" s="11">
        <v>0</v>
      </c>
      <c r="AC306" s="11">
        <v>0</v>
      </c>
      <c r="AD306" s="10">
        <v>0</v>
      </c>
      <c r="AE306" s="11">
        <v>0</v>
      </c>
      <c r="AG306" s="11">
        <v>0</v>
      </c>
      <c r="AH306" s="11">
        <v>0</v>
      </c>
      <c r="AI306" s="11">
        <v>-0.2</v>
      </c>
      <c r="AJ306" s="11">
        <v>0</v>
      </c>
    </row>
    <row r="307" spans="4:36">
      <c r="D307" s="10">
        <v>46327</v>
      </c>
      <c r="E307" s="11">
        <v>5.7637408360077899E-2</v>
      </c>
      <c r="H307" s="11">
        <v>0</v>
      </c>
      <c r="I307" s="11">
        <v>0</v>
      </c>
      <c r="K307" s="11">
        <v>-7.0000000000000007E-2</v>
      </c>
      <c r="L307" s="11">
        <v>0</v>
      </c>
      <c r="N307" s="11">
        <v>0</v>
      </c>
      <c r="O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AB307" s="11">
        <v>0</v>
      </c>
      <c r="AC307" s="11">
        <v>0</v>
      </c>
      <c r="AD307" s="10">
        <v>0</v>
      </c>
      <c r="AE307" s="11">
        <v>0</v>
      </c>
      <c r="AG307" s="11">
        <v>0</v>
      </c>
      <c r="AH307" s="11">
        <v>0</v>
      </c>
      <c r="AI307" s="11">
        <v>-0.2</v>
      </c>
      <c r="AJ307" s="11">
        <v>0</v>
      </c>
    </row>
    <row r="308" spans="4:36">
      <c r="D308" s="10">
        <v>46357</v>
      </c>
      <c r="E308" s="11">
        <v>5.7639719227646297E-2</v>
      </c>
      <c r="H308" s="11">
        <v>0</v>
      </c>
      <c r="I308" s="11">
        <v>0</v>
      </c>
      <c r="K308" s="11">
        <v>-7.0000000000000007E-2</v>
      </c>
      <c r="L308" s="11">
        <v>0</v>
      </c>
      <c r="N308" s="11">
        <v>0</v>
      </c>
      <c r="O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AB308" s="11">
        <v>0</v>
      </c>
      <c r="AC308" s="11">
        <v>0</v>
      </c>
      <c r="AD308" s="10">
        <v>0</v>
      </c>
      <c r="AE308" s="11">
        <v>0</v>
      </c>
      <c r="AG308" s="11">
        <v>0</v>
      </c>
      <c r="AH308" s="11">
        <v>0</v>
      </c>
      <c r="AI308" s="11">
        <v>-0.2</v>
      </c>
      <c r="AJ308" s="11">
        <v>0</v>
      </c>
    </row>
    <row r="309" spans="4:36">
      <c r="D309" s="10">
        <v>46388</v>
      </c>
      <c r="E309" s="11">
        <v>5.7642107124135797E-2</v>
      </c>
      <c r="H309" s="11">
        <v>0</v>
      </c>
      <c r="I309" s="11">
        <v>0</v>
      </c>
      <c r="K309" s="11">
        <v>-7.0000000000000007E-2</v>
      </c>
      <c r="L309" s="11">
        <v>0</v>
      </c>
      <c r="N309" s="11">
        <v>0</v>
      </c>
      <c r="O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AB309" s="11">
        <v>0</v>
      </c>
      <c r="AC309" s="11">
        <v>0</v>
      </c>
      <c r="AD309" s="10">
        <v>0</v>
      </c>
      <c r="AE309" s="11">
        <v>0</v>
      </c>
      <c r="AG309" s="11">
        <v>0</v>
      </c>
      <c r="AH309" s="11">
        <v>0</v>
      </c>
      <c r="AI309" s="11">
        <v>-0.2</v>
      </c>
      <c r="AJ309" s="11">
        <v>0</v>
      </c>
    </row>
    <row r="310" spans="4:36">
      <c r="D310" s="10">
        <v>46419</v>
      </c>
      <c r="E310" s="11">
        <v>5.7644495020626997E-2</v>
      </c>
      <c r="H310" s="11">
        <v>0</v>
      </c>
      <c r="I310" s="11">
        <v>0</v>
      </c>
      <c r="K310" s="11">
        <v>-7.0000000000000007E-2</v>
      </c>
      <c r="L310" s="11">
        <v>0</v>
      </c>
      <c r="N310" s="11">
        <v>0</v>
      </c>
      <c r="O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AB310" s="11">
        <v>0</v>
      </c>
      <c r="AC310" s="11">
        <v>0</v>
      </c>
      <c r="AD310" s="10">
        <v>0</v>
      </c>
      <c r="AE310" s="11">
        <v>0</v>
      </c>
      <c r="AG310" s="11">
        <v>0</v>
      </c>
      <c r="AH310" s="11">
        <v>0</v>
      </c>
      <c r="AI310" s="11">
        <v>-0.2</v>
      </c>
      <c r="AJ310" s="11">
        <v>0</v>
      </c>
    </row>
    <row r="311" spans="4:36">
      <c r="D311" s="10">
        <v>46447</v>
      </c>
      <c r="E311" s="11">
        <v>5.7646651830363098E-2</v>
      </c>
      <c r="H311" s="11">
        <v>0</v>
      </c>
      <c r="I311" s="11">
        <v>0</v>
      </c>
      <c r="K311" s="11">
        <v>-7.0000000000000007E-2</v>
      </c>
      <c r="L311" s="11">
        <v>0</v>
      </c>
      <c r="N311" s="11">
        <v>0</v>
      </c>
      <c r="O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AB311" s="11">
        <v>0</v>
      </c>
      <c r="AC311" s="11">
        <v>0</v>
      </c>
      <c r="AD311" s="10">
        <v>0</v>
      </c>
      <c r="AE311" s="11">
        <v>0</v>
      </c>
      <c r="AG311" s="11">
        <v>0</v>
      </c>
      <c r="AH311" s="11">
        <v>0</v>
      </c>
      <c r="AI311" s="11">
        <v>-0.2</v>
      </c>
      <c r="AJ311" s="11">
        <v>0</v>
      </c>
    </row>
    <row r="312" spans="4:36">
      <c r="D312" s="10">
        <v>46478</v>
      </c>
      <c r="E312" s="11">
        <v>5.7649039726857899E-2</v>
      </c>
      <c r="H312" s="11">
        <v>0</v>
      </c>
      <c r="I312" s="11">
        <v>0</v>
      </c>
      <c r="K312" s="11">
        <v>-7.0000000000000007E-2</v>
      </c>
      <c r="L312" s="11">
        <v>0</v>
      </c>
      <c r="N312" s="11">
        <v>0</v>
      </c>
      <c r="O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AB312" s="11">
        <v>0</v>
      </c>
      <c r="AC312" s="11">
        <v>0</v>
      </c>
      <c r="AD312" s="10">
        <v>0</v>
      </c>
      <c r="AE312" s="11">
        <v>0</v>
      </c>
      <c r="AG312" s="11">
        <v>0</v>
      </c>
      <c r="AH312" s="11">
        <v>0</v>
      </c>
      <c r="AI312" s="11">
        <v>-0.2</v>
      </c>
      <c r="AJ312" s="11">
        <v>0</v>
      </c>
    </row>
    <row r="313" spans="4:36">
      <c r="D313" s="10">
        <v>46508</v>
      </c>
      <c r="E313" s="11">
        <v>5.7651350594435199E-2</v>
      </c>
      <c r="H313" s="11">
        <v>0</v>
      </c>
      <c r="I313" s="11">
        <v>0</v>
      </c>
      <c r="K313" s="11">
        <v>-7.0000000000000007E-2</v>
      </c>
      <c r="L313" s="11">
        <v>0</v>
      </c>
      <c r="N313" s="11">
        <v>0</v>
      </c>
      <c r="O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AB313" s="11">
        <v>0</v>
      </c>
      <c r="AC313" s="11">
        <v>0</v>
      </c>
      <c r="AD313" s="10">
        <v>0</v>
      </c>
      <c r="AE313" s="11">
        <v>0</v>
      </c>
      <c r="AG313" s="11">
        <v>0</v>
      </c>
      <c r="AH313" s="11">
        <v>0</v>
      </c>
      <c r="AI313" s="11">
        <v>-0.2</v>
      </c>
      <c r="AJ313" s="11">
        <v>0</v>
      </c>
    </row>
    <row r="314" spans="4:36">
      <c r="D314" s="10">
        <v>46539</v>
      </c>
      <c r="E314" s="11">
        <v>5.76537384909344E-2</v>
      </c>
      <c r="H314" s="11">
        <v>0</v>
      </c>
      <c r="I314" s="11">
        <v>0</v>
      </c>
      <c r="K314" s="11">
        <v>-7.0000000000000007E-2</v>
      </c>
      <c r="L314" s="11">
        <v>0</v>
      </c>
      <c r="N314" s="11">
        <v>0</v>
      </c>
      <c r="O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AB314" s="11">
        <v>0</v>
      </c>
      <c r="AC314" s="11">
        <v>0</v>
      </c>
      <c r="AD314" s="10">
        <v>0</v>
      </c>
      <c r="AE314" s="11">
        <v>0</v>
      </c>
      <c r="AG314" s="11">
        <v>0</v>
      </c>
      <c r="AH314" s="11">
        <v>0</v>
      </c>
      <c r="AI314" s="11">
        <v>-0.2</v>
      </c>
      <c r="AJ314" s="11">
        <v>0</v>
      </c>
    </row>
    <row r="315" spans="4:36">
      <c r="D315" s="10">
        <v>46569</v>
      </c>
      <c r="E315" s="11">
        <v>5.76560493585156E-2</v>
      </c>
      <c r="H315" s="11">
        <v>0</v>
      </c>
      <c r="I315" s="11">
        <v>0</v>
      </c>
      <c r="K315" s="11">
        <v>-7.0000000000000007E-2</v>
      </c>
      <c r="L315" s="11">
        <v>0</v>
      </c>
      <c r="N315" s="11">
        <v>0</v>
      </c>
      <c r="O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AB315" s="11">
        <v>0</v>
      </c>
      <c r="AC315" s="11">
        <v>0</v>
      </c>
      <c r="AD315" s="10">
        <v>0</v>
      </c>
      <c r="AE315" s="11">
        <v>0</v>
      </c>
      <c r="AG315" s="11">
        <v>0</v>
      </c>
      <c r="AH315" s="11">
        <v>0</v>
      </c>
      <c r="AI315" s="11">
        <v>-0.2</v>
      </c>
      <c r="AJ315" s="11">
        <v>0</v>
      </c>
    </row>
    <row r="316" spans="4:36">
      <c r="D316" s="10">
        <v>46600</v>
      </c>
      <c r="E316" s="11">
        <v>5.7658437255018E-2</v>
      </c>
      <c r="H316" s="11">
        <v>0</v>
      </c>
      <c r="I316" s="11">
        <v>0</v>
      </c>
      <c r="K316" s="11">
        <v>-7.0000000000000007E-2</v>
      </c>
      <c r="L316" s="11">
        <v>0</v>
      </c>
      <c r="N316" s="11">
        <v>0</v>
      </c>
      <c r="O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AB316" s="11">
        <v>0</v>
      </c>
      <c r="AC316" s="11">
        <v>0</v>
      </c>
      <c r="AD316" s="10">
        <v>0</v>
      </c>
      <c r="AE316" s="11">
        <v>0</v>
      </c>
      <c r="AG316" s="11">
        <v>0</v>
      </c>
      <c r="AH316" s="11">
        <v>0</v>
      </c>
      <c r="AI316" s="11">
        <v>-0.2</v>
      </c>
      <c r="AJ316" s="11">
        <v>0</v>
      </c>
    </row>
    <row r="317" spans="4:36">
      <c r="D317" s="10">
        <v>46631</v>
      </c>
      <c r="E317" s="11">
        <v>5.7660825151522002E-2</v>
      </c>
      <c r="H317" s="11">
        <v>0</v>
      </c>
      <c r="I317" s="11">
        <v>0</v>
      </c>
      <c r="K317" s="11">
        <v>-7.0000000000000007E-2</v>
      </c>
      <c r="L317" s="11">
        <v>0</v>
      </c>
      <c r="N317" s="11">
        <v>0</v>
      </c>
      <c r="O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AB317" s="11">
        <v>0</v>
      </c>
      <c r="AC317" s="11">
        <v>0</v>
      </c>
      <c r="AD317" s="10">
        <v>0</v>
      </c>
      <c r="AE317" s="11">
        <v>0</v>
      </c>
      <c r="AG317" s="11">
        <v>0</v>
      </c>
      <c r="AH317" s="11">
        <v>0</v>
      </c>
      <c r="AI317" s="11">
        <v>-0.2</v>
      </c>
      <c r="AJ317" s="11">
        <v>0</v>
      </c>
    </row>
    <row r="318" spans="4:36">
      <c r="D318" s="10">
        <v>46661</v>
      </c>
      <c r="E318" s="11">
        <v>5.76631360191091E-2</v>
      </c>
      <c r="H318" s="11">
        <v>0</v>
      </c>
      <c r="I318" s="11">
        <v>0</v>
      </c>
      <c r="K318" s="11">
        <v>-7.0000000000000007E-2</v>
      </c>
      <c r="L318" s="11">
        <v>0</v>
      </c>
      <c r="N318" s="11">
        <v>0</v>
      </c>
      <c r="O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AB318" s="11">
        <v>0</v>
      </c>
      <c r="AC318" s="11">
        <v>0</v>
      </c>
      <c r="AD318" s="10">
        <v>0</v>
      </c>
      <c r="AE318" s="11">
        <v>0</v>
      </c>
      <c r="AG318" s="11">
        <v>0</v>
      </c>
      <c r="AH318" s="11">
        <v>0</v>
      </c>
      <c r="AI318" s="11">
        <v>-0.2</v>
      </c>
      <c r="AJ318" s="11">
        <v>0</v>
      </c>
    </row>
    <row r="319" spans="4:36">
      <c r="D319" s="10">
        <v>46692</v>
      </c>
      <c r="E319" s="11">
        <v>5.7665523915616697E-2</v>
      </c>
      <c r="H319" s="11">
        <v>0</v>
      </c>
      <c r="I319" s="11">
        <v>0</v>
      </c>
      <c r="K319" s="11">
        <v>-7.0000000000000007E-2</v>
      </c>
      <c r="L319" s="11">
        <v>0</v>
      </c>
      <c r="N319" s="11">
        <v>0</v>
      </c>
      <c r="O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AB319" s="11">
        <v>0</v>
      </c>
      <c r="AC319" s="11">
        <v>0</v>
      </c>
      <c r="AD319" s="10">
        <v>0</v>
      </c>
      <c r="AE319" s="11">
        <v>0</v>
      </c>
      <c r="AG319" s="11">
        <v>0</v>
      </c>
      <c r="AH319" s="11">
        <v>0</v>
      </c>
      <c r="AI319" s="11">
        <v>-0.2</v>
      </c>
      <c r="AJ319" s="11">
        <v>0</v>
      </c>
    </row>
    <row r="320" spans="4:36">
      <c r="D320" s="10">
        <v>46722</v>
      </c>
      <c r="E320" s="11">
        <v>5.7667834783206903E-2</v>
      </c>
      <c r="H320" s="11">
        <v>0</v>
      </c>
      <c r="I320" s="11">
        <v>0</v>
      </c>
      <c r="K320" s="11">
        <v>-7.0000000000000007E-2</v>
      </c>
      <c r="L320" s="11">
        <v>0</v>
      </c>
      <c r="N320" s="11">
        <v>0</v>
      </c>
      <c r="O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AB320" s="11">
        <v>0</v>
      </c>
      <c r="AC320" s="11">
        <v>0</v>
      </c>
      <c r="AD320" s="10">
        <v>0</v>
      </c>
      <c r="AE320" s="11">
        <v>0</v>
      </c>
      <c r="AG320" s="11">
        <v>0</v>
      </c>
      <c r="AH320" s="11">
        <v>0</v>
      </c>
      <c r="AI320" s="11">
        <v>-0.2</v>
      </c>
      <c r="AJ320" s="11">
        <v>0</v>
      </c>
    </row>
    <row r="321" spans="4:36">
      <c r="D321" s="10">
        <v>46753</v>
      </c>
      <c r="E321" s="11">
        <v>5.7670222679718601E-2</v>
      </c>
      <c r="H321" s="11">
        <v>0</v>
      </c>
      <c r="I321" s="11">
        <v>0</v>
      </c>
      <c r="K321" s="11">
        <v>-7.0000000000000007E-2</v>
      </c>
      <c r="L321" s="11">
        <v>0</v>
      </c>
      <c r="N321" s="11">
        <v>0</v>
      </c>
      <c r="O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AB321" s="11">
        <v>0</v>
      </c>
      <c r="AC321" s="11">
        <v>0</v>
      </c>
      <c r="AD321" s="10">
        <v>0</v>
      </c>
      <c r="AE321" s="11">
        <v>0</v>
      </c>
      <c r="AG321" s="11">
        <v>0</v>
      </c>
      <c r="AH321" s="11">
        <v>0</v>
      </c>
      <c r="AI321" s="11">
        <v>-0.2</v>
      </c>
      <c r="AJ321" s="11">
        <v>0</v>
      </c>
    </row>
    <row r="322" spans="4:36">
      <c r="D322" s="10">
        <v>46784</v>
      </c>
      <c r="E322" s="11">
        <v>5.7672610576232797E-2</v>
      </c>
      <c r="H322" s="11">
        <v>0</v>
      </c>
      <c r="I322" s="11">
        <v>0</v>
      </c>
      <c r="K322" s="11">
        <v>-7.0000000000000007E-2</v>
      </c>
      <c r="L322" s="11">
        <v>0</v>
      </c>
      <c r="N322" s="11">
        <v>0</v>
      </c>
      <c r="O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AB322" s="11">
        <v>0</v>
      </c>
      <c r="AC322" s="11">
        <v>0</v>
      </c>
      <c r="AD322" s="10">
        <v>0</v>
      </c>
      <c r="AE322" s="11">
        <v>0</v>
      </c>
      <c r="AG322" s="11">
        <v>0</v>
      </c>
      <c r="AH322" s="11">
        <v>0</v>
      </c>
      <c r="AI322" s="11">
        <v>-0.2</v>
      </c>
      <c r="AJ322" s="11">
        <v>0</v>
      </c>
    </row>
    <row r="323" spans="4:36">
      <c r="D323" s="10">
        <v>46813</v>
      </c>
      <c r="E323" s="11">
        <v>5.7674844414908201E-2</v>
      </c>
      <c r="H323" s="11">
        <v>0</v>
      </c>
      <c r="I323" s="11">
        <v>0</v>
      </c>
      <c r="K323" s="11">
        <v>-7.0000000000000007E-2</v>
      </c>
      <c r="L323" s="11">
        <v>0</v>
      </c>
      <c r="N323" s="11">
        <v>0</v>
      </c>
      <c r="O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AB323" s="11">
        <v>0</v>
      </c>
      <c r="AC323" s="11">
        <v>0</v>
      </c>
      <c r="AD323" s="10">
        <v>0</v>
      </c>
      <c r="AE323" s="11">
        <v>0</v>
      </c>
      <c r="AG323" s="11">
        <v>0</v>
      </c>
      <c r="AH323" s="11">
        <v>0</v>
      </c>
      <c r="AI323" s="11">
        <v>-0.2</v>
      </c>
      <c r="AJ323" s="11">
        <v>0</v>
      </c>
    </row>
    <row r="324" spans="4:36">
      <c r="D324" s="10">
        <v>46844</v>
      </c>
      <c r="E324" s="11">
        <v>5.7677232311425602E-2</v>
      </c>
      <c r="H324" s="11">
        <v>0</v>
      </c>
      <c r="I324" s="11">
        <v>0</v>
      </c>
      <c r="K324" s="11">
        <v>-7.0000000000000007E-2</v>
      </c>
      <c r="L324" s="11">
        <v>0</v>
      </c>
      <c r="N324" s="11">
        <v>0</v>
      </c>
      <c r="O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AB324" s="11">
        <v>0</v>
      </c>
      <c r="AC324" s="11">
        <v>0</v>
      </c>
      <c r="AD324" s="10">
        <v>0</v>
      </c>
      <c r="AE324" s="11">
        <v>0</v>
      </c>
      <c r="AG324" s="11">
        <v>0</v>
      </c>
      <c r="AH324" s="11">
        <v>0</v>
      </c>
      <c r="AI324" s="11">
        <v>-0.2</v>
      </c>
      <c r="AJ324" s="11">
        <v>0</v>
      </c>
    </row>
    <row r="325" spans="4:36">
      <c r="D325" s="10">
        <v>46874</v>
      </c>
      <c r="E325" s="11">
        <v>5.76795431790251E-2</v>
      </c>
      <c r="H325" s="11">
        <v>0</v>
      </c>
      <c r="I325" s="11">
        <v>0</v>
      </c>
      <c r="K325" s="11">
        <v>-7.0000000000000007E-2</v>
      </c>
      <c r="L325" s="11">
        <v>0</v>
      </c>
      <c r="N325" s="11">
        <v>0</v>
      </c>
      <c r="O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AB325" s="11">
        <v>0</v>
      </c>
      <c r="AC325" s="11">
        <v>0</v>
      </c>
      <c r="AD325" s="10">
        <v>0</v>
      </c>
      <c r="AE325" s="11">
        <v>0</v>
      </c>
      <c r="AG325" s="11">
        <v>0</v>
      </c>
      <c r="AH325" s="11">
        <v>0</v>
      </c>
      <c r="AI325" s="11">
        <v>-0.2</v>
      </c>
      <c r="AJ325" s="11">
        <v>0</v>
      </c>
    </row>
    <row r="326" spans="4:36">
      <c r="D326" s="10">
        <v>46905</v>
      </c>
      <c r="E326" s="11">
        <v>5.7681931075546103E-2</v>
      </c>
      <c r="H326" s="11">
        <v>0</v>
      </c>
      <c r="I326" s="11">
        <v>0</v>
      </c>
      <c r="K326" s="11">
        <v>-7.0000000000000007E-2</v>
      </c>
      <c r="L326" s="11">
        <v>0</v>
      </c>
      <c r="N326" s="11">
        <v>0</v>
      </c>
      <c r="O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AB326" s="11">
        <v>0</v>
      </c>
      <c r="AC326" s="11">
        <v>0</v>
      </c>
      <c r="AD326" s="10">
        <v>0</v>
      </c>
      <c r="AE326" s="11">
        <v>0</v>
      </c>
      <c r="AG326" s="11">
        <v>0</v>
      </c>
      <c r="AH326" s="11">
        <v>0</v>
      </c>
      <c r="AI326" s="11">
        <v>-0.2</v>
      </c>
      <c r="AJ326" s="11">
        <v>0</v>
      </c>
    </row>
    <row r="327" spans="4:36">
      <c r="D327" s="10">
        <v>46935</v>
      </c>
      <c r="E327" s="11">
        <v>5.7684241943148702E-2</v>
      </c>
      <c r="H327" s="11">
        <v>0</v>
      </c>
      <c r="I327" s="11">
        <v>0</v>
      </c>
      <c r="K327" s="11">
        <v>-7.0000000000000007E-2</v>
      </c>
      <c r="L327" s="11">
        <v>0</v>
      </c>
      <c r="N327" s="11">
        <v>0</v>
      </c>
      <c r="O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AB327" s="11">
        <v>0</v>
      </c>
      <c r="AC327" s="11">
        <v>0</v>
      </c>
      <c r="AD327" s="10">
        <v>0</v>
      </c>
      <c r="AE327" s="11">
        <v>0</v>
      </c>
      <c r="AG327" s="11">
        <v>0</v>
      </c>
      <c r="AH327" s="11">
        <v>0</v>
      </c>
      <c r="AI327" s="11">
        <v>-0.2</v>
      </c>
      <c r="AJ327" s="11">
        <v>0</v>
      </c>
    </row>
    <row r="328" spans="4:36">
      <c r="D328" s="10">
        <v>46966</v>
      </c>
      <c r="E328" s="11">
        <v>5.7686629839673598E-2</v>
      </c>
      <c r="H328" s="11">
        <v>0</v>
      </c>
      <c r="I328" s="11">
        <v>0</v>
      </c>
      <c r="K328" s="11">
        <v>-7.0000000000000007E-2</v>
      </c>
      <c r="L328" s="11">
        <v>0</v>
      </c>
      <c r="N328" s="11">
        <v>0</v>
      </c>
      <c r="O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AB328" s="11">
        <v>0</v>
      </c>
      <c r="AC328" s="11">
        <v>0</v>
      </c>
      <c r="AD328" s="10">
        <v>0</v>
      </c>
      <c r="AE328" s="11">
        <v>0</v>
      </c>
      <c r="AG328" s="11">
        <v>0</v>
      </c>
      <c r="AH328" s="11">
        <v>0</v>
      </c>
      <c r="AI328" s="11">
        <v>-0.2</v>
      </c>
      <c r="AJ328" s="11">
        <v>0</v>
      </c>
    </row>
    <row r="329" spans="4:36">
      <c r="D329" s="10">
        <v>46997</v>
      </c>
      <c r="E329" s="11">
        <v>5.7689017736200401E-2</v>
      </c>
      <c r="H329" s="11">
        <v>0</v>
      </c>
      <c r="I329" s="11">
        <v>0</v>
      </c>
      <c r="K329" s="11">
        <v>-7.0000000000000007E-2</v>
      </c>
      <c r="L329" s="11">
        <v>0</v>
      </c>
      <c r="N329" s="11">
        <v>0</v>
      </c>
      <c r="O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AB329" s="11">
        <v>0</v>
      </c>
      <c r="AC329" s="11">
        <v>0</v>
      </c>
      <c r="AD329" s="10">
        <v>0</v>
      </c>
      <c r="AE329" s="11">
        <v>0</v>
      </c>
      <c r="AG329" s="11">
        <v>0</v>
      </c>
      <c r="AH329" s="11">
        <v>0</v>
      </c>
      <c r="AI329" s="11">
        <v>-0.2</v>
      </c>
      <c r="AJ329" s="11">
        <v>0</v>
      </c>
    </row>
    <row r="330" spans="4:36">
      <c r="D330" s="10">
        <v>47027</v>
      </c>
      <c r="E330" s="11">
        <v>5.7691328603808802E-2</v>
      </c>
      <c r="H330" s="11">
        <v>0</v>
      </c>
      <c r="I330" s="11">
        <v>0</v>
      </c>
      <c r="K330" s="11">
        <v>-7.0000000000000007E-2</v>
      </c>
      <c r="L330" s="11">
        <v>0</v>
      </c>
      <c r="N330" s="11">
        <v>0</v>
      </c>
      <c r="O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AB330" s="11">
        <v>0</v>
      </c>
      <c r="AC330" s="11">
        <v>0</v>
      </c>
      <c r="AD330" s="10">
        <v>0</v>
      </c>
      <c r="AE330" s="11">
        <v>0</v>
      </c>
      <c r="AG330" s="11">
        <v>0</v>
      </c>
      <c r="AH330" s="11">
        <v>0</v>
      </c>
      <c r="AI330" s="11">
        <v>-0.2</v>
      </c>
      <c r="AJ330" s="11">
        <v>0</v>
      </c>
    </row>
    <row r="331" spans="4:36">
      <c r="D331" s="10">
        <v>47058</v>
      </c>
      <c r="E331" s="11">
        <v>5.7693716500339103E-2</v>
      </c>
      <c r="H331" s="11">
        <v>0</v>
      </c>
      <c r="I331" s="11">
        <v>0</v>
      </c>
      <c r="K331" s="11">
        <v>-7.0000000000000007E-2</v>
      </c>
      <c r="L331" s="11">
        <v>0</v>
      </c>
      <c r="N331" s="11">
        <v>0</v>
      </c>
      <c r="O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AB331" s="11">
        <v>0</v>
      </c>
      <c r="AC331" s="11">
        <v>0</v>
      </c>
      <c r="AD331" s="10">
        <v>0</v>
      </c>
      <c r="AE331" s="11">
        <v>0</v>
      </c>
      <c r="AG331" s="11">
        <v>0</v>
      </c>
      <c r="AH331" s="11">
        <v>0</v>
      </c>
      <c r="AI331" s="11">
        <v>-0.2</v>
      </c>
      <c r="AJ331" s="11">
        <v>0</v>
      </c>
    </row>
    <row r="332" spans="4:36">
      <c r="D332" s="10">
        <v>47088</v>
      </c>
      <c r="E332" s="11">
        <v>5.7696027367951402E-2</v>
      </c>
      <c r="H332" s="11">
        <v>0</v>
      </c>
      <c r="I332" s="11">
        <v>0</v>
      </c>
      <c r="K332" s="11">
        <v>-7.0000000000000007E-2</v>
      </c>
      <c r="L332" s="11">
        <v>0</v>
      </c>
      <c r="N332" s="11">
        <v>0</v>
      </c>
      <c r="O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AB332" s="11">
        <v>0</v>
      </c>
      <c r="AC332" s="11">
        <v>0</v>
      </c>
      <c r="AD332" s="10">
        <v>0</v>
      </c>
      <c r="AE332" s="11">
        <v>0</v>
      </c>
      <c r="AG332" s="11">
        <v>0</v>
      </c>
      <c r="AH332" s="11">
        <v>0</v>
      </c>
      <c r="AI332" s="11">
        <v>-0.2</v>
      </c>
      <c r="AJ332" s="11">
        <v>0</v>
      </c>
    </row>
    <row r="333" spans="4:36">
      <c r="D333" s="10">
        <v>47119</v>
      </c>
      <c r="E333" s="11">
        <v>5.7698415264485298E-2</v>
      </c>
      <c r="H333" s="11">
        <v>0</v>
      </c>
      <c r="I333" s="11">
        <v>0</v>
      </c>
      <c r="K333" s="11">
        <v>-7.0000000000000007E-2</v>
      </c>
      <c r="L333" s="11">
        <v>0</v>
      </c>
      <c r="N333" s="11">
        <v>0</v>
      </c>
      <c r="O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AB333" s="11">
        <v>0</v>
      </c>
      <c r="AC333" s="11">
        <v>0</v>
      </c>
      <c r="AD333" s="10">
        <v>0</v>
      </c>
      <c r="AE333" s="11">
        <v>0</v>
      </c>
      <c r="AG333" s="11">
        <v>0</v>
      </c>
      <c r="AH333" s="11">
        <v>0</v>
      </c>
      <c r="AI333" s="11">
        <v>-0.2</v>
      </c>
      <c r="AJ333" s="11">
        <v>0</v>
      </c>
    </row>
    <row r="334" spans="4:36">
      <c r="D334" s="10">
        <v>47150</v>
      </c>
      <c r="E334" s="11">
        <v>5.7700803161021302E-2</v>
      </c>
      <c r="H334" s="11">
        <v>0</v>
      </c>
      <c r="I334" s="11">
        <v>0</v>
      </c>
      <c r="K334" s="11">
        <v>-7.0000000000000007E-2</v>
      </c>
      <c r="L334" s="11">
        <v>0</v>
      </c>
      <c r="N334" s="11">
        <v>0</v>
      </c>
      <c r="O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AB334" s="11">
        <v>0</v>
      </c>
      <c r="AC334" s="11">
        <v>0</v>
      </c>
      <c r="AD334" s="10">
        <v>0</v>
      </c>
      <c r="AE334" s="11">
        <v>0</v>
      </c>
      <c r="AG334" s="11">
        <v>0</v>
      </c>
      <c r="AH334" s="11">
        <v>0</v>
      </c>
      <c r="AI334" s="11">
        <v>-0.2</v>
      </c>
      <c r="AJ334" s="11">
        <v>0</v>
      </c>
    </row>
    <row r="335" spans="4:36">
      <c r="D335" s="10">
        <v>47178</v>
      </c>
      <c r="E335" s="11">
        <v>5.7702959970797399E-2</v>
      </c>
      <c r="H335" s="11">
        <v>0</v>
      </c>
      <c r="I335" s="11">
        <v>0</v>
      </c>
      <c r="K335" s="11">
        <v>-7.0000000000000007E-2</v>
      </c>
      <c r="L335" s="11">
        <v>0</v>
      </c>
      <c r="N335" s="11">
        <v>0</v>
      </c>
      <c r="O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AB335" s="11">
        <v>0</v>
      </c>
      <c r="AC335" s="11">
        <v>0</v>
      </c>
      <c r="AD335" s="10">
        <v>0</v>
      </c>
      <c r="AE335" s="11">
        <v>0</v>
      </c>
      <c r="AG335" s="11">
        <v>0</v>
      </c>
      <c r="AH335" s="11">
        <v>0</v>
      </c>
      <c r="AI335" s="11">
        <v>-0.2</v>
      </c>
      <c r="AJ335" s="11">
        <v>0</v>
      </c>
    </row>
    <row r="336" spans="4:36">
      <c r="D336" s="10">
        <v>47209</v>
      </c>
      <c r="E336" s="11">
        <v>5.7705347867337498E-2</v>
      </c>
      <c r="H336" s="11">
        <v>0</v>
      </c>
      <c r="I336" s="11">
        <v>0</v>
      </c>
      <c r="K336" s="11">
        <v>-7.0000000000000007E-2</v>
      </c>
      <c r="L336" s="11">
        <v>0</v>
      </c>
      <c r="N336" s="11">
        <v>0</v>
      </c>
      <c r="O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AB336" s="11">
        <v>0</v>
      </c>
      <c r="AC336" s="11">
        <v>0</v>
      </c>
      <c r="AD336" s="10">
        <v>0</v>
      </c>
      <c r="AE336" s="11">
        <v>0</v>
      </c>
      <c r="AG336" s="11">
        <v>0</v>
      </c>
      <c r="AH336" s="11">
        <v>0</v>
      </c>
      <c r="AI336" s="11">
        <v>-0.2</v>
      </c>
      <c r="AJ336" s="11">
        <v>0</v>
      </c>
    </row>
    <row r="337" spans="4:36">
      <c r="D337" s="10">
        <v>47239</v>
      </c>
      <c r="E337" s="11">
        <v>5.7707658734958298E-2</v>
      </c>
      <c r="H337" s="11">
        <v>0</v>
      </c>
      <c r="I337" s="11">
        <v>0</v>
      </c>
      <c r="K337" s="11">
        <v>-7.0000000000000007E-2</v>
      </c>
      <c r="L337" s="11">
        <v>0</v>
      </c>
      <c r="N337" s="11">
        <v>0</v>
      </c>
      <c r="O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AB337" s="11">
        <v>0</v>
      </c>
      <c r="AC337" s="11">
        <v>0</v>
      </c>
      <c r="AD337" s="10">
        <v>0</v>
      </c>
      <c r="AE337" s="11">
        <v>0</v>
      </c>
      <c r="AG337" s="11">
        <v>0</v>
      </c>
      <c r="AH337" s="11">
        <v>0</v>
      </c>
      <c r="AI337" s="11">
        <v>-0.2</v>
      </c>
      <c r="AJ337" s="11">
        <v>0</v>
      </c>
    </row>
    <row r="338" spans="4:36">
      <c r="D338" s="10">
        <v>47270</v>
      </c>
      <c r="E338" s="11">
        <v>5.7710046631501498E-2</v>
      </c>
      <c r="H338" s="11">
        <v>0</v>
      </c>
      <c r="I338" s="11">
        <v>0</v>
      </c>
      <c r="K338" s="11">
        <v>-7.0000000000000007E-2</v>
      </c>
      <c r="L338" s="11">
        <v>0</v>
      </c>
      <c r="N338" s="11">
        <v>0</v>
      </c>
      <c r="O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AB338" s="11">
        <v>0</v>
      </c>
      <c r="AC338" s="11">
        <v>0</v>
      </c>
      <c r="AD338" s="10">
        <v>0</v>
      </c>
      <c r="AE338" s="11">
        <v>0</v>
      </c>
      <c r="AG338" s="11">
        <v>0</v>
      </c>
      <c r="AH338" s="11">
        <v>0</v>
      </c>
      <c r="AI338" s="11">
        <v>-0.2</v>
      </c>
      <c r="AJ338" s="11">
        <v>0</v>
      </c>
    </row>
    <row r="339" spans="4:36">
      <c r="D339" s="10">
        <v>47300</v>
      </c>
      <c r="E339" s="11">
        <v>5.7712357499125802E-2</v>
      </c>
      <c r="H339" s="11">
        <v>0</v>
      </c>
      <c r="I339" s="11">
        <v>0</v>
      </c>
      <c r="K339" s="11">
        <v>-7.0000000000000007E-2</v>
      </c>
      <c r="L339" s="11">
        <v>0</v>
      </c>
      <c r="N339" s="11">
        <v>0</v>
      </c>
      <c r="O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AB339" s="11">
        <v>0</v>
      </c>
      <c r="AC339" s="11">
        <v>0</v>
      </c>
      <c r="AD339" s="10">
        <v>0</v>
      </c>
      <c r="AE339" s="11">
        <v>0</v>
      </c>
      <c r="AG339" s="11">
        <v>0</v>
      </c>
      <c r="AH339" s="11">
        <v>0</v>
      </c>
      <c r="AI339" s="11">
        <v>-0.2</v>
      </c>
      <c r="AJ339" s="11">
        <v>0</v>
      </c>
    </row>
    <row r="340" spans="4:36">
      <c r="D340" s="10">
        <v>47331</v>
      </c>
      <c r="E340" s="11">
        <v>5.7714745395672999E-2</v>
      </c>
      <c r="H340" s="11">
        <v>0</v>
      </c>
      <c r="I340" s="11">
        <v>0</v>
      </c>
      <c r="K340" s="11">
        <v>-7.0000000000000007E-2</v>
      </c>
      <c r="L340" s="11">
        <v>0</v>
      </c>
      <c r="N340" s="11">
        <v>0</v>
      </c>
      <c r="O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AB340" s="11">
        <v>0</v>
      </c>
      <c r="AC340" s="11">
        <v>0</v>
      </c>
      <c r="AD340" s="10">
        <v>0</v>
      </c>
      <c r="AE340" s="11">
        <v>0</v>
      </c>
      <c r="AG340" s="11">
        <v>0</v>
      </c>
      <c r="AH340" s="11">
        <v>0</v>
      </c>
      <c r="AI340" s="11">
        <v>-0.2</v>
      </c>
      <c r="AJ340" s="11">
        <v>0</v>
      </c>
    </row>
    <row r="341" spans="4:36">
      <c r="D341" s="10">
        <v>47362</v>
      </c>
      <c r="E341" s="11">
        <v>5.7717133292221903E-2</v>
      </c>
      <c r="H341" s="11">
        <v>0</v>
      </c>
      <c r="I341" s="11">
        <v>0</v>
      </c>
      <c r="K341" s="11">
        <v>-7.0000000000000007E-2</v>
      </c>
      <c r="L341" s="11">
        <v>0</v>
      </c>
      <c r="N341" s="11">
        <v>0</v>
      </c>
      <c r="O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AB341" s="11">
        <v>0</v>
      </c>
      <c r="AC341" s="11">
        <v>0</v>
      </c>
      <c r="AD341" s="10">
        <v>0</v>
      </c>
      <c r="AE341" s="11">
        <v>0</v>
      </c>
      <c r="AG341" s="11">
        <v>0</v>
      </c>
      <c r="AH341" s="11">
        <v>0</v>
      </c>
      <c r="AI341" s="11">
        <v>-0.2</v>
      </c>
      <c r="AJ341" s="11">
        <v>0</v>
      </c>
    </row>
    <row r="342" spans="4:36">
      <c r="D342" s="10">
        <v>47392</v>
      </c>
      <c r="E342" s="11">
        <v>5.7719444159852099E-2</v>
      </c>
      <c r="H342" s="11">
        <v>0</v>
      </c>
      <c r="I342" s="11">
        <v>0</v>
      </c>
      <c r="K342" s="11">
        <v>-7.0000000000000007E-2</v>
      </c>
      <c r="L342" s="11">
        <v>0</v>
      </c>
      <c r="N342" s="11">
        <v>0</v>
      </c>
      <c r="O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AB342" s="11">
        <v>0</v>
      </c>
      <c r="AC342" s="11">
        <v>0</v>
      </c>
      <c r="AD342" s="10">
        <v>0</v>
      </c>
      <c r="AE342" s="11">
        <v>0</v>
      </c>
      <c r="AG342" s="11">
        <v>0</v>
      </c>
      <c r="AH342" s="11">
        <v>0</v>
      </c>
      <c r="AI342" s="11">
        <v>-0.2</v>
      </c>
      <c r="AJ342" s="11">
        <v>0</v>
      </c>
    </row>
    <row r="343" spans="4:36">
      <c r="D343" s="10">
        <v>47423</v>
      </c>
      <c r="E343" s="11">
        <v>5.7721832056404999E-2</v>
      </c>
      <c r="H343" s="11">
        <v>0</v>
      </c>
      <c r="I343" s="11">
        <v>0</v>
      </c>
      <c r="K343" s="11">
        <v>-7.0000000000000007E-2</v>
      </c>
      <c r="L343" s="11">
        <v>0</v>
      </c>
      <c r="N343" s="11">
        <v>0</v>
      </c>
      <c r="O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AB343" s="11">
        <v>0</v>
      </c>
      <c r="AC343" s="11">
        <v>0</v>
      </c>
      <c r="AD343" s="10">
        <v>0</v>
      </c>
      <c r="AE343" s="11">
        <v>0</v>
      </c>
      <c r="AG343" s="11">
        <v>0</v>
      </c>
      <c r="AH343" s="11">
        <v>0</v>
      </c>
      <c r="AI343" s="11">
        <v>-0.2</v>
      </c>
      <c r="AJ343" s="11">
        <v>0</v>
      </c>
    </row>
    <row r="344" spans="4:36">
      <c r="D344" s="10">
        <v>47453</v>
      </c>
      <c r="E344" s="11">
        <v>5.7724142924038303E-2</v>
      </c>
      <c r="H344" s="11">
        <v>0</v>
      </c>
      <c r="I344" s="11">
        <v>0</v>
      </c>
      <c r="K344" s="11">
        <v>-7.0000000000000007E-2</v>
      </c>
      <c r="L344" s="11">
        <v>0</v>
      </c>
      <c r="N344" s="11">
        <v>0</v>
      </c>
      <c r="O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AB344" s="11">
        <v>0</v>
      </c>
      <c r="AC344" s="11">
        <v>0</v>
      </c>
      <c r="AD344" s="10">
        <v>0</v>
      </c>
      <c r="AE344" s="11">
        <v>0</v>
      </c>
      <c r="AG344" s="11">
        <v>0</v>
      </c>
      <c r="AH344" s="11">
        <v>0</v>
      </c>
      <c r="AI344" s="11">
        <v>-0.2</v>
      </c>
      <c r="AJ344" s="11">
        <v>0</v>
      </c>
    </row>
    <row r="345" spans="4:36">
      <c r="D345" s="10">
        <v>47484</v>
      </c>
      <c r="E345" s="11">
        <v>5.7726530820594799E-2</v>
      </c>
    </row>
    <row r="346" spans="4:36">
      <c r="D346" s="10">
        <v>47515</v>
      </c>
      <c r="E346" s="11">
        <v>5.7728918717153001E-2</v>
      </c>
    </row>
    <row r="347" spans="4:36">
      <c r="D347" s="10">
        <v>47543</v>
      </c>
      <c r="E347" s="11">
        <v>5.7731075526949602E-2</v>
      </c>
    </row>
    <row r="348" spans="4:36">
      <c r="D348" s="10">
        <v>47574</v>
      </c>
      <c r="E348" s="11">
        <v>5.7733463423511801E-2</v>
      </c>
    </row>
    <row r="349" spans="4:36">
      <c r="D349" s="10">
        <v>47604</v>
      </c>
      <c r="E349" s="11">
        <v>5.7735774291154E-2</v>
      </c>
    </row>
    <row r="350" spans="4:36">
      <c r="D350" s="10">
        <v>47635</v>
      </c>
      <c r="E350" s="11">
        <v>5.7738162187719801E-2</v>
      </c>
    </row>
    <row r="351" spans="4:36">
      <c r="D351" s="10">
        <v>47665</v>
      </c>
      <c r="E351" s="11">
        <v>5.77404730553659E-2</v>
      </c>
    </row>
    <row r="352" spans="4:36">
      <c r="D352" s="10">
        <v>47696</v>
      </c>
      <c r="E352" s="11">
        <v>5.7742860951935301E-2</v>
      </c>
    </row>
    <row r="353" spans="4:5">
      <c r="D353" s="10">
        <v>47727</v>
      </c>
      <c r="E353" s="11">
        <v>5.7745248848506799E-2</v>
      </c>
    </row>
    <row r="354" spans="4:5">
      <c r="D354" s="10">
        <v>47757</v>
      </c>
      <c r="E354" s="11">
        <v>5.7747559716158303E-2</v>
      </c>
    </row>
    <row r="355" spans="4:5">
      <c r="D355" s="10">
        <v>47788</v>
      </c>
      <c r="E355" s="11">
        <v>5.7749947612733402E-2</v>
      </c>
    </row>
    <row r="356" spans="4:5">
      <c r="D356" s="10">
        <v>47818</v>
      </c>
      <c r="E356" s="11">
        <v>5.7752258480388403E-2</v>
      </c>
    </row>
    <row r="357" spans="4:5">
      <c r="D357" s="10">
        <v>47849</v>
      </c>
      <c r="E357" s="11">
        <v>5.7754646376967103E-2</v>
      </c>
    </row>
    <row r="358" spans="4:5">
      <c r="D358" s="10">
        <v>47880</v>
      </c>
      <c r="E358" s="11">
        <v>5.7757034273548502E-2</v>
      </c>
    </row>
    <row r="359" spans="4:5">
      <c r="D359" s="10">
        <v>47908</v>
      </c>
      <c r="E359" s="11">
        <v>5.7759191083364601E-2</v>
      </c>
    </row>
    <row r="360" spans="4:5">
      <c r="D360" s="10">
        <v>47939</v>
      </c>
      <c r="E360" s="11">
        <v>5.7761578979948998E-2</v>
      </c>
    </row>
    <row r="361" spans="4:5">
      <c r="D361" s="10">
        <v>47969</v>
      </c>
      <c r="E361" s="11">
        <v>5.7763889847613402E-2</v>
      </c>
    </row>
    <row r="362" spans="4:5">
      <c r="D362" s="10">
        <v>48000</v>
      </c>
      <c r="E362" s="11">
        <v>5.77662777442014E-2</v>
      </c>
    </row>
    <row r="363" spans="4:5">
      <c r="D363" s="10">
        <v>48030</v>
      </c>
      <c r="E363" s="11">
        <v>5.7768588611868801E-2</v>
      </c>
    </row>
    <row r="364" spans="4:5">
      <c r="D364" s="10">
        <v>48061</v>
      </c>
      <c r="E364" s="11">
        <v>5.77709765084604E-2</v>
      </c>
    </row>
    <row r="365" spans="4:5">
      <c r="D365" s="10">
        <v>48092</v>
      </c>
      <c r="E365" s="11">
        <v>5.7773364405054602E-2</v>
      </c>
    </row>
    <row r="366" spans="4:5">
      <c r="D366" s="10">
        <v>48122</v>
      </c>
      <c r="E366" s="11">
        <v>5.7775675272727402E-2</v>
      </c>
    </row>
    <row r="367" spans="4:5">
      <c r="D367" s="10">
        <v>48153</v>
      </c>
      <c r="E367" s="11">
        <v>5.7778063169324802E-2</v>
      </c>
    </row>
    <row r="8019" hidden="1"/>
  </sheetData>
  <phoneticPr fontId="0" type="noConversion"/>
  <pageMargins left="0.2" right="0.23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Collar</vt:lpstr>
      <vt:lpstr>Payout_Diagram</vt:lpstr>
      <vt:lpstr>Control</vt:lpstr>
      <vt:lpstr>Sheet1</vt:lpstr>
      <vt:lpstr>Model</vt:lpstr>
      <vt:lpstr>CurveFetch</vt:lpstr>
      <vt:lpstr>Comp_Per</vt:lpstr>
      <vt:lpstr>Cost_of_Funds</vt:lpstr>
      <vt:lpstr>Count</vt:lpstr>
      <vt:lpstr>curve_date</vt:lpstr>
      <vt:lpstr>Curve_Fetch</vt:lpstr>
      <vt:lpstr>CurveCode</vt:lpstr>
      <vt:lpstr>CurvePrices</vt:lpstr>
      <vt:lpstr>CurveTable</vt:lpstr>
      <vt:lpstr>CurveType</vt:lpstr>
      <vt:lpstr>date</vt:lpstr>
      <vt:lpstr>Days_in_Year</vt:lpstr>
      <vt:lpstr>Dump</vt:lpstr>
      <vt:lpstr>EffectiveDate</vt:lpstr>
      <vt:lpstr>CurveFetch!Holiday</vt:lpstr>
      <vt:lpstr>Holidays</vt:lpstr>
      <vt:lpstr>Month</vt:lpstr>
      <vt:lpstr>Control!Print_Area</vt:lpstr>
      <vt:lpstr>CurveFetch!Print_Area</vt:lpstr>
      <vt:lpstr>Payout_Diagram!Print_Area</vt:lpstr>
      <vt:lpstr>RiskType</vt:lpstr>
      <vt:lpstr>Val_Date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2001-11-05T19:56:06Z</cp:lastPrinted>
  <dcterms:created xsi:type="dcterms:W3CDTF">2000-04-03T16:12:31Z</dcterms:created>
  <dcterms:modified xsi:type="dcterms:W3CDTF">2023-09-11T19:08:38Z</dcterms:modified>
</cp:coreProperties>
</file>