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8305DB48-F9DB-4498-88A1-8D3148DE37C9}" xr6:coauthVersionLast="47" xr6:coauthVersionMax="47" xr10:uidLastSave="{00000000-0000-0000-0000-000000000000}"/>
  <bookViews>
    <workbookView xWindow="-120" yWindow="-120" windowWidth="38640" windowHeight="15720"/>
  </bookViews>
  <sheets>
    <sheet name="Summary" sheetId="1" r:id="rId1"/>
    <sheet name="Work Summary" sheetId="2" r:id="rId2"/>
    <sheet name="Exclusion Summary" sheetId="3" r:id="rId3"/>
    <sheet name="Schedule 1" sheetId="4" r:id="rId4"/>
    <sheet name="Schedule 1 (L)" sheetId="5" r:id="rId5"/>
    <sheet name="Schedule 1 (C)" sheetId="6" r:id="rId6"/>
    <sheet name="Schedule 2" sheetId="7" r:id="rId7"/>
    <sheet name="Schedule 3" sheetId="8" r:id="rId8"/>
    <sheet name="Schedule 3 (Materials)" sheetId="9" r:id="rId9"/>
    <sheet name="Schedule 3 (L-Office)" sheetId="10" r:id="rId10"/>
    <sheet name="Schedule 3 (L-Start)" sheetId="11" r:id="rId11"/>
    <sheet name="Sche 3 (L-Craft, By Trade)" sheetId="12" r:id="rId12"/>
    <sheet name="Schedule 4" sheetId="13" r:id="rId13"/>
    <sheet name="Schedule 5" sheetId="14" r:id="rId14"/>
    <sheet name="Schedule 1 (L-Men) " sheetId="15" r:id="rId15"/>
  </sheets>
  <definedNames>
    <definedName name="_xlnm.Print_Area" localSheetId="11">'Sche 3 (L-Craft, By Trade)'!$1:$1048576</definedName>
    <definedName name="_xlnm.Print_Area" localSheetId="4">'Schedule 1 (L)'!$1:$1048576</definedName>
    <definedName name="_xlnm.Print_Area" localSheetId="14">'Schedule 1 (L-Men) '!$1:$1048576</definedName>
    <definedName name="_xlnm.Print_Area" localSheetId="6">'Schedule 2'!$1:$1048576</definedName>
    <definedName name="_xlnm.Print_Area" localSheetId="0">Summary!$1:$1048576</definedName>
    <definedName name="_xlnm.Print_Titles" localSheetId="2">'Exclusion Summary'!$6:$6</definedName>
    <definedName name="_xlnm.Print_Titles" localSheetId="11">'Sche 3 (L-Craft, By Trade)'!$A:$A,'Sche 3 (L-Craft, By Trade)'!$1:$3</definedName>
    <definedName name="_xlnm.Print_Titles" localSheetId="3">'Schedule 1'!$1:$3</definedName>
    <definedName name="_xlnm.Print_Titles" localSheetId="6">'Schedule 2'!$1:$3</definedName>
    <definedName name="_xlnm.Print_Titles" localSheetId="7">'Schedule 3'!$1:$3</definedName>
    <definedName name="_xlnm.Print_Titles" localSheetId="9">'Schedule 3 (L-Office)'!$1:$4</definedName>
    <definedName name="_xlnm.Print_Titles" localSheetId="10">'Schedule 3 (L-Start)'!$1:$4</definedName>
    <definedName name="_xlnm.Print_Titles" localSheetId="8">'Schedule 3 (Materials)'!$1:$4</definedName>
    <definedName name="_xlnm.Print_Titles" localSheetId="12">'Schedule 4'!$1:$4</definedName>
    <definedName name="_xlnm.Print_Titles" localSheetId="13">'Schedule 5'!$1:$3</definedName>
    <definedName name="_xlnm.Print_Titles" localSheetId="1">'Work Summary'!$1:$3</definedName>
  </definedNames>
  <calcPr calcId="0" fullCalcOnLoad="1"/>
</workbook>
</file>

<file path=xl/calcChain.xml><?xml version="1.0" encoding="utf-8"?>
<calcChain xmlns="http://schemas.openxmlformats.org/spreadsheetml/2006/main">
  <c r="K7" i="3" l="1"/>
  <c r="N7" i="3"/>
  <c r="L8" i="3"/>
  <c r="M8" i="3"/>
  <c r="I9" i="3"/>
  <c r="K10" i="3"/>
  <c r="N10" i="3"/>
  <c r="M11" i="3"/>
  <c r="K12" i="3"/>
  <c r="M12" i="3"/>
  <c r="N12" i="3"/>
  <c r="K14" i="3"/>
  <c r="N14" i="3"/>
  <c r="M15" i="3"/>
  <c r="K17" i="3"/>
  <c r="M17" i="3"/>
  <c r="N17" i="3"/>
  <c r="K19" i="3"/>
  <c r="M19" i="3"/>
  <c r="N19" i="3"/>
  <c r="K23" i="3"/>
  <c r="M23" i="3"/>
  <c r="N23" i="3"/>
  <c r="K25" i="3"/>
  <c r="L25" i="3"/>
  <c r="M25" i="3"/>
  <c r="N25" i="3"/>
  <c r="M27" i="3"/>
  <c r="N27" i="3"/>
  <c r="K29" i="3"/>
  <c r="N29" i="3"/>
  <c r="L30" i="3"/>
  <c r="M30" i="3"/>
  <c r="K31" i="3"/>
  <c r="N31" i="3"/>
  <c r="L33" i="3"/>
  <c r="M33" i="3"/>
  <c r="K34" i="3"/>
  <c r="M34" i="3"/>
  <c r="N34" i="3"/>
  <c r="K36" i="3"/>
  <c r="N36" i="3"/>
  <c r="L38" i="3"/>
  <c r="M38" i="3"/>
  <c r="K39" i="3"/>
  <c r="M39" i="3"/>
  <c r="N39" i="3"/>
  <c r="K40" i="3"/>
  <c r="M40" i="3"/>
  <c r="N40" i="3"/>
  <c r="K42" i="3"/>
  <c r="N42" i="3"/>
  <c r="L43" i="3"/>
  <c r="M43" i="3"/>
  <c r="K44" i="3"/>
  <c r="M44" i="3"/>
  <c r="N44" i="3"/>
  <c r="K45" i="3"/>
  <c r="M45" i="3"/>
  <c r="N45" i="3"/>
  <c r="K46" i="3"/>
  <c r="M46" i="3"/>
  <c r="N46" i="3"/>
  <c r="K47" i="3"/>
  <c r="M47" i="3"/>
  <c r="N47" i="3"/>
  <c r="K49" i="3"/>
  <c r="L49" i="3"/>
  <c r="M49" i="3"/>
  <c r="N49" i="3"/>
  <c r="M50" i="3"/>
  <c r="K4" i="12"/>
  <c r="AD4" i="12"/>
  <c r="BD4" i="12"/>
  <c r="BR4" i="12"/>
  <c r="BS4" i="12"/>
  <c r="D5" i="12"/>
  <c r="K5" i="12"/>
  <c r="S5" i="12"/>
  <c r="AD5" i="12"/>
  <c r="AU5" i="12"/>
  <c r="BD5" i="12"/>
  <c r="BR5" i="12"/>
  <c r="BS5" i="12"/>
  <c r="D6" i="12"/>
  <c r="S6" i="12"/>
  <c r="AU6" i="12"/>
  <c r="BD6" i="12"/>
  <c r="BR6" i="12"/>
  <c r="BS6" i="12"/>
  <c r="D7" i="12"/>
  <c r="K7" i="12"/>
  <c r="S7" i="12"/>
  <c r="AU7" i="12"/>
  <c r="BD7" i="12"/>
  <c r="BR7" i="12"/>
  <c r="BS7" i="12"/>
  <c r="D8" i="12"/>
  <c r="K8" i="12"/>
  <c r="AD8" i="12"/>
  <c r="AU8" i="12"/>
  <c r="BD8" i="12"/>
  <c r="BR8" i="12"/>
  <c r="BS8" i="12"/>
  <c r="D9" i="12"/>
  <c r="K9" i="12"/>
  <c r="S9" i="12"/>
  <c r="AD9" i="12"/>
  <c r="AU9" i="12"/>
  <c r="BD9" i="12"/>
  <c r="BR9" i="12"/>
  <c r="BS9" i="12"/>
  <c r="D10" i="12"/>
  <c r="K10" i="12"/>
  <c r="S10" i="12"/>
  <c r="AD10" i="12"/>
  <c r="AU10" i="12"/>
  <c r="AX10" i="12"/>
  <c r="BD10" i="12"/>
  <c r="BR10" i="12"/>
  <c r="BS10" i="12"/>
  <c r="D11" i="12"/>
  <c r="K11" i="12"/>
  <c r="S11" i="12"/>
  <c r="AU11" i="12"/>
  <c r="AX11" i="12"/>
  <c r="BD11" i="12"/>
  <c r="BR11" i="12"/>
  <c r="BS11" i="12"/>
  <c r="D12" i="12"/>
  <c r="K12" i="12"/>
  <c r="S12" i="12"/>
  <c r="AU12" i="12"/>
  <c r="AX12" i="12"/>
  <c r="BD12" i="12"/>
  <c r="BR12" i="12"/>
  <c r="BS12" i="12"/>
  <c r="D13" i="12"/>
  <c r="K13" i="12"/>
  <c r="AU13" i="12"/>
  <c r="AX13" i="12"/>
  <c r="BD13" i="12"/>
  <c r="BR13" i="12"/>
  <c r="BS13" i="12"/>
  <c r="BT13" i="12"/>
  <c r="D14" i="12"/>
  <c r="K14" i="12"/>
  <c r="AU14" i="12"/>
  <c r="AX14" i="12"/>
  <c r="BD14" i="12"/>
  <c r="BR14" i="12"/>
  <c r="BS14" i="12"/>
  <c r="K15" i="12"/>
  <c r="AD15" i="12"/>
  <c r="AU15" i="12"/>
  <c r="AX15" i="12"/>
  <c r="BD15" i="12"/>
  <c r="BR15" i="12"/>
  <c r="BS15" i="12"/>
  <c r="K16" i="12"/>
  <c r="AU16" i="12"/>
  <c r="AX16" i="12"/>
  <c r="BD16" i="12"/>
  <c r="BR16" i="12"/>
  <c r="BS16" i="12"/>
  <c r="D17" i="12"/>
  <c r="K17" i="12"/>
  <c r="AD17" i="12"/>
  <c r="AU17" i="12"/>
  <c r="AX17" i="12"/>
  <c r="BD17" i="12"/>
  <c r="BP17" i="12"/>
  <c r="BR17" i="12"/>
  <c r="BS17" i="12"/>
  <c r="D18" i="12"/>
  <c r="K18" i="12"/>
  <c r="AD18" i="12"/>
  <c r="AU18" i="12"/>
  <c r="AX18" i="12"/>
  <c r="BD18" i="12"/>
  <c r="BR18" i="12"/>
  <c r="BS18" i="12"/>
  <c r="D19" i="12"/>
  <c r="K19" i="12"/>
  <c r="AD19" i="12"/>
  <c r="AU19" i="12"/>
  <c r="AX19" i="12"/>
  <c r="BD19" i="12"/>
  <c r="BR19" i="12"/>
  <c r="BS19" i="12"/>
  <c r="D20" i="12"/>
  <c r="K20" i="12"/>
  <c r="AU20" i="12"/>
  <c r="BD20" i="12"/>
  <c r="BR20" i="12"/>
  <c r="BS20" i="12"/>
  <c r="D21" i="12"/>
  <c r="K21" i="12"/>
  <c r="AU21" i="12"/>
  <c r="BD21" i="12"/>
  <c r="BR21" i="12"/>
  <c r="BS21" i="12"/>
  <c r="D22" i="12"/>
  <c r="K22" i="12"/>
  <c r="AU22" i="12"/>
  <c r="AX22" i="12"/>
  <c r="BD22" i="12"/>
  <c r="BR22" i="12"/>
  <c r="BS22" i="12"/>
  <c r="D23" i="12"/>
  <c r="S23" i="12"/>
  <c r="AU23" i="12"/>
  <c r="AX23" i="12"/>
  <c r="BD23" i="12"/>
  <c r="BR23" i="12"/>
  <c r="BS23" i="12"/>
  <c r="D24" i="12"/>
  <c r="K24" i="12"/>
  <c r="S24" i="12"/>
  <c r="AU24" i="12"/>
  <c r="AX24" i="12"/>
  <c r="BD24" i="12"/>
  <c r="BR24" i="12"/>
  <c r="BS24" i="12"/>
  <c r="D25" i="12"/>
  <c r="K25" i="12"/>
  <c r="S25" i="12"/>
  <c r="AU25" i="12"/>
  <c r="BD25" i="12"/>
  <c r="BR25" i="12"/>
  <c r="BS25" i="12"/>
  <c r="D26" i="12"/>
  <c r="K26" i="12"/>
  <c r="S26" i="12"/>
  <c r="AU26" i="12"/>
  <c r="BD26" i="12"/>
  <c r="BR26" i="12"/>
  <c r="BS26" i="12"/>
  <c r="D27" i="12"/>
  <c r="AU27" i="12"/>
  <c r="AX27" i="12"/>
  <c r="BD27" i="12"/>
  <c r="BR27" i="12"/>
  <c r="BS27" i="12"/>
  <c r="D28" i="12"/>
  <c r="AU28" i="12"/>
  <c r="BD28" i="12"/>
  <c r="BR28" i="12"/>
  <c r="BS28" i="12"/>
  <c r="D29" i="12"/>
  <c r="S29" i="12"/>
  <c r="AU29" i="12"/>
  <c r="AX29" i="12"/>
  <c r="BD29" i="12"/>
  <c r="BR29" i="12"/>
  <c r="BS29" i="12"/>
  <c r="D30" i="12"/>
  <c r="K30" i="12"/>
  <c r="AU30" i="12"/>
  <c r="BD30" i="12"/>
  <c r="BH30" i="12"/>
  <c r="BL30" i="12"/>
  <c r="BR30" i="12"/>
  <c r="BS30" i="12"/>
  <c r="D31" i="12"/>
  <c r="AD31" i="12"/>
  <c r="AU31" i="12"/>
  <c r="BD31" i="12"/>
  <c r="BH31" i="12"/>
  <c r="BL31" i="12"/>
  <c r="BR31" i="12"/>
  <c r="BS31" i="12"/>
  <c r="D32" i="12"/>
  <c r="S32" i="12"/>
  <c r="AD32" i="12"/>
  <c r="AU32" i="12"/>
  <c r="BD32" i="12"/>
  <c r="BH32" i="12"/>
  <c r="BL32" i="12"/>
  <c r="BR32" i="12"/>
  <c r="BS32" i="12"/>
  <c r="D33" i="12"/>
  <c r="AD33" i="12"/>
  <c r="AU33" i="12"/>
  <c r="BD33" i="12"/>
  <c r="BH33" i="12"/>
  <c r="BL33" i="12"/>
  <c r="BR33" i="12"/>
  <c r="BS33" i="12"/>
  <c r="D34" i="12"/>
  <c r="AD34" i="12"/>
  <c r="AU34" i="12"/>
  <c r="AX34" i="12"/>
  <c r="BD34" i="12"/>
  <c r="BH34" i="12"/>
  <c r="BL34" i="12"/>
  <c r="BR34" i="12"/>
  <c r="BS34" i="12"/>
  <c r="D35" i="12"/>
  <c r="S35" i="12"/>
  <c r="AD35" i="12"/>
  <c r="AU35" i="12"/>
  <c r="AX35" i="12"/>
  <c r="BD35" i="12"/>
  <c r="BH35" i="12"/>
  <c r="BR35" i="12"/>
  <c r="BS35" i="12"/>
  <c r="D36" i="12"/>
  <c r="K36" i="12"/>
  <c r="S36" i="12"/>
  <c r="AD36" i="12"/>
  <c r="AU36" i="12"/>
  <c r="AX36" i="12"/>
  <c r="BD36" i="12"/>
  <c r="BH36" i="12"/>
  <c r="BR36" i="12"/>
  <c r="BS36" i="12"/>
  <c r="K37" i="12"/>
  <c r="S37" i="12"/>
  <c r="AD37" i="12"/>
  <c r="AU37" i="12"/>
  <c r="AX37" i="12"/>
  <c r="BD37" i="12"/>
  <c r="BH37" i="12"/>
  <c r="BL37" i="12"/>
  <c r="BP37" i="12"/>
  <c r="BR37" i="12"/>
  <c r="BS37" i="12"/>
  <c r="K38" i="12"/>
  <c r="S38" i="12"/>
  <c r="AD38" i="12"/>
  <c r="AU38" i="12"/>
  <c r="AX38" i="12"/>
  <c r="BD38" i="12"/>
  <c r="BH38" i="12"/>
  <c r="BL38" i="12"/>
  <c r="BR38" i="12"/>
  <c r="BS38" i="12"/>
  <c r="S39" i="12"/>
  <c r="AD39" i="12"/>
  <c r="AU39" i="12"/>
  <c r="AX39" i="12"/>
  <c r="BD39" i="12"/>
  <c r="BH39" i="12"/>
  <c r="BL39" i="12"/>
  <c r="BR39" i="12"/>
  <c r="BS39" i="12"/>
  <c r="K40" i="12"/>
  <c r="S40" i="12"/>
  <c r="AD40" i="12"/>
  <c r="AU40" i="12"/>
  <c r="AX40" i="12"/>
  <c r="BD40" i="12"/>
  <c r="BH40" i="12"/>
  <c r="BL40" i="12"/>
  <c r="BR40" i="12"/>
  <c r="BS40" i="12"/>
  <c r="AD41" i="12"/>
  <c r="AU41" i="12"/>
  <c r="AX41" i="12"/>
  <c r="BD41" i="12"/>
  <c r="BH41" i="12"/>
  <c r="BL41" i="12"/>
  <c r="BR41" i="12"/>
  <c r="BS41" i="12"/>
  <c r="K42" i="12"/>
  <c r="S42" i="12"/>
  <c r="AD42" i="12"/>
  <c r="AU42" i="12"/>
  <c r="AX42" i="12"/>
  <c r="BD42" i="12"/>
  <c r="BH42" i="12"/>
  <c r="BR42" i="12"/>
  <c r="BS42" i="12"/>
  <c r="AD43" i="12"/>
  <c r="AU43" i="12"/>
  <c r="AX43" i="12"/>
  <c r="BR43" i="12"/>
  <c r="BS43" i="12"/>
  <c r="BT43" i="12"/>
  <c r="BR45" i="12"/>
  <c r="BS45" i="12"/>
  <c r="B46"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S47" i="12"/>
  <c r="D48" i="12"/>
  <c r="K48" i="12"/>
  <c r="S48" i="12"/>
  <c r="AD48" i="12"/>
  <c r="AU48" i="12"/>
  <c r="AX48" i="12"/>
  <c r="BD48" i="12"/>
  <c r="BH48" i="12"/>
  <c r="BI48" i="12"/>
  <c r="BL48" i="12"/>
  <c r="BP48" i="12"/>
  <c r="BQ48" i="12"/>
  <c r="BR48" i="12"/>
  <c r="K49" i="12"/>
  <c r="S49" i="12"/>
  <c r="AD49" i="12"/>
  <c r="AU49" i="12"/>
  <c r="AX49" i="12"/>
  <c r="BD49" i="12"/>
  <c r="BR49" i="12"/>
  <c r="BR50" i="12"/>
  <c r="BR51" i="12"/>
  <c r="S52" i="12"/>
  <c r="AD52" i="12"/>
  <c r="AU52" i="12"/>
  <c r="AX52" i="12"/>
  <c r="BD52" i="12"/>
  <c r="BH52" i="12"/>
  <c r="BL52" i="12"/>
  <c r="BR52" i="12"/>
  <c r="K53" i="12"/>
  <c r="AD53" i="12"/>
  <c r="AU53" i="12"/>
  <c r="AX53" i="12"/>
  <c r="BD53" i="12"/>
  <c r="BL53" i="12"/>
  <c r="BR53" i="12"/>
  <c r="K54" i="12"/>
  <c r="S54" i="12"/>
  <c r="AD54" i="12"/>
  <c r="AU54" i="12"/>
  <c r="BD54" i="12"/>
  <c r="BH54" i="12"/>
  <c r="BL54" i="12"/>
  <c r="BR54" i="12"/>
  <c r="S55" i="12"/>
  <c r="AD55" i="12"/>
  <c r="AU55" i="12"/>
  <c r="BD55" i="12"/>
  <c r="BH55" i="12"/>
  <c r="BR55" i="12"/>
  <c r="AU56" i="12"/>
  <c r="BD56" i="12"/>
  <c r="BR56" i="12"/>
  <c r="K57" i="12"/>
  <c r="AD57" i="12"/>
  <c r="AU57" i="12"/>
  <c r="BD57" i="12"/>
  <c r="BR57" i="12"/>
  <c r="K58" i="12"/>
  <c r="S58" i="12"/>
  <c r="AD58" i="12"/>
  <c r="AU58" i="12"/>
  <c r="BD58" i="12"/>
  <c r="BH58" i="12"/>
  <c r="BL58" i="12"/>
  <c r="BP58" i="12"/>
  <c r="BR58" i="12"/>
  <c r="K59" i="12"/>
  <c r="S59" i="12"/>
  <c r="AD59" i="12"/>
  <c r="AU59" i="12"/>
  <c r="BD59" i="12"/>
  <c r="BH59" i="12"/>
  <c r="BR59" i="12"/>
  <c r="K60" i="12"/>
  <c r="S60" i="12"/>
  <c r="AD60" i="12"/>
  <c r="AU60" i="12"/>
  <c r="BD60" i="12"/>
  <c r="BH60" i="12"/>
  <c r="BL60" i="12"/>
  <c r="BR60" i="12"/>
  <c r="K61" i="12"/>
  <c r="AD61" i="12"/>
  <c r="AU61" i="12"/>
  <c r="BD61" i="12"/>
  <c r="BH61" i="12"/>
  <c r="BR61" i="12"/>
  <c r="K62" i="12"/>
  <c r="AD62" i="12"/>
  <c r="AU62" i="12"/>
  <c r="BD62" i="12"/>
  <c r="BH62" i="12"/>
  <c r="BR62" i="12"/>
  <c r="AD63" i="12"/>
  <c r="AU63" i="12"/>
  <c r="BD63" i="12"/>
  <c r="BH63" i="12"/>
  <c r="BR63" i="12"/>
  <c r="BR64" i="12"/>
  <c r="AD65" i="12"/>
  <c r="AU65" i="12"/>
  <c r="BD65" i="12"/>
  <c r="BH65" i="12"/>
  <c r="BR65" i="12"/>
  <c r="AD66" i="12"/>
  <c r="AU66" i="12"/>
  <c r="BD66" i="12"/>
  <c r="BH66" i="12"/>
  <c r="BR66" i="12"/>
  <c r="AD67" i="12"/>
  <c r="AU67" i="12"/>
  <c r="BH67" i="12"/>
  <c r="BR67" i="12"/>
  <c r="AD68" i="12"/>
  <c r="AU68" i="12"/>
  <c r="BH68" i="12"/>
  <c r="BR68" i="12"/>
  <c r="BR69" i="12"/>
  <c r="BH70" i="12"/>
  <c r="BR70" i="12"/>
  <c r="BR71" i="12"/>
  <c r="AU72" i="12"/>
  <c r="BR72" i="12"/>
  <c r="BD73" i="12"/>
  <c r="BH73" i="12"/>
  <c r="BR73" i="12"/>
  <c r="BH74" i="12"/>
  <c r="BR74" i="12"/>
  <c r="BH75" i="12"/>
  <c r="BR75" i="12"/>
  <c r="BH76" i="12"/>
  <c r="BR76" i="12"/>
  <c r="BH77" i="12"/>
  <c r="BR77" i="12"/>
  <c r="BH78" i="12"/>
  <c r="BR78" i="12"/>
  <c r="D80" i="12"/>
  <c r="K80" i="12"/>
  <c r="S80" i="12"/>
  <c r="AD80" i="12"/>
  <c r="AU80" i="12"/>
  <c r="AX80" i="12"/>
  <c r="BD80" i="12"/>
  <c r="BH80" i="12"/>
  <c r="BI80" i="12"/>
  <c r="BL80" i="12"/>
  <c r="BP80" i="12"/>
  <c r="BQ80" i="12"/>
  <c r="BR80" i="12"/>
  <c r="BR81" i="12"/>
  <c r="BR82" i="12"/>
  <c r="BR83" i="12"/>
  <c r="BR87" i="12"/>
  <c r="BR89" i="12"/>
  <c r="BR90" i="12"/>
  <c r="BR91" i="12"/>
  <c r="BR95" i="12"/>
  <c r="BR96" i="12"/>
  <c r="BR97" i="12"/>
  <c r="BR100" i="12"/>
  <c r="BR101" i="12"/>
  <c r="BR104" i="12"/>
  <c r="BR105" i="12"/>
  <c r="BR107" i="12"/>
  <c r="BR108" i="12"/>
  <c r="BI109" i="12"/>
  <c r="BR109" i="12"/>
  <c r="I12" i="4"/>
  <c r="K12" i="4"/>
  <c r="K14" i="4"/>
  <c r="K15" i="4"/>
  <c r="I16" i="4"/>
  <c r="J17" i="4"/>
  <c r="L17" i="4"/>
  <c r="I24" i="4"/>
  <c r="K24" i="4"/>
  <c r="K26" i="4"/>
  <c r="J28" i="4"/>
  <c r="L28" i="4"/>
  <c r="K33" i="4"/>
  <c r="K34" i="4"/>
  <c r="K36" i="4"/>
  <c r="K42" i="4"/>
  <c r="L43" i="4"/>
  <c r="K44" i="4"/>
  <c r="L44" i="4"/>
  <c r="L46" i="4"/>
  <c r="K48" i="4"/>
  <c r="L48" i="4"/>
  <c r="J50" i="4"/>
  <c r="K50" i="4"/>
  <c r="L50" i="4"/>
  <c r="I52" i="4"/>
  <c r="J52" i="4"/>
  <c r="K52" i="4"/>
  <c r="L52" i="4"/>
  <c r="J10" i="6"/>
  <c r="L10" i="6"/>
  <c r="J11" i="6"/>
  <c r="L11" i="6"/>
  <c r="L13" i="6"/>
  <c r="L19" i="6"/>
  <c r="N21" i="6"/>
  <c r="L23" i="6"/>
  <c r="N23" i="6"/>
  <c r="I24" i="6"/>
  <c r="I26" i="6"/>
  <c r="J26" i="6"/>
  <c r="N29" i="6"/>
  <c r="L32" i="6"/>
  <c r="K34" i="6"/>
  <c r="L34" i="6"/>
  <c r="N34"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J63" i="6"/>
  <c r="L64" i="6"/>
  <c r="M64" i="6"/>
  <c r="L65" i="6"/>
  <c r="M65" i="6"/>
  <c r="L66" i="6"/>
  <c r="M66" i="6"/>
  <c r="L67" i="6"/>
  <c r="M67" i="6"/>
  <c r="L68" i="6"/>
  <c r="M68" i="6"/>
  <c r="L69" i="6"/>
  <c r="M69" i="6"/>
  <c r="L70" i="6"/>
  <c r="M70" i="6"/>
  <c r="J71" i="6"/>
  <c r="L72" i="6"/>
  <c r="M72" i="6"/>
  <c r="L73" i="6"/>
  <c r="M73" i="6"/>
  <c r="L74" i="6"/>
  <c r="M74" i="6"/>
  <c r="L75" i="6"/>
  <c r="M75" i="6"/>
  <c r="L76" i="6"/>
  <c r="M76" i="6"/>
  <c r="L77" i="6"/>
  <c r="M77" i="6"/>
  <c r="L78" i="6"/>
  <c r="M78" i="6"/>
  <c r="L79" i="6"/>
  <c r="M79" i="6"/>
  <c r="L80" i="6"/>
  <c r="M80" i="6"/>
  <c r="L81" i="6"/>
  <c r="M81" i="6"/>
  <c r="L82" i="6"/>
  <c r="M82" i="6"/>
  <c r="L83" i="6"/>
  <c r="M83" i="6"/>
  <c r="L84" i="6"/>
  <c r="M84" i="6"/>
  <c r="L85" i="6"/>
  <c r="M85" i="6"/>
  <c r="L86" i="6"/>
  <c r="M86" i="6"/>
  <c r="L87" i="6"/>
  <c r="M87" i="6"/>
  <c r="L88" i="6"/>
  <c r="M88" i="6"/>
  <c r="L89" i="6"/>
  <c r="M89" i="6"/>
  <c r="L90" i="6"/>
  <c r="M90" i="6"/>
  <c r="J91" i="6"/>
  <c r="L95" i="6"/>
  <c r="M95" i="6"/>
  <c r="N95" i="6"/>
  <c r="L98" i="6"/>
  <c r="M98" i="6"/>
  <c r="N98" i="6"/>
  <c r="L101" i="6"/>
  <c r="M101" i="6"/>
  <c r="N101" i="6"/>
  <c r="L104" i="6"/>
  <c r="M104" i="6"/>
  <c r="N104" i="6"/>
  <c r="L107" i="6"/>
  <c r="M107" i="6"/>
  <c r="J109" i="6"/>
  <c r="N109" i="6"/>
  <c r="L111" i="6"/>
  <c r="M111" i="6"/>
  <c r="N111" i="6"/>
  <c r="L114" i="6"/>
  <c r="M114" i="6"/>
  <c r="N114" i="6"/>
  <c r="L116" i="6"/>
  <c r="M116" i="6"/>
  <c r="N117" i="6"/>
  <c r="K118" i="6"/>
  <c r="L118" i="6"/>
  <c r="M118" i="6"/>
  <c r="N118" i="6"/>
  <c r="J119" i="6"/>
  <c r="K121" i="6"/>
  <c r="L121" i="6"/>
  <c r="M121" i="6"/>
  <c r="K122" i="6"/>
  <c r="L122" i="6"/>
  <c r="M122" i="6"/>
  <c r="K123" i="6"/>
  <c r="L123" i="6"/>
  <c r="M123" i="6"/>
  <c r="K124" i="6"/>
  <c r="L124" i="6"/>
  <c r="M124" i="6"/>
  <c r="K125" i="6"/>
  <c r="L125" i="6"/>
  <c r="M125" i="6"/>
  <c r="K127" i="6"/>
  <c r="L127" i="6"/>
  <c r="M127" i="6"/>
  <c r="K6" i="5"/>
  <c r="M6" i="5"/>
  <c r="P6" i="5"/>
  <c r="R6" i="5"/>
  <c r="T6" i="5"/>
  <c r="K8" i="5"/>
  <c r="M8" i="5"/>
  <c r="P8" i="5"/>
  <c r="R8" i="5"/>
  <c r="T8" i="5"/>
  <c r="K10" i="5"/>
  <c r="M10" i="5"/>
  <c r="P10" i="5"/>
  <c r="R10" i="5"/>
  <c r="T10" i="5"/>
  <c r="G12" i="5"/>
  <c r="I12" i="5"/>
  <c r="K12" i="5"/>
  <c r="M12" i="5"/>
  <c r="P12" i="5"/>
  <c r="R12" i="5"/>
  <c r="T12" i="5"/>
  <c r="I19" i="5"/>
  <c r="K19" i="5"/>
  <c r="Q19" i="5"/>
  <c r="R19" i="5"/>
  <c r="S19" i="5"/>
  <c r="T19" i="5"/>
  <c r="J20" i="5"/>
  <c r="I21" i="5"/>
  <c r="K21" i="5"/>
  <c r="Q21" i="5"/>
  <c r="R21" i="5"/>
  <c r="S21" i="5"/>
  <c r="T21" i="5"/>
  <c r="J22" i="5"/>
  <c r="I23" i="5"/>
  <c r="K23" i="5"/>
  <c r="Q23" i="5"/>
  <c r="R23" i="5"/>
  <c r="S23" i="5"/>
  <c r="T23" i="5"/>
  <c r="J24" i="5"/>
  <c r="G25" i="5"/>
  <c r="H25" i="5"/>
  <c r="I25" i="5"/>
  <c r="K25" i="5"/>
  <c r="Q25" i="5"/>
  <c r="R25" i="5"/>
  <c r="S25" i="5"/>
  <c r="T25" i="5"/>
  <c r="G26" i="5"/>
  <c r="H26" i="5"/>
  <c r="I26" i="5"/>
  <c r="G28" i="5"/>
  <c r="F29" i="5"/>
  <c r="H29" i="5"/>
  <c r="F30" i="5"/>
  <c r="H30" i="5"/>
  <c r="F31" i="5"/>
  <c r="H31" i="5"/>
  <c r="F32" i="5"/>
  <c r="H32" i="5"/>
  <c r="L32" i="5"/>
  <c r="O32" i="5"/>
  <c r="Q32" i="5"/>
  <c r="S32" i="5"/>
  <c r="H33" i="5"/>
  <c r="L33" i="5"/>
  <c r="Q33" i="5"/>
  <c r="S33" i="5"/>
  <c r="L34" i="5"/>
  <c r="O34" i="5"/>
  <c r="Q34" i="5"/>
  <c r="S34" i="5"/>
  <c r="H35" i="5"/>
  <c r="L36" i="5"/>
  <c r="N36" i="5"/>
  <c r="O36" i="5"/>
  <c r="Q36" i="5"/>
  <c r="S36" i="5"/>
  <c r="F37" i="5"/>
  <c r="H37" i="5"/>
  <c r="L37" i="5"/>
  <c r="N37" i="5"/>
  <c r="Q37" i="5"/>
  <c r="S37" i="5"/>
  <c r="F38" i="5"/>
  <c r="H38" i="5"/>
  <c r="L38" i="5"/>
  <c r="N38" i="5"/>
  <c r="O38" i="5"/>
  <c r="Q38" i="5"/>
  <c r="S38" i="5"/>
  <c r="B39" i="5"/>
  <c r="F39" i="5"/>
  <c r="H39" i="5"/>
  <c r="F40" i="5"/>
  <c r="H40" i="5"/>
  <c r="F41" i="5"/>
  <c r="H41" i="5"/>
  <c r="L41" i="5"/>
  <c r="N41" i="5"/>
  <c r="O41" i="5"/>
  <c r="Q41" i="5"/>
  <c r="S41" i="5"/>
  <c r="L42" i="5"/>
  <c r="N42" i="5"/>
  <c r="Q42" i="5"/>
  <c r="S42" i="5"/>
  <c r="L43" i="5"/>
  <c r="N43" i="5"/>
  <c r="O43" i="5"/>
  <c r="Q43" i="5"/>
  <c r="S43" i="5"/>
  <c r="L45" i="5"/>
  <c r="N45" i="5"/>
  <c r="O45" i="5"/>
  <c r="Q45" i="5"/>
  <c r="S45" i="5"/>
  <c r="F46" i="5"/>
  <c r="H46" i="5"/>
  <c r="L46" i="5"/>
  <c r="N46" i="5"/>
  <c r="Q46" i="5"/>
  <c r="S46" i="5"/>
  <c r="F47" i="5"/>
  <c r="H47" i="5"/>
  <c r="L47" i="5"/>
  <c r="N47" i="5"/>
  <c r="O47" i="5"/>
  <c r="Q47" i="5"/>
  <c r="S47" i="5"/>
  <c r="B48" i="5"/>
  <c r="F48" i="5"/>
  <c r="H48" i="5"/>
  <c r="L48" i="5"/>
  <c r="O48" i="5"/>
  <c r="Q48" i="5"/>
  <c r="F49" i="5"/>
  <c r="H49" i="5"/>
  <c r="L49" i="5"/>
  <c r="B50" i="5"/>
  <c r="F50" i="5"/>
  <c r="H50" i="5"/>
  <c r="L50" i="5"/>
  <c r="T50" i="5"/>
  <c r="T51" i="5"/>
  <c r="T52" i="5"/>
  <c r="E53" i="5"/>
  <c r="T53" i="5"/>
  <c r="E54" i="5"/>
  <c r="T54" i="5"/>
  <c r="T59" i="5"/>
  <c r="U59" i="5"/>
  <c r="T60" i="5"/>
  <c r="U60" i="5"/>
  <c r="T61" i="5"/>
  <c r="U61" i="5"/>
  <c r="T62" i="5"/>
  <c r="U62" i="5"/>
  <c r="T63" i="5"/>
  <c r="U63" i="5"/>
  <c r="T64" i="5"/>
  <c r="U64" i="5"/>
  <c r="T65" i="5"/>
  <c r="U65" i="5"/>
  <c r="T66" i="5"/>
  <c r="U66" i="5"/>
  <c r="T67" i="5"/>
  <c r="U67" i="5"/>
  <c r="T68" i="5"/>
  <c r="U68" i="5"/>
  <c r="T69" i="5"/>
  <c r="U69" i="5"/>
  <c r="T70" i="5"/>
  <c r="U70" i="5"/>
  <c r="T71" i="5"/>
  <c r="U71" i="5"/>
  <c r="T72" i="5"/>
  <c r="U72" i="5"/>
  <c r="T73" i="5"/>
  <c r="U73" i="5"/>
  <c r="T74" i="5"/>
  <c r="U74" i="5"/>
  <c r="T75" i="5"/>
  <c r="U75" i="5"/>
  <c r="T76" i="5"/>
  <c r="U76" i="5"/>
  <c r="T77" i="5"/>
  <c r="U77" i="5"/>
  <c r="T78" i="5"/>
  <c r="U78" i="5"/>
  <c r="T79" i="5"/>
  <c r="U79" i="5"/>
  <c r="T80" i="5"/>
  <c r="U80" i="5"/>
  <c r="T81" i="5"/>
  <c r="U81" i="5"/>
  <c r="T82" i="5"/>
  <c r="U82" i="5"/>
  <c r="T83" i="5"/>
  <c r="U83" i="5"/>
  <c r="T84" i="5"/>
  <c r="U84" i="5"/>
  <c r="T85" i="5"/>
  <c r="U85" i="5"/>
  <c r="T86" i="5"/>
  <c r="U86" i="5"/>
  <c r="T87" i="5"/>
  <c r="U87" i="5"/>
  <c r="T88" i="5"/>
  <c r="U88" i="5"/>
  <c r="T89" i="5"/>
  <c r="U89" i="5"/>
  <c r="T90" i="5"/>
  <c r="U90" i="5"/>
  <c r="T91" i="5"/>
  <c r="U91" i="5"/>
  <c r="T92" i="5"/>
  <c r="U92" i="5"/>
  <c r="T93" i="5"/>
  <c r="U93" i="5"/>
  <c r="T94" i="5"/>
  <c r="U94" i="5"/>
  <c r="T95" i="5"/>
  <c r="U95" i="5"/>
  <c r="T96" i="5"/>
  <c r="U96" i="5"/>
  <c r="T97" i="5"/>
  <c r="U97" i="5"/>
  <c r="T98" i="5"/>
  <c r="U98" i="5"/>
  <c r="E100" i="5"/>
  <c r="F100" i="5"/>
  <c r="G100" i="5"/>
  <c r="H100" i="5"/>
  <c r="I100" i="5"/>
  <c r="J100" i="5"/>
  <c r="K100" i="5"/>
  <c r="L100" i="5"/>
  <c r="M100" i="5"/>
  <c r="N100" i="5"/>
  <c r="O100" i="5"/>
  <c r="P100" i="5"/>
  <c r="Q100" i="5"/>
  <c r="R100" i="5"/>
  <c r="S100" i="5"/>
  <c r="T100" i="5"/>
  <c r="U100" i="5"/>
  <c r="E102" i="5"/>
  <c r="F102" i="5"/>
  <c r="G102" i="5"/>
  <c r="H102" i="5"/>
  <c r="I102" i="5"/>
  <c r="J102" i="5"/>
  <c r="K102" i="5"/>
  <c r="L102" i="5"/>
  <c r="M102" i="5"/>
  <c r="N102" i="5"/>
  <c r="O102" i="5"/>
  <c r="P102" i="5"/>
  <c r="Q102" i="5"/>
  <c r="R102" i="5"/>
  <c r="S102" i="5"/>
  <c r="U102" i="5"/>
  <c r="T104" i="5"/>
  <c r="T105" i="5"/>
  <c r="T106" i="5"/>
  <c r="U106" i="5"/>
  <c r="U107" i="5"/>
  <c r="Q111" i="5"/>
  <c r="R111" i="5"/>
  <c r="Q112" i="5"/>
  <c r="R112" i="5"/>
  <c r="Q113" i="5"/>
  <c r="R113" i="5"/>
  <c r="Q114" i="5"/>
  <c r="R114" i="5"/>
  <c r="T114" i="5"/>
  <c r="Q115" i="5"/>
  <c r="R115" i="5"/>
  <c r="T115" i="5"/>
  <c r="Q116" i="5"/>
  <c r="R116" i="5"/>
  <c r="T116" i="5"/>
  <c r="Q117" i="5"/>
  <c r="R117" i="5"/>
  <c r="T117" i="5"/>
  <c r="Q118" i="5"/>
  <c r="R118" i="5"/>
  <c r="T118" i="5"/>
  <c r="Q119" i="5"/>
  <c r="R119" i="5"/>
  <c r="Q120" i="5"/>
  <c r="R120" i="5"/>
  <c r="Q121" i="5"/>
  <c r="R121" i="5"/>
  <c r="T121" i="5"/>
  <c r="Q122" i="5"/>
  <c r="R122" i="5"/>
  <c r="T122" i="5"/>
  <c r="Q123" i="5"/>
  <c r="R123" i="5"/>
  <c r="T123" i="5"/>
  <c r="Q124" i="5"/>
  <c r="R124" i="5"/>
  <c r="T124" i="5"/>
  <c r="Q125" i="5"/>
  <c r="R125" i="5"/>
  <c r="T125" i="5"/>
  <c r="Q126" i="5"/>
  <c r="R126" i="5"/>
  <c r="Q127" i="5"/>
  <c r="R127" i="5"/>
  <c r="Q128" i="5"/>
  <c r="R128" i="5"/>
  <c r="T128" i="5"/>
  <c r="Q129" i="5"/>
  <c r="R129" i="5"/>
  <c r="T129" i="5"/>
  <c r="Q130" i="5"/>
  <c r="R130" i="5"/>
  <c r="T130" i="5"/>
  <c r="Q131" i="5"/>
  <c r="R131" i="5"/>
  <c r="T131" i="5"/>
  <c r="Q132" i="5"/>
  <c r="R132" i="5"/>
  <c r="T132" i="5"/>
  <c r="Q133" i="5"/>
  <c r="R133" i="5"/>
  <c r="Q134" i="5"/>
  <c r="R134" i="5"/>
  <c r="Q135" i="5"/>
  <c r="R135" i="5"/>
  <c r="T135" i="5"/>
  <c r="Q136" i="5"/>
  <c r="R136" i="5"/>
  <c r="T136" i="5"/>
  <c r="Q137" i="5"/>
  <c r="R137" i="5"/>
  <c r="T137" i="5"/>
  <c r="Q138" i="5"/>
  <c r="R138" i="5"/>
  <c r="T138" i="5"/>
  <c r="Q139" i="5"/>
  <c r="R139" i="5"/>
  <c r="T139" i="5"/>
  <c r="Q140" i="5"/>
  <c r="R140" i="5"/>
  <c r="Q141" i="5"/>
  <c r="R141" i="5"/>
  <c r="Q142" i="5"/>
  <c r="R142" i="5"/>
  <c r="T142" i="5"/>
  <c r="Q143" i="5"/>
  <c r="R143" i="5"/>
  <c r="T143" i="5"/>
  <c r="Q144" i="5"/>
  <c r="R144" i="5"/>
  <c r="T144" i="5"/>
  <c r="Q145" i="5"/>
  <c r="R145" i="5"/>
  <c r="T145" i="5"/>
  <c r="Q146" i="5"/>
  <c r="R146" i="5"/>
  <c r="T146" i="5"/>
  <c r="Q147" i="5"/>
  <c r="R147" i="5"/>
  <c r="Q148" i="5"/>
  <c r="R148" i="5"/>
  <c r="Q149" i="5"/>
  <c r="R149" i="5"/>
  <c r="T149" i="5"/>
  <c r="Q150" i="5"/>
  <c r="R150" i="5"/>
  <c r="T150" i="5"/>
  <c r="T151" i="5"/>
  <c r="E152" i="5"/>
  <c r="F152" i="5"/>
  <c r="G152" i="5"/>
  <c r="H152" i="5"/>
  <c r="I152" i="5"/>
  <c r="J152" i="5"/>
  <c r="K152" i="5"/>
  <c r="L152" i="5"/>
  <c r="M152" i="5"/>
  <c r="N152" i="5"/>
  <c r="O152" i="5"/>
  <c r="P152" i="5"/>
  <c r="Q152" i="5"/>
  <c r="R152" i="5"/>
  <c r="T152" i="5"/>
  <c r="T153" i="5"/>
  <c r="E154" i="5"/>
  <c r="F154" i="5"/>
  <c r="G154" i="5"/>
  <c r="H154" i="5"/>
  <c r="I154" i="5"/>
  <c r="J154" i="5"/>
  <c r="K154" i="5"/>
  <c r="L154" i="5"/>
  <c r="M154" i="5"/>
  <c r="N154" i="5"/>
  <c r="O154" i="5"/>
  <c r="P154" i="5"/>
  <c r="R154" i="5"/>
  <c r="R157" i="5"/>
  <c r="T162" i="5"/>
  <c r="U162" i="5"/>
  <c r="T163" i="5"/>
  <c r="U163" i="5"/>
  <c r="T164" i="5"/>
  <c r="U164" i="5"/>
  <c r="T165" i="5"/>
  <c r="U165" i="5"/>
  <c r="T166" i="5"/>
  <c r="U166" i="5"/>
  <c r="T167" i="5"/>
  <c r="U167" i="5"/>
  <c r="T168" i="5"/>
  <c r="U168" i="5"/>
  <c r="T169" i="5"/>
  <c r="U169" i="5"/>
  <c r="E171" i="5"/>
  <c r="F171" i="5"/>
  <c r="G171" i="5"/>
  <c r="H171" i="5"/>
  <c r="I171" i="5"/>
  <c r="J171" i="5"/>
  <c r="K171" i="5"/>
  <c r="L171" i="5"/>
  <c r="M171" i="5"/>
  <c r="N171" i="5"/>
  <c r="O171" i="5"/>
  <c r="P171" i="5"/>
  <c r="Q171" i="5"/>
  <c r="R171" i="5"/>
  <c r="S171" i="5"/>
  <c r="T171" i="5"/>
  <c r="U171" i="5"/>
  <c r="E173" i="5"/>
  <c r="F173" i="5"/>
  <c r="G173" i="5"/>
  <c r="H173" i="5"/>
  <c r="I173" i="5"/>
  <c r="J173" i="5"/>
  <c r="K173" i="5"/>
  <c r="L173" i="5"/>
  <c r="M173" i="5"/>
  <c r="N173" i="5"/>
  <c r="O173" i="5"/>
  <c r="P173" i="5"/>
  <c r="R173" i="5"/>
  <c r="Q179" i="5"/>
  <c r="R179" i="5"/>
  <c r="E181" i="5"/>
  <c r="F181" i="5"/>
  <c r="G181" i="5"/>
  <c r="H181" i="5"/>
  <c r="I181" i="5"/>
  <c r="J181" i="5"/>
  <c r="K181" i="5"/>
  <c r="L181" i="5"/>
  <c r="M181" i="5"/>
  <c r="N181" i="5"/>
  <c r="O181" i="5"/>
  <c r="P181" i="5"/>
  <c r="Q181" i="5"/>
  <c r="R181" i="5"/>
  <c r="E183" i="5"/>
  <c r="F183" i="5"/>
  <c r="G183" i="5"/>
  <c r="H183" i="5"/>
  <c r="I183" i="5"/>
  <c r="J183" i="5"/>
  <c r="K183" i="5"/>
  <c r="L183" i="5"/>
  <c r="M183" i="5"/>
  <c r="N183" i="5"/>
  <c r="O183" i="5"/>
  <c r="P183" i="5"/>
  <c r="R183" i="5"/>
  <c r="T189" i="5"/>
  <c r="U189" i="5"/>
  <c r="T190" i="5"/>
  <c r="U190" i="5"/>
  <c r="T191" i="5"/>
  <c r="U191" i="5"/>
  <c r="T192" i="5"/>
  <c r="U192" i="5"/>
  <c r="T193" i="5"/>
  <c r="U193" i="5"/>
  <c r="T194" i="5"/>
  <c r="U194" i="5"/>
  <c r="T195" i="5"/>
  <c r="U195" i="5"/>
  <c r="T196" i="5"/>
  <c r="U196" i="5"/>
  <c r="E198" i="5"/>
  <c r="F198" i="5"/>
  <c r="G198" i="5"/>
  <c r="H198" i="5"/>
  <c r="I198" i="5"/>
  <c r="J198" i="5"/>
  <c r="K198" i="5"/>
  <c r="L198" i="5"/>
  <c r="M198" i="5"/>
  <c r="N198" i="5"/>
  <c r="O198" i="5"/>
  <c r="P198" i="5"/>
  <c r="Q198" i="5"/>
  <c r="R198" i="5"/>
  <c r="S198" i="5"/>
  <c r="T198" i="5"/>
  <c r="U198" i="5"/>
  <c r="E200" i="5"/>
  <c r="F200" i="5"/>
  <c r="G200" i="5"/>
  <c r="H200" i="5"/>
  <c r="I200" i="5"/>
  <c r="J200" i="5"/>
  <c r="K200" i="5"/>
  <c r="L200" i="5"/>
  <c r="M200" i="5"/>
  <c r="N200" i="5"/>
  <c r="O200" i="5"/>
  <c r="P200" i="5"/>
  <c r="R200" i="5"/>
  <c r="Q205" i="5"/>
  <c r="R205" i="5"/>
  <c r="Q206" i="5"/>
  <c r="R206" i="5"/>
  <c r="Q207" i="5"/>
  <c r="R207" i="5"/>
  <c r="Q208" i="5"/>
  <c r="R208" i="5"/>
  <c r="Q209" i="5"/>
  <c r="R209" i="5"/>
  <c r="Q210" i="5"/>
  <c r="R210" i="5"/>
  <c r="E212" i="5"/>
  <c r="F212" i="5"/>
  <c r="G212" i="5"/>
  <c r="H212" i="5"/>
  <c r="I212" i="5"/>
  <c r="J212" i="5"/>
  <c r="K212" i="5"/>
  <c r="L212" i="5"/>
  <c r="M212" i="5"/>
  <c r="N212" i="5"/>
  <c r="O212" i="5"/>
  <c r="P212" i="5"/>
  <c r="Q212" i="5"/>
  <c r="R212" i="5"/>
  <c r="A213" i="5"/>
  <c r="E214" i="5"/>
  <c r="F214" i="5"/>
  <c r="G214" i="5"/>
  <c r="H214" i="5"/>
  <c r="I214" i="5"/>
  <c r="J214" i="5"/>
  <c r="K214" i="5"/>
  <c r="L214" i="5"/>
  <c r="M214" i="5"/>
  <c r="N214" i="5"/>
  <c r="O214" i="5"/>
  <c r="P214" i="5"/>
  <c r="R214" i="5"/>
  <c r="E220" i="5"/>
  <c r="K220" i="5"/>
  <c r="L220" i="5"/>
  <c r="M220" i="5"/>
  <c r="N220" i="5"/>
  <c r="O220" i="5"/>
  <c r="P220" i="5"/>
  <c r="Q220" i="5"/>
  <c r="R220" i="5"/>
  <c r="S220" i="5"/>
  <c r="T220" i="5"/>
  <c r="K222" i="5"/>
  <c r="L222" i="5"/>
  <c r="M222" i="5"/>
  <c r="N222" i="5"/>
  <c r="O222" i="5"/>
  <c r="P222" i="5"/>
  <c r="Q222" i="5"/>
  <c r="R222" i="5"/>
  <c r="S222" i="5"/>
  <c r="T222" i="5"/>
  <c r="E225" i="5"/>
  <c r="K225" i="5"/>
  <c r="L225" i="5"/>
  <c r="M225" i="5"/>
  <c r="N225" i="5"/>
  <c r="O225" i="5"/>
  <c r="P225" i="5"/>
  <c r="Q225" i="5"/>
  <c r="R225" i="5"/>
  <c r="S225" i="5"/>
  <c r="T225" i="5"/>
  <c r="K227" i="5"/>
  <c r="L227" i="5"/>
  <c r="M227" i="5"/>
  <c r="N227" i="5"/>
  <c r="O227" i="5"/>
  <c r="P227" i="5"/>
  <c r="Q227" i="5"/>
  <c r="R227" i="5"/>
  <c r="S227" i="5"/>
  <c r="T227" i="5"/>
  <c r="E230" i="5"/>
  <c r="K230" i="5"/>
  <c r="L230" i="5"/>
  <c r="M230" i="5"/>
  <c r="N230" i="5"/>
  <c r="O230" i="5"/>
  <c r="P230" i="5"/>
  <c r="Q230" i="5"/>
  <c r="R230" i="5"/>
  <c r="S230" i="5"/>
  <c r="T230" i="5"/>
  <c r="K232" i="5"/>
  <c r="L232" i="5"/>
  <c r="M232" i="5"/>
  <c r="N232" i="5"/>
  <c r="O232" i="5"/>
  <c r="P232" i="5"/>
  <c r="Q232" i="5"/>
  <c r="R232" i="5"/>
  <c r="S232" i="5"/>
  <c r="T232" i="5"/>
  <c r="E235" i="5"/>
  <c r="N235" i="5"/>
  <c r="O235" i="5"/>
  <c r="P235" i="5"/>
  <c r="Q235" i="5"/>
  <c r="R235" i="5"/>
  <c r="S235" i="5"/>
  <c r="T235" i="5"/>
  <c r="N237" i="5"/>
  <c r="O237" i="5"/>
  <c r="P237" i="5"/>
  <c r="Q237" i="5"/>
  <c r="R237" i="5"/>
  <c r="S237" i="5"/>
  <c r="T237" i="5"/>
  <c r="N240" i="5"/>
  <c r="O240" i="5"/>
  <c r="P240" i="5"/>
  <c r="Q240" i="5"/>
  <c r="R240" i="5"/>
  <c r="S240" i="5"/>
  <c r="T240" i="5"/>
  <c r="N242" i="5"/>
  <c r="O242" i="5"/>
  <c r="P242" i="5"/>
  <c r="Q242" i="5"/>
  <c r="R242" i="5"/>
  <c r="S242" i="5"/>
  <c r="T242" i="5"/>
  <c r="E245" i="5"/>
  <c r="Q245" i="5"/>
  <c r="R245" i="5"/>
  <c r="S245" i="5"/>
  <c r="T245" i="5"/>
  <c r="N247" i="5"/>
  <c r="O247" i="5"/>
  <c r="P247" i="5"/>
  <c r="Q247" i="5"/>
  <c r="R247" i="5"/>
  <c r="S247" i="5"/>
  <c r="T247" i="5"/>
  <c r="E250" i="5"/>
  <c r="H250" i="5"/>
  <c r="I250" i="5"/>
  <c r="J250" i="5"/>
  <c r="K250" i="5"/>
  <c r="L250" i="5"/>
  <c r="M250" i="5"/>
  <c r="N250" i="5"/>
  <c r="O250" i="5"/>
  <c r="P250" i="5"/>
  <c r="Q250" i="5"/>
  <c r="R250" i="5"/>
  <c r="S250" i="5"/>
  <c r="T250" i="5"/>
  <c r="H252" i="5"/>
  <c r="I252" i="5"/>
  <c r="J252" i="5"/>
  <c r="K252" i="5"/>
  <c r="L252" i="5"/>
  <c r="M252" i="5"/>
  <c r="N252" i="5"/>
  <c r="O252" i="5"/>
  <c r="P252" i="5"/>
  <c r="Q252" i="5"/>
  <c r="R252" i="5"/>
  <c r="S252" i="5"/>
  <c r="T252" i="5"/>
  <c r="E255" i="5"/>
  <c r="K255" i="5"/>
  <c r="L255" i="5"/>
  <c r="M255" i="5"/>
  <c r="N255" i="5"/>
  <c r="O255" i="5"/>
  <c r="P255" i="5"/>
  <c r="Q255" i="5"/>
  <c r="R255" i="5"/>
  <c r="S255" i="5"/>
  <c r="T255" i="5"/>
  <c r="K257" i="5"/>
  <c r="L257" i="5"/>
  <c r="M257" i="5"/>
  <c r="N257" i="5"/>
  <c r="O257" i="5"/>
  <c r="P257" i="5"/>
  <c r="Q257" i="5"/>
  <c r="R257" i="5"/>
  <c r="S257" i="5"/>
  <c r="T257" i="5"/>
  <c r="E259" i="5"/>
  <c r="H260" i="5"/>
  <c r="I260" i="5"/>
  <c r="J260" i="5"/>
  <c r="K260" i="5"/>
  <c r="L260" i="5"/>
  <c r="M260" i="5"/>
  <c r="N260" i="5"/>
  <c r="O260" i="5"/>
  <c r="P260" i="5"/>
  <c r="Q260" i="5"/>
  <c r="R260" i="5"/>
  <c r="S260" i="5"/>
  <c r="T260" i="5"/>
  <c r="H261" i="5"/>
  <c r="I261" i="5"/>
  <c r="J261" i="5"/>
  <c r="K261" i="5"/>
  <c r="L261" i="5"/>
  <c r="M261" i="5"/>
  <c r="N261" i="5"/>
  <c r="O261" i="5"/>
  <c r="P261" i="5"/>
  <c r="Q261" i="5"/>
  <c r="R261" i="5"/>
  <c r="S261" i="5"/>
  <c r="T261" i="5"/>
  <c r="T262" i="5"/>
  <c r="T263" i="5"/>
  <c r="K273" i="5"/>
  <c r="K274" i="5"/>
  <c r="K275" i="5"/>
  <c r="K276" i="5"/>
  <c r="K278" i="5"/>
  <c r="K279" i="5"/>
  <c r="K280" i="5"/>
  <c r="K285" i="5"/>
  <c r="G292" i="5"/>
  <c r="K292" i="5"/>
  <c r="K294" i="5"/>
  <c r="K296" i="5"/>
  <c r="K297" i="5"/>
  <c r="S6" i="15"/>
  <c r="E11" i="15"/>
  <c r="F11" i="15"/>
  <c r="G11" i="15"/>
  <c r="H11" i="15"/>
  <c r="I11" i="15"/>
  <c r="J11" i="15"/>
  <c r="K11" i="15"/>
  <c r="L11" i="15"/>
  <c r="M11" i="15"/>
  <c r="N11" i="15"/>
  <c r="O11" i="15"/>
  <c r="P11" i="15"/>
  <c r="Q11" i="15"/>
  <c r="R11" i="15"/>
  <c r="S11" i="15"/>
  <c r="T11" i="15"/>
  <c r="U11" i="15"/>
  <c r="E12" i="15"/>
  <c r="F12" i="15"/>
  <c r="G12" i="15"/>
  <c r="H12" i="15"/>
  <c r="I12" i="15"/>
  <c r="J12" i="15"/>
  <c r="K12" i="15"/>
  <c r="L12" i="15"/>
  <c r="M12" i="15"/>
  <c r="N12" i="15"/>
  <c r="O12" i="15"/>
  <c r="P12" i="15"/>
  <c r="Q12" i="15"/>
  <c r="R12" i="15"/>
  <c r="S12" i="15"/>
  <c r="T12" i="15"/>
  <c r="U12" i="15"/>
  <c r="E13" i="15"/>
  <c r="F13" i="15"/>
  <c r="G13" i="15"/>
  <c r="H13" i="15"/>
  <c r="I13" i="15"/>
  <c r="J13" i="15"/>
  <c r="K13" i="15"/>
  <c r="L13" i="15"/>
  <c r="M13" i="15"/>
  <c r="N13" i="15"/>
  <c r="O13" i="15"/>
  <c r="P13" i="15"/>
  <c r="Q13" i="15"/>
  <c r="R13" i="15"/>
  <c r="S13" i="15"/>
  <c r="T13" i="15"/>
  <c r="U13" i="15"/>
  <c r="E14" i="15"/>
  <c r="F14" i="15"/>
  <c r="G14" i="15"/>
  <c r="H14" i="15"/>
  <c r="I14" i="15"/>
  <c r="J14" i="15"/>
  <c r="K14" i="15"/>
  <c r="L14" i="15"/>
  <c r="M14" i="15"/>
  <c r="N14" i="15"/>
  <c r="O14" i="15"/>
  <c r="P14" i="15"/>
  <c r="Q14" i="15"/>
  <c r="R14" i="15"/>
  <c r="S14" i="15"/>
  <c r="T14" i="15"/>
  <c r="U14" i="15"/>
  <c r="E15" i="15"/>
  <c r="F15" i="15"/>
  <c r="G15" i="15"/>
  <c r="H15" i="15"/>
  <c r="I15" i="15"/>
  <c r="J15" i="15"/>
  <c r="K15" i="15"/>
  <c r="L15" i="15"/>
  <c r="M15" i="15"/>
  <c r="N15" i="15"/>
  <c r="O15" i="15"/>
  <c r="P15" i="15"/>
  <c r="Q15" i="15"/>
  <c r="R15" i="15"/>
  <c r="S15" i="15"/>
  <c r="T15" i="15"/>
  <c r="U15" i="15"/>
  <c r="E16" i="15"/>
  <c r="F16" i="15"/>
  <c r="G16" i="15"/>
  <c r="H16" i="15"/>
  <c r="I16" i="15"/>
  <c r="J16" i="15"/>
  <c r="K16" i="15"/>
  <c r="L16" i="15"/>
  <c r="M16" i="15"/>
  <c r="N16" i="15"/>
  <c r="O16" i="15"/>
  <c r="P16" i="15"/>
  <c r="Q16" i="15"/>
  <c r="R16" i="15"/>
  <c r="S16" i="15"/>
  <c r="T16" i="15"/>
  <c r="U16" i="15"/>
  <c r="E17" i="15"/>
  <c r="F17" i="15"/>
  <c r="G17" i="15"/>
  <c r="H17" i="15"/>
  <c r="I17" i="15"/>
  <c r="K17" i="15"/>
  <c r="L17" i="15"/>
  <c r="M17" i="15"/>
  <c r="N17" i="15"/>
  <c r="O17" i="15"/>
  <c r="P17" i="15"/>
  <c r="Q17" i="15"/>
  <c r="R17" i="15"/>
  <c r="S17" i="15"/>
  <c r="T17" i="15"/>
  <c r="U17" i="15"/>
  <c r="E18" i="15"/>
  <c r="F18" i="15"/>
  <c r="G18" i="15"/>
  <c r="H18" i="15"/>
  <c r="I18" i="15"/>
  <c r="K18" i="15"/>
  <c r="L18" i="15"/>
  <c r="M18" i="15"/>
  <c r="N18" i="15"/>
  <c r="O18" i="15"/>
  <c r="P18" i="15"/>
  <c r="Q18" i="15"/>
  <c r="R18" i="15"/>
  <c r="S18" i="15"/>
  <c r="T18" i="15"/>
  <c r="U18" i="15"/>
  <c r="E19" i="15"/>
  <c r="F19" i="15"/>
  <c r="G19" i="15"/>
  <c r="H19" i="15"/>
  <c r="I19" i="15"/>
  <c r="J19" i="15"/>
  <c r="K19" i="15"/>
  <c r="L19" i="15"/>
  <c r="M19" i="15"/>
  <c r="N19" i="15"/>
  <c r="O19" i="15"/>
  <c r="P19" i="15"/>
  <c r="Q19" i="15"/>
  <c r="R19" i="15"/>
  <c r="S19" i="15"/>
  <c r="T19" i="15"/>
  <c r="U19" i="15"/>
  <c r="E20" i="15"/>
  <c r="F20" i="15"/>
  <c r="G20" i="15"/>
  <c r="H20" i="15"/>
  <c r="I20" i="15"/>
  <c r="J20" i="15"/>
  <c r="K20" i="15"/>
  <c r="L20" i="15"/>
  <c r="M20" i="15"/>
  <c r="N20" i="15"/>
  <c r="O20" i="15"/>
  <c r="P20" i="15"/>
  <c r="Q20" i="15"/>
  <c r="R20" i="15"/>
  <c r="S20" i="15"/>
  <c r="T20" i="15"/>
  <c r="U20" i="15"/>
  <c r="E21" i="15"/>
  <c r="F21" i="15"/>
  <c r="G21" i="15"/>
  <c r="H21" i="15"/>
  <c r="I21" i="15"/>
  <c r="K21" i="15"/>
  <c r="L21" i="15"/>
  <c r="M21" i="15"/>
  <c r="N21" i="15"/>
  <c r="O21" i="15"/>
  <c r="P21" i="15"/>
  <c r="Q21" i="15"/>
  <c r="R21" i="15"/>
  <c r="S21" i="15"/>
  <c r="T21" i="15"/>
  <c r="U21" i="15"/>
  <c r="E22" i="15"/>
  <c r="F22" i="15"/>
  <c r="G22" i="15"/>
  <c r="H22" i="15"/>
  <c r="I22" i="15"/>
  <c r="J22" i="15"/>
  <c r="K22" i="15"/>
  <c r="L22" i="15"/>
  <c r="M22" i="15"/>
  <c r="N22" i="15"/>
  <c r="O22" i="15"/>
  <c r="P22" i="15"/>
  <c r="Q22" i="15"/>
  <c r="R22" i="15"/>
  <c r="S22" i="15"/>
  <c r="T22" i="15"/>
  <c r="U22" i="15"/>
  <c r="E23" i="15"/>
  <c r="F23" i="15"/>
  <c r="G23" i="15"/>
  <c r="H23" i="15"/>
  <c r="I23" i="15"/>
  <c r="K23" i="15"/>
  <c r="L23" i="15"/>
  <c r="M23" i="15"/>
  <c r="N23" i="15"/>
  <c r="O23" i="15"/>
  <c r="P23" i="15"/>
  <c r="Q23" i="15"/>
  <c r="R23" i="15"/>
  <c r="S23" i="15"/>
  <c r="T23" i="15"/>
  <c r="U23" i="15"/>
  <c r="E24" i="15"/>
  <c r="F24" i="15"/>
  <c r="G24" i="15"/>
  <c r="H24" i="15"/>
  <c r="I24" i="15"/>
  <c r="K24" i="15"/>
  <c r="L24" i="15"/>
  <c r="M24" i="15"/>
  <c r="N24" i="15"/>
  <c r="O24" i="15"/>
  <c r="P24" i="15"/>
  <c r="Q24" i="15"/>
  <c r="R24" i="15"/>
  <c r="S24" i="15"/>
  <c r="T24" i="15"/>
  <c r="U24" i="15"/>
  <c r="E25" i="15"/>
  <c r="F25" i="15"/>
  <c r="G25" i="15"/>
  <c r="H25" i="15"/>
  <c r="I25" i="15"/>
  <c r="K25" i="15"/>
  <c r="L25" i="15"/>
  <c r="M25" i="15"/>
  <c r="N25" i="15"/>
  <c r="O25" i="15"/>
  <c r="P25" i="15"/>
  <c r="Q25" i="15"/>
  <c r="R25" i="15"/>
  <c r="S25" i="15"/>
  <c r="T25" i="15"/>
  <c r="U25" i="15"/>
  <c r="E26" i="15"/>
  <c r="F26" i="15"/>
  <c r="G26" i="15"/>
  <c r="H26" i="15"/>
  <c r="I26" i="15"/>
  <c r="K26" i="15"/>
  <c r="L26" i="15"/>
  <c r="M26" i="15"/>
  <c r="N26" i="15"/>
  <c r="O26" i="15"/>
  <c r="P26" i="15"/>
  <c r="Q26" i="15"/>
  <c r="R26" i="15"/>
  <c r="S26" i="15"/>
  <c r="T26" i="15"/>
  <c r="U26" i="15"/>
  <c r="E27" i="15"/>
  <c r="F27" i="15"/>
  <c r="G27" i="15"/>
  <c r="H27" i="15"/>
  <c r="I27" i="15"/>
  <c r="J27" i="15"/>
  <c r="K27" i="15"/>
  <c r="L27" i="15"/>
  <c r="M27" i="15"/>
  <c r="N27" i="15"/>
  <c r="O27" i="15"/>
  <c r="P27" i="15"/>
  <c r="Q27" i="15"/>
  <c r="R27" i="15"/>
  <c r="S27" i="15"/>
  <c r="T27" i="15"/>
  <c r="U27" i="15"/>
  <c r="E28" i="15"/>
  <c r="F28" i="15"/>
  <c r="G28" i="15"/>
  <c r="H28" i="15"/>
  <c r="I28" i="15"/>
  <c r="J28" i="15"/>
  <c r="K28" i="15"/>
  <c r="L28" i="15"/>
  <c r="M28" i="15"/>
  <c r="N28" i="15"/>
  <c r="O28" i="15"/>
  <c r="P28" i="15"/>
  <c r="Q28" i="15"/>
  <c r="R28" i="15"/>
  <c r="S28" i="15"/>
  <c r="T28" i="15"/>
  <c r="U28" i="15"/>
  <c r="E29" i="15"/>
  <c r="F29" i="15"/>
  <c r="G29" i="15"/>
  <c r="H29" i="15"/>
  <c r="I29" i="15"/>
  <c r="J29" i="15"/>
  <c r="K29" i="15"/>
  <c r="L29" i="15"/>
  <c r="M29" i="15"/>
  <c r="N29" i="15"/>
  <c r="O29" i="15"/>
  <c r="P29" i="15"/>
  <c r="Q29" i="15"/>
  <c r="R29" i="15"/>
  <c r="S29" i="15"/>
  <c r="T29" i="15"/>
  <c r="U29" i="15"/>
  <c r="E30" i="15"/>
  <c r="F30" i="15"/>
  <c r="G30" i="15"/>
  <c r="H30" i="15"/>
  <c r="I30" i="15"/>
  <c r="J30" i="15"/>
  <c r="K30" i="15"/>
  <c r="L30" i="15"/>
  <c r="M30" i="15"/>
  <c r="N30" i="15"/>
  <c r="O30" i="15"/>
  <c r="P30" i="15"/>
  <c r="Q30" i="15"/>
  <c r="R30" i="15"/>
  <c r="S30" i="15"/>
  <c r="T30" i="15"/>
  <c r="U30" i="15"/>
  <c r="E31" i="15"/>
  <c r="F31" i="15"/>
  <c r="G31" i="15"/>
  <c r="H31" i="15"/>
  <c r="I31" i="15"/>
  <c r="J31" i="15"/>
  <c r="K31" i="15"/>
  <c r="L31" i="15"/>
  <c r="M31" i="15"/>
  <c r="N31" i="15"/>
  <c r="O31" i="15"/>
  <c r="P31" i="15"/>
  <c r="Q31" i="15"/>
  <c r="R31" i="15"/>
  <c r="S31" i="15"/>
  <c r="T31" i="15"/>
  <c r="U31" i="15"/>
  <c r="E32" i="15"/>
  <c r="F32" i="15"/>
  <c r="G32" i="15"/>
  <c r="H32" i="15"/>
  <c r="I32" i="15"/>
  <c r="J32" i="15"/>
  <c r="K32" i="15"/>
  <c r="L32" i="15"/>
  <c r="M32" i="15"/>
  <c r="N32" i="15"/>
  <c r="O32" i="15"/>
  <c r="P32" i="15"/>
  <c r="Q32" i="15"/>
  <c r="R32" i="15"/>
  <c r="S32" i="15"/>
  <c r="T32" i="15"/>
  <c r="U32" i="15"/>
  <c r="E33" i="15"/>
  <c r="F33" i="15"/>
  <c r="G33" i="15"/>
  <c r="H33" i="15"/>
  <c r="I33" i="15"/>
  <c r="J33" i="15"/>
  <c r="K33" i="15"/>
  <c r="L33" i="15"/>
  <c r="M33" i="15"/>
  <c r="N33" i="15"/>
  <c r="O33" i="15"/>
  <c r="P33" i="15"/>
  <c r="Q33" i="15"/>
  <c r="R33" i="15"/>
  <c r="S33" i="15"/>
  <c r="T33" i="15"/>
  <c r="U33" i="15"/>
  <c r="E34" i="15"/>
  <c r="F34" i="15"/>
  <c r="G34" i="15"/>
  <c r="H34" i="15"/>
  <c r="I34" i="15"/>
  <c r="J34" i="15"/>
  <c r="K34" i="15"/>
  <c r="L34" i="15"/>
  <c r="M34" i="15"/>
  <c r="N34" i="15"/>
  <c r="O34" i="15"/>
  <c r="P34" i="15"/>
  <c r="Q34" i="15"/>
  <c r="R34" i="15"/>
  <c r="S34" i="15"/>
  <c r="T34" i="15"/>
  <c r="U34" i="15"/>
  <c r="E35" i="15"/>
  <c r="F35" i="15"/>
  <c r="G35" i="15"/>
  <c r="H35" i="15"/>
  <c r="I35" i="15"/>
  <c r="J35" i="15"/>
  <c r="K35" i="15"/>
  <c r="L35" i="15"/>
  <c r="M35" i="15"/>
  <c r="N35" i="15"/>
  <c r="O35" i="15"/>
  <c r="P35" i="15"/>
  <c r="Q35" i="15"/>
  <c r="R35" i="15"/>
  <c r="S35" i="15"/>
  <c r="T35" i="15"/>
  <c r="U35" i="15"/>
  <c r="E36" i="15"/>
  <c r="F36" i="15"/>
  <c r="G36" i="15"/>
  <c r="H36" i="15"/>
  <c r="I36" i="15"/>
  <c r="J36" i="15"/>
  <c r="K36" i="15"/>
  <c r="L36" i="15"/>
  <c r="M36" i="15"/>
  <c r="N36" i="15"/>
  <c r="O36" i="15"/>
  <c r="P36" i="15"/>
  <c r="Q36" i="15"/>
  <c r="R36" i="15"/>
  <c r="S36" i="15"/>
  <c r="T36" i="15"/>
  <c r="U36" i="15"/>
  <c r="E37" i="15"/>
  <c r="F37" i="15"/>
  <c r="G37" i="15"/>
  <c r="H37" i="15"/>
  <c r="I37" i="15"/>
  <c r="J37" i="15"/>
  <c r="K37" i="15"/>
  <c r="L37" i="15"/>
  <c r="M37" i="15"/>
  <c r="N37" i="15"/>
  <c r="O37" i="15"/>
  <c r="P37" i="15"/>
  <c r="Q37" i="15"/>
  <c r="R37" i="15"/>
  <c r="S37" i="15"/>
  <c r="T37" i="15"/>
  <c r="U37" i="15"/>
  <c r="E38" i="15"/>
  <c r="F38" i="15"/>
  <c r="G38" i="15"/>
  <c r="H38" i="15"/>
  <c r="I38" i="15"/>
  <c r="J38" i="15"/>
  <c r="K38" i="15"/>
  <c r="L38" i="15"/>
  <c r="M38" i="15"/>
  <c r="N38" i="15"/>
  <c r="O38" i="15"/>
  <c r="P38" i="15"/>
  <c r="Q38" i="15"/>
  <c r="R38" i="15"/>
  <c r="S38" i="15"/>
  <c r="T38" i="15"/>
  <c r="U38" i="15"/>
  <c r="E39" i="15"/>
  <c r="F39" i="15"/>
  <c r="G39" i="15"/>
  <c r="H39" i="15"/>
  <c r="I39" i="15"/>
  <c r="J39" i="15"/>
  <c r="K39" i="15"/>
  <c r="L39" i="15"/>
  <c r="M39" i="15"/>
  <c r="N39" i="15"/>
  <c r="O39" i="15"/>
  <c r="P39" i="15"/>
  <c r="Q39" i="15"/>
  <c r="R39" i="15"/>
  <c r="S39" i="15"/>
  <c r="T39" i="15"/>
  <c r="U39" i="15"/>
  <c r="E40" i="15"/>
  <c r="F40" i="15"/>
  <c r="G40" i="15"/>
  <c r="H40" i="15"/>
  <c r="I40" i="15"/>
  <c r="J40" i="15"/>
  <c r="K40" i="15"/>
  <c r="L40" i="15"/>
  <c r="M40" i="15"/>
  <c r="N40" i="15"/>
  <c r="O40" i="15"/>
  <c r="P40" i="15"/>
  <c r="Q40" i="15"/>
  <c r="R40" i="15"/>
  <c r="S40" i="15"/>
  <c r="T40" i="15"/>
  <c r="U40" i="15"/>
  <c r="E41" i="15"/>
  <c r="F41" i="15"/>
  <c r="G41" i="15"/>
  <c r="H41" i="15"/>
  <c r="I41" i="15"/>
  <c r="J41" i="15"/>
  <c r="K41" i="15"/>
  <c r="L41" i="15"/>
  <c r="M41" i="15"/>
  <c r="N41" i="15"/>
  <c r="O41" i="15"/>
  <c r="P41" i="15"/>
  <c r="Q41" i="15"/>
  <c r="R41" i="15"/>
  <c r="S41" i="15"/>
  <c r="T41" i="15"/>
  <c r="U41" i="15"/>
  <c r="E42" i="15"/>
  <c r="F42" i="15"/>
  <c r="G42" i="15"/>
  <c r="H42" i="15"/>
  <c r="I42" i="15"/>
  <c r="J42" i="15"/>
  <c r="K42" i="15"/>
  <c r="L42" i="15"/>
  <c r="M42" i="15"/>
  <c r="N42" i="15"/>
  <c r="O42" i="15"/>
  <c r="P42" i="15"/>
  <c r="Q42" i="15"/>
  <c r="R42" i="15"/>
  <c r="S42" i="15"/>
  <c r="T42" i="15"/>
  <c r="U42" i="15"/>
  <c r="E43" i="15"/>
  <c r="F43" i="15"/>
  <c r="G43" i="15"/>
  <c r="H43" i="15"/>
  <c r="I43" i="15"/>
  <c r="J43" i="15"/>
  <c r="K43" i="15"/>
  <c r="L43" i="15"/>
  <c r="M43" i="15"/>
  <c r="N43" i="15"/>
  <c r="O43" i="15"/>
  <c r="P43" i="15"/>
  <c r="Q43" i="15"/>
  <c r="R43" i="15"/>
  <c r="S43" i="15"/>
  <c r="T43" i="15"/>
  <c r="U43" i="15"/>
  <c r="E44" i="15"/>
  <c r="F44" i="15"/>
  <c r="G44" i="15"/>
  <c r="H44" i="15"/>
  <c r="I44" i="15"/>
  <c r="J44" i="15"/>
  <c r="K44" i="15"/>
  <c r="L44" i="15"/>
  <c r="M44" i="15"/>
  <c r="N44" i="15"/>
  <c r="O44" i="15"/>
  <c r="P44" i="15"/>
  <c r="Q44" i="15"/>
  <c r="R44" i="15"/>
  <c r="S44" i="15"/>
  <c r="T44" i="15"/>
  <c r="U44" i="15"/>
  <c r="E45" i="15"/>
  <c r="F45" i="15"/>
  <c r="G45" i="15"/>
  <c r="H45" i="15"/>
  <c r="I45" i="15"/>
  <c r="J45" i="15"/>
  <c r="K45" i="15"/>
  <c r="L45" i="15"/>
  <c r="M45" i="15"/>
  <c r="N45" i="15"/>
  <c r="O45" i="15"/>
  <c r="P45" i="15"/>
  <c r="Q45" i="15"/>
  <c r="R45" i="15"/>
  <c r="S45" i="15"/>
  <c r="T45" i="15"/>
  <c r="U45" i="15"/>
  <c r="E46" i="15"/>
  <c r="F46" i="15"/>
  <c r="G46" i="15"/>
  <c r="H46" i="15"/>
  <c r="I46" i="15"/>
  <c r="J46" i="15"/>
  <c r="K46" i="15"/>
  <c r="L46" i="15"/>
  <c r="M46" i="15"/>
  <c r="N46" i="15"/>
  <c r="O46" i="15"/>
  <c r="P46" i="15"/>
  <c r="Q46" i="15"/>
  <c r="R46" i="15"/>
  <c r="S46" i="15"/>
  <c r="T46" i="15"/>
  <c r="U46" i="15"/>
  <c r="E47" i="15"/>
  <c r="F47" i="15"/>
  <c r="G47" i="15"/>
  <c r="H47" i="15"/>
  <c r="I47" i="15"/>
  <c r="J47" i="15"/>
  <c r="K47" i="15"/>
  <c r="L47" i="15"/>
  <c r="M47" i="15"/>
  <c r="N47" i="15"/>
  <c r="O47" i="15"/>
  <c r="P47" i="15"/>
  <c r="Q47" i="15"/>
  <c r="R47" i="15"/>
  <c r="S47" i="15"/>
  <c r="T47" i="15"/>
  <c r="U47" i="15"/>
  <c r="E48" i="15"/>
  <c r="F48" i="15"/>
  <c r="G48" i="15"/>
  <c r="H48" i="15"/>
  <c r="I48" i="15"/>
  <c r="J48" i="15"/>
  <c r="K48" i="15"/>
  <c r="L48" i="15"/>
  <c r="M48" i="15"/>
  <c r="N48" i="15"/>
  <c r="O48" i="15"/>
  <c r="P48" i="15"/>
  <c r="Q48" i="15"/>
  <c r="R48" i="15"/>
  <c r="S48" i="15"/>
  <c r="T48" i="15"/>
  <c r="U48" i="15"/>
  <c r="E49" i="15"/>
  <c r="F49" i="15"/>
  <c r="G49" i="15"/>
  <c r="H49" i="15"/>
  <c r="I49" i="15"/>
  <c r="J49" i="15"/>
  <c r="K49" i="15"/>
  <c r="L49" i="15"/>
  <c r="M49" i="15"/>
  <c r="N49" i="15"/>
  <c r="O49" i="15"/>
  <c r="P49" i="15"/>
  <c r="Q49" i="15"/>
  <c r="R49" i="15"/>
  <c r="S49" i="15"/>
  <c r="T49" i="15"/>
  <c r="U49" i="15"/>
  <c r="E50" i="15"/>
  <c r="F50" i="15"/>
  <c r="G50" i="15"/>
  <c r="H50" i="15"/>
  <c r="I50" i="15"/>
  <c r="J50" i="15"/>
  <c r="K50" i="15"/>
  <c r="L50" i="15"/>
  <c r="M50" i="15"/>
  <c r="N50" i="15"/>
  <c r="O50" i="15"/>
  <c r="P50" i="15"/>
  <c r="Q50" i="15"/>
  <c r="R50" i="15"/>
  <c r="S50" i="15"/>
  <c r="T50" i="15"/>
  <c r="U50" i="15"/>
  <c r="E52" i="15"/>
  <c r="F52" i="15"/>
  <c r="G52" i="15"/>
  <c r="H52" i="15"/>
  <c r="I52" i="15"/>
  <c r="J52" i="15"/>
  <c r="K52" i="15"/>
  <c r="L52" i="15"/>
  <c r="M52" i="15"/>
  <c r="N52" i="15"/>
  <c r="O52" i="15"/>
  <c r="P52" i="15"/>
  <c r="Q52" i="15"/>
  <c r="R52" i="15"/>
  <c r="S52" i="15"/>
  <c r="T52" i="15"/>
  <c r="U52" i="15"/>
  <c r="S54" i="15"/>
  <c r="S55" i="15"/>
  <c r="E56" i="15"/>
  <c r="F56" i="15"/>
  <c r="G56" i="15"/>
  <c r="H56" i="15"/>
  <c r="I56" i="15"/>
  <c r="J56" i="15"/>
  <c r="K56" i="15"/>
  <c r="L56" i="15"/>
  <c r="M56" i="15"/>
  <c r="N56" i="15"/>
  <c r="O56" i="15"/>
  <c r="P56" i="15"/>
  <c r="Q56" i="15"/>
  <c r="R56" i="15"/>
  <c r="E57" i="15"/>
  <c r="F57" i="15"/>
  <c r="G57" i="15"/>
  <c r="H57" i="15"/>
  <c r="I57" i="15"/>
  <c r="J57" i="15"/>
  <c r="K57" i="15"/>
  <c r="L57" i="15"/>
  <c r="M57" i="15"/>
  <c r="N57" i="15"/>
  <c r="O57" i="15"/>
  <c r="P57" i="15"/>
  <c r="Q57" i="15"/>
  <c r="R57" i="15"/>
  <c r="E58" i="15"/>
  <c r="F58" i="15"/>
  <c r="G58" i="15"/>
  <c r="H58" i="15"/>
  <c r="I58" i="15"/>
  <c r="J58" i="15"/>
  <c r="K58" i="15"/>
  <c r="L58" i="15"/>
  <c r="M58" i="15"/>
  <c r="N58" i="15"/>
  <c r="O58" i="15"/>
  <c r="P58" i="15"/>
  <c r="Q58" i="15"/>
  <c r="R58" i="15"/>
  <c r="E59" i="15"/>
  <c r="F59" i="15"/>
  <c r="G59" i="15"/>
  <c r="H59" i="15"/>
  <c r="I59" i="15"/>
  <c r="J59" i="15"/>
  <c r="K59" i="15"/>
  <c r="L59" i="15"/>
  <c r="M59" i="15"/>
  <c r="N59" i="15"/>
  <c r="O59" i="15"/>
  <c r="P59" i="15"/>
  <c r="Q59" i="15"/>
  <c r="R59" i="15"/>
  <c r="E60" i="15"/>
  <c r="F60" i="15"/>
  <c r="G60" i="15"/>
  <c r="H60" i="15"/>
  <c r="I60" i="15"/>
  <c r="J60" i="15"/>
  <c r="K60" i="15"/>
  <c r="L60" i="15"/>
  <c r="M60" i="15"/>
  <c r="N60" i="15"/>
  <c r="O60" i="15"/>
  <c r="P60" i="15"/>
  <c r="Q60" i="15"/>
  <c r="R60" i="15"/>
  <c r="E61" i="15"/>
  <c r="F61" i="15"/>
  <c r="G61" i="15"/>
  <c r="H61" i="15"/>
  <c r="I61" i="15"/>
  <c r="J61" i="15"/>
  <c r="K61" i="15"/>
  <c r="L61" i="15"/>
  <c r="M61" i="15"/>
  <c r="N61" i="15"/>
  <c r="O61" i="15"/>
  <c r="P61" i="15"/>
  <c r="Q61" i="15"/>
  <c r="R61" i="15"/>
  <c r="E62" i="15"/>
  <c r="F62" i="15"/>
  <c r="G62" i="15"/>
  <c r="H62" i="15"/>
  <c r="I62" i="15"/>
  <c r="J62" i="15"/>
  <c r="K62" i="15"/>
  <c r="L62" i="15"/>
  <c r="M62" i="15"/>
  <c r="N62" i="15"/>
  <c r="O62" i="15"/>
  <c r="P62" i="15"/>
  <c r="Q62" i="15"/>
  <c r="R62" i="15"/>
  <c r="E63" i="15"/>
  <c r="F63" i="15"/>
  <c r="H63" i="15"/>
  <c r="I63" i="15"/>
  <c r="J63" i="15"/>
  <c r="K63" i="15"/>
  <c r="L63" i="15"/>
  <c r="M63" i="15"/>
  <c r="N63" i="15"/>
  <c r="O63" i="15"/>
  <c r="P63" i="15"/>
  <c r="Q63" i="15"/>
  <c r="R63" i="15"/>
  <c r="E64" i="15"/>
  <c r="F64" i="15"/>
  <c r="H64" i="15"/>
  <c r="I64" i="15"/>
  <c r="J64" i="15"/>
  <c r="K64" i="15"/>
  <c r="L64" i="15"/>
  <c r="M64" i="15"/>
  <c r="N64" i="15"/>
  <c r="O64" i="15"/>
  <c r="P64" i="15"/>
  <c r="Q64" i="15"/>
  <c r="R64" i="15"/>
  <c r="E65" i="15"/>
  <c r="F65" i="15"/>
  <c r="H65" i="15"/>
  <c r="I65" i="15"/>
  <c r="J65" i="15"/>
  <c r="K65" i="15"/>
  <c r="L65" i="15"/>
  <c r="M65" i="15"/>
  <c r="N65" i="15"/>
  <c r="O65" i="15"/>
  <c r="P65" i="15"/>
  <c r="Q65" i="15"/>
  <c r="R65" i="15"/>
  <c r="E66" i="15"/>
  <c r="F66" i="15"/>
  <c r="G66" i="15"/>
  <c r="H66" i="15"/>
  <c r="I66" i="15"/>
  <c r="J66" i="15"/>
  <c r="K66" i="15"/>
  <c r="L66" i="15"/>
  <c r="M66" i="15"/>
  <c r="N66" i="15"/>
  <c r="O66" i="15"/>
  <c r="P66" i="15"/>
  <c r="Q66" i="15"/>
  <c r="R66" i="15"/>
  <c r="E67" i="15"/>
  <c r="F67" i="15"/>
  <c r="H67" i="15"/>
  <c r="I67" i="15"/>
  <c r="J67" i="15"/>
  <c r="K67" i="15"/>
  <c r="L67" i="15"/>
  <c r="M67" i="15"/>
  <c r="N67" i="15"/>
  <c r="O67" i="15"/>
  <c r="P67" i="15"/>
  <c r="Q67" i="15"/>
  <c r="R67" i="15"/>
  <c r="E68" i="15"/>
  <c r="F68" i="15"/>
  <c r="H68" i="15"/>
  <c r="I68" i="15"/>
  <c r="J68" i="15"/>
  <c r="K68" i="15"/>
  <c r="L68" i="15"/>
  <c r="M68" i="15"/>
  <c r="N68" i="15"/>
  <c r="O68" i="15"/>
  <c r="P68" i="15"/>
  <c r="Q68" i="15"/>
  <c r="R68" i="15"/>
  <c r="E69" i="15"/>
  <c r="F69" i="15"/>
  <c r="H69" i="15"/>
  <c r="I69" i="15"/>
  <c r="J69" i="15"/>
  <c r="K69" i="15"/>
  <c r="L69" i="15"/>
  <c r="M69" i="15"/>
  <c r="N69" i="15"/>
  <c r="O69" i="15"/>
  <c r="P69" i="15"/>
  <c r="Q69" i="15"/>
  <c r="R69" i="15"/>
  <c r="E70" i="15"/>
  <c r="F70" i="15"/>
  <c r="H70" i="15"/>
  <c r="I70" i="15"/>
  <c r="J70" i="15"/>
  <c r="K70" i="15"/>
  <c r="L70" i="15"/>
  <c r="M70" i="15"/>
  <c r="N70" i="15"/>
  <c r="O70" i="15"/>
  <c r="P70" i="15"/>
  <c r="Q70" i="15"/>
  <c r="R70" i="15"/>
  <c r="E71" i="15"/>
  <c r="F71" i="15"/>
  <c r="H71" i="15"/>
  <c r="I71" i="15"/>
  <c r="J71" i="15"/>
  <c r="K71" i="15"/>
  <c r="L71" i="15"/>
  <c r="M71" i="15"/>
  <c r="N71" i="15"/>
  <c r="O71" i="15"/>
  <c r="P71" i="15"/>
  <c r="Q71" i="15"/>
  <c r="R71" i="15"/>
  <c r="E72" i="15"/>
  <c r="F72" i="15"/>
  <c r="G72" i="15"/>
  <c r="H72" i="15"/>
  <c r="I72" i="15"/>
  <c r="J72" i="15"/>
  <c r="K72" i="15"/>
  <c r="L72" i="15"/>
  <c r="M72" i="15"/>
  <c r="N72" i="15"/>
  <c r="O72" i="15"/>
  <c r="P72" i="15"/>
  <c r="Q72" i="15"/>
  <c r="R72" i="15"/>
  <c r="E73" i="15"/>
  <c r="F73" i="15"/>
  <c r="G73" i="15"/>
  <c r="H73" i="15"/>
  <c r="I73" i="15"/>
  <c r="J73" i="15"/>
  <c r="K73" i="15"/>
  <c r="L73" i="15"/>
  <c r="M73" i="15"/>
  <c r="N73" i="15"/>
  <c r="O73" i="15"/>
  <c r="P73" i="15"/>
  <c r="Q73" i="15"/>
  <c r="R73" i="15"/>
  <c r="E74" i="15"/>
  <c r="F74" i="15"/>
  <c r="G74" i="15"/>
  <c r="H74" i="15"/>
  <c r="I74" i="15"/>
  <c r="J74" i="15"/>
  <c r="K74" i="15"/>
  <c r="L74" i="15"/>
  <c r="M74" i="15"/>
  <c r="N74" i="15"/>
  <c r="O74" i="15"/>
  <c r="P74" i="15"/>
  <c r="Q74" i="15"/>
  <c r="R74" i="15"/>
  <c r="E75" i="15"/>
  <c r="F75" i="15"/>
  <c r="G75" i="15"/>
  <c r="H75" i="15"/>
  <c r="I75" i="15"/>
  <c r="J75" i="15"/>
  <c r="K75" i="15"/>
  <c r="L75" i="15"/>
  <c r="M75" i="15"/>
  <c r="N75" i="15"/>
  <c r="O75" i="15"/>
  <c r="P75" i="15"/>
  <c r="Q75" i="15"/>
  <c r="R75" i="15"/>
  <c r="E76" i="15"/>
  <c r="F76" i="15"/>
  <c r="G76" i="15"/>
  <c r="H76" i="15"/>
  <c r="I76" i="15"/>
  <c r="J76" i="15"/>
  <c r="K76" i="15"/>
  <c r="L76" i="15"/>
  <c r="M76" i="15"/>
  <c r="N76" i="15"/>
  <c r="O76" i="15"/>
  <c r="P76" i="15"/>
  <c r="Q76" i="15"/>
  <c r="R76" i="15"/>
  <c r="E77" i="15"/>
  <c r="F77" i="15"/>
  <c r="G77" i="15"/>
  <c r="H77" i="15"/>
  <c r="I77" i="15"/>
  <c r="J77" i="15"/>
  <c r="K77" i="15"/>
  <c r="L77" i="15"/>
  <c r="M77" i="15"/>
  <c r="N77" i="15"/>
  <c r="O77" i="15"/>
  <c r="P77" i="15"/>
  <c r="Q77" i="15"/>
  <c r="R77" i="15"/>
  <c r="E78" i="15"/>
  <c r="F78" i="15"/>
  <c r="G78" i="15"/>
  <c r="H78" i="15"/>
  <c r="I78" i="15"/>
  <c r="J78" i="15"/>
  <c r="K78" i="15"/>
  <c r="L78" i="15"/>
  <c r="M78" i="15"/>
  <c r="N78" i="15"/>
  <c r="O78" i="15"/>
  <c r="P78" i="15"/>
  <c r="Q78" i="15"/>
  <c r="R78" i="15"/>
  <c r="E79" i="15"/>
  <c r="F79" i="15"/>
  <c r="G79" i="15"/>
  <c r="H79" i="15"/>
  <c r="I79" i="15"/>
  <c r="J79" i="15"/>
  <c r="K79" i="15"/>
  <c r="L79" i="15"/>
  <c r="M79" i="15"/>
  <c r="N79" i="15"/>
  <c r="O79" i="15"/>
  <c r="P79" i="15"/>
  <c r="Q79" i="15"/>
  <c r="R79" i="15"/>
  <c r="E80" i="15"/>
  <c r="F80" i="15"/>
  <c r="G80" i="15"/>
  <c r="H80" i="15"/>
  <c r="I80" i="15"/>
  <c r="J80" i="15"/>
  <c r="K80" i="15"/>
  <c r="L80" i="15"/>
  <c r="M80" i="15"/>
  <c r="N80" i="15"/>
  <c r="O80" i="15"/>
  <c r="P80" i="15"/>
  <c r="Q80" i="15"/>
  <c r="R80" i="15"/>
  <c r="E81" i="15"/>
  <c r="F81" i="15"/>
  <c r="G81" i="15"/>
  <c r="H81" i="15"/>
  <c r="I81" i="15"/>
  <c r="J81" i="15"/>
  <c r="K81" i="15"/>
  <c r="L81" i="15"/>
  <c r="M81" i="15"/>
  <c r="N81" i="15"/>
  <c r="O81" i="15"/>
  <c r="P81" i="15"/>
  <c r="Q81" i="15"/>
  <c r="R81" i="15"/>
  <c r="E82" i="15"/>
  <c r="F82" i="15"/>
  <c r="G82" i="15"/>
  <c r="H82" i="15"/>
  <c r="I82" i="15"/>
  <c r="J82" i="15"/>
  <c r="K82" i="15"/>
  <c r="L82" i="15"/>
  <c r="M82" i="15"/>
  <c r="N82" i="15"/>
  <c r="O82" i="15"/>
  <c r="P82" i="15"/>
  <c r="Q82" i="15"/>
  <c r="R82" i="15"/>
  <c r="E83" i="15"/>
  <c r="F83" i="15"/>
  <c r="G83" i="15"/>
  <c r="H83" i="15"/>
  <c r="I83" i="15"/>
  <c r="J83" i="15"/>
  <c r="K83" i="15"/>
  <c r="L83" i="15"/>
  <c r="M83" i="15"/>
  <c r="N83" i="15"/>
  <c r="O83" i="15"/>
  <c r="P83" i="15"/>
  <c r="Q83" i="15"/>
  <c r="R83" i="15"/>
  <c r="E84" i="15"/>
  <c r="F84" i="15"/>
  <c r="G84" i="15"/>
  <c r="H84" i="15"/>
  <c r="I84" i="15"/>
  <c r="J84" i="15"/>
  <c r="K84" i="15"/>
  <c r="L84" i="15"/>
  <c r="M84" i="15"/>
  <c r="N84" i="15"/>
  <c r="O84" i="15"/>
  <c r="P84" i="15"/>
  <c r="Q84" i="15"/>
  <c r="R84" i="15"/>
  <c r="E85" i="15"/>
  <c r="F85" i="15"/>
  <c r="G85" i="15"/>
  <c r="H85" i="15"/>
  <c r="I85" i="15"/>
  <c r="J85" i="15"/>
  <c r="K85" i="15"/>
  <c r="L85" i="15"/>
  <c r="M85" i="15"/>
  <c r="N85" i="15"/>
  <c r="O85" i="15"/>
  <c r="P85" i="15"/>
  <c r="Q85" i="15"/>
  <c r="R85" i="15"/>
  <c r="E86" i="15"/>
  <c r="F86" i="15"/>
  <c r="G86" i="15"/>
  <c r="H86" i="15"/>
  <c r="I86" i="15"/>
  <c r="J86" i="15"/>
  <c r="K86" i="15"/>
  <c r="L86" i="15"/>
  <c r="M86" i="15"/>
  <c r="N86" i="15"/>
  <c r="O86" i="15"/>
  <c r="P86" i="15"/>
  <c r="Q86" i="15"/>
  <c r="R86" i="15"/>
  <c r="E87" i="15"/>
  <c r="F87" i="15"/>
  <c r="G87" i="15"/>
  <c r="H87" i="15"/>
  <c r="I87" i="15"/>
  <c r="J87" i="15"/>
  <c r="K87" i="15"/>
  <c r="L87" i="15"/>
  <c r="M87" i="15"/>
  <c r="N87" i="15"/>
  <c r="O87" i="15"/>
  <c r="P87" i="15"/>
  <c r="Q87" i="15"/>
  <c r="R87" i="15"/>
  <c r="E88" i="15"/>
  <c r="F88" i="15"/>
  <c r="G88" i="15"/>
  <c r="H88" i="15"/>
  <c r="I88" i="15"/>
  <c r="J88" i="15"/>
  <c r="K88" i="15"/>
  <c r="L88" i="15"/>
  <c r="M88" i="15"/>
  <c r="N88" i="15"/>
  <c r="O88" i="15"/>
  <c r="P88" i="15"/>
  <c r="Q88" i="15"/>
  <c r="R88" i="15"/>
  <c r="E89" i="15"/>
  <c r="F89" i="15"/>
  <c r="G89" i="15"/>
  <c r="H89" i="15"/>
  <c r="I89" i="15"/>
  <c r="J89" i="15"/>
  <c r="K89" i="15"/>
  <c r="L89" i="15"/>
  <c r="M89" i="15"/>
  <c r="N89" i="15"/>
  <c r="O89" i="15"/>
  <c r="P89" i="15"/>
  <c r="Q89" i="15"/>
  <c r="R89" i="15"/>
  <c r="E90" i="15"/>
  <c r="F90" i="15"/>
  <c r="G90" i="15"/>
  <c r="H90" i="15"/>
  <c r="I90" i="15"/>
  <c r="J90" i="15"/>
  <c r="K90" i="15"/>
  <c r="L90" i="15"/>
  <c r="M90" i="15"/>
  <c r="N90" i="15"/>
  <c r="O90" i="15"/>
  <c r="P90" i="15"/>
  <c r="Q90" i="15"/>
  <c r="R90" i="15"/>
  <c r="E91" i="15"/>
  <c r="F91" i="15"/>
  <c r="G91" i="15"/>
  <c r="H91" i="15"/>
  <c r="I91" i="15"/>
  <c r="J91" i="15"/>
  <c r="K91" i="15"/>
  <c r="L91" i="15"/>
  <c r="M91" i="15"/>
  <c r="N91" i="15"/>
  <c r="O91" i="15"/>
  <c r="P91" i="15"/>
  <c r="Q91" i="15"/>
  <c r="R91" i="15"/>
  <c r="E92" i="15"/>
  <c r="F92" i="15"/>
  <c r="G92" i="15"/>
  <c r="H92" i="15"/>
  <c r="I92" i="15"/>
  <c r="J92" i="15"/>
  <c r="K92" i="15"/>
  <c r="L92" i="15"/>
  <c r="M92" i="15"/>
  <c r="N92" i="15"/>
  <c r="O92" i="15"/>
  <c r="P92" i="15"/>
  <c r="Q92" i="15"/>
  <c r="R92" i="15"/>
  <c r="E93" i="15"/>
  <c r="F93" i="15"/>
  <c r="G93" i="15"/>
  <c r="H93" i="15"/>
  <c r="I93" i="15"/>
  <c r="J93" i="15"/>
  <c r="K93" i="15"/>
  <c r="L93" i="15"/>
  <c r="M93" i="15"/>
  <c r="N93" i="15"/>
  <c r="O93" i="15"/>
  <c r="P93" i="15"/>
  <c r="Q93" i="15"/>
  <c r="R93" i="15"/>
  <c r="E94" i="15"/>
  <c r="F94" i="15"/>
  <c r="G94" i="15"/>
  <c r="H94" i="15"/>
  <c r="I94" i="15"/>
  <c r="J94" i="15"/>
  <c r="K94" i="15"/>
  <c r="L94" i="15"/>
  <c r="M94" i="15"/>
  <c r="N94" i="15"/>
  <c r="O94" i="15"/>
  <c r="P94" i="15"/>
  <c r="Q94" i="15"/>
  <c r="R94" i="15"/>
  <c r="E95" i="15"/>
  <c r="F95" i="15"/>
  <c r="G95" i="15"/>
  <c r="H95" i="15"/>
  <c r="I95" i="15"/>
  <c r="J95" i="15"/>
  <c r="K95" i="15"/>
  <c r="L95" i="15"/>
  <c r="M95" i="15"/>
  <c r="N95" i="15"/>
  <c r="O95" i="15"/>
  <c r="P95" i="15"/>
  <c r="Q95" i="15"/>
  <c r="R95" i="15"/>
  <c r="E96" i="15"/>
  <c r="F96" i="15"/>
  <c r="G96" i="15"/>
  <c r="H96" i="15"/>
  <c r="I96" i="15"/>
  <c r="J96" i="15"/>
  <c r="K96" i="15"/>
  <c r="L96" i="15"/>
  <c r="M96" i="15"/>
  <c r="N96" i="15"/>
  <c r="O96" i="15"/>
  <c r="P96" i="15"/>
  <c r="E97" i="15"/>
  <c r="F97" i="15"/>
  <c r="G97" i="15"/>
  <c r="H97" i="15"/>
  <c r="I97" i="15"/>
  <c r="J97" i="15"/>
  <c r="K97" i="15"/>
  <c r="L97" i="15"/>
  <c r="M97" i="15"/>
  <c r="N97" i="15"/>
  <c r="O97" i="15"/>
  <c r="P97" i="15"/>
  <c r="Q97" i="15"/>
  <c r="R97" i="15"/>
  <c r="R102" i="15"/>
  <c r="E105" i="15"/>
  <c r="F105" i="15"/>
  <c r="G105" i="15"/>
  <c r="H105" i="15"/>
  <c r="I105" i="15"/>
  <c r="J105" i="15"/>
  <c r="K105" i="15"/>
  <c r="L105" i="15"/>
  <c r="M105" i="15"/>
  <c r="N105" i="15"/>
  <c r="O105" i="15"/>
  <c r="P105" i="15"/>
  <c r="Q105" i="15"/>
  <c r="R105" i="15"/>
  <c r="S105" i="15"/>
  <c r="T105" i="15"/>
  <c r="U105" i="15"/>
  <c r="E106" i="15"/>
  <c r="F106" i="15"/>
  <c r="G106" i="15"/>
  <c r="H106" i="15"/>
  <c r="I106" i="15"/>
  <c r="J106" i="15"/>
  <c r="K106" i="15"/>
  <c r="L106" i="15"/>
  <c r="M106" i="15"/>
  <c r="N106" i="15"/>
  <c r="O106" i="15"/>
  <c r="P106" i="15"/>
  <c r="Q106" i="15"/>
  <c r="R106" i="15"/>
  <c r="S106" i="15"/>
  <c r="T106" i="15"/>
  <c r="U106" i="15"/>
  <c r="E107" i="15"/>
  <c r="F107" i="15"/>
  <c r="G107" i="15"/>
  <c r="H107" i="15"/>
  <c r="I107" i="15"/>
  <c r="J107" i="15"/>
  <c r="K107" i="15"/>
  <c r="L107" i="15"/>
  <c r="M107" i="15"/>
  <c r="N107" i="15"/>
  <c r="O107" i="15"/>
  <c r="P107" i="15"/>
  <c r="Q107" i="15"/>
  <c r="R107" i="15"/>
  <c r="S107" i="15"/>
  <c r="T107" i="15"/>
  <c r="U107" i="15"/>
  <c r="E108" i="15"/>
  <c r="F108" i="15"/>
  <c r="G108" i="15"/>
  <c r="H108" i="15"/>
  <c r="I108" i="15"/>
  <c r="J108" i="15"/>
  <c r="K108" i="15"/>
  <c r="L108" i="15"/>
  <c r="M108" i="15"/>
  <c r="N108" i="15"/>
  <c r="O108" i="15"/>
  <c r="P108" i="15"/>
  <c r="Q108" i="15"/>
  <c r="R108" i="15"/>
  <c r="S108" i="15"/>
  <c r="T108" i="15"/>
  <c r="U108" i="15"/>
  <c r="E109" i="15"/>
  <c r="F109" i="15"/>
  <c r="G109" i="15"/>
  <c r="H109" i="15"/>
  <c r="I109" i="15"/>
  <c r="J109" i="15"/>
  <c r="K109" i="15"/>
  <c r="L109" i="15"/>
  <c r="M109" i="15"/>
  <c r="N109" i="15"/>
  <c r="O109" i="15"/>
  <c r="P109" i="15"/>
  <c r="Q109" i="15"/>
  <c r="R109" i="15"/>
  <c r="S109" i="15"/>
  <c r="T109" i="15"/>
  <c r="U109" i="15"/>
  <c r="E110" i="15"/>
  <c r="F110" i="15"/>
  <c r="G110" i="15"/>
  <c r="H110" i="15"/>
  <c r="I110" i="15"/>
  <c r="J110" i="15"/>
  <c r="K110" i="15"/>
  <c r="L110" i="15"/>
  <c r="M110" i="15"/>
  <c r="N110" i="15"/>
  <c r="O110" i="15"/>
  <c r="P110" i="15"/>
  <c r="Q110" i="15"/>
  <c r="R110" i="15"/>
  <c r="S110" i="15"/>
  <c r="T110" i="15"/>
  <c r="U110" i="15"/>
  <c r="E111" i="15"/>
  <c r="F111" i="15"/>
  <c r="G111" i="15"/>
  <c r="H111" i="15"/>
  <c r="I111" i="15"/>
  <c r="J111" i="15"/>
  <c r="K111" i="15"/>
  <c r="L111" i="15"/>
  <c r="M111" i="15"/>
  <c r="N111" i="15"/>
  <c r="O111" i="15"/>
  <c r="P111" i="15"/>
  <c r="Q111" i="15"/>
  <c r="R111" i="15"/>
  <c r="S111" i="15"/>
  <c r="T111" i="15"/>
  <c r="U111" i="15"/>
  <c r="E112" i="15"/>
  <c r="F112" i="15"/>
  <c r="G112" i="15"/>
  <c r="H112" i="15"/>
  <c r="I112" i="15"/>
  <c r="J112" i="15"/>
  <c r="K112" i="15"/>
  <c r="L112" i="15"/>
  <c r="M112" i="15"/>
  <c r="N112" i="15"/>
  <c r="O112" i="15"/>
  <c r="P112" i="15"/>
  <c r="Q112" i="15"/>
  <c r="R112" i="15"/>
  <c r="S112" i="15"/>
  <c r="T112" i="15"/>
  <c r="U112" i="15"/>
  <c r="E113" i="15"/>
  <c r="F113" i="15"/>
  <c r="G113" i="15"/>
  <c r="H113" i="15"/>
  <c r="I113" i="15"/>
  <c r="J113" i="15"/>
  <c r="K113" i="15"/>
  <c r="L113" i="15"/>
  <c r="M113" i="15"/>
  <c r="N113" i="15"/>
  <c r="O113" i="15"/>
  <c r="P113" i="15"/>
  <c r="Q113" i="15"/>
  <c r="R113" i="15"/>
  <c r="S113" i="15"/>
  <c r="E114" i="15"/>
  <c r="F114" i="15"/>
  <c r="G114" i="15"/>
  <c r="H114" i="15"/>
  <c r="I114" i="15"/>
  <c r="J114" i="15"/>
  <c r="K114" i="15"/>
  <c r="L114" i="15"/>
  <c r="M114" i="15"/>
  <c r="N114" i="15"/>
  <c r="O114" i="15"/>
  <c r="P114" i="15"/>
  <c r="Q114" i="15"/>
  <c r="R114" i="15"/>
  <c r="S114" i="15"/>
  <c r="T114" i="15"/>
  <c r="U114" i="15"/>
  <c r="E122" i="15"/>
  <c r="F122" i="15"/>
  <c r="G122" i="15"/>
  <c r="H122" i="15"/>
  <c r="I122" i="15"/>
  <c r="J122" i="15"/>
  <c r="K122" i="15"/>
  <c r="L122" i="15"/>
  <c r="M122" i="15"/>
  <c r="N122" i="15"/>
  <c r="O122" i="15"/>
  <c r="P122" i="15"/>
  <c r="Q122" i="15"/>
  <c r="R122" i="15"/>
  <c r="E123" i="15"/>
  <c r="F123" i="15"/>
  <c r="G123" i="15"/>
  <c r="H123" i="15"/>
  <c r="I123" i="15"/>
  <c r="J123" i="15"/>
  <c r="K123" i="15"/>
  <c r="L123" i="15"/>
  <c r="M123" i="15"/>
  <c r="N123" i="15"/>
  <c r="O123" i="15"/>
  <c r="P123" i="15"/>
  <c r="E124" i="15"/>
  <c r="F124" i="15"/>
  <c r="G124" i="15"/>
  <c r="H124" i="15"/>
  <c r="I124" i="15"/>
  <c r="J124" i="15"/>
  <c r="K124" i="15"/>
  <c r="L124" i="15"/>
  <c r="M124" i="15"/>
  <c r="N124" i="15"/>
  <c r="O124" i="15"/>
  <c r="P124" i="15"/>
  <c r="Q124" i="15"/>
  <c r="R124" i="15"/>
  <c r="E132" i="15"/>
  <c r="F132" i="15"/>
  <c r="G132" i="15"/>
  <c r="H132" i="15"/>
  <c r="I132" i="15"/>
  <c r="J132" i="15"/>
  <c r="K132" i="15"/>
  <c r="L132" i="15"/>
  <c r="M132" i="15"/>
  <c r="N132" i="15"/>
  <c r="O132" i="15"/>
  <c r="P132" i="15"/>
  <c r="Q132" i="15"/>
  <c r="R132" i="15"/>
  <c r="S132" i="15"/>
  <c r="T132" i="15"/>
  <c r="U132" i="15"/>
  <c r="E133" i="15"/>
  <c r="F133" i="15"/>
  <c r="G133" i="15"/>
  <c r="H133" i="15"/>
  <c r="I133" i="15"/>
  <c r="J133" i="15"/>
  <c r="K133" i="15"/>
  <c r="L133" i="15"/>
  <c r="M133" i="15"/>
  <c r="N133" i="15"/>
  <c r="O133" i="15"/>
  <c r="P133" i="15"/>
  <c r="Q133" i="15"/>
  <c r="R133" i="15"/>
  <c r="S133" i="15"/>
  <c r="T133" i="15"/>
  <c r="U133" i="15"/>
  <c r="E134" i="15"/>
  <c r="F134" i="15"/>
  <c r="G134" i="15"/>
  <c r="H134" i="15"/>
  <c r="I134" i="15"/>
  <c r="J134" i="15"/>
  <c r="K134" i="15"/>
  <c r="L134" i="15"/>
  <c r="M134" i="15"/>
  <c r="N134" i="15"/>
  <c r="O134" i="15"/>
  <c r="P134" i="15"/>
  <c r="Q134" i="15"/>
  <c r="R134" i="15"/>
  <c r="S134" i="15"/>
  <c r="T134" i="15"/>
  <c r="U134" i="15"/>
  <c r="E135" i="15"/>
  <c r="F135" i="15"/>
  <c r="G135" i="15"/>
  <c r="H135" i="15"/>
  <c r="I135" i="15"/>
  <c r="J135" i="15"/>
  <c r="K135" i="15"/>
  <c r="L135" i="15"/>
  <c r="M135" i="15"/>
  <c r="N135" i="15"/>
  <c r="O135" i="15"/>
  <c r="P135" i="15"/>
  <c r="Q135" i="15"/>
  <c r="R135" i="15"/>
  <c r="S135" i="15"/>
  <c r="T135" i="15"/>
  <c r="U135" i="15"/>
  <c r="E136" i="15"/>
  <c r="F136" i="15"/>
  <c r="G136" i="15"/>
  <c r="H136" i="15"/>
  <c r="I136" i="15"/>
  <c r="J136" i="15"/>
  <c r="K136" i="15"/>
  <c r="L136" i="15"/>
  <c r="M136" i="15"/>
  <c r="N136" i="15"/>
  <c r="O136" i="15"/>
  <c r="P136" i="15"/>
  <c r="Q136" i="15"/>
  <c r="R136" i="15"/>
  <c r="S136" i="15"/>
  <c r="T136" i="15"/>
  <c r="U136" i="15"/>
  <c r="E137" i="15"/>
  <c r="F137" i="15"/>
  <c r="G137" i="15"/>
  <c r="H137" i="15"/>
  <c r="I137" i="15"/>
  <c r="J137" i="15"/>
  <c r="K137" i="15"/>
  <c r="L137" i="15"/>
  <c r="M137" i="15"/>
  <c r="N137" i="15"/>
  <c r="O137" i="15"/>
  <c r="P137" i="15"/>
  <c r="Q137" i="15"/>
  <c r="R137" i="15"/>
  <c r="S137" i="15"/>
  <c r="T137" i="15"/>
  <c r="U137" i="15"/>
  <c r="E138" i="15"/>
  <c r="F138" i="15"/>
  <c r="G138" i="15"/>
  <c r="H138" i="15"/>
  <c r="I138" i="15"/>
  <c r="J138" i="15"/>
  <c r="K138" i="15"/>
  <c r="L138" i="15"/>
  <c r="M138" i="15"/>
  <c r="N138" i="15"/>
  <c r="O138" i="15"/>
  <c r="P138" i="15"/>
  <c r="Q138" i="15"/>
  <c r="R138" i="15"/>
  <c r="S138" i="15"/>
  <c r="T138" i="15"/>
  <c r="U138" i="15"/>
  <c r="E139" i="15"/>
  <c r="F139" i="15"/>
  <c r="G139" i="15"/>
  <c r="H139" i="15"/>
  <c r="I139" i="15"/>
  <c r="J139" i="15"/>
  <c r="K139" i="15"/>
  <c r="L139" i="15"/>
  <c r="M139" i="15"/>
  <c r="N139" i="15"/>
  <c r="O139" i="15"/>
  <c r="P139" i="15"/>
  <c r="Q139" i="15"/>
  <c r="R139" i="15"/>
  <c r="S139" i="15"/>
  <c r="T139" i="15"/>
  <c r="U139" i="15"/>
  <c r="E140" i="15"/>
  <c r="F140" i="15"/>
  <c r="G140" i="15"/>
  <c r="H140" i="15"/>
  <c r="I140" i="15"/>
  <c r="J140" i="15"/>
  <c r="K140" i="15"/>
  <c r="L140" i="15"/>
  <c r="M140" i="15"/>
  <c r="N140" i="15"/>
  <c r="O140" i="15"/>
  <c r="P140" i="15"/>
  <c r="Q140" i="15"/>
  <c r="R140" i="15"/>
  <c r="S140" i="15"/>
  <c r="E141" i="15"/>
  <c r="F141" i="15"/>
  <c r="G141" i="15"/>
  <c r="H141" i="15"/>
  <c r="I141" i="15"/>
  <c r="J141" i="15"/>
  <c r="K141" i="15"/>
  <c r="L141" i="15"/>
  <c r="M141" i="15"/>
  <c r="N141" i="15"/>
  <c r="O141" i="15"/>
  <c r="P141" i="15"/>
  <c r="Q141" i="15"/>
  <c r="R141" i="15"/>
  <c r="S141" i="15"/>
  <c r="T141" i="15"/>
  <c r="U141" i="15"/>
  <c r="E148" i="15"/>
  <c r="F148" i="15"/>
  <c r="G148" i="15"/>
  <c r="H148" i="15"/>
  <c r="I148" i="15"/>
  <c r="J148" i="15"/>
  <c r="K148" i="15"/>
  <c r="L148" i="15"/>
  <c r="M148" i="15"/>
  <c r="N148" i="15"/>
  <c r="O148" i="15"/>
  <c r="P148" i="15"/>
  <c r="Q148" i="15"/>
  <c r="R148" i="15"/>
  <c r="E149" i="15"/>
  <c r="F149" i="15"/>
  <c r="G149" i="15"/>
  <c r="H149" i="15"/>
  <c r="I149" i="15"/>
  <c r="J149" i="15"/>
  <c r="K149" i="15"/>
  <c r="L149" i="15"/>
  <c r="M149" i="15"/>
  <c r="N149" i="15"/>
  <c r="O149" i="15"/>
  <c r="P149" i="15"/>
  <c r="Q149" i="15"/>
  <c r="R149" i="15"/>
  <c r="E150" i="15"/>
  <c r="F150" i="15"/>
  <c r="G150" i="15"/>
  <c r="H150" i="15"/>
  <c r="I150" i="15"/>
  <c r="J150" i="15"/>
  <c r="K150" i="15"/>
  <c r="L150" i="15"/>
  <c r="M150" i="15"/>
  <c r="N150" i="15"/>
  <c r="O150" i="15"/>
  <c r="P150" i="15"/>
  <c r="Q150" i="15"/>
  <c r="R150" i="15"/>
  <c r="E151" i="15"/>
  <c r="F151" i="15"/>
  <c r="G151" i="15"/>
  <c r="H151" i="15"/>
  <c r="I151" i="15"/>
  <c r="J151" i="15"/>
  <c r="K151" i="15"/>
  <c r="L151" i="15"/>
  <c r="M151" i="15"/>
  <c r="N151" i="15"/>
  <c r="O151" i="15"/>
  <c r="P151" i="15"/>
  <c r="Q151" i="15"/>
  <c r="R151" i="15"/>
  <c r="E152" i="15"/>
  <c r="F152" i="15"/>
  <c r="G152" i="15"/>
  <c r="H152" i="15"/>
  <c r="I152" i="15"/>
  <c r="J152" i="15"/>
  <c r="K152" i="15"/>
  <c r="L152" i="15"/>
  <c r="M152" i="15"/>
  <c r="N152" i="15"/>
  <c r="O152" i="15"/>
  <c r="P152" i="15"/>
  <c r="Q152" i="15"/>
  <c r="R152" i="15"/>
  <c r="E153" i="15"/>
  <c r="F153" i="15"/>
  <c r="G153" i="15"/>
  <c r="H153" i="15"/>
  <c r="I153" i="15"/>
  <c r="J153" i="15"/>
  <c r="K153" i="15"/>
  <c r="L153" i="15"/>
  <c r="M153" i="15"/>
  <c r="N153" i="15"/>
  <c r="O153" i="15"/>
  <c r="P153" i="15"/>
  <c r="Q153" i="15"/>
  <c r="R153" i="15"/>
  <c r="E154" i="15"/>
  <c r="F154" i="15"/>
  <c r="G154" i="15"/>
  <c r="H154" i="15"/>
  <c r="I154" i="15"/>
  <c r="J154" i="15"/>
  <c r="K154" i="15"/>
  <c r="L154" i="15"/>
  <c r="M154" i="15"/>
  <c r="N154" i="15"/>
  <c r="O154" i="15"/>
  <c r="P154" i="15"/>
  <c r="E155" i="15"/>
  <c r="F155" i="15"/>
  <c r="G155" i="15"/>
  <c r="H155" i="15"/>
  <c r="I155" i="15"/>
  <c r="J155" i="15"/>
  <c r="K155" i="15"/>
  <c r="L155" i="15"/>
  <c r="M155" i="15"/>
  <c r="N155" i="15"/>
  <c r="O155" i="15"/>
  <c r="P155" i="15"/>
  <c r="Q155" i="15"/>
  <c r="R155" i="15"/>
  <c r="A156" i="15"/>
  <c r="E161" i="15"/>
  <c r="F161" i="15"/>
  <c r="G161" i="15"/>
  <c r="H161" i="15"/>
  <c r="I161" i="15"/>
  <c r="J161" i="15"/>
  <c r="K161" i="15"/>
  <c r="L161" i="15"/>
  <c r="M161" i="15"/>
  <c r="N161" i="15"/>
  <c r="O161" i="15"/>
  <c r="P161" i="15"/>
  <c r="Q161" i="15"/>
  <c r="R161" i="15"/>
  <c r="S161" i="15"/>
  <c r="T161" i="15"/>
  <c r="U161" i="15"/>
  <c r="E162" i="15"/>
  <c r="F162" i="15"/>
  <c r="G162" i="15"/>
  <c r="H162" i="15"/>
  <c r="I162" i="15"/>
  <c r="J162" i="15"/>
  <c r="K162" i="15"/>
  <c r="L162" i="15"/>
  <c r="M162" i="15"/>
  <c r="N162" i="15"/>
  <c r="O162" i="15"/>
  <c r="P162" i="15"/>
  <c r="Q162" i="15"/>
  <c r="R162" i="15"/>
  <c r="S162" i="15"/>
  <c r="T162" i="15"/>
  <c r="U162" i="15"/>
  <c r="E163" i="15"/>
  <c r="F163" i="15"/>
  <c r="G163" i="15"/>
  <c r="H163" i="15"/>
  <c r="I163" i="15"/>
  <c r="J163" i="15"/>
  <c r="K163" i="15"/>
  <c r="L163" i="15"/>
  <c r="M163" i="15"/>
  <c r="N163" i="15"/>
  <c r="O163" i="15"/>
  <c r="P163" i="15"/>
  <c r="Q163" i="15"/>
  <c r="R163" i="15"/>
  <c r="S163" i="15"/>
  <c r="T163" i="15"/>
  <c r="U163" i="15"/>
  <c r="E164" i="15"/>
  <c r="F164" i="15"/>
  <c r="G164" i="15"/>
  <c r="H164" i="15"/>
  <c r="I164" i="15"/>
  <c r="J164" i="15"/>
  <c r="K164" i="15"/>
  <c r="L164" i="15"/>
  <c r="M164" i="15"/>
  <c r="N164" i="15"/>
  <c r="O164" i="15"/>
  <c r="P164" i="15"/>
  <c r="Q164" i="15"/>
  <c r="R164" i="15"/>
  <c r="S164" i="15"/>
  <c r="E165" i="15"/>
  <c r="F165" i="15"/>
  <c r="G165" i="15"/>
  <c r="H165" i="15"/>
  <c r="I165" i="15"/>
  <c r="J165" i="15"/>
  <c r="K165" i="15"/>
  <c r="L165" i="15"/>
  <c r="M165" i="15"/>
  <c r="N165" i="15"/>
  <c r="O165" i="15"/>
  <c r="P165" i="15"/>
  <c r="Q165" i="15"/>
  <c r="R165" i="15"/>
  <c r="S165" i="15"/>
  <c r="E166" i="15"/>
  <c r="F166" i="15"/>
  <c r="G166" i="15"/>
  <c r="H166" i="15"/>
  <c r="I166" i="15"/>
  <c r="J166" i="15"/>
  <c r="K166" i="15"/>
  <c r="L166" i="15"/>
  <c r="M166" i="15"/>
  <c r="N166" i="15"/>
  <c r="O166" i="15"/>
  <c r="P166" i="15"/>
  <c r="Q166" i="15"/>
  <c r="R166" i="15"/>
  <c r="S166" i="15"/>
  <c r="T166" i="15"/>
  <c r="U166" i="15"/>
  <c r="E167" i="15"/>
  <c r="F167" i="15"/>
  <c r="G167" i="15"/>
  <c r="H167" i="15"/>
  <c r="I167" i="15"/>
  <c r="J167" i="15"/>
  <c r="K167" i="15"/>
  <c r="L167" i="15"/>
  <c r="M167" i="15"/>
  <c r="N167" i="15"/>
  <c r="O167" i="15"/>
  <c r="P167" i="15"/>
  <c r="Q167" i="15"/>
  <c r="R167" i="15"/>
  <c r="S167" i="15"/>
  <c r="T167" i="15"/>
  <c r="U167" i="15"/>
  <c r="E168" i="15"/>
  <c r="F168" i="15"/>
  <c r="G168" i="15"/>
  <c r="H168" i="15"/>
  <c r="I168" i="15"/>
  <c r="J168" i="15"/>
  <c r="K168" i="15"/>
  <c r="L168" i="15"/>
  <c r="M168" i="15"/>
  <c r="N168" i="15"/>
  <c r="O168" i="15"/>
  <c r="P168" i="15"/>
  <c r="Q168" i="15"/>
  <c r="R168" i="15"/>
  <c r="S168" i="15"/>
  <c r="T168" i="15"/>
  <c r="U168" i="15"/>
  <c r="E169" i="15"/>
  <c r="F169" i="15"/>
  <c r="G169" i="15"/>
  <c r="H169" i="15"/>
  <c r="I169" i="15"/>
  <c r="J169" i="15"/>
  <c r="K169" i="15"/>
  <c r="L169" i="15"/>
  <c r="M169" i="15"/>
  <c r="N169" i="15"/>
  <c r="O169" i="15"/>
  <c r="P169" i="15"/>
  <c r="Q169" i="15"/>
  <c r="R169" i="15"/>
  <c r="S169" i="15"/>
  <c r="T169" i="15"/>
  <c r="U169" i="15"/>
  <c r="E170" i="15"/>
  <c r="F170" i="15"/>
  <c r="G170" i="15"/>
  <c r="H170" i="15"/>
  <c r="I170" i="15"/>
  <c r="J170" i="15"/>
  <c r="K170" i="15"/>
  <c r="L170" i="15"/>
  <c r="M170" i="15"/>
  <c r="N170" i="15"/>
  <c r="O170" i="15"/>
  <c r="P170" i="15"/>
  <c r="Q170" i="15"/>
  <c r="R170" i="15"/>
  <c r="S170" i="15"/>
  <c r="T170" i="15"/>
  <c r="U170" i="15"/>
  <c r="E171" i="15"/>
  <c r="F171" i="15"/>
  <c r="G171" i="15"/>
  <c r="H171" i="15"/>
  <c r="I171" i="15"/>
  <c r="J171" i="15"/>
  <c r="K171" i="15"/>
  <c r="L171" i="15"/>
  <c r="M171" i="15"/>
  <c r="N171" i="15"/>
  <c r="O171" i="15"/>
  <c r="P171" i="15"/>
  <c r="Q171" i="15"/>
  <c r="R171" i="15"/>
  <c r="S171" i="15"/>
  <c r="E172" i="15"/>
  <c r="F172" i="15"/>
  <c r="G172" i="15"/>
  <c r="H172" i="15"/>
  <c r="I172" i="15"/>
  <c r="J172" i="15"/>
  <c r="K172" i="15"/>
  <c r="L172" i="15"/>
  <c r="M172" i="15"/>
  <c r="N172" i="15"/>
  <c r="O172" i="15"/>
  <c r="P172" i="15"/>
  <c r="Q172" i="15"/>
  <c r="R172" i="15"/>
  <c r="S172" i="15"/>
  <c r="E173" i="15"/>
  <c r="F173" i="15"/>
  <c r="G173" i="15"/>
  <c r="H173" i="15"/>
  <c r="I173" i="15"/>
  <c r="J173" i="15"/>
  <c r="K173" i="15"/>
  <c r="L173" i="15"/>
  <c r="M173" i="15"/>
  <c r="N173" i="15"/>
  <c r="O173" i="15"/>
  <c r="P173" i="15"/>
  <c r="Q173" i="15"/>
  <c r="R173" i="15"/>
  <c r="S173" i="15"/>
  <c r="E174" i="15"/>
  <c r="F174" i="15"/>
  <c r="G174" i="15"/>
  <c r="H174" i="15"/>
  <c r="I174" i="15"/>
  <c r="J174" i="15"/>
  <c r="K174" i="15"/>
  <c r="L174" i="15"/>
  <c r="M174" i="15"/>
  <c r="N174" i="15"/>
  <c r="O174" i="15"/>
  <c r="P174" i="15"/>
  <c r="Q174" i="15"/>
  <c r="R174" i="15"/>
  <c r="S174" i="15"/>
  <c r="E175" i="15"/>
  <c r="F175" i="15"/>
  <c r="G175" i="15"/>
  <c r="H175" i="15"/>
  <c r="I175" i="15"/>
  <c r="J175" i="15"/>
  <c r="K175" i="15"/>
  <c r="L175" i="15"/>
  <c r="M175" i="15"/>
  <c r="N175" i="15"/>
  <c r="O175" i="15"/>
  <c r="P175" i="15"/>
  <c r="Q175" i="15"/>
  <c r="R175" i="15"/>
  <c r="S175" i="15"/>
  <c r="E177" i="15"/>
  <c r="F177" i="15"/>
  <c r="G177" i="15"/>
  <c r="H177" i="15"/>
  <c r="I177" i="15"/>
  <c r="J177" i="15"/>
  <c r="K177" i="15"/>
  <c r="L177" i="15"/>
  <c r="M177" i="15"/>
  <c r="N177" i="15"/>
  <c r="O177" i="15"/>
  <c r="P177" i="15"/>
  <c r="Q177" i="15"/>
  <c r="R177" i="15"/>
  <c r="S177" i="15"/>
  <c r="T177" i="15"/>
  <c r="U177" i="15"/>
  <c r="O6" i="7"/>
  <c r="P6" i="7"/>
  <c r="O7" i="7"/>
  <c r="P7" i="7"/>
  <c r="J12" i="7"/>
  <c r="O12" i="7"/>
  <c r="J13" i="7"/>
  <c r="O13" i="7"/>
  <c r="J14" i="7"/>
  <c r="O14" i="7"/>
  <c r="J15" i="7"/>
  <c r="O15" i="7"/>
  <c r="J16" i="7"/>
  <c r="O16" i="7"/>
  <c r="J17" i="7"/>
  <c r="O17" i="7"/>
  <c r="J18" i="7"/>
  <c r="O18" i="7"/>
  <c r="J19" i="7"/>
  <c r="O19" i="7"/>
  <c r="J20" i="7"/>
  <c r="O20" i="7"/>
  <c r="J21" i="7"/>
  <c r="O21" i="7"/>
  <c r="J22" i="7"/>
  <c r="O22" i="7"/>
  <c r="J23" i="7"/>
  <c r="O23" i="7"/>
  <c r="J24" i="7"/>
  <c r="O24" i="7"/>
  <c r="J25" i="7"/>
  <c r="O25" i="7"/>
  <c r="J26" i="7"/>
  <c r="J27" i="7"/>
  <c r="J28" i="7"/>
  <c r="I29" i="7"/>
  <c r="J29" i="7"/>
  <c r="P29" i="7"/>
  <c r="N31" i="7"/>
  <c r="J33" i="7"/>
  <c r="N33" i="7"/>
  <c r="O33" i="7"/>
  <c r="P33" i="7"/>
  <c r="O37" i="7"/>
  <c r="P37" i="7"/>
  <c r="P38" i="7"/>
  <c r="N40" i="7"/>
  <c r="O40" i="7"/>
  <c r="P40" i="7"/>
  <c r="O52" i="7"/>
  <c r="P57" i="7"/>
  <c r="O60" i="7"/>
  <c r="K62" i="7"/>
  <c r="O63" i="7"/>
  <c r="O64" i="7"/>
  <c r="O65" i="7"/>
  <c r="O66" i="7"/>
  <c r="K70" i="7"/>
  <c r="N70" i="7"/>
  <c r="P70" i="7"/>
  <c r="O72" i="7"/>
  <c r="P72" i="7"/>
  <c r="O73" i="7"/>
  <c r="P73" i="7"/>
  <c r="J75" i="7"/>
  <c r="K75" i="7"/>
  <c r="O75" i="7"/>
  <c r="P75" i="7"/>
  <c r="P76" i="7"/>
  <c r="J80" i="7"/>
  <c r="P80" i="7"/>
  <c r="N82" i="7"/>
  <c r="O82" i="7"/>
  <c r="P82" i="7"/>
  <c r="P85" i="7"/>
  <c r="O97" i="7"/>
  <c r="O99" i="7"/>
  <c r="O101" i="7"/>
  <c r="L103" i="7"/>
  <c r="O106" i="7"/>
  <c r="L109" i="7"/>
  <c r="N109" i="7"/>
  <c r="P109" i="7"/>
  <c r="N116" i="7"/>
  <c r="O116" i="7"/>
  <c r="P116" i="7"/>
  <c r="N118" i="7"/>
  <c r="O118" i="7"/>
  <c r="P118" i="7"/>
  <c r="J122" i="7"/>
  <c r="J123" i="7"/>
  <c r="J124" i="7"/>
  <c r="J125" i="7"/>
  <c r="J126" i="7"/>
  <c r="J128" i="7"/>
  <c r="N128" i="7"/>
  <c r="P128" i="7"/>
  <c r="P130" i="7"/>
  <c r="N132" i="7"/>
  <c r="O132" i="7"/>
  <c r="P132" i="7"/>
  <c r="O135" i="7"/>
  <c r="O139" i="7"/>
  <c r="N141" i="7"/>
  <c r="O141" i="7"/>
  <c r="N143" i="7"/>
  <c r="O143" i="7"/>
  <c r="P143" i="7"/>
  <c r="I7" i="8"/>
  <c r="K7" i="8"/>
  <c r="M7" i="8"/>
  <c r="N7" i="8"/>
  <c r="D9" i="8"/>
  <c r="M9" i="8"/>
  <c r="D11" i="8"/>
  <c r="M11" i="8"/>
  <c r="D12" i="8"/>
  <c r="M12" i="8"/>
  <c r="N12" i="8"/>
  <c r="J13" i="8"/>
  <c r="K13" i="8"/>
  <c r="N13" i="8"/>
  <c r="D14" i="8"/>
  <c r="H14" i="8"/>
  <c r="I14" i="8"/>
  <c r="J14" i="8"/>
  <c r="K14" i="8"/>
  <c r="L14" i="8"/>
  <c r="D17" i="8"/>
  <c r="F17" i="8"/>
  <c r="M17" i="8"/>
  <c r="N17" i="8"/>
  <c r="K18" i="8"/>
  <c r="D19" i="8"/>
  <c r="F19" i="8"/>
  <c r="M19" i="8"/>
  <c r="N19" i="8"/>
  <c r="F20" i="8"/>
  <c r="F21" i="8"/>
  <c r="D22" i="8"/>
  <c r="F22" i="8"/>
  <c r="M22" i="8"/>
  <c r="N22" i="8"/>
  <c r="K23" i="8"/>
  <c r="D24" i="8"/>
  <c r="F24" i="8"/>
  <c r="M24" i="8"/>
  <c r="N24" i="8"/>
  <c r="K25" i="8"/>
  <c r="D26" i="8"/>
  <c r="F26" i="8"/>
  <c r="M26" i="8"/>
  <c r="N26" i="8"/>
  <c r="K27" i="8"/>
  <c r="H28" i="8"/>
  <c r="K28" i="8"/>
  <c r="D29" i="8"/>
  <c r="F29" i="8"/>
  <c r="M29" i="8"/>
  <c r="D30" i="8"/>
  <c r="M30" i="8"/>
  <c r="N30" i="8"/>
  <c r="H31" i="8"/>
  <c r="K31" i="8"/>
  <c r="D32" i="8"/>
  <c r="M32" i="8"/>
  <c r="D33" i="8"/>
  <c r="M33" i="8"/>
  <c r="N33" i="8"/>
  <c r="D34" i="8"/>
  <c r="K34" i="8"/>
  <c r="D35" i="8"/>
  <c r="M35" i="8"/>
  <c r="N35" i="8"/>
  <c r="K36" i="8"/>
  <c r="D37" i="8"/>
  <c r="M37" i="8"/>
  <c r="N37" i="8"/>
  <c r="H38" i="8"/>
  <c r="I38" i="8"/>
  <c r="J38" i="8"/>
  <c r="K38" i="8"/>
  <c r="L38" i="8"/>
  <c r="K40" i="8"/>
  <c r="L40" i="8"/>
  <c r="M40" i="8"/>
  <c r="N40" i="8"/>
  <c r="K50" i="8"/>
  <c r="K51" i="8"/>
  <c r="M51" i="8"/>
  <c r="N51" i="8"/>
  <c r="F52" i="8"/>
  <c r="H52" i="8"/>
  <c r="K52" i="8"/>
  <c r="M52" i="8"/>
  <c r="N52" i="8"/>
  <c r="I56" i="8"/>
  <c r="K56" i="8"/>
  <c r="M56" i="8"/>
  <c r="N56" i="8"/>
  <c r="D57" i="8"/>
  <c r="K57" i="8"/>
  <c r="M57" i="8"/>
  <c r="N57" i="8"/>
  <c r="M58" i="8"/>
  <c r="N58" i="8"/>
  <c r="K59" i="8"/>
  <c r="M59" i="8"/>
  <c r="N59" i="8"/>
  <c r="K60" i="8"/>
  <c r="M60" i="8"/>
  <c r="N60" i="8"/>
  <c r="K61" i="8"/>
  <c r="M61" i="8"/>
  <c r="N61" i="8"/>
  <c r="K62" i="8"/>
  <c r="M62" i="8"/>
  <c r="N62" i="8"/>
  <c r="H63" i="8"/>
  <c r="K63" i="8"/>
  <c r="H64" i="8"/>
  <c r="K64" i="8"/>
  <c r="K65" i="8"/>
  <c r="K66" i="8"/>
  <c r="D67" i="8"/>
  <c r="H67" i="8"/>
  <c r="I67" i="8"/>
  <c r="J67" i="8"/>
  <c r="K67" i="8"/>
  <c r="L67" i="8"/>
  <c r="M67" i="8"/>
  <c r="N67" i="8"/>
  <c r="K68" i="8"/>
  <c r="L70" i="8"/>
  <c r="M70" i="8"/>
  <c r="N70" i="8"/>
  <c r="K71" i="8"/>
  <c r="I76" i="8"/>
  <c r="K76" i="8"/>
  <c r="M77" i="8"/>
  <c r="N77" i="8"/>
  <c r="D78" i="8"/>
  <c r="F78" i="8"/>
  <c r="H78" i="8"/>
  <c r="K78" i="8"/>
  <c r="D79" i="8"/>
  <c r="F79" i="8"/>
  <c r="M79" i="8"/>
  <c r="D80" i="8"/>
  <c r="F80" i="8"/>
  <c r="M80" i="8"/>
  <c r="N80" i="8"/>
  <c r="J81" i="8"/>
  <c r="K81" i="8"/>
  <c r="M82" i="8"/>
  <c r="N82" i="8"/>
  <c r="D83" i="8"/>
  <c r="F83" i="8"/>
  <c r="H83" i="8"/>
  <c r="I83" i="8"/>
  <c r="J83" i="8"/>
  <c r="K83" i="8"/>
  <c r="L83" i="8"/>
  <c r="D85" i="8"/>
  <c r="F85" i="8"/>
  <c r="H85" i="8"/>
  <c r="K85" i="8"/>
  <c r="D86" i="8"/>
  <c r="F86" i="8"/>
  <c r="M86" i="8"/>
  <c r="N86" i="8"/>
  <c r="H87" i="8"/>
  <c r="K87" i="8"/>
  <c r="D88" i="8"/>
  <c r="F88" i="8"/>
  <c r="M88" i="8"/>
  <c r="N88" i="8"/>
  <c r="I90" i="8"/>
  <c r="K90" i="8"/>
  <c r="D91" i="8"/>
  <c r="M91" i="8"/>
  <c r="N91" i="8"/>
  <c r="I92" i="8"/>
  <c r="K92" i="8"/>
  <c r="D93" i="8"/>
  <c r="M93" i="8"/>
  <c r="N93" i="8"/>
  <c r="I94" i="8"/>
  <c r="K94" i="8"/>
  <c r="D95" i="8"/>
  <c r="M95" i="8"/>
  <c r="N95" i="8"/>
  <c r="K96" i="8"/>
  <c r="D97" i="8"/>
  <c r="H97" i="8"/>
  <c r="K97" i="8"/>
  <c r="D98" i="8"/>
  <c r="M98" i="8"/>
  <c r="N98" i="8"/>
  <c r="D99" i="8"/>
  <c r="F99" i="8"/>
  <c r="H99" i="8"/>
  <c r="K99" i="8"/>
  <c r="D100" i="8"/>
  <c r="M100" i="8"/>
  <c r="N100" i="8"/>
  <c r="D101" i="8"/>
  <c r="I101" i="8"/>
  <c r="K101" i="8"/>
  <c r="D102" i="8"/>
  <c r="M102" i="8"/>
  <c r="N102" i="8"/>
  <c r="I103" i="8"/>
  <c r="K103" i="8"/>
  <c r="D104" i="8"/>
  <c r="F104" i="8"/>
  <c r="M104" i="8"/>
  <c r="N104" i="8"/>
  <c r="H105" i="8"/>
  <c r="I105" i="8"/>
  <c r="J105" i="8"/>
  <c r="K105" i="8"/>
  <c r="L105" i="8"/>
  <c r="J107" i="8"/>
  <c r="K107" i="8"/>
  <c r="L107" i="8"/>
  <c r="M107" i="8"/>
  <c r="N107" i="8"/>
  <c r="N108" i="8"/>
  <c r="N109" i="8"/>
  <c r="B11" i="10"/>
  <c r="C11" i="10"/>
  <c r="D11" i="10"/>
  <c r="E11" i="10"/>
  <c r="F11" i="10"/>
  <c r="O11" i="10"/>
  <c r="P11" i="10"/>
  <c r="P16" i="10"/>
  <c r="B19" i="10"/>
  <c r="C19" i="10"/>
  <c r="D19" i="10"/>
  <c r="E19" i="10"/>
  <c r="F19" i="10"/>
  <c r="O19" i="10"/>
  <c r="B27" i="10"/>
  <c r="C27" i="10"/>
  <c r="D27" i="10"/>
  <c r="E27" i="10"/>
  <c r="F27" i="10"/>
  <c r="O27" i="10"/>
  <c r="B35" i="10"/>
  <c r="C35" i="10"/>
  <c r="D35" i="10"/>
  <c r="E35" i="10"/>
  <c r="F35" i="10"/>
  <c r="G35" i="10"/>
  <c r="H35" i="10"/>
  <c r="I35" i="10"/>
  <c r="J35" i="10"/>
  <c r="K35" i="10"/>
  <c r="L35" i="10"/>
  <c r="M35" i="10"/>
  <c r="O35" i="10"/>
  <c r="P42" i="10"/>
  <c r="B43" i="10"/>
  <c r="C43" i="10"/>
  <c r="D43" i="10"/>
  <c r="E43" i="10"/>
  <c r="F43" i="10"/>
  <c r="G43" i="10"/>
  <c r="H43" i="10"/>
  <c r="I43" i="10"/>
  <c r="J43" i="10"/>
  <c r="K43" i="10"/>
  <c r="L43" i="10"/>
  <c r="M43" i="10"/>
  <c r="O43" i="10"/>
  <c r="P50" i="10"/>
  <c r="B51" i="10"/>
  <c r="C51" i="10"/>
  <c r="D51" i="10"/>
  <c r="E51" i="10"/>
  <c r="F51" i="10"/>
  <c r="G51" i="10"/>
  <c r="H51" i="10"/>
  <c r="I51" i="10"/>
  <c r="J51" i="10"/>
  <c r="K51" i="10"/>
  <c r="L51" i="10"/>
  <c r="M51" i="10"/>
  <c r="O51" i="10"/>
  <c r="B59" i="10"/>
  <c r="C59" i="10"/>
  <c r="D59" i="10"/>
  <c r="E59" i="10"/>
  <c r="F59" i="10"/>
  <c r="G59" i="10"/>
  <c r="H59" i="10"/>
  <c r="I59" i="10"/>
  <c r="J59" i="10"/>
  <c r="K59" i="10"/>
  <c r="L59" i="10"/>
  <c r="M59" i="10"/>
  <c r="O59" i="10"/>
  <c r="Q59" i="10"/>
  <c r="B67" i="10"/>
  <c r="C67" i="10"/>
  <c r="D67" i="10"/>
  <c r="E67" i="10"/>
  <c r="F67" i="10"/>
  <c r="G67" i="10"/>
  <c r="H67" i="10"/>
  <c r="I67" i="10"/>
  <c r="J67" i="10"/>
  <c r="K67" i="10"/>
  <c r="L67" i="10"/>
  <c r="M67" i="10"/>
  <c r="O67" i="10"/>
  <c r="Q67" i="10"/>
  <c r="B75" i="10"/>
  <c r="C75" i="10"/>
  <c r="D75" i="10"/>
  <c r="E75" i="10"/>
  <c r="F75" i="10"/>
  <c r="G75" i="10"/>
  <c r="H75" i="10"/>
  <c r="I75" i="10"/>
  <c r="J75" i="10"/>
  <c r="K75" i="10"/>
  <c r="L75" i="10"/>
  <c r="M75" i="10"/>
  <c r="O75" i="10"/>
  <c r="Q75" i="10"/>
  <c r="B83" i="10"/>
  <c r="C83" i="10"/>
  <c r="D83" i="10"/>
  <c r="E83" i="10"/>
  <c r="F83" i="10"/>
  <c r="G83" i="10"/>
  <c r="H83" i="10"/>
  <c r="I83" i="10"/>
  <c r="J83" i="10"/>
  <c r="K83" i="10"/>
  <c r="L83" i="10"/>
  <c r="M83" i="10"/>
  <c r="N83" i="10"/>
  <c r="O83" i="10"/>
  <c r="Q83" i="10"/>
  <c r="O84" i="10"/>
  <c r="Q84" i="10"/>
  <c r="B85" i="10"/>
  <c r="C85" i="10"/>
  <c r="D85" i="10"/>
  <c r="E85" i="10"/>
  <c r="F85" i="10"/>
  <c r="G85" i="10"/>
  <c r="H85" i="10"/>
  <c r="I85" i="10"/>
  <c r="J85" i="10"/>
  <c r="K85" i="10"/>
  <c r="L85" i="10"/>
  <c r="M85" i="10"/>
  <c r="N85" i="10"/>
  <c r="O85" i="10"/>
  <c r="P85" i="10"/>
  <c r="B11" i="11"/>
  <c r="C11" i="11"/>
  <c r="D11" i="11"/>
  <c r="E11" i="11"/>
  <c r="F11" i="11"/>
  <c r="O11" i="11"/>
  <c r="Q11" i="11"/>
  <c r="Q16" i="11"/>
  <c r="B19" i="11"/>
  <c r="C19" i="11"/>
  <c r="D19" i="11"/>
  <c r="E19" i="11"/>
  <c r="F19" i="11"/>
  <c r="O19" i="11"/>
  <c r="B27" i="11"/>
  <c r="C27" i="11"/>
  <c r="D27" i="11"/>
  <c r="E27" i="11"/>
  <c r="F27" i="11"/>
  <c r="G27" i="11"/>
  <c r="H27" i="11"/>
  <c r="I27" i="11"/>
  <c r="J27" i="11"/>
  <c r="K27" i="11"/>
  <c r="L27" i="11"/>
  <c r="M27" i="11"/>
  <c r="N27" i="11"/>
  <c r="O27" i="11"/>
  <c r="B35" i="11"/>
  <c r="C35" i="11"/>
  <c r="D35" i="11"/>
  <c r="E35" i="11"/>
  <c r="F35" i="11"/>
  <c r="G35" i="11"/>
  <c r="H35" i="11"/>
  <c r="I35" i="11"/>
  <c r="J35" i="11"/>
  <c r="K35" i="11"/>
  <c r="L35" i="11"/>
  <c r="M35" i="11"/>
  <c r="O35" i="11"/>
  <c r="Q42" i="11"/>
  <c r="B43" i="11"/>
  <c r="C43" i="11"/>
  <c r="D43" i="11"/>
  <c r="E43" i="11"/>
  <c r="F43" i="11"/>
  <c r="G43" i="11"/>
  <c r="H43" i="11"/>
  <c r="I43" i="11"/>
  <c r="J43" i="11"/>
  <c r="K43" i="11"/>
  <c r="L43" i="11"/>
  <c r="M43" i="11"/>
  <c r="O43" i="11"/>
  <c r="Q50" i="11"/>
  <c r="B51" i="11"/>
  <c r="C51" i="11"/>
  <c r="D51" i="11"/>
  <c r="E51" i="11"/>
  <c r="F51" i="11"/>
  <c r="G51" i="11"/>
  <c r="H51" i="11"/>
  <c r="I51" i="11"/>
  <c r="J51" i="11"/>
  <c r="K51" i="11"/>
  <c r="L51" i="11"/>
  <c r="M51" i="11"/>
  <c r="O51" i="11"/>
  <c r="B59" i="11"/>
  <c r="C59" i="11"/>
  <c r="D59" i="11"/>
  <c r="E59" i="11"/>
  <c r="F59" i="11"/>
  <c r="G59" i="11"/>
  <c r="H59" i="11"/>
  <c r="I59" i="11"/>
  <c r="J59" i="11"/>
  <c r="K59" i="11"/>
  <c r="L59" i="11"/>
  <c r="M59" i="11"/>
  <c r="O59" i="11"/>
  <c r="P59" i="11"/>
  <c r="B67" i="11"/>
  <c r="C67" i="11"/>
  <c r="D67" i="11"/>
  <c r="E67" i="11"/>
  <c r="F67" i="11"/>
  <c r="G67" i="11"/>
  <c r="H67" i="11"/>
  <c r="I67" i="11"/>
  <c r="J67" i="11"/>
  <c r="K67" i="11"/>
  <c r="L67" i="11"/>
  <c r="M67" i="11"/>
  <c r="O67" i="11"/>
  <c r="P67" i="11"/>
  <c r="B75" i="11"/>
  <c r="C75" i="11"/>
  <c r="D75" i="11"/>
  <c r="E75" i="11"/>
  <c r="F75" i="11"/>
  <c r="G75" i="11"/>
  <c r="H75" i="11"/>
  <c r="I75" i="11"/>
  <c r="J75" i="11"/>
  <c r="K75" i="11"/>
  <c r="L75" i="11"/>
  <c r="M75" i="11"/>
  <c r="O75" i="11"/>
  <c r="B83" i="11"/>
  <c r="C83" i="11"/>
  <c r="D83" i="11"/>
  <c r="E83" i="11"/>
  <c r="F83" i="11"/>
  <c r="G83" i="11"/>
  <c r="H83" i="11"/>
  <c r="I83" i="11"/>
  <c r="J83" i="11"/>
  <c r="K83" i="11"/>
  <c r="L83" i="11"/>
  <c r="M83" i="11"/>
  <c r="N83" i="11"/>
  <c r="O83" i="11"/>
  <c r="O84" i="11"/>
  <c r="P84" i="11"/>
  <c r="B85" i="11"/>
  <c r="C85" i="11"/>
  <c r="D85" i="11"/>
  <c r="E85" i="11"/>
  <c r="F85" i="11"/>
  <c r="G85" i="11"/>
  <c r="H85" i="11"/>
  <c r="I85" i="11"/>
  <c r="J85" i="11"/>
  <c r="K85" i="11"/>
  <c r="L85" i="11"/>
  <c r="M85" i="11"/>
  <c r="N85" i="11"/>
  <c r="O85" i="11"/>
  <c r="Q85" i="11"/>
  <c r="K6" i="9"/>
  <c r="K7" i="9"/>
  <c r="K9" i="9"/>
  <c r="K10" i="9"/>
  <c r="K11" i="9"/>
  <c r="K12" i="9"/>
  <c r="K13" i="9"/>
  <c r="K14" i="9"/>
  <c r="K15" i="9"/>
  <c r="K16" i="9"/>
  <c r="J17" i="9"/>
  <c r="K17" i="9"/>
  <c r="K18" i="9"/>
  <c r="K19" i="9"/>
  <c r="K20" i="9"/>
  <c r="I21" i="9"/>
  <c r="K21" i="9"/>
  <c r="I23" i="9"/>
  <c r="K23" i="9"/>
  <c r="J32" i="9"/>
  <c r="K32" i="9"/>
  <c r="H34" i="9"/>
  <c r="J34" i="9"/>
  <c r="K34" i="9"/>
  <c r="H36" i="9"/>
  <c r="J36" i="9"/>
  <c r="K36" i="9"/>
  <c r="K38" i="9"/>
  <c r="J40" i="9"/>
  <c r="K40" i="9"/>
  <c r="K42" i="9"/>
  <c r="K44" i="9"/>
  <c r="I47" i="9"/>
  <c r="J47" i="9"/>
  <c r="K47" i="9"/>
  <c r="H65" i="9"/>
  <c r="J13" i="13"/>
  <c r="J14" i="13"/>
  <c r="J15" i="13"/>
  <c r="J16" i="13"/>
  <c r="J17" i="13"/>
  <c r="J18" i="13"/>
  <c r="J19" i="13"/>
  <c r="J20" i="13"/>
  <c r="J21" i="13"/>
  <c r="L21" i="13"/>
  <c r="J22" i="13"/>
  <c r="L22" i="13"/>
  <c r="J23" i="13"/>
  <c r="J24" i="13"/>
  <c r="J25" i="13"/>
  <c r="J28" i="13"/>
  <c r="J29" i="13"/>
  <c r="J30" i="13"/>
  <c r="J31" i="13"/>
  <c r="J32" i="13"/>
  <c r="J33" i="13"/>
  <c r="J34" i="13"/>
  <c r="J35" i="13"/>
  <c r="J36" i="13"/>
  <c r="J37" i="13"/>
  <c r="J38" i="13"/>
  <c r="J39" i="13"/>
  <c r="J40" i="13"/>
  <c r="J41" i="13"/>
  <c r="J42" i="13"/>
  <c r="E43" i="13"/>
  <c r="J45" i="13"/>
  <c r="L48" i="13"/>
  <c r="L51" i="13"/>
  <c r="F52" i="13"/>
  <c r="F53" i="13"/>
  <c r="F59" i="13"/>
  <c r="J61" i="13"/>
  <c r="F66" i="13"/>
  <c r="F71" i="13"/>
  <c r="H75" i="13"/>
  <c r="F78" i="13"/>
  <c r="J79" i="13"/>
  <c r="J80" i="13"/>
  <c r="F81" i="13"/>
  <c r="H81" i="13"/>
  <c r="L85" i="13"/>
  <c r="J89" i="13"/>
  <c r="J91" i="13"/>
  <c r="K91" i="13"/>
  <c r="J100" i="13"/>
  <c r="J101" i="13"/>
  <c r="L101" i="13"/>
  <c r="J102" i="13"/>
  <c r="J103" i="13"/>
  <c r="J104" i="13"/>
  <c r="J105" i="13"/>
  <c r="J106" i="13"/>
  <c r="J107" i="13"/>
  <c r="J108" i="13"/>
  <c r="J109" i="13"/>
  <c r="J110" i="13"/>
  <c r="L110" i="13"/>
  <c r="J111" i="13"/>
  <c r="L111" i="13"/>
  <c r="J112" i="13"/>
  <c r="L112" i="13"/>
  <c r="J113" i="13"/>
  <c r="L113" i="13"/>
  <c r="J114" i="13"/>
  <c r="L114" i="13"/>
  <c r="J115" i="13"/>
  <c r="L115" i="13"/>
  <c r="J116" i="13"/>
  <c r="J117" i="13"/>
  <c r="J118" i="13"/>
  <c r="L118" i="13"/>
  <c r="J122" i="13"/>
  <c r="J123" i="13"/>
  <c r="J124" i="13"/>
  <c r="J125" i="13"/>
  <c r="J126" i="13"/>
  <c r="J127" i="13"/>
  <c r="J128" i="13"/>
  <c r="J129" i="13"/>
  <c r="J130" i="13"/>
  <c r="J131" i="13"/>
  <c r="J132" i="13"/>
  <c r="J133" i="13"/>
  <c r="J134" i="13"/>
  <c r="J135" i="13"/>
  <c r="J136" i="13"/>
  <c r="J137" i="13"/>
  <c r="F139" i="13"/>
  <c r="L140" i="13"/>
  <c r="F141" i="13"/>
  <c r="L145" i="13"/>
  <c r="F146" i="13"/>
  <c r="F152" i="13"/>
  <c r="J157" i="13"/>
  <c r="L158" i="13"/>
  <c r="L159" i="13"/>
  <c r="L160" i="13"/>
  <c r="L161" i="13"/>
  <c r="L162" i="13"/>
  <c r="L163" i="13"/>
  <c r="L164" i="13"/>
  <c r="F166" i="13"/>
  <c r="L171" i="13"/>
  <c r="F172" i="13"/>
  <c r="L174" i="13"/>
  <c r="F177" i="13"/>
  <c r="F179" i="13"/>
  <c r="F180" i="13"/>
  <c r="L180" i="13"/>
  <c r="F181" i="13"/>
  <c r="J183" i="13"/>
  <c r="L187" i="13"/>
  <c r="J193" i="13"/>
  <c r="J195" i="13"/>
  <c r="K195" i="13"/>
  <c r="H199" i="13"/>
  <c r="L199" i="13"/>
  <c r="H200" i="13"/>
  <c r="L203" i="13"/>
  <c r="J204" i="13"/>
  <c r="K204" i="13"/>
  <c r="L204" i="13"/>
  <c r="L208" i="13"/>
  <c r="L211" i="13"/>
  <c r="K213" i="13"/>
  <c r="K215" i="13"/>
  <c r="L215" i="13"/>
  <c r="M215" i="13"/>
  <c r="M216" i="13"/>
  <c r="K7" i="14"/>
  <c r="H9" i="14"/>
  <c r="J9" i="14"/>
  <c r="L9" i="14"/>
  <c r="K11" i="14"/>
  <c r="H13" i="14"/>
  <c r="J13" i="14"/>
  <c r="L13" i="14"/>
  <c r="J14" i="14"/>
  <c r="K14" i="14"/>
  <c r="L14" i="14"/>
  <c r="L17" i="14"/>
  <c r="E21" i="14"/>
  <c r="F21" i="14"/>
  <c r="I21" i="14"/>
  <c r="K21" i="14"/>
  <c r="E22" i="14"/>
  <c r="F22" i="14"/>
  <c r="I22" i="14"/>
  <c r="K22" i="14"/>
  <c r="E23" i="14"/>
  <c r="F23" i="14"/>
  <c r="I23" i="14"/>
  <c r="K23" i="14"/>
  <c r="E24" i="14"/>
  <c r="F24" i="14"/>
  <c r="I24" i="14"/>
  <c r="K24" i="14"/>
  <c r="E25" i="14"/>
  <c r="F25" i="14"/>
  <c r="I25" i="14"/>
  <c r="K25" i="14"/>
  <c r="E26" i="14"/>
  <c r="F26" i="14"/>
  <c r="I26" i="14"/>
  <c r="K26" i="14"/>
  <c r="E27" i="14"/>
  <c r="F27" i="14"/>
  <c r="I27" i="14"/>
  <c r="K27" i="14"/>
  <c r="E28" i="14"/>
  <c r="F28" i="14"/>
  <c r="I28" i="14"/>
  <c r="K28" i="14"/>
  <c r="E29" i="14"/>
  <c r="F29" i="14"/>
  <c r="I29" i="14"/>
  <c r="K29" i="14"/>
  <c r="E30" i="14"/>
  <c r="F30" i="14"/>
  <c r="I30" i="14"/>
  <c r="K30" i="14"/>
  <c r="E31" i="14"/>
  <c r="F31" i="14"/>
  <c r="I31" i="14"/>
  <c r="K31" i="14"/>
  <c r="E32" i="14"/>
  <c r="F32" i="14"/>
  <c r="I32" i="14"/>
  <c r="K32" i="14"/>
  <c r="E33" i="14"/>
  <c r="F33" i="14"/>
  <c r="I33" i="14"/>
  <c r="K33" i="14"/>
  <c r="E34" i="14"/>
  <c r="F34" i="14"/>
  <c r="I34" i="14"/>
  <c r="K34" i="14"/>
  <c r="E35" i="14"/>
  <c r="F35" i="14"/>
  <c r="I35" i="14"/>
  <c r="K35" i="14"/>
  <c r="E36" i="14"/>
  <c r="F36" i="14"/>
  <c r="I36" i="14"/>
  <c r="K36" i="14"/>
  <c r="C37" i="14"/>
  <c r="D37" i="14"/>
  <c r="E37" i="14"/>
  <c r="F37" i="14"/>
  <c r="G37" i="14"/>
  <c r="H37" i="14"/>
  <c r="I37" i="14"/>
  <c r="E44" i="14"/>
  <c r="F44" i="14"/>
  <c r="G44" i="14"/>
  <c r="I44" i="14"/>
  <c r="K44" i="14"/>
  <c r="E45" i="14"/>
  <c r="F45" i="14"/>
  <c r="G45" i="14"/>
  <c r="I45" i="14"/>
  <c r="K45" i="14"/>
  <c r="E46" i="14"/>
  <c r="F46" i="14"/>
  <c r="G46" i="14"/>
  <c r="I46" i="14"/>
  <c r="K46" i="14"/>
  <c r="E47" i="14"/>
  <c r="F47" i="14"/>
  <c r="G47" i="14"/>
  <c r="I47" i="14"/>
  <c r="K47" i="14"/>
  <c r="E48" i="14"/>
  <c r="F48" i="14"/>
  <c r="G48" i="14"/>
  <c r="I48" i="14"/>
  <c r="K48" i="14"/>
  <c r="E49" i="14"/>
  <c r="F49" i="14"/>
  <c r="G49" i="14"/>
  <c r="I49" i="14"/>
  <c r="K49" i="14"/>
  <c r="C50" i="14"/>
  <c r="D50" i="14"/>
  <c r="E50" i="14"/>
  <c r="F50" i="14"/>
  <c r="G50" i="14"/>
  <c r="H50" i="14"/>
  <c r="I50" i="14"/>
  <c r="C52" i="14"/>
  <c r="D52" i="14"/>
  <c r="E52" i="14"/>
  <c r="F52" i="14"/>
  <c r="G52" i="14"/>
  <c r="H52" i="14"/>
  <c r="I52" i="14"/>
  <c r="J57" i="14"/>
  <c r="J58" i="14"/>
  <c r="K58" i="14"/>
  <c r="L58" i="14"/>
  <c r="K61" i="14"/>
  <c r="L61" i="14"/>
  <c r="L63" i="14"/>
  <c r="L65" i="14"/>
  <c r="K67" i="14"/>
  <c r="L67" i="14"/>
  <c r="L69" i="14"/>
  <c r="L71" i="14"/>
  <c r="K73" i="14"/>
  <c r="L73" i="14"/>
  <c r="C10" i="1"/>
  <c r="D10" i="1"/>
  <c r="E10" i="1"/>
  <c r="F10" i="1"/>
  <c r="G12" i="1"/>
  <c r="C16" i="1"/>
  <c r="D16" i="1"/>
  <c r="E16" i="1"/>
  <c r="F16" i="1"/>
  <c r="F18" i="1"/>
  <c r="F21" i="1"/>
  <c r="K4" i="2"/>
  <c r="L4" i="2"/>
  <c r="M4" i="2"/>
  <c r="N4" i="2"/>
  <c r="K7" i="2"/>
  <c r="L7" i="2"/>
  <c r="M7" i="2"/>
  <c r="N7" i="2"/>
  <c r="L9" i="2"/>
  <c r="M9" i="2"/>
  <c r="N9" i="2"/>
  <c r="K11" i="2"/>
  <c r="L11" i="2"/>
  <c r="M11" i="2"/>
  <c r="N11" i="2"/>
  <c r="L14" i="2"/>
  <c r="M14" i="2"/>
  <c r="N14" i="2"/>
  <c r="L16" i="2"/>
  <c r="M16" i="2"/>
  <c r="N16" i="2"/>
  <c r="L20" i="2"/>
  <c r="M20" i="2"/>
  <c r="N20" i="2"/>
  <c r="K22" i="2"/>
  <c r="L22" i="2"/>
  <c r="M22" i="2"/>
  <c r="N22" i="2"/>
  <c r="K24" i="2"/>
  <c r="L24" i="2"/>
  <c r="M24" i="2"/>
  <c r="N24" i="2"/>
  <c r="K26" i="2"/>
  <c r="L26" i="2"/>
  <c r="M26" i="2"/>
  <c r="N26" i="2"/>
  <c r="K30" i="2"/>
  <c r="L30" i="2"/>
  <c r="M30" i="2"/>
  <c r="N30" i="2"/>
  <c r="L32" i="2"/>
  <c r="M32" i="2"/>
  <c r="N32" i="2"/>
  <c r="K34" i="2"/>
  <c r="L34" i="2"/>
  <c r="M34" i="2"/>
  <c r="N34" i="2"/>
  <c r="K36" i="2"/>
  <c r="L36" i="2"/>
  <c r="M36" i="2"/>
  <c r="N36" i="2"/>
  <c r="K38" i="2"/>
  <c r="L38" i="2"/>
  <c r="M38" i="2"/>
  <c r="N38" i="2"/>
  <c r="K40" i="2"/>
  <c r="L40" i="2"/>
  <c r="M40" i="2"/>
  <c r="N40" i="2"/>
  <c r="K42" i="2"/>
  <c r="L42" i="2"/>
  <c r="M42" i="2"/>
  <c r="N42" i="2"/>
  <c r="K44" i="2"/>
  <c r="L44" i="2"/>
  <c r="M44" i="2"/>
  <c r="N44" i="2"/>
  <c r="K46" i="2"/>
  <c r="L46" i="2"/>
  <c r="M46" i="2"/>
  <c r="N46" i="2"/>
  <c r="L48" i="2"/>
  <c r="M48" i="2"/>
  <c r="N48" i="2"/>
  <c r="K51" i="2"/>
  <c r="L51" i="2"/>
  <c r="M51" i="2"/>
  <c r="N51" i="2"/>
  <c r="M52" i="2"/>
</calcChain>
</file>

<file path=xl/sharedStrings.xml><?xml version="1.0" encoding="utf-8"?>
<sst xmlns="http://schemas.openxmlformats.org/spreadsheetml/2006/main" count="2198" uniqueCount="853">
  <si>
    <t>Elliott on-site services for labor on disassembly,</t>
  </si>
  <si>
    <t>PRECO shop work on turbine rotor, compressor rotor, 2nd &amp;</t>
  </si>
  <si>
    <t>Item</t>
  </si>
  <si>
    <t>Vendor/Description of Activity</t>
  </si>
  <si>
    <t>Bill Hamer (Gas Turbine Mech. Serv.)</t>
  </si>
  <si>
    <t>Jim Richards (Kelly McKinzie Stand-in)</t>
  </si>
  <si>
    <t>Property Damage Summary</t>
  </si>
  <si>
    <t>Mechanical Breakdown, June 14, 2000 - Unit #1</t>
  </si>
  <si>
    <t>Claim</t>
  </si>
  <si>
    <t>Adjustments</t>
  </si>
  <si>
    <t>SCHEDULE 1</t>
  </si>
  <si>
    <t>Elliott On-Site Services</t>
  </si>
  <si>
    <t>General Electric</t>
  </si>
  <si>
    <t>Power Support</t>
  </si>
  <si>
    <t>Preco</t>
  </si>
  <si>
    <t>Millwrights, Inc.</t>
  </si>
  <si>
    <t>RTA</t>
  </si>
  <si>
    <t>Wach's Co.</t>
  </si>
  <si>
    <t>NEPCO</t>
  </si>
  <si>
    <t>Power Spares</t>
  </si>
  <si>
    <t>Enron North America</t>
  </si>
  <si>
    <t>Jim Mayeaux</t>
  </si>
  <si>
    <t>G.L.C. Consulting</t>
  </si>
  <si>
    <t>Kelly McKinzie</t>
  </si>
  <si>
    <t>Jim Richards</t>
  </si>
  <si>
    <t>Sam Kamal</t>
  </si>
  <si>
    <t>Swame</t>
  </si>
  <si>
    <t>Frank Cervenka</t>
  </si>
  <si>
    <t>Schedule</t>
  </si>
  <si>
    <t>Schedule 1</t>
  </si>
  <si>
    <t>Schedule 2</t>
  </si>
  <si>
    <t>Schedule 3</t>
  </si>
  <si>
    <t>Schedule 5</t>
  </si>
  <si>
    <t>Shengli (Victor) Wu</t>
  </si>
  <si>
    <t>Full set of rotor &amp; stator compressor blades, spacer kit</t>
  </si>
  <si>
    <t>Consultant services - Waylon Beaty</t>
  </si>
  <si>
    <t>Provide turning gear reducer and hydraulic planetary gears</t>
  </si>
  <si>
    <t>On-site expenses and/or extended support for Virgo, Kristich, etc.</t>
  </si>
  <si>
    <t>EECC Performance Engineer</t>
  </si>
  <si>
    <t>EECC QA - Contract Labor</t>
  </si>
  <si>
    <t>EECC 3rd Party QA - Oilfield Materials Consultants - OMC</t>
  </si>
  <si>
    <t>Technical guidance</t>
  </si>
  <si>
    <t>Technical guidance/Loss Summary</t>
  </si>
  <si>
    <t>(Mike Elliot) - Provide compressor stub shaft</t>
  </si>
  <si>
    <t>U1 bearing repair, miscellaneous machining, grinding</t>
  </si>
  <si>
    <t>deburring, &amp; quality venfication of shim for U1 thrust bearing</t>
  </si>
  <si>
    <t>re-conditioning of turning gear motor, &amp; consultant services</t>
  </si>
  <si>
    <t>For on-site removal of old stationary vanes</t>
  </si>
  <si>
    <t xml:space="preserve">Construction &amp; startup support </t>
  </si>
  <si>
    <t>Personnel contracted: Metallurgical, failure analysis;</t>
  </si>
  <si>
    <t>Consulting on casing leaks, failure analysis, technical guidance</t>
  </si>
  <si>
    <t>Southwest Research - Failure anaalysis</t>
  </si>
  <si>
    <t>Total - Property Damage</t>
  </si>
  <si>
    <t>ELLIOTT ON-SITE SERVICES</t>
  </si>
  <si>
    <t>Invoice OSS-6467-01</t>
  </si>
  <si>
    <t>Day Shift</t>
  </si>
  <si>
    <t>Project Manager</t>
  </si>
  <si>
    <t>Technical Director</t>
  </si>
  <si>
    <t>General Foreman</t>
  </si>
  <si>
    <t>Millwright Foreman</t>
  </si>
  <si>
    <t>Millwrights</t>
  </si>
  <si>
    <t>Subtotal Labor</t>
  </si>
  <si>
    <t>Truck Usage — daily charge as noted</t>
  </si>
  <si>
    <t>Tool Usage — per shift charge as noted</t>
  </si>
  <si>
    <t>Total Day Shift Charges</t>
  </si>
  <si>
    <t>Night Shift</t>
  </si>
  <si>
    <t>Total Night Shift Charges</t>
  </si>
  <si>
    <t>Subcontracts:</t>
  </si>
  <si>
    <t>Other</t>
  </si>
  <si>
    <t>Subtotal Subcontracts</t>
  </si>
  <si>
    <t>Consumables</t>
  </si>
  <si>
    <t>Freight</t>
  </si>
  <si>
    <t>Materials</t>
  </si>
  <si>
    <t>Tool Rental</t>
  </si>
  <si>
    <t>Total Subcontracts and Vendor Purchases</t>
  </si>
  <si>
    <t>closing price sheet attached.</t>
  </si>
  <si>
    <t xml:space="preserve"> </t>
  </si>
  <si>
    <t>Subcontracts and Vendor Purchases</t>
  </si>
  <si>
    <t>Summary of the enclosed invoices.</t>
  </si>
  <si>
    <t>Global Field Machining - field machining at the job site</t>
  </si>
  <si>
    <t>Boyne Consulting - technical services</t>
  </si>
  <si>
    <t>Prime Machine - Alignment Services</t>
  </si>
  <si>
    <t xml:space="preserve">Per Diem Living Expenses - Foremen and Millwrights </t>
  </si>
  <si>
    <t xml:space="preserve">Project Manager and Technical Director Living Expenses </t>
  </si>
  <si>
    <t>Expense accounts &amp; airline receipts at cost.</t>
  </si>
  <si>
    <t>Breakdown of Labor Costs between Units 1,2, &amp;3.</t>
  </si>
  <si>
    <t>DAY SHIFT</t>
  </si>
  <si>
    <t>NIGHT SHIFT</t>
  </si>
  <si>
    <t>TOTAL</t>
  </si>
  <si>
    <t>UNIT I</t>
  </si>
  <si>
    <t>UNIT 2</t>
  </si>
  <si>
    <t>UNIT 3</t>
  </si>
  <si>
    <t>TOTAL LABOR DOLLARS</t>
  </si>
  <si>
    <t>Breakdown of Labor Hours between Units 1,2, &amp;3</t>
  </si>
  <si>
    <t>TOTAL LABOR HOURS</t>
  </si>
  <si>
    <t>TECHNICAL DIRECTOR</t>
  </si>
  <si>
    <t>GENERAL FOREMAN</t>
  </si>
  <si>
    <t>FOREMAN</t>
  </si>
  <si>
    <t>MILLWRIGHTS</t>
  </si>
  <si>
    <t xml:space="preserve">  DATE</t>
  </si>
  <si>
    <t>UNIT</t>
  </si>
  <si>
    <t>TS#</t>
  </si>
  <si>
    <t>ST</t>
  </si>
  <si>
    <t>OT</t>
  </si>
  <si>
    <t>DT</t>
  </si>
  <si>
    <t xml:space="preserve">  OT</t>
  </si>
  <si>
    <t xml:space="preserve">    OT</t>
  </si>
  <si>
    <t xml:space="preserve"> DT</t>
  </si>
  <si>
    <t>HOURS</t>
  </si>
  <si>
    <t>AMOUNT</t>
  </si>
  <si>
    <t>RATE</t>
  </si>
  <si>
    <t>SHIFT DIFFERENTIAL: NONE PER AGREEMENT</t>
  </si>
  <si>
    <t>LABOR COST - NIGHT SHIFT</t>
  </si>
  <si>
    <t>TOOL USAGE: No. Shifts:</t>
  </si>
  <si>
    <t>Rate:</t>
  </si>
  <si>
    <t>LABOR BY MACHINE</t>
  </si>
  <si>
    <t>UNIT 1</t>
  </si>
  <si>
    <t>TOTAL LABOR</t>
  </si>
  <si>
    <t>BILLED AMOUNT</t>
  </si>
  <si>
    <t>PROJECT MANAGER</t>
  </si>
  <si>
    <t>CHK</t>
  </si>
  <si>
    <t>LABOR BY MACHINE PER TIME CARDS</t>
  </si>
  <si>
    <t>SHIFT</t>
  </si>
  <si>
    <t>DAY</t>
  </si>
  <si>
    <t>NIGHT</t>
  </si>
  <si>
    <t>LABOR BY MACHINE PER J. BONANNO</t>
  </si>
  <si>
    <t>TRUCK USAGE:</t>
  </si>
  <si>
    <t>No. Days</t>
  </si>
  <si>
    <t>No. Trucks:</t>
  </si>
  <si>
    <t>TOOL USAGE:</t>
  </si>
  <si>
    <t>TOTALS</t>
  </si>
  <si>
    <t>Note: All Tool Usage deducted from Day Shift</t>
  </si>
  <si>
    <t>Item #</t>
  </si>
  <si>
    <t>Category</t>
  </si>
  <si>
    <t>Vendor</t>
  </si>
  <si>
    <t>Description</t>
  </si>
  <si>
    <t>Invoice #</t>
  </si>
  <si>
    <t>Invoice Amt.</t>
  </si>
  <si>
    <t>Grainger</t>
  </si>
  <si>
    <t>Disc</t>
  </si>
  <si>
    <t>t32-279751-3</t>
  </si>
  <si>
    <t>Misc.</t>
  </si>
  <si>
    <t>931-102124-1</t>
  </si>
  <si>
    <t>Mill File</t>
  </si>
  <si>
    <t>931-150484-0</t>
  </si>
  <si>
    <t>Brushes</t>
  </si>
  <si>
    <t>931-221090-0</t>
  </si>
  <si>
    <t>931-302607-3</t>
  </si>
  <si>
    <t>Mill File, cutting fluid</t>
  </si>
  <si>
    <t>931-313371-3</t>
  </si>
  <si>
    <t>931-348438-9</t>
  </si>
  <si>
    <t>931-630697-7</t>
  </si>
  <si>
    <t>Disc Pad</t>
  </si>
  <si>
    <t>973-541134-1</t>
  </si>
  <si>
    <t>Grainger (credit)</t>
  </si>
  <si>
    <t>046-499195-4</t>
  </si>
  <si>
    <t>Disc Pad Holder</t>
  </si>
  <si>
    <t>046-569008-9</t>
  </si>
  <si>
    <t>Monroe Auto Supply</t>
  </si>
  <si>
    <t>MSC</t>
  </si>
  <si>
    <t>Corporate Express</t>
  </si>
  <si>
    <t>Tools</t>
  </si>
  <si>
    <t>Material Freight</t>
  </si>
  <si>
    <t>Transport Unlimited</t>
  </si>
  <si>
    <t>WJ Casey</t>
  </si>
  <si>
    <t>Applied lndust Technolog</t>
  </si>
  <si>
    <t>Ball Bearings</t>
  </si>
  <si>
    <t>Filters</t>
  </si>
  <si>
    <t>046-096352-3</t>
  </si>
  <si>
    <t>059-096354-2</t>
  </si>
  <si>
    <t>Taps</t>
  </si>
  <si>
    <t>931-221091-8</t>
  </si>
  <si>
    <t>973-545656-9</t>
  </si>
  <si>
    <t>046-318198-2</t>
  </si>
  <si>
    <t>Houston Dynamic Serv</t>
  </si>
  <si>
    <t>Brass Seal Segments</t>
  </si>
  <si>
    <t>Magnaflux</t>
  </si>
  <si>
    <t>Aero Case</t>
  </si>
  <si>
    <t>Helicoil</t>
  </si>
  <si>
    <t>Gaskets</t>
  </si>
  <si>
    <t>0-Ring Stock</t>
  </si>
  <si>
    <t>Powerhouse Tools</t>
  </si>
  <si>
    <t>Tightwire Alignment</t>
  </si>
  <si>
    <t>Subcontract</t>
  </si>
  <si>
    <t>Boyne Consulting Grp</t>
  </si>
  <si>
    <t>Engineering</t>
  </si>
  <si>
    <t>Global Field Machining</t>
  </si>
  <si>
    <t>Machining at job site</t>
  </si>
  <si>
    <t>HSB Services</t>
  </si>
  <si>
    <t>Load Coupling</t>
  </si>
  <si>
    <t>Prime Machine</t>
  </si>
  <si>
    <t>Alignment Services</t>
  </si>
  <si>
    <t>Pennsylvania Tool Sales</t>
  </si>
  <si>
    <t>Pump Rental</t>
  </si>
  <si>
    <t>1094817-01</t>
  </si>
  <si>
    <t>1097031-01</t>
  </si>
  <si>
    <t>1099034-01</t>
  </si>
  <si>
    <t>Total Columns</t>
  </si>
  <si>
    <t>Mark-up 15%</t>
  </si>
  <si>
    <t>Billed</t>
  </si>
  <si>
    <t>Totals</t>
  </si>
  <si>
    <t>Deducted</t>
  </si>
  <si>
    <t>Associated with Mis-alignment</t>
  </si>
  <si>
    <t>Why?</t>
  </si>
  <si>
    <t>Before Loss Period</t>
  </si>
  <si>
    <t>$80 Per man/per Night - Nights</t>
  </si>
  <si>
    <t>-</t>
  </si>
  <si>
    <t>Estimated Credit for time associated with correcting exisiting Unit #1 problems:</t>
  </si>
  <si>
    <t>SCHEDULE 2</t>
  </si>
  <si>
    <t>Invoice #NN4-68559</t>
  </si>
  <si>
    <t>Invoice #NN4-68560</t>
  </si>
  <si>
    <t>Invoice #NN4-70253</t>
  </si>
  <si>
    <t>Spacer Kit</t>
  </si>
  <si>
    <t>5 of 19 rows damaged/73%</t>
  </si>
  <si>
    <t>2 week Expediting of shipment of stationary blades</t>
  </si>
  <si>
    <t>Full Rotor Blade Set for Compressor</t>
  </si>
  <si>
    <t>Full Stationary Blade Set for Compressor</t>
  </si>
  <si>
    <t>Rows 15, 16, 17 Damaged</t>
  </si>
  <si>
    <t xml:space="preserve">Row </t>
  </si>
  <si>
    <t>Blades</t>
  </si>
  <si>
    <t>Cost per Row</t>
  </si>
  <si>
    <t>General Electric - Totals</t>
  </si>
  <si>
    <t>Invoice #201201</t>
  </si>
  <si>
    <t>Invoice #201149</t>
  </si>
  <si>
    <t>Stub Shaft - No damage to original - Changed per GE directive</t>
  </si>
  <si>
    <t>Turning Gear reducer</t>
  </si>
  <si>
    <t>Invoice #013214</t>
  </si>
  <si>
    <t>Invoice #013215</t>
  </si>
  <si>
    <t>Invoice #013218</t>
  </si>
  <si>
    <t>Shop work on turbine casing, third stages nozzles, &amp; first stage buckets</t>
  </si>
  <si>
    <t>Compressor case crack repair</t>
  </si>
  <si>
    <t>Aft Stub Rabbit, peen &amp; remachine</t>
  </si>
  <si>
    <t>Turbine Rotor Repairs</t>
  </si>
  <si>
    <t>1st Stage Bucket Anti-rock Coating</t>
  </si>
  <si>
    <t>1st Stage Bucket Tang &amp; Ledge seal coat</t>
  </si>
  <si>
    <t>1st Stage Bucket Extended keys</t>
  </si>
  <si>
    <t>Manufacture 2 Borescope Plugs</t>
  </si>
  <si>
    <t>Weld/Align 2nd Stage Borescope Hole</t>
  </si>
  <si>
    <t>1st Stage Shroud Block Metering Pins</t>
  </si>
  <si>
    <t>Rotor Repair</t>
  </si>
  <si>
    <t>Early Completion</t>
  </si>
  <si>
    <t>Un-stack/Re-stack</t>
  </si>
  <si>
    <t>Install Blades - Stages #1 to #16</t>
  </si>
  <si>
    <t>Coat Stages #1 to #16</t>
  </si>
  <si>
    <t>Compressor Through Bolts, 1 set</t>
  </si>
  <si>
    <t>Deductions</t>
  </si>
  <si>
    <t>Plazma Cut Blade Roots</t>
  </si>
  <si>
    <t>Wedge Weld Repair</t>
  </si>
  <si>
    <t>Stage 16 Aft Rabbit HVOF repair</t>
  </si>
  <si>
    <t>Record Wheel OD for Site</t>
  </si>
  <si>
    <t>Options</t>
  </si>
  <si>
    <t>Replace five Compr. Wheel patch rings</t>
  </si>
  <si>
    <t>Aft Stub Run-outs, Verify good</t>
  </si>
  <si>
    <t>1st Stage Bucket Repairs - Recoat (Transition Pieces, Class B, TBC)</t>
  </si>
  <si>
    <t>Supply five new buckets</t>
  </si>
  <si>
    <t>Repair of First Stage Buckets</t>
  </si>
  <si>
    <t>Repair and technical support for unit #1 turbine at Enron’s Doyle</t>
  </si>
  <si>
    <t>Energy Project.</t>
  </si>
  <si>
    <t>(1) Rebabbitt &amp; machine 10" x 8" bearing</t>
  </si>
  <si>
    <t>(2) Rebabbitt &amp; machine 14" x 13 1/2" bearing</t>
  </si>
  <si>
    <t>(3) Rebabbitt &amp; machine 11" tilt pad bearing</t>
  </si>
  <si>
    <t>(4) Assemble thrust bearing &amp; record all measurements to</t>
  </si>
  <si>
    <t>ensure they meet specification. Polish each thrust plate</t>
  </si>
  <si>
    <t>and mark.</t>
  </si>
  <si>
    <t>(5) Clean &amp; polish brass seal rings.</t>
  </si>
  <si>
    <t>(6) Outer generator oil deflector. Remove, remanufacture &amp;</t>
  </si>
  <si>
    <t>replace seals.</t>
  </si>
  <si>
    <t>(7) Manufacture 32 unsulating seals for generator hydrogen</t>
  </si>
  <si>
    <t xml:space="preserve">  sealing system.</t>
  </si>
  <si>
    <t>(8) Technical support &amp; expenses for part procurement. Rotating</t>
  </si>
  <si>
    <t xml:space="preserve">  &amp; stationary blades.</t>
  </si>
  <si>
    <t xml:space="preserve">  Hours @ $80.00</t>
  </si>
  <si>
    <t xml:space="preserve">  Expenses</t>
  </si>
  <si>
    <t>(9) Machine barrel of compressor stationary per drawing of</t>
  </si>
  <si>
    <t>Elliott Turbine.</t>
  </si>
  <si>
    <t xml:space="preserve">  Machine barrel of compressor to obtain roundness and</t>
  </si>
  <si>
    <t>return to Doyle Project site.</t>
  </si>
  <si>
    <t>Including manufacturing new alum. seals</t>
  </si>
  <si>
    <t>Remove stationary blades at Site/Cut out</t>
  </si>
  <si>
    <t>Note: Leave in in full/trade off for inspection of Blades/NDT</t>
  </si>
  <si>
    <t>DESCRIPTION</t>
  </si>
  <si>
    <t>LABOR</t>
  </si>
  <si>
    <t>MAT'L</t>
  </si>
  <si>
    <t>EQUIP</t>
  </si>
  <si>
    <t>COSTCODE</t>
  </si>
  <si>
    <t>QTY</t>
  </si>
  <si>
    <t xml:space="preserve"> HRS</t>
  </si>
  <si>
    <t>MATERIALS</t>
  </si>
  <si>
    <t>CRAFTLABOR</t>
  </si>
  <si>
    <t>HR</t>
  </si>
  <si>
    <t>EQUIPMENT RENTAL</t>
  </si>
  <si>
    <t>Subtotal: Direct Cost:</t>
  </si>
  <si>
    <t>Ind. Labor 10%</t>
  </si>
  <si>
    <t>Payroll Burdens (26%)</t>
  </si>
  <si>
    <t>Gr . lns.($0.94/ hr)</t>
  </si>
  <si>
    <t>Per diem ($3/hr)</t>
  </si>
  <si>
    <t>Constr. Equip/Maint.($3/hr)</t>
  </si>
  <si>
    <t>SmaI tools( $1.25/hr)</t>
  </si>
  <si>
    <t>Field Salaried Staff Supervision</t>
  </si>
  <si>
    <t>Staff - Per Diem</t>
  </si>
  <si>
    <t>Staff - OH (52%)</t>
  </si>
  <si>
    <t>Check</t>
  </si>
  <si>
    <t>Change Order #24</t>
  </si>
  <si>
    <t>Change Order #24-2</t>
  </si>
  <si>
    <t>Invoice #1-1059-00</t>
  </si>
  <si>
    <t>Invoice #1-1055-00</t>
  </si>
  <si>
    <t>Shipping Charges for Stage 1 Nozzle &amp; Buckets</t>
  </si>
  <si>
    <t>Overscope of Repair</t>
  </si>
  <si>
    <t>Stage 1 Nozzle</t>
  </si>
  <si>
    <t>Stage 1 Buckets</t>
  </si>
  <si>
    <t>3rd Stage Nozzle, Down Stream Deflection (DSD) Modification</t>
  </si>
  <si>
    <t>2nd Stage Down Stream Deflection (DSD) Modification</t>
  </si>
  <si>
    <t>Power Systems Mfg.</t>
  </si>
  <si>
    <t>SCHEDULE 5</t>
  </si>
  <si>
    <t>Schedule 4</t>
  </si>
  <si>
    <t>SCHEDULE 4</t>
  </si>
  <si>
    <t>Invoice #92</t>
  </si>
  <si>
    <t>Invoice #95</t>
  </si>
  <si>
    <t>Invoice #109</t>
  </si>
  <si>
    <t>Invoice #124</t>
  </si>
  <si>
    <t>Power Support/Parts</t>
  </si>
  <si>
    <t>#201133</t>
  </si>
  <si>
    <t>After Repairs were complete/ 9/18/00</t>
  </si>
  <si>
    <t>#201136</t>
  </si>
  <si>
    <t>After Repairs were complete/ 8/30/00</t>
  </si>
  <si>
    <t>For What??</t>
  </si>
  <si>
    <t>Joe Bateman-Martin Metlabs, Inc.</t>
  </si>
  <si>
    <t>Peter Winch/Site Phone</t>
  </si>
  <si>
    <t>Mike Hickman/Expenses</t>
  </si>
  <si>
    <t>Assume for Metallurgical Exams</t>
  </si>
  <si>
    <t>Late Charge</t>
  </si>
  <si>
    <t xml:space="preserve">Duplicate Expense/Demobilize would have </t>
  </si>
  <si>
    <t>occurred anyway. 8/5 to8/25</t>
  </si>
  <si>
    <t>Doyle Unit #1 Compressor Related Repair, (Time &amp; Expenses from July 1 thru End of Project):</t>
  </si>
  <si>
    <t>PSM Charge Code: Doyle TDI Unit#1</t>
  </si>
  <si>
    <t>On-Site Work (Approved Time Sheets)</t>
  </si>
  <si>
    <t xml:space="preserve"> @</t>
  </si>
  <si>
    <t>WE 7/22</t>
  </si>
  <si>
    <t>WE 7/29</t>
  </si>
  <si>
    <t>Dan McArthur</t>
  </si>
  <si>
    <t>WE 7/8</t>
  </si>
  <si>
    <t>WE 7/15</t>
  </si>
  <si>
    <t>Dan McAuhur</t>
  </si>
  <si>
    <t>Peter Winch</t>
  </si>
  <si>
    <t>Doug Whitney</t>
  </si>
  <si>
    <t>Mike Hickman</t>
  </si>
  <si>
    <t>WE 8/5</t>
  </si>
  <si>
    <t>Mike K.lossner</t>
  </si>
  <si>
    <t>Mike Klossner</t>
  </si>
  <si>
    <t>Brian Hulse</t>
  </si>
  <si>
    <t>Month of 7/00</t>
  </si>
  <si>
    <t>Bob Kraft</t>
  </si>
  <si>
    <t>Vince Martling</t>
  </si>
  <si>
    <t>Tim te.Riele</t>
  </si>
  <si>
    <t>Tim te. Ride</t>
  </si>
  <si>
    <t>Tim te. Riele</t>
  </si>
  <si>
    <t>Brian Mack</t>
  </si>
  <si>
    <t>William Harmon</t>
  </si>
  <si>
    <t>Greg Woughter</t>
  </si>
  <si>
    <t>Travel Expenses @ Cost</t>
  </si>
  <si>
    <t>Vince Mauling</t>
  </si>
  <si>
    <t>Parts Plus Shipping</t>
  </si>
  <si>
    <t>Shipment 7/7</t>
  </si>
  <si>
    <t>Shipment 9/13</t>
  </si>
  <si>
    <t>Optimization Analysis Plus 10%</t>
  </si>
  <si>
    <t>Arnctek Sensor Plus 10%</t>
  </si>
  <si>
    <t>McMaster Carr Pipe Sealant Plus 10%</t>
  </si>
  <si>
    <t xml:space="preserve">Truck Rental </t>
  </si>
  <si>
    <t>Freight Plus 10%</t>
  </si>
  <si>
    <t>Subtotal Parts and Shipping</t>
  </si>
  <si>
    <t>Employee</t>
  </si>
  <si>
    <t>Rate</t>
  </si>
  <si>
    <t>Week</t>
  </si>
  <si>
    <t>Hours</t>
  </si>
  <si>
    <t>Amount</t>
  </si>
  <si>
    <t>Turbine &amp; Power Plant Solutions, Inc.</t>
  </si>
  <si>
    <t>WE 7/1</t>
  </si>
  <si>
    <t>WE 6/24</t>
  </si>
  <si>
    <t>WE 6/17</t>
  </si>
  <si>
    <t>ON-SITE</t>
  </si>
  <si>
    <t>OFF-SITE</t>
  </si>
  <si>
    <t>Clay Moran</t>
  </si>
  <si>
    <t>Brian Robideau</t>
  </si>
  <si>
    <t>(Contractor)</t>
  </si>
  <si>
    <t xml:space="preserve">Laura Heron </t>
  </si>
  <si>
    <t>Richard Ramirez</t>
  </si>
  <si>
    <t>Tim t.Riele</t>
  </si>
  <si>
    <t>Bill Harmon</t>
  </si>
  <si>
    <t>Subtotal Travel</t>
  </si>
  <si>
    <t>Shipment 6/30</t>
  </si>
  <si>
    <t>Shipment 7/5</t>
  </si>
  <si>
    <t>Shipment 7/6</t>
  </si>
  <si>
    <t>McMaster Carr Part</t>
  </si>
  <si>
    <t>FARO Technologies</t>
  </si>
  <si>
    <t>Grand Total Due</t>
  </si>
  <si>
    <t>Month of 6/00</t>
  </si>
  <si>
    <t>On Site for 1/2 month</t>
  </si>
  <si>
    <t>Flame Detector $4,030.00</t>
  </si>
  <si>
    <t>Ignitor tips/Ignitor cable</t>
  </si>
  <si>
    <t>Invoice #88</t>
  </si>
  <si>
    <t>Invoice #99</t>
  </si>
  <si>
    <t>Dave Kristich - 1/2 Month@</t>
  </si>
  <si>
    <t>Dave Kristich - 1 Month@</t>
  </si>
  <si>
    <t>Travel Expenses</t>
  </si>
  <si>
    <t>Invoice #023</t>
  </si>
  <si>
    <t>Invoice #022</t>
  </si>
  <si>
    <t>To be Invoiced</t>
  </si>
  <si>
    <t>JOHN R. BONANNO</t>
  </si>
  <si>
    <t>Rate - $85 ST / $103 OT</t>
  </si>
  <si>
    <t>W/E</t>
  </si>
  <si>
    <t>ST$</t>
  </si>
  <si>
    <t>OT$</t>
  </si>
  <si>
    <t>WAGES</t>
  </si>
  <si>
    <t>EXPENSES</t>
  </si>
  <si>
    <t>WEEKLY TL</t>
  </si>
  <si>
    <t>6/25</t>
  </si>
  <si>
    <t>7/2</t>
  </si>
  <si>
    <t>7/9</t>
  </si>
  <si>
    <t>7/16</t>
  </si>
  <si>
    <t>7/23</t>
  </si>
  <si>
    <t>7/30</t>
  </si>
  <si>
    <t>8/6</t>
  </si>
  <si>
    <t>8/13</t>
  </si>
  <si>
    <t>8/20</t>
  </si>
  <si>
    <t>8/27</t>
  </si>
  <si>
    <t>9/3</t>
  </si>
  <si>
    <t>9/10</t>
  </si>
  <si>
    <t>9/17</t>
  </si>
  <si>
    <t>9/24</t>
  </si>
  <si>
    <t>10/1</t>
  </si>
  <si>
    <t>10/8</t>
  </si>
  <si>
    <t>Total</t>
  </si>
  <si>
    <t>JERRY CAMPBELL</t>
  </si>
  <si>
    <t>Rate - $80 ST / $98 OT</t>
  </si>
  <si>
    <t>No Support</t>
  </si>
  <si>
    <t>EECC 3rd Party QA - Oilfield Materials Consultants - OMC @ Preco -Houston</t>
  </si>
  <si>
    <t>6/16/00 to 8/04/00</t>
  </si>
  <si>
    <t>Invoice # RTA07042000</t>
  </si>
  <si>
    <t>Invoice # RTA07232000</t>
  </si>
  <si>
    <t>(1) Repair Thrust Bearing Shim</t>
  </si>
  <si>
    <t>(2) Repair 10 HP Motor for Turning</t>
  </si>
  <si>
    <t>Gear</t>
  </si>
  <si>
    <t>(3) Engineering Support</t>
  </si>
  <si>
    <t>Items 1 to 3</t>
  </si>
  <si>
    <t>Equipment Rental</t>
  </si>
  <si>
    <t>Yellow Indicates likely involvement in redesign/modifications</t>
  </si>
  <si>
    <t>$969.15 before Loss/unrelated</t>
  </si>
  <si>
    <t>WE 6/1</t>
  </si>
  <si>
    <t>Before Loss</t>
  </si>
  <si>
    <t>WE 6/9</t>
  </si>
  <si>
    <t>WE 6/3</t>
  </si>
  <si>
    <t>&gt;&gt;&gt;&gt;&gt;</t>
  </si>
  <si>
    <t>??</t>
  </si>
  <si>
    <t>No Documentation</t>
  </si>
  <si>
    <t>Exclude Phone/$609.55</t>
  </si>
  <si>
    <t>&lt;&lt;Actual Total Adjustment&gt;&gt;</t>
  </si>
  <si>
    <t>Net</t>
  </si>
  <si>
    <t>Allow 50% - Telephone</t>
  </si>
  <si>
    <t>Ignitor Cable</t>
  </si>
  <si>
    <t>Dinner charged by both GLC/JB &amp; PSM/PW -who actually Paid??</t>
  </si>
  <si>
    <t>WE 7/7</t>
  </si>
  <si>
    <t>WE 7/14</t>
  </si>
  <si>
    <t>WE 7/21</t>
  </si>
  <si>
    <t>Water Bill icld</t>
  </si>
  <si>
    <t>Power Bill icld</t>
  </si>
  <si>
    <t>WE 7/28</t>
  </si>
  <si>
    <t>Phone/Water</t>
  </si>
  <si>
    <t>WE 8/4</t>
  </si>
  <si>
    <t>Cable</t>
  </si>
  <si>
    <t>June Rent</t>
  </si>
  <si>
    <t>July Rent</t>
  </si>
  <si>
    <t>75% Charged</t>
  </si>
  <si>
    <t>August Rent</t>
  </si>
  <si>
    <t>Film Develp.</t>
  </si>
  <si>
    <t>Duplicate/from 1st</t>
  </si>
  <si>
    <t>Danny Sawyer</t>
  </si>
  <si>
    <t>Dean Steels</t>
  </si>
  <si>
    <t>Dee Jefferson</t>
  </si>
  <si>
    <t>Susan Heil</t>
  </si>
  <si>
    <t>Staff Employee</t>
  </si>
  <si>
    <t>Elton Caines</t>
  </si>
  <si>
    <t>Week Total</t>
  </si>
  <si>
    <t>Mike Croall</t>
  </si>
  <si>
    <t>Ray Soto</t>
  </si>
  <si>
    <t>William Beckley</t>
  </si>
  <si>
    <t>Frances Allen</t>
  </si>
  <si>
    <t>Don Graves</t>
  </si>
  <si>
    <t>Jody Lynch</t>
  </si>
  <si>
    <t>Cliff Murphy</t>
  </si>
  <si>
    <t>8/21/2000 - to 8/27</t>
  </si>
  <si>
    <t>8/14/2000 - to 8/20</t>
  </si>
  <si>
    <t>8/28/2000 - to 8/31</t>
  </si>
  <si>
    <t>Ken Welch</t>
  </si>
  <si>
    <t>Jerry Brawley</t>
  </si>
  <si>
    <t>Kevin Sandifer</t>
  </si>
  <si>
    <t>Shane Guidry</t>
  </si>
  <si>
    <t>William Morris</t>
  </si>
  <si>
    <t>Eddie Avant</t>
  </si>
  <si>
    <t>Frank Beaston</t>
  </si>
  <si>
    <t>Ed Cappellucci</t>
  </si>
  <si>
    <t>Terry Sharpe</t>
  </si>
  <si>
    <t>Greenleaf</t>
  </si>
  <si>
    <t>Cubix</t>
  </si>
  <si>
    <t>The Atlantic Group</t>
  </si>
  <si>
    <t>Columbus Fire &amp; Safety</t>
  </si>
  <si>
    <t>BOC Gases</t>
  </si>
  <si>
    <t>Consolidated Pipe Supply Co., Inc.</t>
  </si>
  <si>
    <t>Benchmark Services, Inc.</t>
  </si>
  <si>
    <t>F&amp;M Mafco, Inc.</t>
  </si>
  <si>
    <t>West Building Supply</t>
  </si>
  <si>
    <t>El Paso Valve &amp; Fitting Co.</t>
  </si>
  <si>
    <t>Kelly's Machine Shop</t>
  </si>
  <si>
    <t xml:space="preserve"> Grainger</t>
  </si>
  <si>
    <t>RAM Tool Supply</t>
  </si>
  <si>
    <t>McMaster-Carr Supply Co.</t>
  </si>
  <si>
    <t>Bower Fabrication Services, Inc.</t>
  </si>
  <si>
    <t>Misc. Suppliers</t>
  </si>
  <si>
    <t>55 Drums</t>
  </si>
  <si>
    <t>Bolts, etc. associated</t>
  </si>
  <si>
    <t>Emissions Units #1, #2 &amp; #3</t>
  </si>
  <si>
    <t>Leak Detection - Hydrogen - generator section</t>
  </si>
  <si>
    <t>Oil Flush/Hydroblast</t>
  </si>
  <si>
    <t>CO2, etc.</t>
  </si>
  <si>
    <t>Various cleaning products</t>
  </si>
  <si>
    <t>Lumber</t>
  </si>
  <si>
    <t>Small tools, etc.</t>
  </si>
  <si>
    <t>Small tools, tarp, bolts, etc.</t>
  </si>
  <si>
    <t>Tools, Small tools, etc.</t>
  </si>
  <si>
    <t>SC Motor, Shims, IGV work</t>
  </si>
  <si>
    <t>Charged Above on Estimate</t>
  </si>
  <si>
    <t>SCHEDULE 1 (C)</t>
  </si>
  <si>
    <t>SCHEDULE 3 (L-Office)</t>
  </si>
  <si>
    <t>SCHEDULE 3 (L-Start)</t>
  </si>
  <si>
    <t>Turbine Case Repairs - DSD Mod/Dowel pins</t>
  </si>
  <si>
    <t>Work</t>
  </si>
  <si>
    <t>Kelly McKinzie - Enron Employee</t>
  </si>
  <si>
    <t>Estimate</t>
  </si>
  <si>
    <t>SCHEDULE 1 (L)</t>
  </si>
  <si>
    <t>Start-up Staff Employee</t>
  </si>
  <si>
    <t>Applied Industrial</t>
  </si>
  <si>
    <t>Gear reducer/7-31-00</t>
  </si>
  <si>
    <t>Barnett Co.</t>
  </si>
  <si>
    <t>1.25 Reducing Regul</t>
  </si>
  <si>
    <t>Garrett Glass</t>
  </si>
  <si>
    <t>Replace glass on 4-27-00</t>
  </si>
  <si>
    <t>K-Tek</t>
  </si>
  <si>
    <t>Level Gauge side mount - Gen.</t>
  </si>
  <si>
    <t>Georgia Security</t>
  </si>
  <si>
    <t>Security - 6-00</t>
  </si>
  <si>
    <t>Alltel</t>
  </si>
  <si>
    <t>Telephone</t>
  </si>
  <si>
    <t>AT&amp;T</t>
  </si>
  <si>
    <t>Snap-On Tools</t>
  </si>
  <si>
    <t>Small Tools</t>
  </si>
  <si>
    <t>Turbine Tech</t>
  </si>
  <si>
    <t>Thermocouples</t>
  </si>
  <si>
    <t>Baker Tanks</t>
  </si>
  <si>
    <t>7,000 G SS Tank</t>
  </si>
  <si>
    <t>Consolidated Electrical</t>
  </si>
  <si>
    <t>J-Box</t>
  </si>
  <si>
    <t>Gen. Repairs</t>
  </si>
  <si>
    <t>How was Allocation made?</t>
  </si>
  <si>
    <t>Part of "site" expense /should not be charged back</t>
  </si>
  <si>
    <t>Why Damaged?</t>
  </si>
  <si>
    <t>SCHEDULE 1 (L - Men)</t>
  </si>
  <si>
    <t>MEN ST</t>
  </si>
  <si>
    <t>MEN OT/DT</t>
  </si>
  <si>
    <t>PROJECT MANAGER (1)</t>
  </si>
  <si>
    <t>TECHNICAL DIRECTOR (1)</t>
  </si>
  <si>
    <t>GENERAL FOREMAN (1)</t>
  </si>
  <si>
    <t>FOREMAN (2)</t>
  </si>
  <si>
    <t>MILLWRIGHTS (13)</t>
  </si>
  <si>
    <t>TOTAL (18)</t>
  </si>
  <si>
    <t>TOTAL (15)</t>
  </si>
  <si>
    <t>MILLWRIGHTS (15)</t>
  </si>
  <si>
    <t xml:space="preserve">Kenny Hopper </t>
  </si>
  <si>
    <t>George King</t>
  </si>
  <si>
    <t>Charged 68 of 72 hrs.</t>
  </si>
  <si>
    <t xml:space="preserve"> 7-7/8/9</t>
  </si>
  <si>
    <t>All Units</t>
  </si>
  <si>
    <t>Labor, number of men charged to site</t>
  </si>
  <si>
    <t>ALL LABOR/TRUCK/TOOL DEDUCTIONS</t>
  </si>
  <si>
    <t>Preco - Cont.</t>
  </si>
  <si>
    <t>RTA - Cont.</t>
  </si>
  <si>
    <t>SCHEDULE 3 (NEPCO Materials)</t>
  </si>
  <si>
    <t>SCHEDULE 3 - NEPCO</t>
  </si>
  <si>
    <t>NEPCO OFFICE LABOR</t>
  </si>
  <si>
    <t>NEPCO START-UP LABOR</t>
  </si>
  <si>
    <t>IGV's</t>
  </si>
  <si>
    <t>Unrelated or Overscope of repair work</t>
  </si>
  <si>
    <t>UNIT I - Unrelated</t>
  </si>
  <si>
    <t>DAY SHIFT LABOR DEDUCTIONS</t>
  </si>
  <si>
    <t>NIGHT SHIFT LABOR DEDUCTIONS</t>
  </si>
  <si>
    <t>After Repairs</t>
  </si>
  <si>
    <t>After Loss</t>
  </si>
  <si>
    <t>Startup Labor and Supervision</t>
  </si>
  <si>
    <t>After Loss Period</t>
  </si>
  <si>
    <t>Unrelated</t>
  </si>
  <si>
    <t>Direction of Compressor Rebuild on-site</t>
  </si>
  <si>
    <t>6/14/00 to 7/23/00</t>
  </si>
  <si>
    <t>7/24/00 to 8/20/00</t>
  </si>
  <si>
    <t>No support/duplicate time sheets</t>
  </si>
  <si>
    <t>Total per time sheets</t>
  </si>
  <si>
    <t>Deuction Payroll Burdens</t>
  </si>
  <si>
    <t>Net Hours</t>
  </si>
  <si>
    <t>After Loss/unrelt'd</t>
  </si>
  <si>
    <t>After Loss/unrelt'd - Staff Related</t>
  </si>
  <si>
    <t>(Add Blue to arrive at $141,899 multiple by 52% = 73,787.70)</t>
  </si>
  <si>
    <t>Payroll Burdens (26% of $149,756.40)</t>
  </si>
  <si>
    <t>Total Allowed</t>
  </si>
  <si>
    <t>x 26%=</t>
  </si>
  <si>
    <t>Unit #2</t>
  </si>
  <si>
    <t>Yellow Areas indicate hours not related to #1 repair</t>
  </si>
  <si>
    <t>Work after 7/23/00</t>
  </si>
  <si>
    <t>Total Hours</t>
  </si>
  <si>
    <t>TotalAmount</t>
  </si>
  <si>
    <t>Per Diem</t>
  </si>
  <si>
    <t>Days</t>
  </si>
  <si>
    <t>Per Diem Days</t>
  </si>
  <si>
    <t>DEDUCTIONS</t>
  </si>
  <si>
    <t>DAY SHIFT LABOR</t>
  </si>
  <si>
    <t>NIGHT SHIFT LABOR</t>
  </si>
  <si>
    <t>Credit for overscope/unrelated work</t>
  </si>
  <si>
    <t>Related to improper alignment</t>
  </si>
  <si>
    <t>TOOL &amp; TRUCK</t>
  </si>
  <si>
    <t>NET TOTALS</t>
  </si>
  <si>
    <t>TRUCK/TOOL DEDUCTIONS - DAY SHIFT</t>
  </si>
  <si>
    <t>NET #1 Labor</t>
  </si>
  <si>
    <t>Day</t>
  </si>
  <si>
    <t>Night</t>
  </si>
  <si>
    <t>TOOL DEDUCTIONS - NIGHT SHIFT</t>
  </si>
  <si>
    <t>Corrections Credit Recap</t>
  </si>
  <si>
    <t>Jacksonville Service Shop - Shorten jack shaft - copy of job</t>
  </si>
  <si>
    <t>Gand Totals</t>
  </si>
  <si>
    <t>50% of all expenses - deducted as other job responsiblities involved</t>
  </si>
  <si>
    <t>Deductions per Claim revision/J. Bonano -01/03/01</t>
  </si>
  <si>
    <t>Deduction per Claim revision/J. Bonano -01/03/01</t>
  </si>
  <si>
    <t>Withdrawn</t>
  </si>
  <si>
    <t xml:space="preserve">CO2 System </t>
  </si>
  <si>
    <t>Rentals</t>
  </si>
  <si>
    <t>Month Rate</t>
  </si>
  <si>
    <t>#</t>
  </si>
  <si>
    <t>Duration</t>
  </si>
  <si>
    <t>Cost</t>
  </si>
  <si>
    <t>Forklift</t>
  </si>
  <si>
    <t>6/22 to 7/24</t>
  </si>
  <si>
    <t>45 Ton Crane</t>
  </si>
  <si>
    <t>6/23 to 7/23</t>
  </si>
  <si>
    <t>175 Ton Crane</t>
  </si>
  <si>
    <t>Per Invoice</t>
  </si>
  <si>
    <t>40x60 Tent</t>
  </si>
  <si>
    <t>6/21 to 7/24</t>
  </si>
  <si>
    <t>Parts washing station</t>
  </si>
  <si>
    <t>Conex 2 Storage Trailers</t>
  </si>
  <si>
    <t>6/23 to 8/23</t>
  </si>
  <si>
    <t>Plazma Cutters</t>
  </si>
  <si>
    <t>6/21 to 7/05</t>
  </si>
  <si>
    <t>20x60 Office Trailer</t>
  </si>
  <si>
    <t>Sewage Tanks</t>
  </si>
  <si>
    <t>Light Poles</t>
  </si>
  <si>
    <t>Generator</t>
  </si>
  <si>
    <t>Air Compressor</t>
  </si>
  <si>
    <t>Welding Machines</t>
  </si>
  <si>
    <t>6/12 to 7/11</t>
  </si>
  <si>
    <t>Borescope</t>
  </si>
  <si>
    <t>5/12 to 7/11</t>
  </si>
  <si>
    <t>Hydralic Torque Wrenches</t>
  </si>
  <si>
    <t>6/13 to 7/14</t>
  </si>
  <si>
    <t xml:space="preserve"> 50% withdrawn</t>
  </si>
  <si>
    <t>$5,991.20 before Loss - Withdrawn</t>
  </si>
  <si>
    <t>Withdrawn $1,520.00</t>
  </si>
  <si>
    <t>50% of John Bonano withdrawn, 8/6 to 10/8</t>
  </si>
  <si>
    <t>Calculation Check</t>
  </si>
  <si>
    <t>By Shift</t>
  </si>
  <si>
    <t>Total on site extended time:</t>
  </si>
  <si>
    <t>On monthly, retainer Involvement needs to be qualified as to full time on project &amp; Retainer arrangements.</t>
  </si>
  <si>
    <t>Millwright</t>
  </si>
  <si>
    <t>Ironworker</t>
  </si>
  <si>
    <t>Welder Combo</t>
  </si>
  <si>
    <t>Electrician</t>
  </si>
  <si>
    <t>Pipefitter</t>
  </si>
  <si>
    <t>Instrument</t>
  </si>
  <si>
    <t>Operator</t>
  </si>
  <si>
    <t>Non-manual Clr.</t>
  </si>
  <si>
    <t>Laborer</t>
  </si>
  <si>
    <t>Carpenter</t>
  </si>
  <si>
    <t>W.C. Beckley</t>
  </si>
  <si>
    <t>James Eller</t>
  </si>
  <si>
    <t>Mervin Preezy</t>
  </si>
  <si>
    <t>Kenneth Hancock</t>
  </si>
  <si>
    <t>Vicente Sanmartin</t>
  </si>
  <si>
    <t>Troy Gore</t>
  </si>
  <si>
    <t>Robert Trahan</t>
  </si>
  <si>
    <t>John Jackson</t>
  </si>
  <si>
    <t>Eloy Montanez</t>
  </si>
  <si>
    <t>Dewey Perkins</t>
  </si>
  <si>
    <t>James Jones</t>
  </si>
  <si>
    <t>Jacqueline Middleton</t>
  </si>
  <si>
    <t>Darryl Daggett</t>
  </si>
  <si>
    <t>Dewayne Lee</t>
  </si>
  <si>
    <t>David Swanson</t>
  </si>
  <si>
    <t>Cecil Wells</t>
  </si>
  <si>
    <t>Jose Jimnez</t>
  </si>
  <si>
    <t>Allen Robinson</t>
  </si>
  <si>
    <t>Benjamin Munguia</t>
  </si>
  <si>
    <t>Carl Johnson</t>
  </si>
  <si>
    <t>Kenneth Poole</t>
  </si>
  <si>
    <t>David Purdy</t>
  </si>
  <si>
    <t>Shawn Ransford</t>
  </si>
  <si>
    <t>Keith Baker</t>
  </si>
  <si>
    <t>Tim Langley</t>
  </si>
  <si>
    <t>Charles Howell - Night</t>
  </si>
  <si>
    <t>Eric Barquist</t>
  </si>
  <si>
    <t>Fausto Ocampo</t>
  </si>
  <si>
    <t>Harry Garza</t>
  </si>
  <si>
    <t>Sergio Melendez</t>
  </si>
  <si>
    <t>Ben Brown</t>
  </si>
  <si>
    <t>Adel Whitaker</t>
  </si>
  <si>
    <t>Gaetano Tagliaferro</t>
  </si>
  <si>
    <t>Antino Blair</t>
  </si>
  <si>
    <t>Kiyoshi Iahihara</t>
  </si>
  <si>
    <t>Cody Rexwinkle</t>
  </si>
  <si>
    <t>Donald Clark</t>
  </si>
  <si>
    <t>Harold Beckley</t>
  </si>
  <si>
    <t>Sherry Moody</t>
  </si>
  <si>
    <t>Clifton Cooper</t>
  </si>
  <si>
    <t>Jimmy Martin</t>
  </si>
  <si>
    <t>Chris Richardson</t>
  </si>
  <si>
    <t>Jose G. Medrano</t>
  </si>
  <si>
    <t>Santiago Medrano</t>
  </si>
  <si>
    <t>Billy Tanner</t>
  </si>
  <si>
    <t>James Turner - Night</t>
  </si>
  <si>
    <t>Ed Harris</t>
  </si>
  <si>
    <t>Carol Walker</t>
  </si>
  <si>
    <t>Vickie Reed</t>
  </si>
  <si>
    <t>Sherry Edgren</t>
  </si>
  <si>
    <t>Guillermina Alvarado</t>
  </si>
  <si>
    <t>Saul Barrera</t>
  </si>
  <si>
    <t>Albert Medrano</t>
  </si>
  <si>
    <t>Marcos Medrano</t>
  </si>
  <si>
    <t>Andres Ramirez</t>
  </si>
  <si>
    <t>Rodbuster</t>
  </si>
  <si>
    <t>A</t>
  </si>
  <si>
    <t>&lt;#2 -0</t>
  </si>
  <si>
    <t>&lt; #3P</t>
  </si>
  <si>
    <t>T</t>
  </si>
  <si>
    <t>Avg. per Day</t>
  </si>
  <si>
    <t>Exclude All after this date</t>
  </si>
  <si>
    <t>G</t>
  </si>
  <si>
    <t>Totals with Duplications added</t>
  </si>
  <si>
    <t>Duplications</t>
  </si>
  <si>
    <t>For Claim:</t>
  </si>
  <si>
    <t>Deduction Hours 6/14 to 7/23</t>
  </si>
  <si>
    <t>Below</t>
  </si>
  <si>
    <t>Daily Total Claimed</t>
  </si>
  <si>
    <t>Daily Total Allowed</t>
  </si>
  <si>
    <t>All Red Hours at 100%</t>
  </si>
  <si>
    <t>All Blue Hours at 50%</t>
  </si>
  <si>
    <t>Schedule 3 (L-Craft by Trade)</t>
  </si>
  <si>
    <t xml:space="preserve">Overstatement or unassociated to repair scope hours of various Craft Trades </t>
  </si>
  <si>
    <t>All Deductions</t>
  </si>
  <si>
    <t>Fixing of Hydrogen Leaks -  Not Associated with work scope</t>
  </si>
  <si>
    <t>Install U/L Stationary Vanes</t>
  </si>
  <si>
    <t>Alignmt. Adjust. 50% of time</t>
  </si>
  <si>
    <t>Unit #2 work after 6/23/00</t>
  </si>
  <si>
    <t>Unit #3 work after 6/23/00</t>
  </si>
  <si>
    <t xml:space="preserve">Unit #2, Compressor blading, alignment or IGV's work </t>
  </si>
  <si>
    <t>Compressor blading &amp; alignment work</t>
  </si>
  <si>
    <t>Unit #2 work before &amp; after 6/23/00</t>
  </si>
  <si>
    <t xml:space="preserve">UNIT 3 - work </t>
  </si>
  <si>
    <t>UNIT 2 - work</t>
  </si>
  <si>
    <t>Overscope of Repair/No credit for existing</t>
  </si>
  <si>
    <t>Credit - Missing Dowels, bolts</t>
  </si>
  <si>
    <t>Credit IGV &amp; Shims</t>
  </si>
  <si>
    <t>Tool Room/ Warehouse</t>
  </si>
  <si>
    <t>Claim Summary</t>
  </si>
  <si>
    <t>Amount Claimed</t>
  </si>
  <si>
    <t>Schedule  Reference</t>
  </si>
  <si>
    <t>Property Damages</t>
  </si>
  <si>
    <t>Time Element</t>
  </si>
  <si>
    <t>No Claim</t>
  </si>
  <si>
    <t>Net Payable</t>
  </si>
  <si>
    <t>Less:</t>
  </si>
  <si>
    <t xml:space="preserve">  Advance</t>
  </si>
  <si>
    <t>Net Final Payment</t>
  </si>
  <si>
    <t>Turbine Generator #1</t>
  </si>
  <si>
    <t>Account: 01-32308</t>
  </si>
  <si>
    <t>Index: 99999.31</t>
  </si>
  <si>
    <t>Mechanical Breakdown: June 14, 2000</t>
  </si>
  <si>
    <t>Loss: 01404-00-28-01</t>
  </si>
  <si>
    <t>None</t>
  </si>
  <si>
    <t>w 8,343.00</t>
  </si>
  <si>
    <t>Withdrawn - 4,662.50</t>
  </si>
  <si>
    <t>Withdrawn 7,318.77</t>
  </si>
  <si>
    <t>Withdrawn 1,594.79</t>
  </si>
  <si>
    <t>Withdrawn 500.00</t>
  </si>
  <si>
    <t>Withdrawn, 4,898.00</t>
  </si>
  <si>
    <t>Scope Adjustments</t>
  </si>
  <si>
    <t>Policy Exclusion Adjustments</t>
  </si>
  <si>
    <t>Estimated Claim Measurement</t>
  </si>
  <si>
    <t>Deductible  (PD only)</t>
  </si>
  <si>
    <t>Exclusion Summary</t>
  </si>
  <si>
    <t>Work Summary &amp;</t>
  </si>
  <si>
    <t>Property Damage Work Summary</t>
  </si>
  <si>
    <t>General Exclusions Applying to All Sections of the Policy:</t>
  </si>
  <si>
    <t>This Policy does not cover:</t>
  </si>
  <si>
    <t>All costs rendered necessary by defects of material, workmanship, design, plan or specification and should damage occur to any portion of the Insured Property containing any of said defects the cost of replacement or rectification which is hereby excluded is that cost which would have been incurred if replacement or rectification of the Insured Property had been put in hand immediately prior to the said damage.</t>
  </si>
  <si>
    <t>e)</t>
  </si>
  <si>
    <t>It is understood and agreed that any portion of the Insured property shall not be regarded as damaged solely by virtue of the existence of any defect of material, workmanship, design, plan or specification.</t>
  </si>
  <si>
    <t>3rd stage turbine nozzles, transition pieces, inner barrel, etc...</t>
  </si>
  <si>
    <t>re-assemble, final-alignment (Time &amp; Material Contract)</t>
  </si>
  <si>
    <t>deburring, &amp; quality verification of shim for U1 thrust bearing</t>
  </si>
  <si>
    <t>Re-assemble of LEC Combustor system &amp; Consulting Services</t>
  </si>
  <si>
    <t>Estimated Claim Measure</t>
  </si>
  <si>
    <t>Net Estimate</t>
  </si>
  <si>
    <t>Blade #1 from Row 16 of Rotor</t>
  </si>
  <si>
    <t>Open/access blade/close</t>
  </si>
  <si>
    <t>Tool Usage 14 Shifts</t>
  </si>
  <si>
    <t>Truck Usage</t>
  </si>
  <si>
    <t>Truck Usage 15 days x 2 Trucks</t>
  </si>
  <si>
    <t>6/21/00 to 6/23/00</t>
  </si>
  <si>
    <t>7/13/00 to 7/23/00</t>
  </si>
  <si>
    <t>Deductions for Policy Eclusion</t>
  </si>
  <si>
    <t>n/a</t>
  </si>
  <si>
    <t>Per Diem Charges</t>
  </si>
  <si>
    <t>Nights</t>
  </si>
  <si>
    <t>per Night</t>
  </si>
  <si>
    <t>50% during alignment Adjustments</t>
  </si>
  <si>
    <t>Total Subcontracts &amp; Vendor Purchases</t>
  </si>
  <si>
    <t>50% of Total</t>
  </si>
  <si>
    <t>Total Estimate for all work during open/closing</t>
  </si>
  <si>
    <t>but associated with resulting damages</t>
  </si>
  <si>
    <t>Net Deduction</t>
  </si>
  <si>
    <t>See Sche 1 (L), page 7 for details of estimated costs</t>
  </si>
  <si>
    <t>associated with openning &amp; closing</t>
  </si>
  <si>
    <t>Work to replace single blade, includes any shipping</t>
  </si>
  <si>
    <t>25% of all charges</t>
  </si>
  <si>
    <t>50% of all charges</t>
  </si>
  <si>
    <t>Open/Close Hours</t>
  </si>
  <si>
    <t>Exclusion Deductions Based on Nets</t>
  </si>
  <si>
    <t xml:space="preserve"> = </t>
  </si>
  <si>
    <t xml:space="preserve"> x50%</t>
  </si>
  <si>
    <t>Total Open/Close Hours</t>
  </si>
  <si>
    <t xml:space="preserve">  </t>
  </si>
  <si>
    <t xml:space="preserve">Deduction % </t>
  </si>
  <si>
    <t>Open Labor 6/14/00 to 6/23/00</t>
  </si>
  <si>
    <t>Closed Labor 7/13/00 to 7/23/00</t>
  </si>
  <si>
    <t>50% of Materials</t>
  </si>
  <si>
    <t>50% of Rentals</t>
  </si>
  <si>
    <t>Allow 50% credit on deductions for other work completed at the time</t>
  </si>
  <si>
    <t>50% Credit for work not associated with work,</t>
  </si>
  <si>
    <t>Schedule 1 (L), Page 12</t>
  </si>
  <si>
    <t>Construction &amp; startup support, See Sche. 3, Page 22 on estimated openning &amp;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</si>
</sst>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8" formatCode="&quot;$&quot;#,##0.00_);[Red]\(&quot;$&quot;#,##0.00\)"/>
    <numFmt numFmtId="44" formatCode="_(&quot;$&quot;* #,##0.00_);_(&quot;$&quot;* \(#,##0.00\);_(&quot;$&quot;* &quot;-&quot;??_);_(@_)"/>
    <numFmt numFmtId="43" formatCode="_(* #,##0.00_);_(* \(#,##0.00\);_(* &quot;-&quot;??_);_(@_)"/>
    <numFmt numFmtId="167" formatCode="&quot;$&quot;* #,##0.00;[Red]\ \(&quot;$&quot;* #,##0.00\)"/>
    <numFmt numFmtId="170" formatCode="#,##0.0_);[Red]\(#,##0.0\)"/>
    <numFmt numFmtId="171" formatCode="&quot;$&quot;#,##0"/>
    <numFmt numFmtId="172" formatCode="0.0"/>
    <numFmt numFmtId="174" formatCode="_(* #,##0.0_);_(* \(#,##0.0\);_(* &quot;-&quot;?_);_(@_)"/>
    <numFmt numFmtId="175" formatCode="0.0%"/>
    <numFmt numFmtId="177" formatCode="#,##0.0"/>
    <numFmt numFmtId="178" formatCode="#,##0.000_);[Red]\(#,##0.000\)"/>
    <numFmt numFmtId="190" formatCode="0.00_);\(0.00\)"/>
    <numFmt numFmtId="191" formatCode="0.0_);\(0.0\)"/>
  </numFmts>
  <fonts count="33" x14ac:knownFonts="1">
    <font>
      <sz val="10"/>
      <name val="Helv"/>
    </font>
    <font>
      <b/>
      <sz val="10"/>
      <name val="Helv"/>
    </font>
    <font>
      <u/>
      <sz val="10"/>
      <name val="Helv"/>
    </font>
    <font>
      <sz val="10"/>
      <name val="Arial"/>
      <family val="2"/>
    </font>
    <font>
      <b/>
      <u/>
      <sz val="12"/>
      <name val="Arial"/>
      <family val="2"/>
    </font>
    <font>
      <u/>
      <sz val="10"/>
      <name val="Arial"/>
      <family val="2"/>
    </font>
    <font>
      <b/>
      <sz val="12"/>
      <name val="Arial"/>
      <family val="2"/>
    </font>
    <font>
      <b/>
      <sz val="10"/>
      <name val="Arial"/>
      <family val="2"/>
    </font>
    <font>
      <sz val="10"/>
      <color indexed="12"/>
      <name val="Arial"/>
      <family val="2"/>
    </font>
    <font>
      <b/>
      <sz val="10"/>
      <color indexed="12"/>
      <name val="Arial"/>
      <family val="2"/>
    </font>
    <font>
      <b/>
      <u/>
      <sz val="10"/>
      <name val="Arial"/>
      <family val="2"/>
    </font>
    <font>
      <sz val="10"/>
      <name val="Helv"/>
    </font>
    <font>
      <sz val="8"/>
      <name val="Arial"/>
      <family val="2"/>
    </font>
    <font>
      <sz val="8"/>
      <name val="Helv"/>
    </font>
    <font>
      <u/>
      <sz val="8"/>
      <name val="Helv"/>
    </font>
    <font>
      <sz val="10"/>
      <color indexed="10"/>
      <name val="Helv"/>
    </font>
    <font>
      <sz val="10"/>
      <color indexed="10"/>
      <name val="Arial"/>
      <family val="2"/>
    </font>
    <font>
      <u/>
      <sz val="10"/>
      <color indexed="10"/>
      <name val="Arial"/>
      <family val="2"/>
    </font>
    <font>
      <b/>
      <u/>
      <sz val="8"/>
      <name val="Arial"/>
      <family val="2"/>
    </font>
    <font>
      <sz val="9"/>
      <name val="Arial"/>
      <family val="2"/>
    </font>
    <font>
      <i/>
      <sz val="10"/>
      <name val="Arial"/>
      <family val="2"/>
    </font>
    <font>
      <u/>
      <sz val="8"/>
      <name val="Arial"/>
      <family val="2"/>
    </font>
    <font>
      <sz val="11"/>
      <name val="Arial"/>
      <family val="2"/>
    </font>
    <font>
      <u/>
      <sz val="11"/>
      <name val="Arial"/>
      <family val="2"/>
    </font>
    <font>
      <b/>
      <sz val="11"/>
      <name val="Arial"/>
      <family val="2"/>
    </font>
    <font>
      <b/>
      <u/>
      <sz val="11"/>
      <name val="Arial"/>
      <family val="2"/>
    </font>
    <font>
      <sz val="10"/>
      <name val="Arial"/>
    </font>
    <font>
      <sz val="9"/>
      <color indexed="10"/>
      <name val="Helv"/>
    </font>
    <font>
      <sz val="11"/>
      <color indexed="12"/>
      <name val="Arial"/>
      <family val="2"/>
    </font>
    <font>
      <sz val="12"/>
      <name val="Arial"/>
    </font>
    <font>
      <sz val="12"/>
      <name val="Arial"/>
      <family val="2"/>
    </font>
    <font>
      <b/>
      <u/>
      <sz val="13"/>
      <name val="Arial"/>
      <family val="2"/>
    </font>
    <font>
      <i/>
      <sz val="16"/>
      <name val="Arial"/>
      <family val="2"/>
    </font>
  </fonts>
  <fills count="5">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s>
  <borders count="1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9">
    <xf numFmtId="0" fontId="0" fillId="0" borderId="0"/>
    <xf numFmtId="43" fontId="26" fillId="0" borderId="0" applyFont="0" applyFill="0" applyBorder="0" applyAlignment="0" applyProtection="0"/>
    <xf numFmtId="44" fontId="26" fillId="0" borderId="0" applyFont="0" applyFill="0" applyBorder="0" applyAlignment="0" applyProtection="0"/>
    <xf numFmtId="0" fontId="26" fillId="0" borderId="0"/>
    <xf numFmtId="0" fontId="11" fillId="0" borderId="0"/>
    <xf numFmtId="0" fontId="26" fillId="0" borderId="0"/>
    <xf numFmtId="0" fontId="29" fillId="0" borderId="0"/>
    <xf numFmtId="0" fontId="26" fillId="0" borderId="0"/>
    <xf numFmtId="9" fontId="26" fillId="0" borderId="0" applyFont="0" applyFill="0" applyBorder="0" applyAlignment="0" applyProtection="0"/>
  </cellStyleXfs>
  <cellXfs count="488">
    <xf numFmtId="0" fontId="0" fillId="0" borderId="0" xfId="0"/>
    <xf numFmtId="0" fontId="3" fillId="0" borderId="0" xfId="0" applyFont="1" applyAlignment="1">
      <alignment vertical="top" wrapText="1"/>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left" vertical="top"/>
    </xf>
    <xf numFmtId="0" fontId="0" fillId="0" borderId="0" xfId="0" applyAlignment="1">
      <alignment horizontal="left" vertical="top"/>
    </xf>
    <xf numFmtId="40" fontId="6" fillId="0" borderId="0" xfId="0" applyNumberFormat="1" applyFont="1" applyAlignment="1">
      <alignment vertical="top"/>
    </xf>
    <xf numFmtId="0" fontId="3" fillId="0" borderId="0" xfId="0" applyFont="1" applyAlignment="1">
      <alignment horizontal="left" vertical="top"/>
    </xf>
    <xf numFmtId="40" fontId="3" fillId="0" borderId="0" xfId="0" applyNumberFormat="1" applyFont="1" applyAlignment="1">
      <alignment vertical="top"/>
    </xf>
    <xf numFmtId="40" fontId="4" fillId="0" borderId="0" xfId="0" applyNumberFormat="1" applyFont="1" applyAlignment="1">
      <alignment horizontal="right" vertical="top"/>
    </xf>
    <xf numFmtId="0" fontId="3" fillId="0" borderId="0" xfId="0" applyFont="1" applyAlignment="1">
      <alignment horizontal="center" vertical="top"/>
    </xf>
    <xf numFmtId="0" fontId="8" fillId="0" borderId="0" xfId="0" applyNumberFormat="1" applyFont="1" applyAlignment="1">
      <alignment horizontal="left" vertical="top"/>
    </xf>
    <xf numFmtId="0" fontId="3" fillId="0" borderId="0" xfId="0" applyNumberFormat="1" applyFont="1" applyAlignment="1">
      <alignment horizontal="left" vertical="top"/>
    </xf>
    <xf numFmtId="0" fontId="8" fillId="0" borderId="0" xfId="0" applyFont="1" applyAlignment="1">
      <alignment vertical="top"/>
    </xf>
    <xf numFmtId="0" fontId="8" fillId="0" borderId="0" xfId="0" applyFont="1" applyAlignment="1">
      <alignment horizontal="left" vertical="top"/>
    </xf>
    <xf numFmtId="0" fontId="7" fillId="0" borderId="0" xfId="0" applyFont="1" applyAlignment="1">
      <alignment horizontal="left" vertical="top"/>
    </xf>
    <xf numFmtId="40" fontId="3" fillId="0" borderId="1" xfId="0" applyNumberFormat="1" applyFont="1" applyBorder="1" applyAlignment="1">
      <alignment vertical="top"/>
    </xf>
    <xf numFmtId="0" fontId="9" fillId="0" borderId="0" xfId="0" applyFont="1" applyAlignment="1">
      <alignment horizontal="left" vertical="top"/>
    </xf>
    <xf numFmtId="0" fontId="3" fillId="0" borderId="0" xfId="0" applyNumberFormat="1" applyFont="1" applyAlignment="1">
      <alignment horizontal="left"/>
    </xf>
    <xf numFmtId="0" fontId="3" fillId="0" borderId="0" xfId="0" applyFont="1"/>
    <xf numFmtId="40" fontId="3" fillId="0" borderId="0" xfId="0" applyNumberFormat="1" applyFont="1" applyAlignment="1">
      <alignment horizontal="right"/>
    </xf>
    <xf numFmtId="40" fontId="5" fillId="0" borderId="0" xfId="0" applyNumberFormat="1" applyFont="1" applyAlignment="1">
      <alignment horizontal="right"/>
    </xf>
    <xf numFmtId="40" fontId="5" fillId="0" borderId="0" xfId="0" applyNumberFormat="1" applyFont="1" applyAlignment="1">
      <alignment vertical="top"/>
    </xf>
    <xf numFmtId="40" fontId="3" fillId="0" borderId="0" xfId="0" applyNumberFormat="1" applyFont="1"/>
    <xf numFmtId="40" fontId="3" fillId="0" borderId="0" xfId="0" applyNumberFormat="1" applyFont="1" applyAlignment="1">
      <alignment horizontal="left"/>
    </xf>
    <xf numFmtId="2" fontId="3" fillId="0" borderId="0" xfId="0" applyNumberFormat="1" applyFont="1" applyAlignment="1">
      <alignment horizontal="right"/>
    </xf>
    <xf numFmtId="40" fontId="3" fillId="0" borderId="0" xfId="0" applyNumberFormat="1" applyFont="1" applyAlignment="1">
      <alignment horizontal="right" vertical="top"/>
    </xf>
    <xf numFmtId="40" fontId="3" fillId="0" borderId="1" xfId="0" applyNumberFormat="1" applyFont="1" applyBorder="1" applyAlignment="1">
      <alignment horizontal="right"/>
    </xf>
    <xf numFmtId="40" fontId="10" fillId="0" borderId="0" xfId="0" applyNumberFormat="1" applyFont="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11" fillId="0" borderId="0" xfId="0" applyFont="1" applyAlignment="1">
      <alignment horizontal="left" vertical="top"/>
    </xf>
    <xf numFmtId="0" fontId="3" fillId="0" borderId="0" xfId="0" applyNumberFormat="1" applyFont="1" applyAlignment="1">
      <alignment horizontal="right"/>
    </xf>
    <xf numFmtId="14" fontId="3" fillId="0" borderId="0" xfId="0" applyNumberFormat="1" applyFont="1" applyAlignment="1">
      <alignment horizontal="left"/>
    </xf>
    <xf numFmtId="167" fontId="3" fillId="0" borderId="0" xfId="0" applyNumberFormat="1" applyFont="1" applyAlignment="1">
      <alignment horizontal="right"/>
    </xf>
    <xf numFmtId="40" fontId="4" fillId="0" borderId="0" xfId="0" applyNumberFormat="1" applyFont="1" applyAlignment="1">
      <alignment vertical="top"/>
    </xf>
    <xf numFmtId="170" fontId="4" fillId="0" borderId="0" xfId="0" applyNumberFormat="1" applyFont="1" applyAlignment="1">
      <alignment vertical="top"/>
    </xf>
    <xf numFmtId="170" fontId="3" fillId="0" borderId="0" xfId="0" applyNumberFormat="1" applyFont="1" applyAlignment="1">
      <alignment vertical="top"/>
    </xf>
    <xf numFmtId="170" fontId="6" fillId="0" borderId="0" xfId="0" applyNumberFormat="1" applyFont="1" applyAlignment="1">
      <alignment vertical="top"/>
    </xf>
    <xf numFmtId="170" fontId="4" fillId="0" borderId="0" xfId="0" applyNumberFormat="1" applyFont="1" applyAlignment="1">
      <alignment horizontal="left" vertical="top"/>
    </xf>
    <xf numFmtId="170" fontId="3" fillId="0" borderId="0" xfId="0" applyNumberFormat="1" applyFont="1" applyAlignment="1">
      <alignment horizontal="left" vertical="top"/>
    </xf>
    <xf numFmtId="170" fontId="4" fillId="0" borderId="0" xfId="0" applyNumberFormat="1" applyFont="1" applyAlignment="1">
      <alignment horizontal="right" vertical="top"/>
    </xf>
    <xf numFmtId="170" fontId="3" fillId="0" borderId="0" xfId="0" applyNumberFormat="1" applyFont="1" applyAlignment="1">
      <alignment horizontal="left"/>
    </xf>
    <xf numFmtId="170" fontId="3" fillId="0" borderId="0" xfId="0" applyNumberFormat="1" applyFont="1"/>
    <xf numFmtId="170" fontId="5" fillId="0" borderId="0" xfId="0" applyNumberFormat="1" applyFont="1" applyAlignment="1">
      <alignment horizontal="right"/>
    </xf>
    <xf numFmtId="170" fontId="3" fillId="0" borderId="0" xfId="0" applyNumberFormat="1" applyFont="1" applyAlignment="1">
      <alignment horizontal="right"/>
    </xf>
    <xf numFmtId="170" fontId="3" fillId="0" borderId="2" xfId="0" applyNumberFormat="1" applyFont="1" applyBorder="1"/>
    <xf numFmtId="170" fontId="3" fillId="0" borderId="3" xfId="0" applyNumberFormat="1" applyFont="1" applyBorder="1"/>
    <xf numFmtId="170" fontId="3" fillId="0" borderId="4" xfId="0" applyNumberFormat="1" applyFont="1" applyBorder="1"/>
    <xf numFmtId="170" fontId="3" fillId="0" borderId="5" xfId="0" applyNumberFormat="1" applyFont="1" applyBorder="1"/>
    <xf numFmtId="170" fontId="3" fillId="0" borderId="0" xfId="0" applyNumberFormat="1" applyFont="1" applyBorder="1"/>
    <xf numFmtId="170" fontId="3" fillId="0" borderId="6" xfId="0" applyNumberFormat="1" applyFont="1" applyBorder="1"/>
    <xf numFmtId="170" fontId="3" fillId="0" borderId="5" xfId="0" applyNumberFormat="1" applyFont="1" applyBorder="1" applyAlignment="1">
      <alignment horizontal="right"/>
    </xf>
    <xf numFmtId="170" fontId="3" fillId="0" borderId="7" xfId="0" applyNumberFormat="1" applyFont="1" applyBorder="1" applyAlignment="1">
      <alignment horizontal="left" vertical="top"/>
    </xf>
    <xf numFmtId="170" fontId="3" fillId="0" borderId="1" xfId="0" applyNumberFormat="1" applyFont="1" applyBorder="1" applyAlignment="1">
      <alignment horizontal="left" vertical="top"/>
    </xf>
    <xf numFmtId="170" fontId="3" fillId="0" borderId="8" xfId="0" applyNumberFormat="1" applyFont="1" applyBorder="1" applyAlignment="1">
      <alignment horizontal="left" vertical="top"/>
    </xf>
    <xf numFmtId="170" fontId="3" fillId="0" borderId="2" xfId="0" applyNumberFormat="1" applyFont="1" applyBorder="1" applyAlignment="1">
      <alignment horizontal="right"/>
    </xf>
    <xf numFmtId="170" fontId="3" fillId="0" borderId="4" xfId="0" applyNumberFormat="1" applyFont="1" applyBorder="1" applyAlignment="1">
      <alignment horizontal="right"/>
    </xf>
    <xf numFmtId="170" fontId="3" fillId="0" borderId="0" xfId="0" applyNumberFormat="1" applyFont="1" applyBorder="1" applyAlignment="1">
      <alignment horizontal="right"/>
    </xf>
    <xf numFmtId="170" fontId="3" fillId="0" borderId="6" xfId="0" applyNumberFormat="1" applyFont="1" applyBorder="1" applyAlignment="1">
      <alignment horizontal="right"/>
    </xf>
    <xf numFmtId="170" fontId="3" fillId="0" borderId="7" xfId="0" applyNumberFormat="1" applyFont="1" applyBorder="1"/>
    <xf numFmtId="170" fontId="3" fillId="0" borderId="1" xfId="0" applyNumberFormat="1" applyFont="1" applyBorder="1"/>
    <xf numFmtId="170" fontId="3" fillId="0" borderId="8" xfId="0" applyNumberFormat="1" applyFont="1" applyBorder="1"/>
    <xf numFmtId="170" fontId="3" fillId="0" borderId="3" xfId="0" applyNumberFormat="1" applyFont="1" applyBorder="1" applyAlignment="1">
      <alignment horizontal="right"/>
    </xf>
    <xf numFmtId="0" fontId="3" fillId="0" borderId="0" xfId="0" applyNumberFormat="1" applyFont="1" applyAlignment="1">
      <alignment horizontal="left" wrapText="1"/>
    </xf>
    <xf numFmtId="0" fontId="0" fillId="0" borderId="0" xfId="0" applyAlignment="1">
      <alignment wrapText="1"/>
    </xf>
    <xf numFmtId="40" fontId="12" fillId="0" borderId="0" xfId="0" applyNumberFormat="1" applyFont="1"/>
    <xf numFmtId="170" fontId="3" fillId="0" borderId="0" xfId="0" applyNumberFormat="1" applyFont="1" applyAlignment="1">
      <alignment horizontal="center"/>
    </xf>
    <xf numFmtId="40" fontId="5" fillId="0" borderId="0" xfId="0" applyNumberFormat="1" applyFont="1"/>
    <xf numFmtId="0" fontId="4" fillId="0" borderId="0" xfId="0" applyFont="1" applyAlignment="1">
      <alignment horizontal="center" vertical="top"/>
    </xf>
    <xf numFmtId="40" fontId="3" fillId="0" borderId="0" xfId="0" applyNumberFormat="1" applyFont="1" applyAlignment="1">
      <alignment horizontal="left" vertical="top"/>
    </xf>
    <xf numFmtId="0" fontId="3" fillId="0" borderId="2" xfId="0" applyFont="1" applyBorder="1" applyAlignment="1">
      <alignment horizontal="left" vertical="top"/>
    </xf>
    <xf numFmtId="0" fontId="3" fillId="0" borderId="3" xfId="0" applyFont="1" applyBorder="1"/>
    <xf numFmtId="0" fontId="3" fillId="0" borderId="3" xfId="0" applyFont="1" applyBorder="1" applyAlignment="1">
      <alignment horizontal="left" vertical="top"/>
    </xf>
    <xf numFmtId="170" fontId="3" fillId="0" borderId="3" xfId="0" applyNumberFormat="1" applyFont="1" applyBorder="1" applyAlignment="1">
      <alignment horizontal="left" vertical="top"/>
    </xf>
    <xf numFmtId="170" fontId="3" fillId="0" borderId="3" xfId="0" applyNumberFormat="1" applyFont="1" applyBorder="1" applyAlignment="1">
      <alignment vertical="top"/>
    </xf>
    <xf numFmtId="40" fontId="3" fillId="0" borderId="3" xfId="0" applyNumberFormat="1"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5" xfId="0" applyFont="1" applyBorder="1" applyAlignment="1">
      <alignment horizontal="left" vertical="top"/>
    </xf>
    <xf numFmtId="0" fontId="3" fillId="0" borderId="0" xfId="0" applyNumberFormat="1" applyFont="1" applyBorder="1" applyAlignment="1">
      <alignment horizontal="left"/>
    </xf>
    <xf numFmtId="0" fontId="3" fillId="0" borderId="0" xfId="0" applyFont="1" applyBorder="1" applyAlignment="1">
      <alignment horizontal="left" vertical="top"/>
    </xf>
    <xf numFmtId="170" fontId="3" fillId="0" borderId="0" xfId="0" applyNumberFormat="1" applyFont="1" applyBorder="1" applyAlignment="1">
      <alignment horizontal="left" vertical="top"/>
    </xf>
    <xf numFmtId="170" fontId="3" fillId="0" borderId="0" xfId="0" applyNumberFormat="1" applyFont="1" applyBorder="1" applyAlignment="1">
      <alignment vertical="top"/>
    </xf>
    <xf numFmtId="40" fontId="3" fillId="0" borderId="0" xfId="0" applyNumberFormat="1" applyFont="1" applyBorder="1" applyAlignment="1">
      <alignment vertical="top"/>
    </xf>
    <xf numFmtId="0" fontId="3" fillId="0" borderId="0" xfId="0" applyFont="1" applyBorder="1" applyAlignment="1">
      <alignment vertical="top"/>
    </xf>
    <xf numFmtId="0" fontId="3" fillId="0" borderId="6" xfId="0" applyFont="1" applyBorder="1" applyAlignment="1">
      <alignment vertical="top"/>
    </xf>
    <xf numFmtId="0" fontId="3" fillId="0" borderId="0" xfId="0" applyFont="1" applyBorder="1"/>
    <xf numFmtId="170" fontId="3" fillId="0" borderId="0" xfId="0" applyNumberFormat="1" applyFont="1" applyBorder="1" applyAlignment="1">
      <alignment horizontal="left"/>
    </xf>
    <xf numFmtId="170" fontId="5" fillId="0" borderId="0" xfId="0" applyNumberFormat="1" applyFont="1" applyBorder="1" applyAlignment="1">
      <alignment horizontal="right"/>
    </xf>
    <xf numFmtId="40" fontId="5" fillId="0" borderId="0" xfId="0" applyNumberFormat="1" applyFont="1" applyBorder="1" applyAlignment="1">
      <alignment horizontal="right"/>
    </xf>
    <xf numFmtId="40" fontId="3" fillId="0" borderId="0" xfId="0" applyNumberFormat="1" applyFont="1" applyBorder="1" applyAlignment="1">
      <alignment horizontal="left"/>
    </xf>
    <xf numFmtId="3" fontId="3" fillId="0" borderId="0" xfId="0" applyNumberFormat="1" applyFont="1" applyBorder="1" applyAlignment="1">
      <alignment horizontal="right"/>
    </xf>
    <xf numFmtId="10" fontId="3" fillId="0" borderId="0" xfId="0" applyNumberFormat="1" applyFont="1" applyBorder="1" applyAlignment="1">
      <alignment vertical="top"/>
    </xf>
    <xf numFmtId="2" fontId="3" fillId="0" borderId="0" xfId="0" applyNumberFormat="1" applyFont="1" applyBorder="1" applyAlignment="1">
      <alignment horizontal="right"/>
    </xf>
    <xf numFmtId="2" fontId="5" fillId="0" borderId="0" xfId="0" applyNumberFormat="1" applyFont="1" applyBorder="1" applyAlignment="1">
      <alignment horizontal="right"/>
    </xf>
    <xf numFmtId="40" fontId="3" fillId="0" borderId="0" xfId="0" applyNumberFormat="1" applyFont="1" applyBorder="1" applyAlignment="1">
      <alignment horizontal="right"/>
    </xf>
    <xf numFmtId="0" fontId="3" fillId="0" borderId="7" xfId="0" applyFont="1" applyBorder="1" applyAlignment="1">
      <alignment horizontal="left" vertical="top"/>
    </xf>
    <xf numFmtId="0" fontId="3" fillId="0" borderId="1" xfId="0" applyNumberFormat="1" applyFont="1" applyBorder="1" applyAlignment="1">
      <alignment horizontal="left"/>
    </xf>
    <xf numFmtId="170" fontId="3" fillId="0" borderId="1" xfId="0" applyNumberFormat="1" applyFont="1" applyBorder="1" applyAlignment="1">
      <alignment vertical="top"/>
    </xf>
    <xf numFmtId="0" fontId="3" fillId="0" borderId="1" xfId="0" applyFont="1" applyBorder="1" applyAlignment="1">
      <alignment vertical="top"/>
    </xf>
    <xf numFmtId="0" fontId="12" fillId="0" borderId="0" xfId="0" applyFont="1" applyAlignment="1">
      <alignment horizontal="left" vertical="top"/>
    </xf>
    <xf numFmtId="40" fontId="16" fillId="0" borderId="0" xfId="0" applyNumberFormat="1" applyFont="1" applyAlignment="1">
      <alignment vertical="top"/>
    </xf>
    <xf numFmtId="40" fontId="12" fillId="0" borderId="0" xfId="0" applyNumberFormat="1" applyFont="1" applyAlignment="1">
      <alignment vertical="top"/>
    </xf>
    <xf numFmtId="0" fontId="2" fillId="0" borderId="0" xfId="0" applyNumberFormat="1" applyFont="1" applyAlignment="1">
      <alignment horizontal="left"/>
    </xf>
    <xf numFmtId="0" fontId="0" fillId="0" borderId="0" xfId="0" applyNumberFormat="1" applyAlignment="1">
      <alignment horizontal="center"/>
    </xf>
    <xf numFmtId="0" fontId="0" fillId="0" borderId="0" xfId="0" applyNumberFormat="1" applyAlignment="1">
      <alignment horizontal="left"/>
    </xf>
    <xf numFmtId="0" fontId="0" fillId="0" borderId="0" xfId="0" applyNumberFormat="1" applyAlignment="1">
      <alignment horizontal="right"/>
    </xf>
    <xf numFmtId="40" fontId="0" fillId="0" borderId="0" xfId="0" applyNumberFormat="1" applyAlignment="1">
      <alignment horizontal="right"/>
    </xf>
    <xf numFmtId="40" fontId="2" fillId="0" borderId="0" xfId="0" applyNumberFormat="1" applyFont="1" applyAlignment="1">
      <alignment horizontal="right"/>
    </xf>
    <xf numFmtId="40" fontId="5" fillId="0" borderId="0" xfId="0" applyNumberFormat="1" applyFont="1" applyAlignment="1">
      <alignment horizontal="right" vertical="top"/>
    </xf>
    <xf numFmtId="0" fontId="13" fillId="0" borderId="0" xfId="0" applyNumberFormat="1" applyFont="1" applyAlignment="1">
      <alignment horizontal="left"/>
    </xf>
    <xf numFmtId="0" fontId="14" fillId="0" borderId="0" xfId="0" applyNumberFormat="1" applyFont="1" applyAlignment="1">
      <alignment horizontal="left"/>
    </xf>
    <xf numFmtId="40" fontId="13" fillId="2" borderId="0" xfId="0" applyNumberFormat="1" applyFont="1" applyFill="1" applyAlignment="1">
      <alignment horizontal="right"/>
    </xf>
    <xf numFmtId="0" fontId="12" fillId="0" borderId="0" xfId="0" applyFont="1" applyAlignment="1">
      <alignment vertical="top"/>
    </xf>
    <xf numFmtId="40" fontId="12" fillId="2" borderId="0" xfId="0" applyNumberFormat="1" applyFont="1" applyFill="1" applyAlignment="1">
      <alignment vertical="top"/>
    </xf>
    <xf numFmtId="4" fontId="3" fillId="0" borderId="0" xfId="0" applyNumberFormat="1" applyFont="1" applyAlignment="1">
      <alignment horizontal="left" vertical="top"/>
    </xf>
    <xf numFmtId="171" fontId="3" fillId="0" borderId="0" xfId="0" applyNumberFormat="1" applyFont="1" applyAlignment="1">
      <alignment horizontal="left" vertical="top"/>
    </xf>
    <xf numFmtId="0" fontId="1" fillId="0" borderId="0" xfId="0" applyNumberFormat="1" applyFont="1" applyAlignment="1">
      <alignment horizontal="left"/>
    </xf>
    <xf numFmtId="40" fontId="3" fillId="0" borderId="0" xfId="0" applyNumberFormat="1" applyFont="1" applyAlignment="1">
      <alignment horizontal="center" vertical="top"/>
    </xf>
    <xf numFmtId="0" fontId="15" fillId="0" borderId="0" xfId="0" applyNumberFormat="1" applyFont="1" applyAlignment="1">
      <alignment horizontal="left"/>
    </xf>
    <xf numFmtId="0" fontId="3" fillId="0" borderId="0" xfId="0" applyFont="1" applyAlignment="1">
      <alignment horizontal="right"/>
    </xf>
    <xf numFmtId="38" fontId="3" fillId="0" borderId="0" xfId="0" applyNumberFormat="1" applyFont="1" applyAlignment="1">
      <alignment horizontal="left"/>
    </xf>
    <xf numFmtId="0" fontId="16" fillId="0" borderId="0" xfId="0" applyNumberFormat="1" applyFont="1" applyAlignment="1">
      <alignment horizontal="left"/>
    </xf>
    <xf numFmtId="0" fontId="16" fillId="0" borderId="0" xfId="0" applyFont="1"/>
    <xf numFmtId="0" fontId="16"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right"/>
    </xf>
    <xf numFmtId="40" fontId="3" fillId="0" borderId="0" xfId="0" applyNumberFormat="1" applyFont="1" applyAlignment="1"/>
    <xf numFmtId="0" fontId="3" fillId="0" borderId="0" xfId="0" applyFont="1" applyAlignment="1">
      <alignment horizontal="right" vertical="top"/>
    </xf>
    <xf numFmtId="0" fontId="5" fillId="0" borderId="0" xfId="0" applyFont="1" applyAlignment="1">
      <alignment vertical="top"/>
    </xf>
    <xf numFmtId="0" fontId="11" fillId="0" borderId="0" xfId="0" applyFont="1" applyAlignment="1">
      <alignment vertical="top"/>
    </xf>
    <xf numFmtId="16" fontId="3" fillId="0" borderId="0" xfId="0" applyNumberFormat="1" applyFont="1" applyAlignment="1">
      <alignment horizontal="left" vertical="top"/>
    </xf>
    <xf numFmtId="0" fontId="3" fillId="2" borderId="0" xfId="0" applyFont="1" applyFill="1" applyAlignment="1">
      <alignment horizontal="left" vertical="top"/>
    </xf>
    <xf numFmtId="0" fontId="0" fillId="2" borderId="0" xfId="0" applyNumberFormat="1" applyFill="1" applyAlignment="1">
      <alignment horizontal="left"/>
    </xf>
    <xf numFmtId="40" fontId="5" fillId="0" borderId="0" xfId="0" applyNumberFormat="1" applyFont="1" applyAlignment="1">
      <alignment horizontal="left" vertical="top"/>
    </xf>
    <xf numFmtId="40" fontId="16" fillId="0" borderId="0" xfId="0" applyNumberFormat="1" applyFont="1" applyAlignment="1">
      <alignment horizontal="left" vertical="top"/>
    </xf>
    <xf numFmtId="40" fontId="17" fillId="0" borderId="0" xfId="0" applyNumberFormat="1" applyFont="1" applyAlignment="1">
      <alignment horizontal="left" vertical="top"/>
    </xf>
    <xf numFmtId="0" fontId="3" fillId="0" borderId="0" xfId="0" applyFont="1" applyAlignment="1"/>
    <xf numFmtId="0" fontId="3" fillId="0" borderId="0" xfId="0" applyFont="1" applyAlignment="1">
      <alignment textRotation="90"/>
    </xf>
    <xf numFmtId="16" fontId="7" fillId="0" borderId="0" xfId="0" applyNumberFormat="1" applyFont="1" applyAlignment="1">
      <alignment textRotation="90"/>
    </xf>
    <xf numFmtId="0" fontId="3" fillId="0" borderId="0" xfId="0" applyFont="1" applyAlignment="1">
      <alignment horizontal="center" vertical="center"/>
    </xf>
    <xf numFmtId="172" fontId="3" fillId="0" borderId="0" xfId="0" applyNumberFormat="1" applyFont="1" applyAlignment="1">
      <alignment horizontal="center" vertical="center"/>
    </xf>
    <xf numFmtId="40" fontId="12" fillId="0" borderId="0" xfId="0" applyNumberFormat="1" applyFont="1" applyAlignment="1">
      <alignment horizontal="left" vertical="top"/>
    </xf>
    <xf numFmtId="0" fontId="18" fillId="0" borderId="0" xfId="0" applyFont="1" applyAlignment="1">
      <alignment vertical="top"/>
    </xf>
    <xf numFmtId="170" fontId="19" fillId="0" borderId="0" xfId="0" applyNumberFormat="1" applyFont="1" applyBorder="1"/>
    <xf numFmtId="170" fontId="19" fillId="0" borderId="0" xfId="0" applyNumberFormat="1" applyFont="1" applyBorder="1" applyAlignment="1">
      <alignment horizontal="left"/>
    </xf>
    <xf numFmtId="0" fontId="19" fillId="0" borderId="0" xfId="0" applyNumberFormat="1" applyFont="1" applyBorder="1" applyAlignment="1">
      <alignment horizontal="left"/>
    </xf>
    <xf numFmtId="170" fontId="19" fillId="0" borderId="0" xfId="0" applyNumberFormat="1" applyFont="1" applyBorder="1" applyAlignment="1">
      <alignment vertical="top"/>
    </xf>
    <xf numFmtId="0" fontId="19" fillId="0" borderId="0" xfId="0" applyFont="1" applyBorder="1" applyAlignment="1">
      <alignment vertical="top"/>
    </xf>
    <xf numFmtId="0" fontId="19" fillId="0" borderId="6" xfId="0" applyFont="1" applyBorder="1" applyAlignment="1">
      <alignment vertical="top"/>
    </xf>
    <xf numFmtId="0" fontId="19" fillId="0" borderId="0" xfId="0" applyFont="1" applyAlignment="1">
      <alignment vertical="top"/>
    </xf>
    <xf numFmtId="40" fontId="3" fillId="0" borderId="1" xfId="0" applyNumberFormat="1" applyFont="1" applyBorder="1"/>
    <xf numFmtId="16" fontId="7" fillId="0" borderId="0" xfId="0" applyNumberFormat="1" applyFont="1" applyAlignment="1">
      <alignment textRotation="90" wrapText="1"/>
    </xf>
    <xf numFmtId="0" fontId="7" fillId="0" borderId="0" xfId="0" applyFont="1" applyAlignment="1">
      <alignment vertical="top"/>
    </xf>
    <xf numFmtId="170" fontId="7" fillId="0" borderId="0" xfId="0" applyNumberFormat="1" applyFont="1" applyBorder="1" applyAlignment="1">
      <alignment horizontal="left"/>
    </xf>
    <xf numFmtId="0" fontId="7" fillId="0" borderId="0" xfId="0" applyNumberFormat="1" applyFont="1" applyBorder="1" applyAlignment="1">
      <alignment horizontal="left"/>
    </xf>
    <xf numFmtId="170" fontId="7" fillId="0" borderId="0" xfId="0" applyNumberFormat="1" applyFont="1" applyAlignment="1">
      <alignment vertical="top"/>
    </xf>
    <xf numFmtId="170" fontId="7" fillId="0" borderId="0" xfId="0" applyNumberFormat="1" applyFont="1" applyBorder="1" applyAlignment="1">
      <alignment horizontal="right"/>
    </xf>
    <xf numFmtId="0" fontId="7" fillId="0" borderId="0" xfId="0" applyFont="1" applyBorder="1" applyAlignment="1">
      <alignment vertical="top"/>
    </xf>
    <xf numFmtId="3" fontId="7" fillId="0" borderId="0" xfId="0" applyNumberFormat="1" applyFont="1" applyBorder="1" applyAlignment="1">
      <alignment horizontal="right"/>
    </xf>
    <xf numFmtId="0" fontId="3" fillId="0" borderId="0" xfId="0" applyNumberFormat="1" applyFont="1" applyBorder="1" applyAlignment="1">
      <alignment horizontal="right"/>
    </xf>
    <xf numFmtId="174" fontId="3" fillId="0" borderId="3" xfId="0" applyNumberFormat="1" applyFont="1" applyBorder="1"/>
    <xf numFmtId="174" fontId="3" fillId="0" borderId="9" xfId="0" applyNumberFormat="1" applyFont="1" applyBorder="1"/>
    <xf numFmtId="174" fontId="3" fillId="2" borderId="9" xfId="0" applyNumberFormat="1" applyFont="1" applyFill="1" applyBorder="1"/>
    <xf numFmtId="0" fontId="7" fillId="0" borderId="0" xfId="0" applyFont="1" applyAlignment="1">
      <alignment horizontal="center"/>
    </xf>
    <xf numFmtId="40" fontId="7" fillId="0" borderId="0" xfId="0" applyNumberFormat="1" applyFont="1" applyAlignment="1">
      <alignment vertical="top"/>
    </xf>
    <xf numFmtId="170" fontId="3" fillId="2" borderId="5" xfId="0" applyNumberFormat="1" applyFont="1" applyFill="1" applyBorder="1" applyAlignment="1">
      <alignment horizontal="right"/>
    </xf>
    <xf numFmtId="170" fontId="3" fillId="2" borderId="0" xfId="0" applyNumberFormat="1" applyFont="1" applyFill="1" applyBorder="1" applyAlignment="1">
      <alignment horizontal="right"/>
    </xf>
    <xf numFmtId="170" fontId="3" fillId="2" borderId="6" xfId="0" applyNumberFormat="1" applyFont="1" applyFill="1" applyBorder="1" applyAlignment="1">
      <alignment horizontal="right"/>
    </xf>
    <xf numFmtId="170" fontId="3" fillId="2" borderId="0" xfId="0" applyNumberFormat="1" applyFont="1" applyFill="1" applyBorder="1"/>
    <xf numFmtId="170" fontId="3" fillId="2" borderId="6" xfId="0" applyNumberFormat="1" applyFont="1" applyFill="1" applyBorder="1"/>
    <xf numFmtId="170" fontId="3" fillId="2" borderId="5" xfId="0" applyNumberFormat="1" applyFont="1" applyFill="1" applyBorder="1"/>
    <xf numFmtId="170" fontId="3" fillId="2" borderId="2" xfId="0" applyNumberFormat="1" applyFont="1" applyFill="1" applyBorder="1"/>
    <xf numFmtId="170" fontId="3" fillId="2" borderId="3" xfId="0" applyNumberFormat="1" applyFont="1" applyFill="1" applyBorder="1" applyAlignment="1">
      <alignment horizontal="right"/>
    </xf>
    <xf numFmtId="170" fontId="3" fillId="2" borderId="4" xfId="0" applyNumberFormat="1" applyFont="1" applyFill="1" applyBorder="1"/>
    <xf numFmtId="170" fontId="3" fillId="2" borderId="2" xfId="0" applyNumberFormat="1" applyFont="1" applyFill="1" applyBorder="1" applyAlignment="1">
      <alignment horizontal="right"/>
    </xf>
    <xf numFmtId="170" fontId="3" fillId="2" borderId="7" xfId="0" applyNumberFormat="1" applyFont="1" applyFill="1" applyBorder="1"/>
    <xf numFmtId="170" fontId="3" fillId="2" borderId="1" xfId="0" applyNumberFormat="1" applyFont="1" applyFill="1" applyBorder="1"/>
    <xf numFmtId="170" fontId="3" fillId="2" borderId="8" xfId="0" applyNumberFormat="1" applyFont="1" applyFill="1" applyBorder="1"/>
    <xf numFmtId="40" fontId="3" fillId="0" borderId="0" xfId="0" applyNumberFormat="1" applyFont="1" applyBorder="1"/>
    <xf numFmtId="40" fontId="12" fillId="0" borderId="0" xfId="0" applyNumberFormat="1" applyFont="1" applyBorder="1"/>
    <xf numFmtId="175" fontId="3" fillId="0" borderId="0" xfId="0" applyNumberFormat="1" applyFont="1" applyBorder="1" applyAlignment="1">
      <alignment vertical="top"/>
    </xf>
    <xf numFmtId="2" fontId="3" fillId="0" borderId="0" xfId="0" applyNumberFormat="1" applyFont="1" applyAlignment="1">
      <alignment vertical="top"/>
    </xf>
    <xf numFmtId="0" fontId="5" fillId="0" borderId="0" xfId="0" applyFont="1" applyAlignment="1">
      <alignment horizontal="center" vertical="center"/>
    </xf>
    <xf numFmtId="0" fontId="3" fillId="0" borderId="1" xfId="0" applyFont="1" applyBorder="1" applyAlignment="1">
      <alignment horizontal="center" vertical="center"/>
    </xf>
    <xf numFmtId="0" fontId="3" fillId="0" borderId="0" xfId="0" applyNumberFormat="1" applyFont="1" applyAlignment="1">
      <alignment horizontal="center"/>
    </xf>
    <xf numFmtId="0" fontId="3" fillId="0" borderId="0" xfId="0" applyFont="1" applyAlignment="1">
      <alignment horizontal="center"/>
    </xf>
    <xf numFmtId="40" fontId="5" fillId="0" borderId="0" xfId="0" applyNumberFormat="1" applyFont="1" applyBorder="1" applyAlignment="1">
      <alignment horizontal="left"/>
    </xf>
    <xf numFmtId="175" fontId="3" fillId="0" borderId="0" xfId="0" applyNumberFormat="1" applyFont="1" applyAlignment="1">
      <alignment vertical="top"/>
    </xf>
    <xf numFmtId="39" fontId="8" fillId="0" borderId="0" xfId="0" applyNumberFormat="1" applyFont="1" applyAlignment="1">
      <alignment vertical="top"/>
    </xf>
    <xf numFmtId="177" fontId="3" fillId="0" borderId="0" xfId="0" applyNumberFormat="1" applyFont="1" applyAlignment="1">
      <alignment horizontal="right"/>
    </xf>
    <xf numFmtId="3" fontId="3" fillId="0" borderId="0" xfId="0" applyNumberFormat="1" applyFont="1" applyAlignment="1">
      <alignment horizontal="right"/>
    </xf>
    <xf numFmtId="177" fontId="16" fillId="0" borderId="0" xfId="0" applyNumberFormat="1" applyFont="1" applyAlignment="1">
      <alignment horizontal="right"/>
    </xf>
    <xf numFmtId="172" fontId="3" fillId="0" borderId="0" xfId="0" applyNumberFormat="1" applyFont="1"/>
    <xf numFmtId="177" fontId="3" fillId="0" borderId="0" xfId="0" applyNumberFormat="1" applyFont="1"/>
    <xf numFmtId="3" fontId="16" fillId="0" borderId="0" xfId="0" applyNumberFormat="1" applyFont="1" applyAlignment="1">
      <alignment horizontal="right"/>
    </xf>
    <xf numFmtId="9" fontId="3" fillId="0" borderId="0" xfId="0" applyNumberFormat="1" applyFont="1"/>
    <xf numFmtId="3" fontId="3" fillId="0" borderId="0" xfId="0" applyNumberFormat="1" applyFont="1"/>
    <xf numFmtId="3" fontId="16" fillId="0" borderId="0" xfId="0" applyNumberFormat="1" applyFont="1"/>
    <xf numFmtId="0" fontId="20" fillId="0" borderId="0" xfId="0" applyNumberFormat="1" applyFont="1" applyAlignment="1">
      <alignment horizontal="left"/>
    </xf>
    <xf numFmtId="40" fontId="8" fillId="0" borderId="0" xfId="0" applyNumberFormat="1" applyFont="1" applyAlignment="1">
      <alignment horizontal="right"/>
    </xf>
    <xf numFmtId="40" fontId="16" fillId="0" borderId="0" xfId="0" applyNumberFormat="1" applyFont="1" applyAlignment="1">
      <alignment horizontal="right"/>
    </xf>
    <xf numFmtId="40" fontId="16" fillId="0" borderId="0" xfId="0" applyNumberFormat="1" applyFont="1"/>
    <xf numFmtId="178" fontId="3" fillId="0" borderId="0" xfId="0" applyNumberFormat="1" applyFont="1"/>
    <xf numFmtId="0" fontId="9" fillId="0" borderId="0" xfId="0" applyFont="1"/>
    <xf numFmtId="40" fontId="9" fillId="0" borderId="0" xfId="0" applyNumberFormat="1" applyFont="1" applyAlignment="1">
      <alignment horizontal="left"/>
    </xf>
    <xf numFmtId="10" fontId="9" fillId="0" borderId="0" xfId="0" applyNumberFormat="1" applyFont="1" applyAlignment="1">
      <alignment horizontal="left"/>
    </xf>
    <xf numFmtId="0" fontId="3" fillId="0" borderId="1" xfId="0" applyFont="1" applyBorder="1"/>
    <xf numFmtId="170" fontId="16" fillId="0" borderId="0" xfId="0" applyNumberFormat="1" applyFont="1" applyAlignment="1">
      <alignment horizontal="left" vertical="top"/>
    </xf>
    <xf numFmtId="170" fontId="3" fillId="2" borderId="0" xfId="0" applyNumberFormat="1" applyFont="1" applyFill="1" applyAlignment="1">
      <alignment horizontal="left" vertical="top"/>
    </xf>
    <xf numFmtId="170" fontId="12" fillId="0" borderId="0" xfId="0" applyNumberFormat="1" applyFont="1" applyAlignment="1">
      <alignment horizontal="left" vertical="top"/>
    </xf>
    <xf numFmtId="170" fontId="12" fillId="0" borderId="0" xfId="0" applyNumberFormat="1" applyFont="1" applyAlignment="1">
      <alignment vertical="top"/>
    </xf>
    <xf numFmtId="170" fontId="5" fillId="0" borderId="0" xfId="0" applyNumberFormat="1" applyFont="1" applyAlignment="1">
      <alignment horizontal="center"/>
    </xf>
    <xf numFmtId="0" fontId="16" fillId="0" borderId="0" xfId="0" applyFont="1" applyAlignment="1">
      <alignment horizontal="center"/>
    </xf>
    <xf numFmtId="0" fontId="5" fillId="0" borderId="0" xfId="0" applyFont="1" applyAlignment="1">
      <alignment horizontal="right" vertical="top"/>
    </xf>
    <xf numFmtId="0" fontId="5" fillId="0" borderId="0" xfId="0" applyNumberFormat="1" applyFont="1" applyBorder="1" applyAlignment="1">
      <alignment horizontal="left"/>
    </xf>
    <xf numFmtId="10" fontId="5" fillId="0" borderId="0" xfId="0" applyNumberFormat="1" applyFont="1" applyBorder="1" applyAlignment="1">
      <alignment vertical="top"/>
    </xf>
    <xf numFmtId="0" fontId="3" fillId="0" borderId="1" xfId="0" applyFont="1" applyBorder="1" applyAlignment="1">
      <alignment horizontal="right" vertical="top"/>
    </xf>
    <xf numFmtId="0" fontId="3" fillId="0" borderId="0" xfId="0" applyFont="1" applyBorder="1" applyAlignment="1">
      <alignment horizontal="right" vertical="top"/>
    </xf>
    <xf numFmtId="0" fontId="3" fillId="0" borderId="0" xfId="0" applyFont="1" applyFill="1" applyAlignment="1">
      <alignment horizontal="left" vertical="top"/>
    </xf>
    <xf numFmtId="0" fontId="0" fillId="0" borderId="0" xfId="0" applyNumberFormat="1" applyFill="1" applyAlignment="1">
      <alignment horizontal="left"/>
    </xf>
    <xf numFmtId="0" fontId="0" fillId="2" borderId="0" xfId="0" applyNumberFormat="1" applyFill="1" applyAlignment="1">
      <alignment horizontal="right"/>
    </xf>
    <xf numFmtId="40" fontId="3" fillId="2" borderId="0" xfId="0" applyNumberFormat="1" applyFont="1" applyFill="1" applyAlignment="1">
      <alignment vertical="top"/>
    </xf>
    <xf numFmtId="3" fontId="3" fillId="0" borderId="1" xfId="0" applyNumberFormat="1" applyFont="1" applyBorder="1" applyAlignment="1">
      <alignment horizontal="right"/>
    </xf>
    <xf numFmtId="175" fontId="3" fillId="0" borderId="1" xfId="0" applyNumberFormat="1" applyFont="1" applyBorder="1" applyAlignment="1"/>
    <xf numFmtId="40" fontId="8" fillId="0" borderId="1" xfId="0" applyNumberFormat="1" applyFont="1" applyBorder="1"/>
    <xf numFmtId="0" fontId="5" fillId="0" borderId="0" xfId="0" applyFont="1" applyAlignment="1">
      <alignment horizontal="center" vertical="top"/>
    </xf>
    <xf numFmtId="38" fontId="3" fillId="0" borderId="0" xfId="0" applyNumberFormat="1" applyFont="1" applyAlignment="1">
      <alignment horizontal="right" vertical="top"/>
    </xf>
    <xf numFmtId="0" fontId="16" fillId="0" borderId="0" xfId="0" applyFont="1" applyAlignment="1">
      <alignment horizontal="right" vertical="top"/>
    </xf>
    <xf numFmtId="177" fontId="3" fillId="0" borderId="0" xfId="0" applyNumberFormat="1" applyFont="1" applyAlignment="1">
      <alignment horizontal="left" vertical="top"/>
    </xf>
    <xf numFmtId="171" fontId="16" fillId="0" borderId="0" xfId="0" applyNumberFormat="1" applyFont="1" applyAlignment="1">
      <alignment horizontal="left" vertical="top"/>
    </xf>
    <xf numFmtId="0" fontId="3" fillId="0" borderId="0" xfId="0" applyFont="1" applyBorder="1" applyAlignment="1">
      <alignment horizontal="left"/>
    </xf>
    <xf numFmtId="0" fontId="19" fillId="0" borderId="0" xfId="0" applyFont="1" applyBorder="1" applyAlignment="1">
      <alignment horizontal="left"/>
    </xf>
    <xf numFmtId="0" fontId="7" fillId="0" borderId="6" xfId="0" applyFont="1" applyBorder="1" applyAlignment="1">
      <alignment vertical="top"/>
    </xf>
    <xf numFmtId="0" fontId="12" fillId="0" borderId="5" xfId="0" applyFont="1" applyBorder="1" applyAlignment="1">
      <alignment horizontal="left" vertical="top"/>
    </xf>
    <xf numFmtId="0" fontId="21" fillId="0" borderId="5" xfId="0" applyFont="1" applyBorder="1" applyAlignment="1">
      <alignment horizontal="left" vertical="top"/>
    </xf>
    <xf numFmtId="0" fontId="7" fillId="0" borderId="0" xfId="0" applyNumberFormat="1" applyFont="1" applyAlignment="1">
      <alignment horizontal="left"/>
    </xf>
    <xf numFmtId="0" fontId="5" fillId="0" borderId="0" xfId="0" applyNumberFormat="1" applyFont="1" applyAlignment="1">
      <alignment horizontal="left"/>
    </xf>
    <xf numFmtId="0" fontId="5" fillId="0" borderId="0" xfId="0" applyNumberFormat="1" applyFont="1" applyAlignment="1">
      <alignment horizontal="right"/>
    </xf>
    <xf numFmtId="0" fontId="3" fillId="0" borderId="0" xfId="0" applyFont="1" applyAlignment="1">
      <alignment wrapText="1"/>
    </xf>
    <xf numFmtId="0" fontId="3" fillId="0" borderId="0" xfId="0" applyFont="1" applyAlignment="1">
      <alignment horizontal="left"/>
    </xf>
    <xf numFmtId="0" fontId="16" fillId="0" borderId="1" xfId="0" applyNumberFormat="1" applyFont="1" applyBorder="1" applyAlignment="1">
      <alignment horizontal="left"/>
    </xf>
    <xf numFmtId="0" fontId="16" fillId="0" borderId="0" xfId="0" applyNumberFormat="1" applyFont="1" applyBorder="1" applyAlignment="1">
      <alignment horizontal="left"/>
    </xf>
    <xf numFmtId="170" fontId="22" fillId="0" borderId="0" xfId="0" applyNumberFormat="1" applyFont="1" applyBorder="1" applyAlignment="1">
      <alignment horizontal="left" vertical="top"/>
    </xf>
    <xf numFmtId="40" fontId="23" fillId="0" borderId="0" xfId="0" applyNumberFormat="1" applyFont="1" applyBorder="1" applyAlignment="1">
      <alignment horizontal="left"/>
    </xf>
    <xf numFmtId="40" fontId="22" fillId="0" borderId="0" xfId="0" applyNumberFormat="1" applyFont="1" applyBorder="1" applyAlignment="1">
      <alignment horizontal="left"/>
    </xf>
    <xf numFmtId="0" fontId="24" fillId="0" borderId="0" xfId="0" applyNumberFormat="1" applyFont="1" applyBorder="1" applyAlignment="1">
      <alignment horizontal="right"/>
    </xf>
    <xf numFmtId="10" fontId="24" fillId="0" borderId="0" xfId="0" applyNumberFormat="1" applyFont="1" applyAlignment="1">
      <alignment vertical="top"/>
    </xf>
    <xf numFmtId="0" fontId="24" fillId="0" borderId="6" xfId="0" applyFont="1" applyBorder="1" applyAlignment="1">
      <alignment vertical="top"/>
    </xf>
    <xf numFmtId="0" fontId="22" fillId="0" borderId="0" xfId="0" applyFont="1" applyAlignment="1">
      <alignment vertical="top"/>
    </xf>
    <xf numFmtId="40" fontId="24" fillId="0" borderId="0" xfId="0" applyNumberFormat="1" applyFont="1" applyAlignment="1">
      <alignment vertical="top"/>
    </xf>
    <xf numFmtId="0" fontId="24" fillId="0" borderId="0" xfId="0" applyFont="1" applyAlignment="1">
      <alignment vertical="top"/>
    </xf>
    <xf numFmtId="10" fontId="25" fillId="0" borderId="0" xfId="0" applyNumberFormat="1" applyFont="1" applyAlignment="1">
      <alignment vertical="top"/>
    </xf>
    <xf numFmtId="170" fontId="22" fillId="0" borderId="0" xfId="0" applyNumberFormat="1" applyFont="1" applyAlignment="1">
      <alignment horizontal="left" vertical="top"/>
    </xf>
    <xf numFmtId="170" fontId="22" fillId="0" borderId="0" xfId="0" applyNumberFormat="1" applyFont="1" applyAlignment="1">
      <alignment vertical="top"/>
    </xf>
    <xf numFmtId="0" fontId="24" fillId="0" borderId="0" xfId="0" applyNumberFormat="1" applyFont="1" applyBorder="1" applyAlignment="1">
      <alignment horizontal="left"/>
    </xf>
    <xf numFmtId="170" fontId="22" fillId="0" borderId="0" xfId="0" applyNumberFormat="1" applyFont="1" applyBorder="1"/>
    <xf numFmtId="170" fontId="24" fillId="0" borderId="0" xfId="0" applyNumberFormat="1" applyFont="1" applyAlignment="1">
      <alignment vertical="top"/>
    </xf>
    <xf numFmtId="170" fontId="24" fillId="0" borderId="0" xfId="0" applyNumberFormat="1" applyFont="1" applyBorder="1" applyAlignment="1">
      <alignment vertical="top"/>
    </xf>
    <xf numFmtId="0" fontId="24" fillId="0" borderId="0" xfId="0" applyFont="1" applyBorder="1" applyAlignment="1">
      <alignment horizontal="left"/>
    </xf>
    <xf numFmtId="170" fontId="24" fillId="0" borderId="0" xfId="0" applyNumberFormat="1" applyFont="1" applyBorder="1" applyAlignment="1">
      <alignment horizontal="right"/>
    </xf>
    <xf numFmtId="170" fontId="22" fillId="0" borderId="0" xfId="0" applyNumberFormat="1" applyFont="1" applyBorder="1" applyAlignment="1">
      <alignment vertical="top"/>
    </xf>
    <xf numFmtId="3" fontId="24" fillId="0" borderId="0" xfId="0" applyNumberFormat="1" applyFont="1" applyBorder="1" applyAlignment="1">
      <alignment horizontal="right"/>
    </xf>
    <xf numFmtId="170" fontId="22" fillId="0" borderId="1" xfId="0" applyNumberFormat="1" applyFont="1" applyBorder="1" applyAlignment="1">
      <alignment horizontal="left" vertical="top"/>
    </xf>
    <xf numFmtId="170" fontId="22" fillId="0" borderId="1" xfId="0" applyNumberFormat="1" applyFont="1" applyBorder="1" applyAlignment="1">
      <alignment vertical="top"/>
    </xf>
    <xf numFmtId="170" fontId="22" fillId="0" borderId="1" xfId="0" applyNumberFormat="1" applyFont="1" applyBorder="1"/>
    <xf numFmtId="170" fontId="24" fillId="0" borderId="1" xfId="0" applyNumberFormat="1" applyFont="1" applyBorder="1" applyAlignment="1">
      <alignment horizontal="left" vertical="top"/>
    </xf>
    <xf numFmtId="0" fontId="24" fillId="0" borderId="1" xfId="0" applyFont="1" applyBorder="1" applyAlignment="1">
      <alignment horizontal="left"/>
    </xf>
    <xf numFmtId="170" fontId="24" fillId="0" borderId="1" xfId="0" applyNumberFormat="1" applyFont="1" applyBorder="1" applyAlignment="1">
      <alignment vertical="top"/>
    </xf>
    <xf numFmtId="0" fontId="24" fillId="0" borderId="1" xfId="0" applyNumberFormat="1" applyFont="1" applyBorder="1" applyAlignment="1">
      <alignment horizontal="left"/>
    </xf>
    <xf numFmtId="170" fontId="24" fillId="0" borderId="1" xfId="0" applyNumberFormat="1" applyFont="1" applyBorder="1" applyAlignment="1">
      <alignment horizontal="right"/>
    </xf>
    <xf numFmtId="3" fontId="24" fillId="0" borderId="1" xfId="0" applyNumberFormat="1" applyFont="1" applyBorder="1" applyAlignment="1">
      <alignment horizontal="right"/>
    </xf>
    <xf numFmtId="38" fontId="3" fillId="0" borderId="0" xfId="0" applyNumberFormat="1" applyFont="1" applyAlignment="1">
      <alignment horizontal="left" vertical="top"/>
    </xf>
    <xf numFmtId="0" fontId="3" fillId="0" borderId="0" xfId="4" applyFont="1" applyAlignment="1">
      <alignment vertical="top"/>
    </xf>
    <xf numFmtId="16" fontId="3" fillId="0" borderId="0" xfId="4" applyNumberFormat="1" applyFont="1" applyAlignment="1">
      <alignment horizontal="left" vertical="top"/>
    </xf>
    <xf numFmtId="0" fontId="3" fillId="0" borderId="0" xfId="4" applyFont="1" applyAlignment="1">
      <alignment horizontal="left" vertical="top"/>
    </xf>
    <xf numFmtId="0" fontId="26" fillId="0" borderId="0" xfId="3"/>
    <xf numFmtId="16" fontId="3" fillId="0" borderId="0" xfId="4" applyNumberFormat="1" applyFont="1" applyAlignment="1">
      <alignment textRotation="90"/>
    </xf>
    <xf numFmtId="0" fontId="3" fillId="0" borderId="0" xfId="4" applyFont="1" applyAlignment="1">
      <alignment textRotation="90"/>
    </xf>
    <xf numFmtId="0" fontId="3" fillId="0" borderId="0" xfId="4" applyFont="1" applyAlignment="1">
      <alignment textRotation="90" wrapText="1"/>
    </xf>
    <xf numFmtId="16" fontId="3" fillId="0" borderId="0" xfId="4" applyNumberFormat="1" applyFont="1" applyAlignment="1">
      <alignment wrapText="1"/>
    </xf>
    <xf numFmtId="0" fontId="3" fillId="0" borderId="0" xfId="4" applyFont="1" applyAlignment="1">
      <alignment wrapText="1"/>
    </xf>
    <xf numFmtId="0" fontId="16" fillId="0" borderId="0" xfId="4" applyFont="1" applyAlignment="1">
      <alignment wrapText="1"/>
    </xf>
    <xf numFmtId="0" fontId="3" fillId="0" borderId="0" xfId="4" applyFont="1" applyFill="1" applyAlignment="1">
      <alignment textRotation="90" wrapText="1"/>
    </xf>
    <xf numFmtId="177" fontId="3" fillId="0" borderId="0" xfId="4" applyNumberFormat="1" applyFont="1" applyAlignment="1">
      <alignment horizontal="center" vertical="center"/>
    </xf>
    <xf numFmtId="177" fontId="8" fillId="0" borderId="0" xfId="4" applyNumberFormat="1" applyFont="1" applyAlignment="1">
      <alignment horizontal="center" vertical="center"/>
    </xf>
    <xf numFmtId="177" fontId="16" fillId="0" borderId="0" xfId="4" applyNumberFormat="1" applyFont="1" applyAlignment="1">
      <alignment horizontal="left" vertical="center"/>
    </xf>
    <xf numFmtId="177" fontId="16" fillId="0" borderId="0" xfId="4" applyNumberFormat="1" applyFont="1" applyAlignment="1">
      <alignment horizontal="center" vertical="center"/>
    </xf>
    <xf numFmtId="177" fontId="3" fillId="0" borderId="1" xfId="4" applyNumberFormat="1" applyFont="1" applyBorder="1" applyAlignment="1">
      <alignment horizontal="center" vertical="center"/>
    </xf>
    <xf numFmtId="16" fontId="3" fillId="0" borderId="1" xfId="4" applyNumberFormat="1" applyFont="1" applyBorder="1" applyAlignment="1">
      <alignment horizontal="left" vertical="top"/>
    </xf>
    <xf numFmtId="0" fontId="3" fillId="0" borderId="1" xfId="4" applyFont="1" applyBorder="1" applyAlignment="1">
      <alignment vertical="top"/>
    </xf>
    <xf numFmtId="172" fontId="3" fillId="0" borderId="0" xfId="4" applyNumberFormat="1" applyFont="1" applyAlignment="1">
      <alignment horizontal="right" vertical="top"/>
    </xf>
    <xf numFmtId="172" fontId="3" fillId="0" borderId="0" xfId="4" applyNumberFormat="1" applyFont="1" applyAlignment="1">
      <alignment horizontal="right" vertical="top" textRotation="90"/>
    </xf>
    <xf numFmtId="172" fontId="16" fillId="0" borderId="0" xfId="4" applyNumberFormat="1" applyFont="1" applyAlignment="1">
      <alignment horizontal="right" vertical="top" textRotation="90"/>
    </xf>
    <xf numFmtId="172" fontId="16" fillId="0" borderId="0" xfId="4" applyNumberFormat="1" applyFont="1" applyAlignment="1">
      <alignment horizontal="right" vertical="top"/>
    </xf>
    <xf numFmtId="172" fontId="3" fillId="0" borderId="0" xfId="4" applyNumberFormat="1" applyFont="1" applyAlignment="1">
      <alignment horizontal="right" vertical="center"/>
    </xf>
    <xf numFmtId="172" fontId="3" fillId="0" borderId="0" xfId="4" applyNumberFormat="1" applyFont="1" applyAlignment="1">
      <alignment horizontal="right" vertical="top" wrapText="1"/>
    </xf>
    <xf numFmtId="172" fontId="3" fillId="0" borderId="0" xfId="4" applyNumberFormat="1" applyFont="1" applyAlignment="1">
      <alignment horizontal="left" vertical="center"/>
    </xf>
    <xf numFmtId="16" fontId="3" fillId="2" borderId="0" xfId="4" applyNumberFormat="1" applyFont="1" applyFill="1" applyAlignment="1">
      <alignment horizontal="left" vertical="top"/>
    </xf>
    <xf numFmtId="177" fontId="3" fillId="2" borderId="0" xfId="4" applyNumberFormat="1" applyFont="1" applyFill="1" applyAlignment="1">
      <alignment horizontal="center" vertical="center"/>
    </xf>
    <xf numFmtId="177" fontId="3" fillId="0" borderId="0" xfId="4" applyNumberFormat="1" applyFont="1" applyAlignment="1">
      <alignment horizontal="center" vertical="center" textRotation="90"/>
    </xf>
    <xf numFmtId="177" fontId="16" fillId="0" borderId="0" xfId="4" applyNumberFormat="1" applyFont="1" applyAlignment="1">
      <alignment horizontal="center" vertical="center" textRotation="90"/>
    </xf>
    <xf numFmtId="0" fontId="3" fillId="0" borderId="0" xfId="4" applyFont="1" applyAlignment="1">
      <alignment vertical="top" textRotation="90"/>
    </xf>
    <xf numFmtId="0" fontId="3" fillId="0" borderId="0" xfId="4" applyFont="1" applyAlignment="1">
      <alignment horizontal="center" vertical="center"/>
    </xf>
    <xf numFmtId="172" fontId="3" fillId="0" borderId="1" xfId="4" applyNumberFormat="1" applyFont="1" applyBorder="1" applyAlignment="1">
      <alignment horizontal="center" vertical="center"/>
    </xf>
    <xf numFmtId="0" fontId="3" fillId="0" borderId="0" xfId="4" applyFont="1" applyAlignment="1">
      <alignment horizontal="right" vertical="center"/>
    </xf>
    <xf numFmtId="172" fontId="3" fillId="0" borderId="0" xfId="4" applyNumberFormat="1" applyFont="1" applyAlignment="1">
      <alignment horizontal="center" vertical="center"/>
    </xf>
    <xf numFmtId="177" fontId="3" fillId="0" borderId="0" xfId="4" applyNumberFormat="1" applyFont="1" applyAlignment="1">
      <alignment horizontal="right" vertical="center"/>
    </xf>
    <xf numFmtId="0" fontId="16" fillId="0" borderId="0" xfId="4" applyFont="1" applyAlignment="1">
      <alignment horizontal="right" vertical="center"/>
    </xf>
    <xf numFmtId="177" fontId="16" fillId="0" borderId="0" xfId="4" applyNumberFormat="1" applyFont="1" applyAlignment="1">
      <alignment horizontal="right" vertical="center"/>
    </xf>
    <xf numFmtId="16" fontId="3" fillId="0" borderId="0" xfId="4" applyNumberFormat="1" applyFont="1" applyAlignment="1">
      <alignment textRotation="90" wrapText="1"/>
    </xf>
    <xf numFmtId="0" fontId="26" fillId="0" borderId="0" xfId="3" applyAlignment="1">
      <alignment textRotation="90" wrapText="1"/>
    </xf>
    <xf numFmtId="9" fontId="3" fillId="0" borderId="0" xfId="4" applyNumberFormat="1" applyFont="1" applyAlignment="1">
      <alignment textRotation="90" wrapText="1"/>
    </xf>
    <xf numFmtId="177" fontId="3" fillId="0" borderId="0" xfId="4" applyNumberFormat="1" applyFont="1" applyBorder="1" applyAlignment="1">
      <alignment horizontal="center" vertical="center"/>
    </xf>
    <xf numFmtId="190" fontId="3" fillId="0" borderId="0" xfId="4" applyNumberFormat="1" applyFont="1" applyAlignment="1">
      <alignment horizontal="right" vertical="top" textRotation="90"/>
    </xf>
    <xf numFmtId="190" fontId="3" fillId="0" borderId="0" xfId="4" applyNumberFormat="1" applyFont="1" applyAlignment="1">
      <alignment horizontal="left" vertical="center"/>
    </xf>
    <xf numFmtId="190" fontId="26" fillId="0" borderId="0" xfId="3" applyNumberFormat="1"/>
    <xf numFmtId="190" fontId="8" fillId="0" borderId="0" xfId="4" applyNumberFormat="1" applyFont="1" applyAlignment="1">
      <alignment horizontal="right" vertical="top" textRotation="90"/>
    </xf>
    <xf numFmtId="0" fontId="3" fillId="0" borderId="0" xfId="4" applyFont="1" applyAlignment="1">
      <alignment horizontal="center" textRotation="90" wrapText="1"/>
    </xf>
    <xf numFmtId="191" fontId="26" fillId="0" borderId="0" xfId="3" applyNumberFormat="1"/>
    <xf numFmtId="0" fontId="7" fillId="0" borderId="0" xfId="4" applyFont="1" applyAlignment="1">
      <alignment vertical="top"/>
    </xf>
    <xf numFmtId="170" fontId="3" fillId="0" borderId="5" xfId="0" applyNumberFormat="1" applyFont="1" applyFill="1" applyBorder="1" applyAlignment="1">
      <alignment horizontal="right"/>
    </xf>
    <xf numFmtId="170" fontId="3" fillId="0" borderId="0" xfId="0" applyNumberFormat="1" applyFont="1" applyFill="1" applyBorder="1" applyAlignment="1">
      <alignment horizontal="right"/>
    </xf>
    <xf numFmtId="170" fontId="3" fillId="0" borderId="6" xfId="0" applyNumberFormat="1" applyFont="1" applyFill="1" applyBorder="1" applyAlignment="1">
      <alignment horizontal="right"/>
    </xf>
    <xf numFmtId="170" fontId="3" fillId="0" borderId="5" xfId="0" applyNumberFormat="1" applyFont="1" applyFill="1" applyBorder="1"/>
    <xf numFmtId="170" fontId="3" fillId="0" borderId="0" xfId="0" applyNumberFormat="1" applyFont="1" applyFill="1" applyBorder="1"/>
    <xf numFmtId="170" fontId="3" fillId="0" borderId="6" xfId="0" applyNumberFormat="1" applyFont="1" applyFill="1" applyBorder="1"/>
    <xf numFmtId="170" fontId="3" fillId="3" borderId="5" xfId="0" applyNumberFormat="1" applyFont="1" applyFill="1" applyBorder="1" applyAlignment="1">
      <alignment horizontal="right"/>
    </xf>
    <xf numFmtId="170" fontId="3" fillId="3" borderId="0" xfId="0" applyNumberFormat="1" applyFont="1" applyFill="1" applyBorder="1" applyAlignment="1">
      <alignment horizontal="right"/>
    </xf>
    <xf numFmtId="170" fontId="3" fillId="3" borderId="6" xfId="0" applyNumberFormat="1" applyFont="1" applyFill="1" applyBorder="1" applyAlignment="1">
      <alignment horizontal="right"/>
    </xf>
    <xf numFmtId="170" fontId="3" fillId="3" borderId="5" xfId="0" applyNumberFormat="1" applyFont="1" applyFill="1" applyBorder="1"/>
    <xf numFmtId="170" fontId="3" fillId="3" borderId="0" xfId="0" applyNumberFormat="1" applyFont="1" applyFill="1" applyBorder="1"/>
    <xf numFmtId="170" fontId="3" fillId="3" borderId="6" xfId="0" applyNumberFormat="1" applyFont="1" applyFill="1" applyBorder="1"/>
    <xf numFmtId="0" fontId="19" fillId="0" borderId="0" xfId="0" applyFont="1"/>
    <xf numFmtId="0" fontId="27" fillId="0" borderId="0" xfId="0" applyNumberFormat="1" applyFont="1" applyAlignment="1">
      <alignment horizontal="left"/>
    </xf>
    <xf numFmtId="0" fontId="3" fillId="0" borderId="0" xfId="4" applyFont="1" applyFill="1" applyAlignment="1">
      <alignment horizontal="center" vertical="center"/>
    </xf>
    <xf numFmtId="172" fontId="3" fillId="0" borderId="1" xfId="4" applyNumberFormat="1" applyFont="1" applyFill="1" applyBorder="1" applyAlignment="1">
      <alignment horizontal="center" vertical="center"/>
    </xf>
    <xf numFmtId="3" fontId="8" fillId="0" borderId="1" xfId="0" applyNumberFormat="1" applyFont="1" applyBorder="1" applyAlignment="1">
      <alignment horizontal="right"/>
    </xf>
    <xf numFmtId="0" fontId="3" fillId="4" borderId="0" xfId="0" applyFont="1" applyFill="1" applyAlignment="1">
      <alignment horizontal="left" vertical="center"/>
    </xf>
    <xf numFmtId="0" fontId="28" fillId="0" borderId="0" xfId="4" applyFont="1" applyAlignment="1">
      <alignment horizontal="right" vertical="center"/>
    </xf>
    <xf numFmtId="0" fontId="28" fillId="0" borderId="0" xfId="4" applyFont="1" applyAlignment="1">
      <alignment horizontal="right" vertical="top"/>
    </xf>
    <xf numFmtId="177" fontId="28" fillId="0" borderId="0" xfId="4" applyNumberFormat="1" applyFont="1" applyAlignment="1">
      <alignment horizontal="right" vertical="center"/>
    </xf>
    <xf numFmtId="0" fontId="30" fillId="0" borderId="0" xfId="5" applyFont="1"/>
    <xf numFmtId="40" fontId="30" fillId="0" borderId="0" xfId="5" applyNumberFormat="1" applyFont="1"/>
    <xf numFmtId="40" fontId="30" fillId="0" borderId="0" xfId="1" applyNumberFormat="1" applyFont="1"/>
    <xf numFmtId="40" fontId="30" fillId="0" borderId="0" xfId="5" applyNumberFormat="1" applyFont="1" applyAlignment="1">
      <alignment horizontal="left"/>
    </xf>
    <xf numFmtId="40" fontId="0" fillId="0" borderId="0" xfId="0" applyNumberFormat="1"/>
    <xf numFmtId="0" fontId="31" fillId="0" borderId="0" xfId="7" applyFont="1" applyAlignment="1">
      <alignment horizontal="centerContinuous"/>
    </xf>
    <xf numFmtId="0" fontId="30" fillId="0" borderId="0" xfId="5" applyFont="1" applyAlignment="1">
      <alignment horizontal="centerContinuous"/>
    </xf>
    <xf numFmtId="40" fontId="30" fillId="0" borderId="0" xfId="5" applyNumberFormat="1" applyFont="1" applyAlignment="1">
      <alignment horizontal="centerContinuous"/>
    </xf>
    <xf numFmtId="0" fontId="31" fillId="0" borderId="0" xfId="7" applyFont="1" applyAlignment="1"/>
    <xf numFmtId="0" fontId="30" fillId="0" borderId="0" xfId="7" applyFont="1" applyAlignment="1">
      <alignment horizontal="centerContinuous"/>
    </xf>
    <xf numFmtId="40" fontId="32" fillId="0" borderId="0" xfId="7" applyNumberFormat="1" applyFont="1" applyAlignment="1">
      <alignment horizontal="centerContinuous"/>
    </xf>
    <xf numFmtId="40" fontId="30" fillId="0" borderId="0" xfId="7" applyNumberFormat="1" applyFont="1" applyAlignment="1">
      <alignment horizontal="centerContinuous"/>
    </xf>
    <xf numFmtId="0" fontId="30" fillId="0" borderId="0" xfId="7" applyFont="1"/>
    <xf numFmtId="0" fontId="26" fillId="0" borderId="0" xfId="7"/>
    <xf numFmtId="0" fontId="4" fillId="0" borderId="0" xfId="7" applyFont="1"/>
    <xf numFmtId="40" fontId="4" fillId="0" borderId="0" xfId="7" applyNumberFormat="1" applyFont="1" applyAlignment="1">
      <alignment horizontal="right" wrapText="1"/>
    </xf>
    <xf numFmtId="40" fontId="30" fillId="0" borderId="0" xfId="7" applyNumberFormat="1" applyFont="1"/>
    <xf numFmtId="40" fontId="30" fillId="0" borderId="0" xfId="7" applyNumberFormat="1" applyFont="1" applyAlignment="1">
      <alignment horizontal="right"/>
    </xf>
    <xf numFmtId="8" fontId="22" fillId="0" borderId="0" xfId="7" applyNumberFormat="1" applyFont="1" applyAlignment="1">
      <alignment horizontal="right"/>
    </xf>
    <xf numFmtId="40" fontId="30" fillId="0" borderId="0" xfId="2" applyNumberFormat="1" applyFont="1" applyBorder="1" applyAlignment="1">
      <alignment horizontal="right"/>
    </xf>
    <xf numFmtId="0" fontId="29" fillId="0" borderId="0" xfId="6" applyFont="1"/>
    <xf numFmtId="40" fontId="30" fillId="0" borderId="1" xfId="2" applyNumberFormat="1" applyFont="1" applyBorder="1"/>
    <xf numFmtId="40" fontId="30" fillId="0" borderId="1" xfId="1" applyNumberFormat="1" applyFont="1" applyBorder="1" applyAlignment="1">
      <alignment horizontal="right" vertical="top"/>
    </xf>
    <xf numFmtId="40" fontId="30" fillId="0" borderId="1" xfId="7" applyNumberFormat="1" applyFont="1" applyBorder="1"/>
    <xf numFmtId="40" fontId="30" fillId="0" borderId="10" xfId="2" applyNumberFormat="1" applyFont="1" applyBorder="1"/>
    <xf numFmtId="40" fontId="30" fillId="0" borderId="10" xfId="7" applyNumberFormat="1" applyFont="1" applyBorder="1"/>
    <xf numFmtId="40" fontId="30" fillId="0" borderId="10" xfId="2" applyNumberFormat="1" applyFont="1" applyBorder="1" applyAlignment="1">
      <alignment horizontal="right"/>
    </xf>
    <xf numFmtId="43" fontId="12" fillId="0" borderId="0" xfId="7" applyNumberFormat="1" applyFont="1" applyAlignment="1">
      <alignment horizontal="right"/>
    </xf>
    <xf numFmtId="8" fontId="19" fillId="0" borderId="0" xfId="7" applyNumberFormat="1" applyFont="1" applyAlignment="1">
      <alignment horizontal="right"/>
    </xf>
    <xf numFmtId="40" fontId="30" fillId="0" borderId="10" xfId="7" applyNumberFormat="1" applyFont="1" applyBorder="1" applyAlignment="1">
      <alignment horizontal="right"/>
    </xf>
    <xf numFmtId="43" fontId="19" fillId="0" borderId="0" xfId="7" applyNumberFormat="1" applyFont="1" applyAlignment="1">
      <alignment horizontal="right"/>
    </xf>
    <xf numFmtId="40" fontId="30" fillId="0" borderId="0" xfId="7" applyNumberFormat="1" applyFont="1" applyBorder="1" applyAlignment="1">
      <alignment horizontal="right"/>
    </xf>
    <xf numFmtId="40" fontId="30" fillId="0" borderId="1" xfId="2" applyNumberFormat="1" applyFont="1" applyBorder="1" applyAlignment="1">
      <alignment horizontal="right"/>
    </xf>
    <xf numFmtId="5" fontId="4" fillId="0" borderId="0" xfId="5" applyNumberFormat="1" applyFont="1" applyAlignment="1">
      <alignment horizontal="right" wrapText="1"/>
    </xf>
    <xf numFmtId="0" fontId="30" fillId="0" borderId="0" xfId="7" applyFont="1" applyAlignment="1">
      <alignment horizontal="right"/>
    </xf>
    <xf numFmtId="40" fontId="4" fillId="0" borderId="0" xfId="0" applyNumberFormat="1" applyFont="1" applyAlignment="1">
      <alignment horizontal="right" vertical="top" wrapText="1"/>
    </xf>
    <xf numFmtId="170" fontId="3" fillId="4" borderId="2" xfId="0" applyNumberFormat="1" applyFont="1" applyFill="1" applyBorder="1"/>
    <xf numFmtId="170" fontId="3" fillId="4" borderId="3" xfId="0" applyNumberFormat="1" applyFont="1" applyFill="1" applyBorder="1"/>
    <xf numFmtId="170" fontId="3" fillId="4" borderId="4" xfId="0" applyNumberFormat="1" applyFont="1" applyFill="1" applyBorder="1"/>
    <xf numFmtId="170" fontId="3" fillId="4" borderId="2" xfId="0" applyNumberFormat="1" applyFont="1" applyFill="1" applyBorder="1" applyAlignment="1">
      <alignment horizontal="right"/>
    </xf>
    <xf numFmtId="170" fontId="3" fillId="4" borderId="4" xfId="0" applyNumberFormat="1" applyFont="1" applyFill="1" applyBorder="1" applyAlignment="1">
      <alignment horizontal="right"/>
    </xf>
    <xf numFmtId="170" fontId="3" fillId="4" borderId="3" xfId="0" applyNumberFormat="1" applyFont="1" applyFill="1" applyBorder="1" applyAlignment="1">
      <alignment horizontal="right"/>
    </xf>
    <xf numFmtId="170" fontId="3" fillId="4" borderId="5" xfId="0" applyNumberFormat="1" applyFont="1" applyFill="1" applyBorder="1"/>
    <xf numFmtId="170" fontId="3" fillId="4" borderId="0" xfId="0" applyNumberFormat="1" applyFont="1" applyFill="1" applyBorder="1"/>
    <xf numFmtId="170" fontId="3" fillId="4" borderId="6" xfId="0" applyNumberFormat="1" applyFont="1" applyFill="1" applyBorder="1"/>
    <xf numFmtId="170" fontId="3" fillId="4" borderId="5" xfId="0" applyNumberFormat="1" applyFont="1" applyFill="1" applyBorder="1" applyAlignment="1">
      <alignment horizontal="right"/>
    </xf>
    <xf numFmtId="170" fontId="3" fillId="4" borderId="0" xfId="0" applyNumberFormat="1" applyFont="1" applyFill="1" applyBorder="1" applyAlignment="1">
      <alignment horizontal="right"/>
    </xf>
    <xf numFmtId="170" fontId="3" fillId="4" borderId="6" xfId="0" applyNumberFormat="1" applyFont="1" applyFill="1" applyBorder="1" applyAlignment="1">
      <alignment horizontal="right"/>
    </xf>
    <xf numFmtId="170" fontId="3" fillId="4" borderId="0" xfId="0" applyNumberFormat="1" applyFont="1" applyFill="1" applyAlignment="1">
      <alignment vertical="top"/>
    </xf>
    <xf numFmtId="170" fontId="7" fillId="4" borderId="0" xfId="0" applyNumberFormat="1" applyFont="1" applyFill="1" applyAlignment="1">
      <alignment vertical="top"/>
    </xf>
    <xf numFmtId="170" fontId="7" fillId="0" borderId="0" xfId="0" applyNumberFormat="1" applyFont="1" applyFill="1" applyAlignment="1">
      <alignment vertical="top"/>
    </xf>
    <xf numFmtId="170" fontId="3" fillId="4" borderId="0" xfId="0" applyNumberFormat="1" applyFont="1" applyFill="1"/>
    <xf numFmtId="170" fontId="5" fillId="4" borderId="0" xfId="0" applyNumberFormat="1" applyFont="1" applyFill="1"/>
    <xf numFmtId="9" fontId="3" fillId="0" borderId="0" xfId="8" applyFont="1" applyAlignment="1">
      <alignment vertical="top"/>
    </xf>
    <xf numFmtId="0" fontId="8" fillId="0" borderId="0" xfId="0" applyNumberFormat="1" applyFont="1" applyAlignment="1">
      <alignment horizontal="left"/>
    </xf>
    <xf numFmtId="0" fontId="12" fillId="0" borderId="0" xfId="0" applyFont="1" applyAlignment="1"/>
    <xf numFmtId="0" fontId="3" fillId="4" borderId="0" xfId="0" applyFont="1" applyFill="1" applyAlignment="1">
      <alignment horizontal="center" vertical="center"/>
    </xf>
    <xf numFmtId="0" fontId="3" fillId="0" borderId="0" xfId="0" applyFont="1" applyFill="1" applyAlignment="1">
      <alignment horizontal="center" vertical="center"/>
    </xf>
    <xf numFmtId="172" fontId="3" fillId="0" borderId="0" xfId="0" applyNumberFormat="1" applyFont="1" applyAlignment="1">
      <alignment horizontal="right"/>
    </xf>
    <xf numFmtId="39" fontId="16" fillId="0" borderId="0" xfId="0" applyNumberFormat="1" applyFont="1" applyAlignment="1">
      <alignment vertical="top"/>
    </xf>
    <xf numFmtId="172" fontId="3" fillId="4" borderId="0" xfId="0" applyNumberFormat="1" applyFont="1" applyFill="1" applyAlignment="1">
      <alignment horizontal="center" vertical="center"/>
    </xf>
    <xf numFmtId="0" fontId="3" fillId="4" borderId="0" xfId="0" applyFont="1" applyFill="1" applyAlignment="1">
      <alignment horizontal="left" vertical="top"/>
    </xf>
    <xf numFmtId="3" fontId="16" fillId="0" borderId="1" xfId="0" applyNumberFormat="1" applyFont="1" applyBorder="1" applyAlignment="1">
      <alignment horizontal="right"/>
    </xf>
    <xf numFmtId="9" fontId="3" fillId="0" borderId="1" xfId="8" applyNumberFormat="1" applyFont="1" applyBorder="1" applyAlignment="1">
      <alignment horizontal="left"/>
    </xf>
    <xf numFmtId="177" fontId="3" fillId="4" borderId="0" xfId="4" applyNumberFormat="1" applyFont="1" applyFill="1" applyAlignment="1">
      <alignment horizontal="center" vertical="center"/>
    </xf>
    <xf numFmtId="177" fontId="8" fillId="4" borderId="0" xfId="4" applyNumberFormat="1" applyFont="1" applyFill="1" applyAlignment="1">
      <alignment horizontal="center" vertical="center"/>
    </xf>
    <xf numFmtId="0" fontId="26" fillId="4" borderId="0" xfId="3" applyFill="1"/>
    <xf numFmtId="177" fontId="16" fillId="4" borderId="0" xfId="4" applyNumberFormat="1" applyFont="1" applyFill="1" applyAlignment="1">
      <alignment horizontal="center" vertical="center"/>
    </xf>
    <xf numFmtId="172" fontId="3" fillId="0" borderId="0" xfId="4" applyNumberFormat="1" applyFont="1" applyAlignment="1">
      <alignment horizontal="right" vertical="top" textRotation="1"/>
    </xf>
    <xf numFmtId="191" fontId="26" fillId="4" borderId="0" xfId="3" applyNumberFormat="1" applyFill="1"/>
    <xf numFmtId="16" fontId="3" fillId="0" borderId="0" xfId="4" applyNumberFormat="1" applyFont="1" applyAlignment="1">
      <alignment textRotation="2" wrapText="1"/>
    </xf>
    <xf numFmtId="0" fontId="0" fillId="4" borderId="0" xfId="0" applyFill="1"/>
    <xf numFmtId="0" fontId="16" fillId="0" borderId="0" xfId="0" applyNumberFormat="1" applyFont="1" applyAlignment="1">
      <alignment horizontal="right"/>
    </xf>
    <xf numFmtId="8" fontId="12" fillId="0" borderId="0" xfId="7" applyNumberFormat="1" applyFont="1" applyAlignment="1">
      <alignment horizontal="right"/>
    </xf>
    <xf numFmtId="0" fontId="28" fillId="0" borderId="0" xfId="0" applyFont="1" applyAlignment="1">
      <alignment horizontal="left" vertical="top"/>
    </xf>
    <xf numFmtId="0" fontId="3" fillId="0" borderId="0" xfId="0" applyFont="1" applyAlignment="1">
      <alignment vertical="top" wrapText="1"/>
    </xf>
    <xf numFmtId="14" fontId="3" fillId="0" borderId="0" xfId="0" applyNumberFormat="1" applyFont="1" applyAlignment="1">
      <alignment horizontal="left" vertical="top"/>
    </xf>
    <xf numFmtId="0" fontId="0" fillId="0" borderId="0" xfId="0" applyAlignment="1">
      <alignment horizontal="left" vertical="top"/>
    </xf>
    <xf numFmtId="0" fontId="3" fillId="0" borderId="0" xfId="0" applyNumberFormat="1" applyFont="1" applyAlignment="1">
      <alignment horizontal="left" wrapText="1"/>
    </xf>
    <xf numFmtId="0" fontId="0" fillId="0" borderId="0" xfId="0" applyAlignment="1">
      <alignment wrapText="1"/>
    </xf>
    <xf numFmtId="170" fontId="3" fillId="0" borderId="0" xfId="0" applyNumberFormat="1" applyFont="1" applyAlignment="1">
      <alignment vertical="top"/>
    </xf>
    <xf numFmtId="170" fontId="3" fillId="0" borderId="0" xfId="0" applyNumberFormat="1" applyFont="1" applyAlignment="1">
      <alignment horizontal="right" vertical="top"/>
    </xf>
    <xf numFmtId="170" fontId="5" fillId="0" borderId="0" xfId="0" applyNumberFormat="1" applyFont="1" applyAlignment="1">
      <alignment vertical="top"/>
    </xf>
    <xf numFmtId="40" fontId="3" fillId="0" borderId="0" xfId="0" applyNumberFormat="1" applyFont="1" applyAlignment="1">
      <alignment horizontal="right" vertical="top"/>
    </xf>
    <xf numFmtId="170" fontId="3" fillId="0" borderId="0" xfId="0" applyNumberFormat="1" applyFont="1"/>
    <xf numFmtId="40" fontId="3" fillId="0" borderId="0" xfId="0" applyNumberFormat="1" applyFont="1" applyAlignment="1">
      <alignment horizontal="right"/>
    </xf>
    <xf numFmtId="40" fontId="5" fillId="0" borderId="0" xfId="0" applyNumberFormat="1" applyFont="1" applyAlignment="1">
      <alignment horizontal="right"/>
    </xf>
    <xf numFmtId="40" fontId="3" fillId="0" borderId="0" xfId="0" applyNumberFormat="1" applyFont="1" applyAlignment="1">
      <alignment vertical="top"/>
    </xf>
    <xf numFmtId="0" fontId="3" fillId="0" borderId="0" xfId="0" applyFont="1" applyAlignment="1">
      <alignment vertical="top"/>
    </xf>
    <xf numFmtId="40" fontId="3" fillId="0" borderId="1" xfId="0" applyNumberFormat="1" applyFont="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right" vertical="top"/>
    </xf>
    <xf numFmtId="40" fontId="24" fillId="0" borderId="1" xfId="0" applyNumberFormat="1" applyFont="1" applyBorder="1" applyAlignment="1">
      <alignment horizontal="left" vertical="top"/>
    </xf>
    <xf numFmtId="0" fontId="24" fillId="0" borderId="8" xfId="0" applyFont="1" applyBorder="1" applyAlignment="1">
      <alignment horizontal="left" vertical="top"/>
    </xf>
    <xf numFmtId="170" fontId="22" fillId="0" borderId="0" xfId="0" applyNumberFormat="1" applyFont="1" applyBorder="1" applyAlignment="1">
      <alignment horizontal="left" vertical="top"/>
    </xf>
    <xf numFmtId="40" fontId="25" fillId="0" borderId="0" xfId="0" applyNumberFormat="1" applyFont="1" applyBorder="1" applyAlignment="1">
      <alignment horizontal="left" vertical="top"/>
    </xf>
    <xf numFmtId="40" fontId="25" fillId="0" borderId="6" xfId="0" applyNumberFormat="1" applyFont="1" applyBorder="1" applyAlignment="1">
      <alignment horizontal="left" vertical="top"/>
    </xf>
    <xf numFmtId="40" fontId="24" fillId="0" borderId="0" xfId="0" applyNumberFormat="1" applyFont="1" applyBorder="1" applyAlignment="1">
      <alignment horizontal="left" vertical="top"/>
    </xf>
    <xf numFmtId="40" fontId="24" fillId="0" borderId="6" xfId="0" applyNumberFormat="1" applyFont="1" applyBorder="1" applyAlignment="1">
      <alignment horizontal="left" vertical="top"/>
    </xf>
    <xf numFmtId="170" fontId="3" fillId="0" borderId="0" xfId="0" applyNumberFormat="1" applyFont="1" applyBorder="1" applyAlignment="1">
      <alignment horizontal="left" vertical="top"/>
    </xf>
    <xf numFmtId="40" fontId="24" fillId="0" borderId="0" xfId="0" applyNumberFormat="1" applyFont="1" applyAlignment="1">
      <alignment vertical="top"/>
    </xf>
    <xf numFmtId="0" fontId="24" fillId="0" borderId="0" xfId="0" applyFont="1" applyAlignment="1">
      <alignment vertical="top"/>
    </xf>
    <xf numFmtId="40" fontId="24" fillId="0" borderId="0" xfId="0" applyNumberFormat="1" applyFont="1" applyAlignment="1">
      <alignment horizontal="left"/>
    </xf>
    <xf numFmtId="40" fontId="5" fillId="0" borderId="0" xfId="0" applyNumberFormat="1" applyFont="1" applyAlignment="1">
      <alignment vertical="top"/>
    </xf>
    <xf numFmtId="0" fontId="5" fillId="0" borderId="0" xfId="0" applyFont="1" applyAlignment="1">
      <alignment vertical="top"/>
    </xf>
    <xf numFmtId="40" fontId="22" fillId="0" borderId="0" xfId="0" applyNumberFormat="1" applyFont="1" applyBorder="1" applyAlignment="1">
      <alignment horizontal="left"/>
    </xf>
    <xf numFmtId="40" fontId="22" fillId="0" borderId="0" xfId="0" applyNumberFormat="1" applyFont="1" applyAlignment="1">
      <alignment vertical="top"/>
    </xf>
    <xf numFmtId="0" fontId="22" fillId="0" borderId="0" xfId="0" applyFont="1" applyAlignment="1">
      <alignment vertical="top"/>
    </xf>
    <xf numFmtId="40" fontId="25" fillId="0" borderId="0" xfId="0" applyNumberFormat="1" applyFont="1" applyAlignment="1">
      <alignment horizontal="left"/>
    </xf>
    <xf numFmtId="0" fontId="5" fillId="0" borderId="0" xfId="0" applyFont="1" applyAlignment="1">
      <alignment horizontal="right" vertical="top"/>
    </xf>
    <xf numFmtId="40" fontId="3" fillId="0" borderId="0" xfId="0" applyNumberFormat="1" applyFont="1" applyAlignment="1">
      <alignment horizontal="left"/>
    </xf>
    <xf numFmtId="40" fontId="22" fillId="0" borderId="0" xfId="0" applyNumberFormat="1" applyFont="1" applyAlignment="1">
      <alignment horizontal="left" vertical="top"/>
    </xf>
    <xf numFmtId="0" fontId="22" fillId="0" borderId="0" xfId="0" applyFont="1" applyAlignment="1">
      <alignment horizontal="left" vertical="top"/>
    </xf>
    <xf numFmtId="40" fontId="3" fillId="0" borderId="0" xfId="0" applyNumberFormat="1" applyFont="1" applyAlignment="1">
      <alignment horizontal="left" vertical="top"/>
    </xf>
    <xf numFmtId="0" fontId="3" fillId="0" borderId="0" xfId="0" applyFont="1" applyAlignment="1">
      <alignment horizontal="left" vertical="top"/>
    </xf>
    <xf numFmtId="40" fontId="23" fillId="0" borderId="0" xfId="0" applyNumberFormat="1" applyFont="1" applyBorder="1" applyAlignment="1">
      <alignment horizontal="left"/>
    </xf>
    <xf numFmtId="40" fontId="5" fillId="0" borderId="0" xfId="0" applyNumberFormat="1" applyFont="1" applyAlignment="1">
      <alignment horizontal="left"/>
    </xf>
    <xf numFmtId="170" fontId="3" fillId="0" borderId="0" xfId="0" applyNumberFormat="1" applyFont="1" applyAlignment="1">
      <alignment horizontal="left" vertical="top"/>
    </xf>
    <xf numFmtId="40" fontId="3" fillId="0" borderId="0" xfId="0" applyNumberFormat="1" applyFont="1" applyBorder="1" applyAlignment="1">
      <alignment horizontal="left"/>
    </xf>
    <xf numFmtId="40" fontId="5" fillId="0" borderId="0" xfId="0" applyNumberFormat="1" applyFont="1" applyBorder="1" applyAlignment="1">
      <alignment horizontal="left"/>
    </xf>
    <xf numFmtId="170" fontId="3" fillId="0" borderId="0" xfId="0" applyNumberFormat="1" applyFont="1" applyBorder="1" applyAlignment="1">
      <alignment horizontal="left"/>
    </xf>
    <xf numFmtId="0" fontId="3" fillId="0" borderId="0" xfId="0" applyFont="1" applyBorder="1" applyAlignment="1">
      <alignment horizontal="left"/>
    </xf>
    <xf numFmtId="170" fontId="5" fillId="0" borderId="0" xfId="0" applyNumberFormat="1" applyFont="1" applyBorder="1" applyAlignment="1">
      <alignment horizontal="left"/>
    </xf>
    <xf numFmtId="0" fontId="16" fillId="0" borderId="0" xfId="0" applyNumberFormat="1" applyFont="1" applyBorder="1" applyAlignment="1">
      <alignment horizontal="left"/>
    </xf>
    <xf numFmtId="40" fontId="24" fillId="0" borderId="0" xfId="0" applyNumberFormat="1" applyFont="1" applyAlignment="1">
      <alignment horizontal="left" vertical="top"/>
    </xf>
    <xf numFmtId="40" fontId="24" fillId="0" borderId="6" xfId="0" applyNumberFormat="1" applyFont="1" applyBorder="1" applyAlignment="1">
      <alignment horizontal="left"/>
    </xf>
    <xf numFmtId="40" fontId="3" fillId="0" borderId="0" xfId="0" applyNumberFormat="1" applyFont="1" applyAlignment="1">
      <alignment horizontal="center" vertical="top"/>
    </xf>
    <xf numFmtId="40" fontId="10" fillId="0" borderId="0" xfId="0" applyNumberFormat="1" applyFont="1" applyAlignment="1">
      <alignment horizontal="center" vertical="top"/>
    </xf>
    <xf numFmtId="0" fontId="0" fillId="0" borderId="0" xfId="0" applyAlignment="1">
      <alignment horizontal="center" vertical="top"/>
    </xf>
    <xf numFmtId="0" fontId="0" fillId="0" borderId="0" xfId="0" applyNumberFormat="1" applyAlignment="1">
      <alignment horizontal="left" wrapText="1"/>
    </xf>
    <xf numFmtId="14" fontId="3" fillId="0" borderId="0" xfId="0" applyNumberFormat="1" applyFont="1" applyAlignment="1">
      <alignment vertical="top"/>
    </xf>
    <xf numFmtId="0" fontId="3" fillId="0" borderId="0" xfId="0" applyFont="1" applyAlignment="1">
      <alignment horizontal="left" vertical="top" wrapText="1"/>
    </xf>
    <xf numFmtId="0" fontId="0" fillId="0" borderId="0" xfId="0" applyAlignment="1">
      <alignment vertical="top" wrapText="1"/>
    </xf>
    <xf numFmtId="4" fontId="3" fillId="0" borderId="0" xfId="0" applyNumberFormat="1" applyFont="1" applyAlignment="1">
      <alignment horizontal="right"/>
    </xf>
    <xf numFmtId="3" fontId="8" fillId="0" borderId="1" xfId="0" applyNumberFormat="1" applyFont="1" applyBorder="1" applyAlignment="1">
      <alignment horizontal="right"/>
    </xf>
    <xf numFmtId="0" fontId="16" fillId="0" borderId="0" xfId="0" applyFont="1" applyAlignment="1">
      <alignment horizontal="left" vertical="top" wrapText="1"/>
    </xf>
    <xf numFmtId="0" fontId="3" fillId="4" borderId="0" xfId="0" applyFont="1" applyFill="1" applyAlignment="1">
      <alignment horizontal="left" vertical="center"/>
    </xf>
    <xf numFmtId="190" fontId="3" fillId="0" borderId="0" xfId="4" applyNumberFormat="1" applyFont="1" applyAlignment="1">
      <alignment horizontal="right" vertical="top" wrapText="1"/>
    </xf>
    <xf numFmtId="0" fontId="16" fillId="0" borderId="0" xfId="0" applyFont="1" applyAlignment="1">
      <alignment vertical="top"/>
    </xf>
    <xf numFmtId="40" fontId="5" fillId="0" borderId="0" xfId="0" applyNumberFormat="1" applyFont="1" applyAlignment="1">
      <alignment horizontal="left" vertical="top"/>
    </xf>
    <xf numFmtId="0" fontId="16" fillId="0" borderId="0" xfId="0" applyFont="1" applyAlignment="1">
      <alignment vertical="top" wrapText="1"/>
    </xf>
    <xf numFmtId="40" fontId="5" fillId="0" borderId="0" xfId="0" applyNumberFormat="1" applyFont="1" applyBorder="1" applyAlignment="1">
      <alignment horizontal="left" vertical="top"/>
    </xf>
    <xf numFmtId="0" fontId="0" fillId="0" borderId="0" xfId="0" applyNumberFormat="1" applyAlignment="1">
      <alignment horizontal="left"/>
    </xf>
    <xf numFmtId="40" fontId="16" fillId="0" borderId="0" xfId="0" applyNumberFormat="1" applyFont="1" applyAlignment="1">
      <alignment horizontal="left" vertical="top"/>
    </xf>
    <xf numFmtId="4" fontId="3" fillId="0" borderId="0" xfId="0" applyNumberFormat="1" applyFont="1" applyAlignment="1">
      <alignment horizontal="left" vertical="top"/>
    </xf>
  </cellXfs>
  <cellStyles count="9">
    <cellStyle name="Comma" xfId="1" builtinId="3"/>
    <cellStyle name="Currency" xfId="2" builtinId="4"/>
    <cellStyle name="Normal" xfId="0" builtinId="0"/>
    <cellStyle name="Normal_Craft - All Labor" xfId="3"/>
    <cellStyle name="Normal_PD Claim Review" xfId="4"/>
    <cellStyle name="Normal_Ppty. Damage" xfId="5"/>
    <cellStyle name="Normal_Summary" xfId="6"/>
    <cellStyle name="Normal_Summary_1" xfId="7"/>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A2" zoomScale="75" workbookViewId="0">
      <selection activeCell="F22" sqref="F22"/>
    </sheetView>
  </sheetViews>
  <sheetFormatPr defaultColWidth="8.85546875" defaultRowHeight="15" x14ac:dyDescent="0.2"/>
  <cols>
    <col min="1" max="1" width="6.7109375" style="355" customWidth="1"/>
    <col min="2" max="2" width="19.42578125" style="355" customWidth="1"/>
    <col min="3" max="3" width="14.5703125" style="359" customWidth="1"/>
    <col min="4" max="4" width="20.5703125" style="359" customWidth="1"/>
    <col min="5" max="5" width="22.85546875" style="359" customWidth="1"/>
    <col min="6" max="6" width="20.5703125" style="359" customWidth="1"/>
    <col min="7" max="7" width="20.7109375" style="355" customWidth="1"/>
    <col min="8" max="12" width="9.140625" customWidth="1"/>
    <col min="13" max="16384" width="8.85546875" style="355"/>
  </cols>
  <sheetData>
    <row r="1" spans="1:12" s="343" customFormat="1" ht="5.25" customHeight="1" x14ac:dyDescent="0.2">
      <c r="C1" s="344"/>
      <c r="D1" s="344"/>
      <c r="E1" s="344"/>
      <c r="F1" s="344"/>
      <c r="H1"/>
      <c r="I1"/>
      <c r="J1"/>
      <c r="K1"/>
      <c r="L1"/>
    </row>
    <row r="2" spans="1:12" s="343" customFormat="1" x14ac:dyDescent="0.2">
      <c r="A2" s="343" t="s">
        <v>785</v>
      </c>
      <c r="C2" s="344"/>
      <c r="D2" s="345"/>
      <c r="E2" s="345"/>
      <c r="F2" s="345"/>
      <c r="G2" s="344"/>
      <c r="H2"/>
      <c r="I2"/>
      <c r="J2"/>
      <c r="K2"/>
      <c r="L2"/>
    </row>
    <row r="3" spans="1:12" s="343" customFormat="1" x14ac:dyDescent="0.2">
      <c r="A3" s="343" t="s">
        <v>786</v>
      </c>
      <c r="C3" s="346" t="s">
        <v>787</v>
      </c>
      <c r="D3" s="347"/>
      <c r="E3" s="347"/>
      <c r="F3" s="347"/>
      <c r="G3" s="344"/>
      <c r="H3"/>
      <c r="I3"/>
      <c r="J3"/>
      <c r="K3"/>
      <c r="L3"/>
    </row>
    <row r="4" spans="1:12" s="343" customFormat="1" x14ac:dyDescent="0.2">
      <c r="A4" s="343" t="s">
        <v>789</v>
      </c>
      <c r="C4" s="344" t="s">
        <v>788</v>
      </c>
      <c r="D4" s="345"/>
      <c r="E4" s="345"/>
      <c r="F4" s="345"/>
      <c r="G4" s="344"/>
      <c r="H4"/>
      <c r="I4"/>
      <c r="J4"/>
      <c r="K4"/>
      <c r="L4"/>
    </row>
    <row r="5" spans="1:12" s="343" customFormat="1" ht="16.5" x14ac:dyDescent="0.25">
      <c r="A5" s="348"/>
      <c r="B5" s="349"/>
      <c r="C5" s="350"/>
      <c r="D5" s="350"/>
      <c r="E5" s="350"/>
      <c r="F5" s="350"/>
      <c r="G5" s="349"/>
      <c r="H5"/>
      <c r="I5"/>
      <c r="J5"/>
      <c r="K5"/>
      <c r="L5"/>
    </row>
    <row r="6" spans="1:12" ht="20.25" x14ac:dyDescent="0.3">
      <c r="A6" s="351" t="s">
        <v>775</v>
      </c>
      <c r="B6" s="352"/>
      <c r="C6" s="353"/>
      <c r="D6" s="354"/>
      <c r="E6" s="354"/>
      <c r="F6" s="354"/>
      <c r="G6" s="352"/>
    </row>
    <row r="7" spans="1:12" ht="16.5" x14ac:dyDescent="0.25">
      <c r="A7" s="348"/>
      <c r="B7" s="352"/>
      <c r="C7" s="354"/>
      <c r="D7" s="354"/>
      <c r="E7" s="354"/>
      <c r="F7" s="354"/>
      <c r="G7" s="352"/>
    </row>
    <row r="8" spans="1:12" s="357" customFormat="1" ht="32.25" customHeight="1" x14ac:dyDescent="0.25">
      <c r="A8" s="356"/>
      <c r="B8" s="357" t="s">
        <v>2</v>
      </c>
      <c r="C8" s="358" t="s">
        <v>776</v>
      </c>
      <c r="D8" s="358" t="s">
        <v>797</v>
      </c>
      <c r="E8" s="358" t="s">
        <v>798</v>
      </c>
      <c r="F8" s="358" t="s">
        <v>799</v>
      </c>
      <c r="G8" s="376" t="s">
        <v>777</v>
      </c>
      <c r="H8"/>
      <c r="I8"/>
      <c r="J8"/>
      <c r="K8"/>
      <c r="L8"/>
    </row>
    <row r="10" spans="1:12" x14ac:dyDescent="0.2">
      <c r="B10" s="355" t="s">
        <v>778</v>
      </c>
      <c r="C10" s="359">
        <f>+'Work Summary'!K51</f>
        <v>6212577.5399999991</v>
      </c>
      <c r="D10" s="359">
        <f>+'Work Summary'!L51</f>
        <v>-3488310.5824216087</v>
      </c>
      <c r="E10" s="359">
        <f>+'Exclusion Summary'!L49</f>
        <v>-437865.66662489361</v>
      </c>
      <c r="F10" s="359">
        <f>+C10+D10+E10</f>
        <v>2286401.2909534969</v>
      </c>
      <c r="G10" s="377" t="s">
        <v>802</v>
      </c>
    </row>
    <row r="11" spans="1:12" x14ac:dyDescent="0.2">
      <c r="G11" s="355" t="s">
        <v>801</v>
      </c>
    </row>
    <row r="12" spans="1:12" x14ac:dyDescent="0.2">
      <c r="C12" s="360"/>
      <c r="G12" s="416" t="b">
        <f>+F10-E10-D10=C10</f>
        <v>1</v>
      </c>
    </row>
    <row r="13" spans="1:12" x14ac:dyDescent="0.2">
      <c r="C13" s="360"/>
      <c r="G13" s="416"/>
    </row>
    <row r="14" spans="1:12" x14ac:dyDescent="0.2">
      <c r="B14" s="355" t="s">
        <v>779</v>
      </c>
      <c r="C14" s="360" t="s">
        <v>780</v>
      </c>
      <c r="D14" s="362"/>
      <c r="E14" s="362"/>
      <c r="F14" s="362">
        <v>0</v>
      </c>
      <c r="G14" s="377" t="s">
        <v>790</v>
      </c>
    </row>
    <row r="15" spans="1:12" x14ac:dyDescent="0.2">
      <c r="B15" s="363"/>
      <c r="C15" s="364"/>
      <c r="D15" s="365"/>
      <c r="E15" s="365"/>
      <c r="F15" s="366"/>
      <c r="G15" s="361"/>
    </row>
    <row r="16" spans="1:12" ht="15.75" thickBot="1" x14ac:dyDescent="0.25">
      <c r="B16" s="355" t="s">
        <v>200</v>
      </c>
      <c r="C16" s="367">
        <f>+C10</f>
        <v>6212577.5399999991</v>
      </c>
      <c r="D16" s="368">
        <f>SUM(D10:D12)</f>
        <v>-3488310.5824216087</v>
      </c>
      <c r="E16" s="368">
        <f>SUM(E10:E12)</f>
        <v>-437865.66662489361</v>
      </c>
      <c r="F16" s="369">
        <f>+C16+D16+E16</f>
        <v>2286401.2909534969</v>
      </c>
      <c r="G16" s="370"/>
    </row>
    <row r="17" spans="2:7" ht="15.75" thickTop="1" x14ac:dyDescent="0.2">
      <c r="B17" s="355" t="s">
        <v>800</v>
      </c>
      <c r="F17" s="364">
        <v>-250000</v>
      </c>
      <c r="G17" s="371"/>
    </row>
    <row r="18" spans="2:7" ht="15.75" thickBot="1" x14ac:dyDescent="0.25">
      <c r="B18" s="355" t="s">
        <v>781</v>
      </c>
      <c r="F18" s="372">
        <f>F16+F17</f>
        <v>2036401.2909534969</v>
      </c>
      <c r="G18" s="373"/>
    </row>
    <row r="19" spans="2:7" ht="15.75" thickTop="1" x14ac:dyDescent="0.2">
      <c r="B19" s="355" t="s">
        <v>782</v>
      </c>
      <c r="F19" s="374"/>
      <c r="G19" s="373"/>
    </row>
    <row r="20" spans="2:7" x14ac:dyDescent="0.2">
      <c r="B20" s="355" t="s">
        <v>783</v>
      </c>
      <c r="C20" s="355"/>
      <c r="D20" s="355"/>
      <c r="E20" s="355"/>
      <c r="F20" s="375">
        <v>-2000000</v>
      </c>
    </row>
    <row r="21" spans="2:7" x14ac:dyDescent="0.2">
      <c r="B21" s="355" t="s">
        <v>784</v>
      </c>
      <c r="C21" s="355"/>
      <c r="D21" s="355"/>
      <c r="E21" s="355"/>
      <c r="F21" s="359">
        <f>+F18+F20</f>
        <v>36401.290953496937</v>
      </c>
    </row>
  </sheetData>
  <pageMargins left="0.25" right="0.24" top="0.74" bottom="0.25" header="0.38" footer="0.33"/>
  <pageSetup orientation="landscape" horizontalDpi="300" verticalDpi="300" r:id="rId1"/>
  <headerFooter alignWithMargins="0">
    <oddHeader>&amp;L&amp;"Arial,Bold"&amp;16Doyle Power, LCC - Principal Insured&amp;R&amp;"Arial,Regular"Thru: &amp;D
Page &amp;P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28515625" defaultRowHeight="12.75" x14ac:dyDescent="0.2"/>
  <cols>
    <col min="1" max="1" width="8.85546875" style="132" customWidth="1"/>
    <col min="2" max="7" width="4" style="7" customWidth="1"/>
    <col min="8" max="14" width="4" style="3" customWidth="1"/>
    <col min="15" max="15" width="7.7109375" style="7" customWidth="1"/>
    <col min="16" max="16" width="4" style="3" customWidth="1"/>
    <col min="17" max="17" width="12.85546875" style="3" customWidth="1"/>
    <col min="18" max="25" width="4" style="3" customWidth="1"/>
    <col min="26" max="29" width="10.28515625" style="3" customWidth="1"/>
    <col min="30" max="30" width="4.42578125" style="3" customWidth="1"/>
    <col min="31" max="16384" width="10.28515625" style="3"/>
  </cols>
  <sheetData>
    <row r="1" spans="1:19" ht="15.75" x14ac:dyDescent="0.2">
      <c r="D1" s="2" t="s">
        <v>6</v>
      </c>
      <c r="E1" s="2"/>
      <c r="F1" s="2"/>
      <c r="G1" s="2"/>
      <c r="H1" s="2"/>
      <c r="O1" s="6" t="s">
        <v>531</v>
      </c>
    </row>
    <row r="2" spans="1:19" x14ac:dyDescent="0.2">
      <c r="D2" s="3" t="s">
        <v>7</v>
      </c>
      <c r="E2" s="3"/>
      <c r="F2" s="3"/>
      <c r="G2" s="3"/>
      <c r="O2" s="3" t="s">
        <v>586</v>
      </c>
    </row>
    <row r="3" spans="1:19" ht="4.9000000000000004" customHeight="1" x14ac:dyDescent="0.2">
      <c r="D3" s="3"/>
      <c r="E3" s="3"/>
      <c r="F3" s="3"/>
      <c r="G3" s="3"/>
      <c r="O3" s="3"/>
    </row>
    <row r="4" spans="1:19" s="138" customFormat="1" ht="84.6" customHeight="1" x14ac:dyDescent="0.2">
      <c r="A4" s="140" t="s">
        <v>479</v>
      </c>
      <c r="B4" s="139" t="s">
        <v>475</v>
      </c>
      <c r="C4" s="139" t="s">
        <v>476</v>
      </c>
      <c r="D4" s="139" t="s">
        <v>480</v>
      </c>
      <c r="E4" s="139" t="s">
        <v>477</v>
      </c>
      <c r="F4" s="139" t="s">
        <v>478</v>
      </c>
      <c r="G4" s="139" t="s">
        <v>482</v>
      </c>
      <c r="H4" s="139" t="s">
        <v>483</v>
      </c>
      <c r="I4" s="139" t="s">
        <v>484</v>
      </c>
      <c r="J4" s="139" t="s">
        <v>485</v>
      </c>
      <c r="K4" s="139" t="s">
        <v>486</v>
      </c>
      <c r="L4" s="139" t="s">
        <v>487</v>
      </c>
      <c r="M4" s="139" t="s">
        <v>488</v>
      </c>
      <c r="O4" s="139" t="s">
        <v>481</v>
      </c>
      <c r="Q4" s="138" t="s">
        <v>593</v>
      </c>
    </row>
    <row r="5" spans="1:19" x14ac:dyDescent="0.2">
      <c r="A5" s="132">
        <v>36690</v>
      </c>
      <c r="B5" s="400">
        <v>4</v>
      </c>
      <c r="C5" s="141"/>
      <c r="D5" s="141"/>
      <c r="E5" s="141"/>
      <c r="F5" s="141"/>
      <c r="G5" s="141"/>
      <c r="H5" s="141"/>
      <c r="I5" s="141"/>
      <c r="J5" s="141"/>
      <c r="K5" s="141"/>
      <c r="L5" s="141"/>
      <c r="M5" s="141"/>
      <c r="N5" s="141"/>
      <c r="O5" s="141"/>
      <c r="P5" s="339" t="s">
        <v>838</v>
      </c>
      <c r="Q5" s="399"/>
      <c r="R5" s="141"/>
      <c r="S5" s="141"/>
    </row>
    <row r="6" spans="1:19" x14ac:dyDescent="0.2">
      <c r="A6" s="132">
        <v>36691</v>
      </c>
      <c r="B6" s="400">
        <v>4</v>
      </c>
      <c r="C6" s="141"/>
      <c r="D6" s="141">
        <v>3</v>
      </c>
      <c r="E6" s="141"/>
      <c r="F6" s="141"/>
      <c r="G6" s="141"/>
      <c r="H6" s="141"/>
      <c r="I6" s="141"/>
      <c r="J6" s="141"/>
      <c r="K6" s="141"/>
      <c r="L6" s="141"/>
      <c r="M6" s="141"/>
      <c r="N6" s="141"/>
      <c r="O6" s="141"/>
      <c r="P6" s="141"/>
      <c r="Q6" s="141"/>
      <c r="R6" s="141"/>
      <c r="S6" s="141"/>
    </row>
    <row r="7" spans="1:19" x14ac:dyDescent="0.2">
      <c r="A7" s="132">
        <v>36692</v>
      </c>
      <c r="B7" s="400">
        <v>4</v>
      </c>
      <c r="C7" s="141"/>
      <c r="D7" s="141">
        <v>3</v>
      </c>
      <c r="E7" s="141"/>
      <c r="F7" s="141"/>
      <c r="G7" s="141"/>
      <c r="H7" s="141"/>
      <c r="I7" s="141"/>
      <c r="J7" s="141"/>
      <c r="K7" s="141"/>
      <c r="L7" s="141"/>
      <c r="M7" s="141"/>
      <c r="N7" s="141"/>
      <c r="O7" s="141"/>
      <c r="P7" s="141"/>
      <c r="Q7" s="141"/>
      <c r="R7" s="141"/>
      <c r="S7" s="141"/>
    </row>
    <row r="8" spans="1:19" x14ac:dyDescent="0.2">
      <c r="A8" s="132">
        <v>36693</v>
      </c>
      <c r="B8" s="400">
        <v>4</v>
      </c>
      <c r="C8" s="141"/>
      <c r="D8" s="141">
        <v>3</v>
      </c>
      <c r="E8" s="141"/>
      <c r="F8" s="141"/>
      <c r="G8" s="141"/>
      <c r="H8" s="141"/>
      <c r="I8" s="141"/>
      <c r="J8" s="141"/>
      <c r="K8" s="141"/>
      <c r="L8" s="141"/>
      <c r="M8" s="141"/>
      <c r="N8" s="141"/>
      <c r="O8" s="141"/>
      <c r="P8" s="141"/>
      <c r="Q8" s="141"/>
      <c r="R8" s="141"/>
      <c r="S8" s="141"/>
    </row>
    <row r="9" spans="1:19" x14ac:dyDescent="0.2">
      <c r="A9" s="132">
        <v>36694</v>
      </c>
      <c r="B9" s="400">
        <v>4</v>
      </c>
      <c r="C9" s="141"/>
      <c r="D9" s="141">
        <v>3</v>
      </c>
      <c r="E9" s="141"/>
      <c r="F9" s="141"/>
      <c r="G9" s="141"/>
      <c r="H9" s="141"/>
      <c r="I9" s="141"/>
      <c r="J9" s="141"/>
      <c r="K9" s="141"/>
      <c r="L9" s="141"/>
      <c r="M9" s="141"/>
      <c r="N9" s="141"/>
      <c r="O9" s="141"/>
      <c r="P9" s="141"/>
      <c r="Q9" s="141"/>
      <c r="R9" s="141"/>
      <c r="S9" s="141"/>
    </row>
    <row r="10" spans="1:19" x14ac:dyDescent="0.2">
      <c r="A10" s="132">
        <v>36695</v>
      </c>
      <c r="B10" s="141"/>
      <c r="C10" s="141"/>
      <c r="D10" s="141">
        <v>3</v>
      </c>
      <c r="E10" s="141"/>
      <c r="F10" s="141"/>
      <c r="G10" s="141"/>
      <c r="H10" s="141"/>
      <c r="I10" s="141"/>
      <c r="J10" s="141"/>
      <c r="K10" s="141"/>
      <c r="L10" s="141"/>
      <c r="M10" s="141"/>
      <c r="N10" s="141"/>
      <c r="O10" s="141"/>
      <c r="P10" s="141"/>
      <c r="Q10" s="141"/>
      <c r="R10" s="141"/>
      <c r="S10" s="141"/>
    </row>
    <row r="11" spans="1:19" x14ac:dyDescent="0.2">
      <c r="A11" s="132" t="s">
        <v>372</v>
      </c>
      <c r="B11" s="399">
        <f>SUM(B5:B10)</f>
        <v>20</v>
      </c>
      <c r="C11" s="399">
        <f>SUM(C5:C10)</f>
        <v>0</v>
      </c>
      <c r="D11" s="399">
        <f>SUM(D5:D10)</f>
        <v>15</v>
      </c>
      <c r="E11" s="399">
        <f>SUM(E5:E10)</f>
        <v>0</v>
      </c>
      <c r="F11" s="399">
        <f>SUM(F5:F10)</f>
        <v>0</v>
      </c>
      <c r="G11" s="141"/>
      <c r="H11" s="141"/>
      <c r="I11" s="141"/>
      <c r="J11" s="141"/>
      <c r="K11" s="141"/>
      <c r="L11" s="141"/>
      <c r="M11" s="141"/>
      <c r="N11" s="141"/>
      <c r="O11" s="399">
        <f>SUM(B11:N11)</f>
        <v>35</v>
      </c>
      <c r="P11" s="399">
        <f>+O11</f>
        <v>35</v>
      </c>
      <c r="Q11" s="399"/>
      <c r="R11" s="141"/>
      <c r="S11" s="141"/>
    </row>
    <row r="12" spans="1:19" x14ac:dyDescent="0.2">
      <c r="A12" s="132">
        <v>36696</v>
      </c>
      <c r="B12" s="141"/>
      <c r="C12" s="141"/>
      <c r="D12" s="399">
        <v>4</v>
      </c>
      <c r="E12" s="399">
        <v>10</v>
      </c>
      <c r="F12" s="141"/>
      <c r="G12" s="141"/>
      <c r="H12" s="141"/>
      <c r="I12" s="141"/>
      <c r="J12" s="141"/>
      <c r="K12" s="141"/>
      <c r="L12" s="141"/>
      <c r="M12" s="141"/>
      <c r="N12" s="141"/>
      <c r="O12" s="141"/>
      <c r="P12" s="141"/>
      <c r="Q12" s="141"/>
      <c r="R12" s="141"/>
      <c r="S12" s="141"/>
    </row>
    <row r="13" spans="1:19" x14ac:dyDescent="0.2">
      <c r="A13" s="132">
        <v>36697</v>
      </c>
      <c r="B13" s="399">
        <v>4</v>
      </c>
      <c r="C13" s="399">
        <v>4</v>
      </c>
      <c r="D13" s="399">
        <v>3</v>
      </c>
      <c r="E13" s="399">
        <v>10</v>
      </c>
      <c r="F13" s="141"/>
      <c r="G13" s="141"/>
      <c r="H13" s="141"/>
      <c r="I13" s="141"/>
      <c r="J13" s="141"/>
      <c r="K13" s="141"/>
      <c r="L13" s="141"/>
      <c r="M13" s="141"/>
      <c r="N13" s="141"/>
      <c r="O13" s="141"/>
      <c r="P13" s="141"/>
      <c r="Q13" s="141"/>
      <c r="R13" s="141"/>
      <c r="S13" s="141"/>
    </row>
    <row r="14" spans="1:19" x14ac:dyDescent="0.2">
      <c r="A14" s="132">
        <v>36698</v>
      </c>
      <c r="B14" s="399">
        <v>4</v>
      </c>
      <c r="C14" s="399">
        <v>4</v>
      </c>
      <c r="D14" s="399">
        <v>8</v>
      </c>
      <c r="E14" s="399">
        <v>10</v>
      </c>
      <c r="F14" s="141"/>
      <c r="G14" s="141"/>
      <c r="H14" s="141"/>
      <c r="I14" s="141"/>
      <c r="J14" s="141"/>
      <c r="K14" s="141"/>
      <c r="L14" s="141"/>
      <c r="M14" s="141"/>
      <c r="N14" s="141"/>
      <c r="O14" s="141"/>
      <c r="P14" s="141"/>
      <c r="Q14" s="141"/>
      <c r="R14" s="141"/>
      <c r="S14" s="141"/>
    </row>
    <row r="15" spans="1:19" x14ac:dyDescent="0.2">
      <c r="A15" s="132">
        <v>36699</v>
      </c>
      <c r="B15" s="399">
        <v>4</v>
      </c>
      <c r="C15" s="399">
        <v>4</v>
      </c>
      <c r="D15" s="399">
        <v>8</v>
      </c>
      <c r="E15" s="399">
        <v>10</v>
      </c>
      <c r="F15" s="141"/>
      <c r="G15" s="141"/>
      <c r="H15" s="141"/>
      <c r="I15" s="141"/>
      <c r="J15" s="141"/>
      <c r="K15" s="141"/>
      <c r="L15" s="141"/>
      <c r="M15" s="141"/>
      <c r="N15" s="141"/>
      <c r="O15" s="141"/>
      <c r="P15" s="141"/>
      <c r="Q15" s="141"/>
      <c r="R15" s="141"/>
      <c r="S15" s="141"/>
    </row>
    <row r="16" spans="1:19" x14ac:dyDescent="0.2">
      <c r="A16" s="132">
        <v>36700</v>
      </c>
      <c r="B16" s="399">
        <v>4</v>
      </c>
      <c r="C16" s="399">
        <v>4</v>
      </c>
      <c r="D16" s="399">
        <v>6</v>
      </c>
      <c r="E16" s="399">
        <v>10</v>
      </c>
      <c r="F16" s="141"/>
      <c r="G16" s="141"/>
      <c r="H16" s="141"/>
      <c r="I16" s="141"/>
      <c r="J16" s="141"/>
      <c r="K16" s="141"/>
      <c r="L16" s="141"/>
      <c r="M16" s="141"/>
      <c r="N16" s="141"/>
      <c r="O16" s="141"/>
      <c r="P16" s="479">
        <f>SUM(B12:E16)</f>
        <v>111</v>
      </c>
      <c r="Q16" s="479"/>
      <c r="R16" s="141"/>
      <c r="S16" s="141"/>
    </row>
    <row r="17" spans="1:19" x14ac:dyDescent="0.2">
      <c r="A17" s="132">
        <v>36701</v>
      </c>
      <c r="B17" s="141">
        <v>4</v>
      </c>
      <c r="C17" s="141">
        <v>4</v>
      </c>
      <c r="D17" s="141">
        <v>4</v>
      </c>
      <c r="E17" s="141">
        <v>10</v>
      </c>
      <c r="F17" s="141"/>
      <c r="G17" s="141"/>
      <c r="H17" s="141"/>
      <c r="I17" s="141"/>
      <c r="J17" s="141"/>
      <c r="K17" s="141"/>
      <c r="L17" s="141"/>
      <c r="M17" s="141"/>
      <c r="N17" s="141"/>
      <c r="O17" s="141"/>
      <c r="P17" s="141"/>
      <c r="Q17" s="141"/>
      <c r="R17" s="141"/>
      <c r="S17" s="141"/>
    </row>
    <row r="18" spans="1:19" x14ac:dyDescent="0.2">
      <c r="A18" s="132">
        <v>36702</v>
      </c>
      <c r="B18" s="141"/>
      <c r="C18" s="141"/>
      <c r="D18" s="141">
        <v>4</v>
      </c>
      <c r="E18" s="141"/>
      <c r="F18" s="141"/>
      <c r="G18" s="141"/>
      <c r="H18" s="141"/>
      <c r="I18" s="141"/>
      <c r="J18" s="141"/>
      <c r="K18" s="141"/>
      <c r="L18" s="141"/>
      <c r="M18" s="141"/>
      <c r="N18" s="141"/>
      <c r="O18" s="141"/>
      <c r="P18" s="141"/>
      <c r="Q18" s="141"/>
      <c r="R18" s="141"/>
      <c r="S18" s="141"/>
    </row>
    <row r="19" spans="1:19" x14ac:dyDescent="0.2">
      <c r="A19" s="132" t="s">
        <v>372</v>
      </c>
      <c r="B19" s="141">
        <f>SUM(B13:B18)</f>
        <v>20</v>
      </c>
      <c r="C19" s="141">
        <f>SUM(C13:C18)</f>
        <v>20</v>
      </c>
      <c r="D19" s="141">
        <f>SUM(D13:D18)</f>
        <v>33</v>
      </c>
      <c r="E19" s="141">
        <f>SUM(E13:E18)</f>
        <v>50</v>
      </c>
      <c r="F19" s="141">
        <f>SUM(F13:F18)</f>
        <v>0</v>
      </c>
      <c r="G19" s="141"/>
      <c r="H19" s="141"/>
      <c r="I19" s="141"/>
      <c r="J19" s="141"/>
      <c r="K19" s="141"/>
      <c r="L19" s="141"/>
      <c r="M19" s="141"/>
      <c r="N19" s="141"/>
      <c r="O19" s="141">
        <f>SUM(B19:N19)</f>
        <v>123</v>
      </c>
      <c r="P19" s="141"/>
      <c r="Q19" s="141"/>
      <c r="R19" s="141"/>
      <c r="S19" s="141"/>
    </row>
    <row r="20" spans="1:19" x14ac:dyDescent="0.2">
      <c r="A20" s="132">
        <v>36703</v>
      </c>
      <c r="B20" s="141"/>
      <c r="C20" s="141">
        <v>10</v>
      </c>
      <c r="D20" s="141"/>
      <c r="E20" s="141">
        <v>10</v>
      </c>
      <c r="F20" s="141">
        <v>10</v>
      </c>
      <c r="G20" s="141"/>
      <c r="H20" s="141"/>
      <c r="I20" s="141"/>
      <c r="J20" s="141"/>
      <c r="K20" s="141"/>
      <c r="L20" s="141"/>
      <c r="M20" s="141"/>
      <c r="N20" s="141"/>
      <c r="O20" s="141"/>
      <c r="P20" s="141"/>
      <c r="Q20" s="141"/>
      <c r="R20" s="141"/>
      <c r="S20" s="141"/>
    </row>
    <row r="21" spans="1:19" x14ac:dyDescent="0.2">
      <c r="A21" s="132">
        <v>36704</v>
      </c>
      <c r="B21" s="141"/>
      <c r="C21" s="141">
        <v>10</v>
      </c>
      <c r="D21" s="141">
        <v>6</v>
      </c>
      <c r="E21" s="141">
        <v>10</v>
      </c>
      <c r="F21" s="141">
        <v>10</v>
      </c>
      <c r="G21" s="141"/>
      <c r="H21" s="141"/>
      <c r="I21" s="141"/>
      <c r="J21" s="141"/>
      <c r="K21" s="141"/>
      <c r="L21" s="141"/>
      <c r="M21" s="141"/>
      <c r="N21" s="141"/>
      <c r="O21" s="141"/>
      <c r="P21" s="141"/>
      <c r="Q21" s="141"/>
      <c r="R21" s="141"/>
      <c r="S21" s="141"/>
    </row>
    <row r="22" spans="1:19" x14ac:dyDescent="0.2">
      <c r="A22" s="132">
        <v>36705</v>
      </c>
      <c r="B22" s="141">
        <v>10</v>
      </c>
      <c r="C22" s="141"/>
      <c r="D22" s="141">
        <v>6</v>
      </c>
      <c r="E22" s="141">
        <v>10</v>
      </c>
      <c r="F22" s="141">
        <v>10</v>
      </c>
      <c r="G22" s="141"/>
      <c r="H22" s="141"/>
      <c r="I22" s="141"/>
      <c r="J22" s="141"/>
      <c r="K22" s="141"/>
      <c r="L22" s="141"/>
      <c r="M22" s="141"/>
      <c r="N22" s="141"/>
      <c r="O22" s="141"/>
      <c r="P22" s="141"/>
      <c r="Q22" s="141"/>
      <c r="R22" s="141"/>
      <c r="S22" s="141"/>
    </row>
    <row r="23" spans="1:19" x14ac:dyDescent="0.2">
      <c r="A23" s="132">
        <v>36706</v>
      </c>
      <c r="B23" s="141">
        <v>10</v>
      </c>
      <c r="C23" s="141"/>
      <c r="D23" s="141">
        <v>6</v>
      </c>
      <c r="E23" s="141">
        <v>10</v>
      </c>
      <c r="F23" s="141">
        <v>10</v>
      </c>
      <c r="G23" s="141"/>
      <c r="H23" s="141"/>
      <c r="I23" s="141"/>
      <c r="J23" s="141"/>
      <c r="K23" s="141"/>
      <c r="L23" s="141"/>
      <c r="M23" s="141"/>
      <c r="N23" s="141"/>
      <c r="O23" s="141"/>
      <c r="P23" s="141"/>
      <c r="Q23" s="141"/>
      <c r="R23" s="141"/>
      <c r="S23" s="141"/>
    </row>
    <row r="24" spans="1:19" x14ac:dyDescent="0.2">
      <c r="A24" s="132">
        <v>36707</v>
      </c>
      <c r="B24" s="141"/>
      <c r="C24" s="141"/>
      <c r="D24" s="141">
        <v>6</v>
      </c>
      <c r="E24" s="141">
        <v>10</v>
      </c>
      <c r="F24" s="141">
        <v>10</v>
      </c>
      <c r="G24" s="141"/>
      <c r="H24" s="141"/>
      <c r="I24" s="141"/>
      <c r="J24" s="141"/>
      <c r="K24" s="141"/>
      <c r="L24" s="141"/>
      <c r="M24" s="141"/>
      <c r="N24" s="141"/>
      <c r="O24" s="141"/>
      <c r="P24" s="141"/>
      <c r="Q24" s="141"/>
      <c r="R24" s="141"/>
      <c r="S24" s="141"/>
    </row>
    <row r="25" spans="1:19" x14ac:dyDescent="0.2">
      <c r="A25" s="132">
        <v>36708</v>
      </c>
      <c r="B25" s="141"/>
      <c r="C25" s="141"/>
      <c r="D25" s="141">
        <v>6</v>
      </c>
      <c r="E25" s="141">
        <v>10</v>
      </c>
      <c r="F25" s="141">
        <v>10</v>
      </c>
      <c r="G25" s="141"/>
      <c r="H25" s="141"/>
      <c r="I25" s="141"/>
      <c r="J25" s="141"/>
      <c r="K25" s="141"/>
      <c r="L25" s="141"/>
      <c r="M25" s="141"/>
      <c r="N25" s="141"/>
      <c r="O25" s="141"/>
      <c r="P25" s="141"/>
      <c r="Q25" s="141"/>
      <c r="R25" s="141"/>
      <c r="S25" s="141"/>
    </row>
    <row r="26" spans="1:19" x14ac:dyDescent="0.2">
      <c r="A26" s="132">
        <v>36709</v>
      </c>
      <c r="B26" s="141"/>
      <c r="C26" s="141"/>
      <c r="D26" s="141"/>
      <c r="E26" s="141">
        <v>10</v>
      </c>
      <c r="F26" s="141"/>
      <c r="G26" s="141"/>
      <c r="H26" s="141"/>
      <c r="I26" s="141"/>
      <c r="J26" s="141"/>
      <c r="K26" s="141"/>
      <c r="L26" s="141"/>
      <c r="M26" s="141"/>
      <c r="N26" s="141"/>
      <c r="O26" s="141"/>
      <c r="P26" s="141"/>
      <c r="Q26" s="141"/>
      <c r="R26" s="141"/>
      <c r="S26" s="141"/>
    </row>
    <row r="27" spans="1:19" x14ac:dyDescent="0.2">
      <c r="A27" s="132" t="s">
        <v>372</v>
      </c>
      <c r="B27" s="141">
        <f>SUM(B21:B26)</f>
        <v>20</v>
      </c>
      <c r="C27" s="141">
        <f>SUM(C20:C26)</f>
        <v>20</v>
      </c>
      <c r="D27" s="141">
        <f>SUM(D21:D26)</f>
        <v>30</v>
      </c>
      <c r="E27" s="141">
        <f>SUM(E21:E26)</f>
        <v>60</v>
      </c>
      <c r="F27" s="141">
        <f>SUM(F21:F26)</f>
        <v>50</v>
      </c>
      <c r="G27" s="141"/>
      <c r="H27" s="141"/>
      <c r="I27" s="141"/>
      <c r="J27" s="141"/>
      <c r="K27" s="141"/>
      <c r="L27" s="141"/>
      <c r="M27" s="141"/>
      <c r="N27" s="141"/>
      <c r="O27" s="141">
        <f>SUM(B27:N27)</f>
        <v>180</v>
      </c>
      <c r="P27" s="141"/>
      <c r="Q27" s="141"/>
      <c r="R27" s="141"/>
      <c r="S27" s="141"/>
    </row>
    <row r="28" spans="1:19" x14ac:dyDescent="0.2">
      <c r="A28" s="132">
        <v>36710</v>
      </c>
      <c r="B28" s="141"/>
      <c r="C28" s="141">
        <v>10</v>
      </c>
      <c r="D28" s="3"/>
      <c r="E28" s="141">
        <v>10</v>
      </c>
      <c r="F28" s="141"/>
      <c r="G28" s="141"/>
      <c r="H28" s="141"/>
      <c r="I28" s="141"/>
      <c r="J28" s="141"/>
      <c r="K28" s="141"/>
      <c r="L28" s="141"/>
      <c r="M28" s="141"/>
      <c r="N28" s="141"/>
      <c r="O28" s="141"/>
      <c r="P28" s="141"/>
      <c r="Q28" s="141"/>
      <c r="R28" s="141"/>
      <c r="S28" s="141"/>
    </row>
    <row r="29" spans="1:19" x14ac:dyDescent="0.2">
      <c r="A29" s="132">
        <v>36711</v>
      </c>
      <c r="B29" s="141"/>
      <c r="C29" s="141"/>
      <c r="D29" s="3"/>
      <c r="E29" s="141">
        <v>10</v>
      </c>
      <c r="F29" s="141">
        <v>10</v>
      </c>
      <c r="G29" s="141"/>
      <c r="H29" s="141"/>
      <c r="I29" s="141"/>
      <c r="J29" s="141"/>
      <c r="K29" s="141"/>
      <c r="L29" s="141"/>
      <c r="M29" s="141"/>
      <c r="N29" s="141"/>
      <c r="O29" s="141"/>
      <c r="P29" s="141"/>
      <c r="Q29" s="141"/>
      <c r="R29" s="141"/>
      <c r="S29" s="141"/>
    </row>
    <row r="30" spans="1:19" x14ac:dyDescent="0.2">
      <c r="A30" s="132">
        <v>36712</v>
      </c>
      <c r="B30" s="141"/>
      <c r="C30" s="141">
        <v>10</v>
      </c>
      <c r="D30" s="3"/>
      <c r="E30" s="141">
        <v>10</v>
      </c>
      <c r="F30" s="141">
        <v>10</v>
      </c>
      <c r="G30" s="141"/>
      <c r="H30" s="141"/>
      <c r="I30" s="141"/>
      <c r="J30" s="141"/>
      <c r="K30" s="141"/>
      <c r="L30" s="141"/>
      <c r="M30" s="141"/>
      <c r="N30" s="141"/>
      <c r="O30" s="141"/>
      <c r="P30" s="141"/>
      <c r="Q30" s="141"/>
      <c r="R30" s="141"/>
      <c r="S30" s="141"/>
    </row>
    <row r="31" spans="1:19" x14ac:dyDescent="0.2">
      <c r="A31" s="132">
        <v>36713</v>
      </c>
      <c r="B31" s="141">
        <v>10</v>
      </c>
      <c r="C31" s="141"/>
      <c r="D31" s="3"/>
      <c r="E31" s="141">
        <v>10</v>
      </c>
      <c r="F31" s="141">
        <v>10</v>
      </c>
      <c r="G31" s="141"/>
      <c r="H31" s="141"/>
      <c r="I31" s="141"/>
      <c r="J31" s="141"/>
      <c r="K31" s="141"/>
      <c r="L31" s="141"/>
      <c r="M31" s="141"/>
      <c r="N31" s="141"/>
      <c r="O31" s="141"/>
      <c r="P31" s="141"/>
      <c r="Q31" s="141"/>
      <c r="R31" s="141"/>
      <c r="S31" s="141"/>
    </row>
    <row r="32" spans="1:19" x14ac:dyDescent="0.2">
      <c r="A32" s="132">
        <v>36714</v>
      </c>
      <c r="B32" s="141"/>
      <c r="C32" s="141"/>
      <c r="D32" s="3"/>
      <c r="E32" s="141">
        <v>10</v>
      </c>
      <c r="F32" s="141">
        <v>10</v>
      </c>
      <c r="G32" s="141"/>
      <c r="H32" s="141"/>
      <c r="I32" s="141"/>
      <c r="J32" s="141"/>
      <c r="K32" s="141"/>
      <c r="L32" s="141"/>
      <c r="M32" s="141"/>
      <c r="N32" s="141"/>
      <c r="O32" s="141"/>
      <c r="P32" s="141"/>
      <c r="Q32" s="141"/>
      <c r="R32" s="141"/>
      <c r="S32" s="141"/>
    </row>
    <row r="33" spans="1:19" x14ac:dyDescent="0.2">
      <c r="A33" s="132">
        <v>36715</v>
      </c>
      <c r="B33" s="141"/>
      <c r="C33" s="141"/>
      <c r="D33" s="3"/>
      <c r="E33" s="141"/>
      <c r="F33" s="141">
        <v>10</v>
      </c>
      <c r="G33" s="141"/>
      <c r="H33" s="141"/>
      <c r="I33" s="141"/>
      <c r="J33" s="141"/>
      <c r="K33" s="141"/>
      <c r="L33" s="141"/>
      <c r="M33" s="141"/>
      <c r="N33" s="141"/>
      <c r="O33" s="141"/>
      <c r="P33" s="141"/>
      <c r="Q33" s="141"/>
      <c r="R33" s="141"/>
      <c r="S33" s="141"/>
    </row>
    <row r="34" spans="1:19" x14ac:dyDescent="0.2">
      <c r="A34" s="132">
        <v>36716</v>
      </c>
      <c r="B34" s="141"/>
      <c r="C34" s="141"/>
      <c r="D34" s="141"/>
      <c r="E34" s="141"/>
      <c r="F34" s="141">
        <v>10</v>
      </c>
      <c r="G34" s="141"/>
      <c r="H34" s="141"/>
      <c r="I34" s="141"/>
      <c r="J34" s="141"/>
      <c r="K34" s="141"/>
      <c r="L34" s="141"/>
      <c r="M34" s="141"/>
      <c r="N34" s="141"/>
      <c r="O34" s="141"/>
      <c r="P34" s="141"/>
      <c r="Q34" s="141"/>
      <c r="R34" s="141"/>
      <c r="S34" s="141"/>
    </row>
    <row r="35" spans="1:19" x14ac:dyDescent="0.2">
      <c r="A35" s="132" t="s">
        <v>372</v>
      </c>
      <c r="B35" s="141">
        <f t="shared" ref="B35:M35" si="0">SUM(B28:B34)</f>
        <v>10</v>
      </c>
      <c r="C35" s="141">
        <f t="shared" si="0"/>
        <v>20</v>
      </c>
      <c r="D35" s="141">
        <f t="shared" si="0"/>
        <v>0</v>
      </c>
      <c r="E35" s="141">
        <f t="shared" si="0"/>
        <v>50</v>
      </c>
      <c r="F35" s="141">
        <f t="shared" si="0"/>
        <v>60</v>
      </c>
      <c r="G35" s="141">
        <f t="shared" si="0"/>
        <v>0</v>
      </c>
      <c r="H35" s="141">
        <f t="shared" si="0"/>
        <v>0</v>
      </c>
      <c r="I35" s="141">
        <f t="shared" si="0"/>
        <v>0</v>
      </c>
      <c r="J35" s="141">
        <f t="shared" si="0"/>
        <v>0</v>
      </c>
      <c r="K35" s="141">
        <f t="shared" si="0"/>
        <v>0</v>
      </c>
      <c r="L35" s="141">
        <f t="shared" si="0"/>
        <v>0</v>
      </c>
      <c r="M35" s="141">
        <f t="shared" si="0"/>
        <v>0</v>
      </c>
      <c r="N35" s="141"/>
      <c r="O35" s="141">
        <f>SUM(B35:N35)</f>
        <v>140</v>
      </c>
      <c r="P35" s="141"/>
      <c r="Q35" s="141"/>
      <c r="R35" s="141"/>
      <c r="S35" s="141"/>
    </row>
    <row r="36" spans="1:19" x14ac:dyDescent="0.2">
      <c r="A36" s="132">
        <v>36717</v>
      </c>
      <c r="B36" s="141">
        <v>10</v>
      </c>
      <c r="C36" s="141">
        <v>4</v>
      </c>
      <c r="D36" s="141"/>
      <c r="E36" s="141">
        <v>10</v>
      </c>
      <c r="F36" s="141">
        <v>10</v>
      </c>
      <c r="G36" s="141">
        <v>4</v>
      </c>
      <c r="H36" s="141"/>
      <c r="I36" s="141">
        <v>11</v>
      </c>
      <c r="J36" s="141">
        <v>4</v>
      </c>
      <c r="K36" s="141"/>
      <c r="L36" s="141">
        <v>10</v>
      </c>
      <c r="M36" s="141"/>
      <c r="N36" s="141"/>
      <c r="O36" s="141"/>
      <c r="P36" s="141"/>
      <c r="Q36" s="141"/>
      <c r="R36" s="141"/>
      <c r="S36" s="141"/>
    </row>
    <row r="37" spans="1:19" x14ac:dyDescent="0.2">
      <c r="A37" s="132">
        <v>36718</v>
      </c>
      <c r="B37" s="141">
        <v>10</v>
      </c>
      <c r="C37" s="141">
        <v>4</v>
      </c>
      <c r="D37" s="141">
        <v>10</v>
      </c>
      <c r="E37" s="141">
        <v>10</v>
      </c>
      <c r="F37" s="141">
        <v>10</v>
      </c>
      <c r="G37" s="141">
        <v>4</v>
      </c>
      <c r="H37" s="141"/>
      <c r="I37" s="141">
        <v>11</v>
      </c>
      <c r="J37" s="141">
        <v>4</v>
      </c>
      <c r="K37" s="141"/>
      <c r="L37" s="141">
        <v>10</v>
      </c>
      <c r="M37" s="141"/>
      <c r="N37" s="141"/>
      <c r="O37" s="141"/>
      <c r="P37" s="141"/>
      <c r="Q37" s="141"/>
      <c r="R37" s="141"/>
      <c r="S37" s="141"/>
    </row>
    <row r="38" spans="1:19" x14ac:dyDescent="0.2">
      <c r="A38" s="132">
        <v>36719</v>
      </c>
      <c r="B38" s="141"/>
      <c r="C38" s="141">
        <v>4</v>
      </c>
      <c r="D38" s="141">
        <v>10</v>
      </c>
      <c r="E38" s="141">
        <v>10</v>
      </c>
      <c r="F38" s="141">
        <v>10</v>
      </c>
      <c r="G38" s="141">
        <v>4</v>
      </c>
      <c r="H38" s="141"/>
      <c r="I38" s="141">
        <v>13.5</v>
      </c>
      <c r="J38" s="141">
        <v>4</v>
      </c>
      <c r="K38" s="141"/>
      <c r="L38" s="141">
        <v>10</v>
      </c>
      <c r="M38" s="141"/>
      <c r="N38" s="141"/>
      <c r="O38" s="141"/>
      <c r="P38" s="141"/>
      <c r="Q38" s="141"/>
      <c r="R38" s="141"/>
      <c r="S38" s="141"/>
    </row>
    <row r="39" spans="1:19" x14ac:dyDescent="0.2">
      <c r="A39" s="132">
        <v>36720</v>
      </c>
      <c r="B39" s="399">
        <v>10</v>
      </c>
      <c r="C39" s="399">
        <v>4</v>
      </c>
      <c r="D39" s="399">
        <v>10</v>
      </c>
      <c r="E39" s="399">
        <v>10</v>
      </c>
      <c r="F39" s="399">
        <v>10</v>
      </c>
      <c r="G39" s="399">
        <v>4</v>
      </c>
      <c r="H39" s="399">
        <v>10</v>
      </c>
      <c r="I39" s="399">
        <v>11</v>
      </c>
      <c r="J39" s="399">
        <v>4</v>
      </c>
      <c r="K39" s="141"/>
      <c r="L39" s="141"/>
      <c r="M39" s="141"/>
      <c r="N39" s="141"/>
      <c r="O39" s="141"/>
      <c r="P39" s="141"/>
      <c r="Q39" s="141"/>
      <c r="R39" s="141"/>
      <c r="S39" s="141"/>
    </row>
    <row r="40" spans="1:19" x14ac:dyDescent="0.2">
      <c r="A40" s="132">
        <v>36721</v>
      </c>
      <c r="B40" s="399"/>
      <c r="C40" s="399">
        <v>4</v>
      </c>
      <c r="D40" s="399"/>
      <c r="E40" s="399">
        <v>10</v>
      </c>
      <c r="F40" s="399">
        <v>10</v>
      </c>
      <c r="G40" s="399"/>
      <c r="H40" s="399">
        <v>10</v>
      </c>
      <c r="I40" s="399">
        <v>11.5</v>
      </c>
      <c r="J40" s="399">
        <v>4</v>
      </c>
      <c r="K40" s="141"/>
      <c r="L40" s="141"/>
      <c r="M40" s="141"/>
      <c r="N40" s="141"/>
      <c r="O40" s="141"/>
      <c r="P40" s="141"/>
      <c r="Q40" s="141"/>
      <c r="R40" s="141"/>
      <c r="S40" s="141"/>
    </row>
    <row r="41" spans="1:19" x14ac:dyDescent="0.2">
      <c r="A41" s="132">
        <v>36722</v>
      </c>
      <c r="B41" s="399"/>
      <c r="C41" s="399">
        <v>4</v>
      </c>
      <c r="D41" s="399"/>
      <c r="E41" s="399">
        <v>10</v>
      </c>
      <c r="F41" s="399"/>
      <c r="G41" s="399"/>
      <c r="H41" s="399"/>
      <c r="I41" s="399">
        <v>11</v>
      </c>
      <c r="J41" s="399">
        <v>4</v>
      </c>
      <c r="K41" s="141"/>
      <c r="L41" s="141"/>
      <c r="M41" s="141"/>
      <c r="N41" s="141"/>
      <c r="O41" s="141"/>
      <c r="P41" s="141"/>
      <c r="Q41" s="141"/>
      <c r="R41" s="141"/>
      <c r="S41" s="141"/>
    </row>
    <row r="42" spans="1:19" x14ac:dyDescent="0.2">
      <c r="A42" s="132">
        <v>36723</v>
      </c>
      <c r="B42" s="399"/>
      <c r="C42" s="399"/>
      <c r="D42" s="399"/>
      <c r="E42" s="399"/>
      <c r="F42" s="399"/>
      <c r="G42" s="399"/>
      <c r="H42" s="399"/>
      <c r="I42" s="399">
        <v>8</v>
      </c>
      <c r="J42" s="399">
        <v>4</v>
      </c>
      <c r="K42" s="141"/>
      <c r="L42" s="141"/>
      <c r="M42" s="141"/>
      <c r="N42" s="141"/>
      <c r="O42" s="141"/>
      <c r="P42" s="479">
        <f>SUM(B39:J42)</f>
        <v>163.5</v>
      </c>
      <c r="Q42" s="479"/>
      <c r="R42" s="141"/>
      <c r="S42" s="141"/>
    </row>
    <row r="43" spans="1:19" x14ac:dyDescent="0.2">
      <c r="A43" s="132" t="s">
        <v>372</v>
      </c>
      <c r="B43" s="141">
        <f t="shared" ref="B43:M43" si="1">SUM(B36:B42)</f>
        <v>30</v>
      </c>
      <c r="C43" s="141">
        <f t="shared" si="1"/>
        <v>24</v>
      </c>
      <c r="D43" s="141">
        <f t="shared" si="1"/>
        <v>30</v>
      </c>
      <c r="E43" s="141">
        <f t="shared" si="1"/>
        <v>60</v>
      </c>
      <c r="F43" s="141">
        <f t="shared" si="1"/>
        <v>50</v>
      </c>
      <c r="G43" s="141">
        <f t="shared" si="1"/>
        <v>16</v>
      </c>
      <c r="H43" s="141">
        <f t="shared" si="1"/>
        <v>20</v>
      </c>
      <c r="I43" s="141">
        <f t="shared" si="1"/>
        <v>77</v>
      </c>
      <c r="J43" s="141">
        <f t="shared" si="1"/>
        <v>28</v>
      </c>
      <c r="K43" s="141">
        <f t="shared" si="1"/>
        <v>0</v>
      </c>
      <c r="L43" s="141">
        <f t="shared" si="1"/>
        <v>30</v>
      </c>
      <c r="M43" s="141">
        <f t="shared" si="1"/>
        <v>0</v>
      </c>
      <c r="N43" s="141"/>
      <c r="O43" s="141">
        <f>SUM(B43:N43)</f>
        <v>365</v>
      </c>
      <c r="P43" s="141"/>
      <c r="Q43" s="141"/>
      <c r="R43" s="141"/>
      <c r="S43" s="141"/>
    </row>
    <row r="44" spans="1:19" x14ac:dyDescent="0.2">
      <c r="A44" s="132">
        <v>36724</v>
      </c>
      <c r="B44" s="399">
        <v>10</v>
      </c>
      <c r="C44" s="399">
        <v>4</v>
      </c>
      <c r="D44" s="399"/>
      <c r="E44" s="399">
        <v>10</v>
      </c>
      <c r="F44" s="399">
        <v>4</v>
      </c>
      <c r="G44" s="399">
        <v>4</v>
      </c>
      <c r="H44" s="399"/>
      <c r="I44" s="399"/>
      <c r="J44" s="399">
        <v>4</v>
      </c>
      <c r="K44" s="399">
        <v>4</v>
      </c>
      <c r="L44" s="399"/>
      <c r="M44" s="141"/>
      <c r="N44" s="141"/>
      <c r="O44" s="141"/>
      <c r="P44" s="141"/>
      <c r="Q44" s="141"/>
      <c r="R44" s="141"/>
      <c r="S44" s="141"/>
    </row>
    <row r="45" spans="1:19" x14ac:dyDescent="0.2">
      <c r="A45" s="132">
        <v>36725</v>
      </c>
      <c r="B45" s="399">
        <v>10</v>
      </c>
      <c r="C45" s="399">
        <v>4</v>
      </c>
      <c r="D45" s="399">
        <v>10</v>
      </c>
      <c r="E45" s="399">
        <v>10</v>
      </c>
      <c r="F45" s="399">
        <v>4</v>
      </c>
      <c r="G45" s="399">
        <v>4</v>
      </c>
      <c r="H45" s="399"/>
      <c r="I45" s="399"/>
      <c r="J45" s="399">
        <v>4</v>
      </c>
      <c r="K45" s="399">
        <v>4</v>
      </c>
      <c r="L45" s="399"/>
      <c r="M45" s="141"/>
      <c r="N45" s="141"/>
      <c r="O45" s="141"/>
      <c r="P45" s="141"/>
      <c r="Q45" s="141"/>
      <c r="R45" s="141"/>
      <c r="S45" s="141"/>
    </row>
    <row r="46" spans="1:19" x14ac:dyDescent="0.2">
      <c r="A46" s="132">
        <v>36726</v>
      </c>
      <c r="B46" s="399"/>
      <c r="C46" s="399">
        <v>4</v>
      </c>
      <c r="D46" s="399">
        <v>10</v>
      </c>
      <c r="E46" s="399">
        <v>10</v>
      </c>
      <c r="F46" s="399">
        <v>4</v>
      </c>
      <c r="G46" s="399">
        <v>4</v>
      </c>
      <c r="H46" s="399"/>
      <c r="I46" s="399"/>
      <c r="J46" s="399">
        <v>4</v>
      </c>
      <c r="K46" s="399">
        <v>4</v>
      </c>
      <c r="L46" s="399"/>
      <c r="M46" s="141"/>
      <c r="N46" s="141"/>
      <c r="O46" s="141"/>
      <c r="P46" s="141"/>
      <c r="Q46" s="141"/>
      <c r="R46" s="141"/>
      <c r="S46" s="141"/>
    </row>
    <row r="47" spans="1:19" x14ac:dyDescent="0.2">
      <c r="A47" s="132">
        <v>36727</v>
      </c>
      <c r="B47" s="399">
        <v>10</v>
      </c>
      <c r="C47" s="399">
        <v>4</v>
      </c>
      <c r="D47" s="399">
        <v>10</v>
      </c>
      <c r="E47" s="399">
        <v>10</v>
      </c>
      <c r="F47" s="399">
        <v>4</v>
      </c>
      <c r="G47" s="399">
        <v>4</v>
      </c>
      <c r="H47" s="399">
        <v>10</v>
      </c>
      <c r="I47" s="399"/>
      <c r="J47" s="399">
        <v>4</v>
      </c>
      <c r="K47" s="399">
        <v>4</v>
      </c>
      <c r="L47" s="399">
        <v>10</v>
      </c>
      <c r="M47" s="141"/>
      <c r="N47" s="141"/>
      <c r="O47" s="141"/>
      <c r="P47" s="141"/>
      <c r="Q47" s="141"/>
      <c r="R47" s="141"/>
      <c r="S47" s="141"/>
    </row>
    <row r="48" spans="1:19" x14ac:dyDescent="0.2">
      <c r="A48" s="132">
        <v>36728</v>
      </c>
      <c r="B48" s="399"/>
      <c r="C48" s="399"/>
      <c r="D48" s="399"/>
      <c r="E48" s="399">
        <v>10</v>
      </c>
      <c r="F48" s="399"/>
      <c r="G48" s="399"/>
      <c r="H48" s="399">
        <v>10</v>
      </c>
      <c r="I48" s="399"/>
      <c r="J48" s="399">
        <v>4</v>
      </c>
      <c r="K48" s="399">
        <v>4</v>
      </c>
      <c r="L48" s="399"/>
      <c r="M48" s="141"/>
      <c r="N48" s="141"/>
      <c r="O48" s="141"/>
      <c r="P48" s="141"/>
      <c r="Q48" s="141"/>
      <c r="R48" s="141"/>
      <c r="S48" s="141"/>
    </row>
    <row r="49" spans="1:19" x14ac:dyDescent="0.2">
      <c r="A49" s="132">
        <v>36729</v>
      </c>
      <c r="B49" s="399"/>
      <c r="C49" s="399">
        <v>4</v>
      </c>
      <c r="D49" s="399"/>
      <c r="E49" s="399"/>
      <c r="F49" s="399"/>
      <c r="G49" s="399"/>
      <c r="H49" s="399"/>
      <c r="I49" s="399"/>
      <c r="J49" s="399">
        <v>4</v>
      </c>
      <c r="K49" s="399">
        <v>4</v>
      </c>
      <c r="L49" s="399">
        <v>10</v>
      </c>
      <c r="M49" s="141"/>
      <c r="N49" s="141"/>
      <c r="O49" s="141"/>
      <c r="P49" s="141"/>
      <c r="Q49" s="141"/>
      <c r="R49" s="141"/>
      <c r="S49" s="141"/>
    </row>
    <row r="50" spans="1:19" x14ac:dyDescent="0.2">
      <c r="A50" s="132">
        <v>36730</v>
      </c>
      <c r="B50" s="399"/>
      <c r="C50" s="399">
        <v>4</v>
      </c>
      <c r="D50" s="399"/>
      <c r="E50" s="399"/>
      <c r="F50" s="399">
        <v>4</v>
      </c>
      <c r="G50" s="399"/>
      <c r="H50" s="399"/>
      <c r="I50" s="399"/>
      <c r="J50" s="399"/>
      <c r="K50" s="399"/>
      <c r="L50" s="399"/>
      <c r="M50" s="141"/>
      <c r="N50" s="141"/>
      <c r="O50" s="141"/>
      <c r="P50" s="479">
        <f>SUM(B44:L50)</f>
        <v>258</v>
      </c>
      <c r="Q50" s="479"/>
      <c r="R50" s="141"/>
      <c r="S50" s="141"/>
    </row>
    <row r="51" spans="1:19" x14ac:dyDescent="0.2">
      <c r="A51" s="132" t="s">
        <v>372</v>
      </c>
      <c r="B51" s="141">
        <f t="shared" ref="B51:M51" si="2">SUM(B44:B50)</f>
        <v>30</v>
      </c>
      <c r="C51" s="141">
        <f t="shared" si="2"/>
        <v>24</v>
      </c>
      <c r="D51" s="141">
        <f t="shared" si="2"/>
        <v>30</v>
      </c>
      <c r="E51" s="141">
        <f t="shared" si="2"/>
        <v>50</v>
      </c>
      <c r="F51" s="141">
        <f t="shared" si="2"/>
        <v>20</v>
      </c>
      <c r="G51" s="141">
        <f t="shared" si="2"/>
        <v>16</v>
      </c>
      <c r="H51" s="141">
        <f t="shared" si="2"/>
        <v>20</v>
      </c>
      <c r="I51" s="141">
        <f t="shared" si="2"/>
        <v>0</v>
      </c>
      <c r="J51" s="141">
        <f t="shared" si="2"/>
        <v>24</v>
      </c>
      <c r="K51" s="141">
        <f t="shared" si="2"/>
        <v>24</v>
      </c>
      <c r="L51" s="141">
        <f t="shared" si="2"/>
        <v>20</v>
      </c>
      <c r="M51" s="141">
        <f t="shared" si="2"/>
        <v>0</v>
      </c>
      <c r="N51" s="141"/>
      <c r="O51" s="141">
        <f>SUM(B51:N51)</f>
        <v>258</v>
      </c>
      <c r="P51" s="141"/>
      <c r="Q51" s="141"/>
      <c r="R51" s="141"/>
      <c r="S51" s="141"/>
    </row>
    <row r="52" spans="1:19" x14ac:dyDescent="0.2">
      <c r="A52" s="132">
        <v>36731</v>
      </c>
      <c r="B52" s="141"/>
      <c r="C52" s="141">
        <v>10</v>
      </c>
      <c r="D52" s="141"/>
      <c r="E52" s="141">
        <v>8</v>
      </c>
      <c r="F52" s="141">
        <v>4</v>
      </c>
      <c r="G52" s="141"/>
      <c r="H52" s="141">
        <v>4</v>
      </c>
      <c r="I52" s="141"/>
      <c r="J52" s="141"/>
      <c r="K52" s="141">
        <v>4</v>
      </c>
      <c r="L52" s="141"/>
      <c r="M52" s="141">
        <v>10</v>
      </c>
      <c r="N52" s="141"/>
      <c r="O52" s="141"/>
      <c r="P52" s="141"/>
      <c r="Q52" s="141"/>
      <c r="R52" s="141"/>
      <c r="S52" s="141"/>
    </row>
    <row r="53" spans="1:19" x14ac:dyDescent="0.2">
      <c r="A53" s="132">
        <v>36732</v>
      </c>
      <c r="B53" s="141"/>
      <c r="C53" s="141">
        <v>10</v>
      </c>
      <c r="D53" s="141"/>
      <c r="E53" s="141">
        <v>8</v>
      </c>
      <c r="F53" s="141">
        <v>4</v>
      </c>
      <c r="G53" s="141"/>
      <c r="H53" s="141">
        <v>4</v>
      </c>
      <c r="I53" s="141"/>
      <c r="J53" s="141"/>
      <c r="K53" s="141">
        <v>4</v>
      </c>
      <c r="L53" s="141"/>
      <c r="M53" s="141">
        <v>10</v>
      </c>
      <c r="N53" s="141"/>
      <c r="O53" s="141"/>
      <c r="P53" s="141"/>
      <c r="Q53" s="141"/>
      <c r="R53" s="141"/>
      <c r="S53" s="141"/>
    </row>
    <row r="54" spans="1:19" x14ac:dyDescent="0.2">
      <c r="A54" s="132">
        <v>36733</v>
      </c>
      <c r="B54" s="141"/>
      <c r="C54" s="141">
        <v>10</v>
      </c>
      <c r="D54" s="141"/>
      <c r="E54" s="141">
        <v>8</v>
      </c>
      <c r="F54" s="141">
        <v>4</v>
      </c>
      <c r="G54" s="141"/>
      <c r="H54" s="141">
        <v>4</v>
      </c>
      <c r="I54" s="141"/>
      <c r="J54" s="141"/>
      <c r="K54" s="141">
        <v>4</v>
      </c>
      <c r="L54" s="141"/>
      <c r="M54" s="141">
        <v>10</v>
      </c>
      <c r="N54" s="141"/>
      <c r="O54" s="141"/>
      <c r="P54" s="141"/>
      <c r="Q54" s="141"/>
      <c r="R54" s="141"/>
      <c r="S54" s="141"/>
    </row>
    <row r="55" spans="1:19" x14ac:dyDescent="0.2">
      <c r="A55" s="132">
        <v>36734</v>
      </c>
      <c r="B55" s="141"/>
      <c r="C55" s="141">
        <v>10</v>
      </c>
      <c r="D55" s="141"/>
      <c r="E55" s="141">
        <v>8</v>
      </c>
      <c r="F55" s="141">
        <v>4</v>
      </c>
      <c r="G55" s="141"/>
      <c r="H55" s="141">
        <v>4</v>
      </c>
      <c r="I55" s="141"/>
      <c r="J55" s="141">
        <v>4</v>
      </c>
      <c r="K55" s="141">
        <v>4</v>
      </c>
      <c r="L55" s="141"/>
      <c r="M55" s="141">
        <v>10</v>
      </c>
      <c r="N55" s="141"/>
      <c r="O55" s="141"/>
      <c r="P55" s="141"/>
      <c r="Q55" s="141"/>
      <c r="R55" s="141"/>
      <c r="S55" s="141"/>
    </row>
    <row r="56" spans="1:19" x14ac:dyDescent="0.2">
      <c r="A56" s="132">
        <v>36735</v>
      </c>
      <c r="B56" s="141"/>
      <c r="C56" s="141">
        <v>10</v>
      </c>
      <c r="D56" s="141"/>
      <c r="E56" s="141">
        <v>8</v>
      </c>
      <c r="F56" s="141">
        <v>4</v>
      </c>
      <c r="G56" s="141"/>
      <c r="H56" s="141">
        <v>4</v>
      </c>
      <c r="I56" s="141"/>
      <c r="J56" s="141">
        <v>4</v>
      </c>
      <c r="K56" s="141">
        <v>4</v>
      </c>
      <c r="L56" s="141"/>
      <c r="M56" s="141"/>
      <c r="N56" s="141"/>
      <c r="O56" s="141"/>
      <c r="P56" s="141"/>
      <c r="Q56" s="141"/>
      <c r="R56" s="141"/>
      <c r="S56" s="141"/>
    </row>
    <row r="57" spans="1:19" x14ac:dyDescent="0.2">
      <c r="A57" s="132">
        <v>36736</v>
      </c>
      <c r="B57" s="141"/>
      <c r="C57" s="141"/>
      <c r="D57" s="141"/>
      <c r="E57" s="141"/>
      <c r="F57" s="141">
        <v>4</v>
      </c>
      <c r="G57" s="141"/>
      <c r="H57" s="141"/>
      <c r="I57" s="141"/>
      <c r="J57" s="141">
        <v>4</v>
      </c>
      <c r="K57" s="141">
        <v>4</v>
      </c>
      <c r="L57" s="141"/>
      <c r="M57" s="141"/>
      <c r="N57" s="141"/>
      <c r="O57" s="141"/>
      <c r="P57" s="141"/>
      <c r="Q57" s="141"/>
      <c r="R57" s="141"/>
      <c r="S57" s="141"/>
    </row>
    <row r="58" spans="1:19" x14ac:dyDescent="0.2">
      <c r="A58" s="132">
        <v>36737</v>
      </c>
      <c r="B58" s="141"/>
      <c r="C58" s="141"/>
      <c r="D58" s="141"/>
      <c r="E58" s="141"/>
      <c r="F58" s="141"/>
      <c r="G58" s="141"/>
      <c r="H58" s="141"/>
      <c r="I58" s="141"/>
      <c r="J58" s="141"/>
      <c r="K58" s="141"/>
      <c r="L58" s="141"/>
      <c r="M58" s="141"/>
      <c r="N58" s="141"/>
      <c r="O58" s="141"/>
      <c r="P58" s="141"/>
      <c r="Q58" s="141"/>
      <c r="R58" s="141"/>
      <c r="S58" s="141"/>
    </row>
    <row r="59" spans="1:19" x14ac:dyDescent="0.2">
      <c r="A59" s="132" t="s">
        <v>372</v>
      </c>
      <c r="B59" s="141">
        <f t="shared" ref="B59:M59" si="3">SUM(B52:B58)</f>
        <v>0</v>
      </c>
      <c r="C59" s="141">
        <f t="shared" si="3"/>
        <v>50</v>
      </c>
      <c r="D59" s="141">
        <f t="shared" si="3"/>
        <v>0</v>
      </c>
      <c r="E59" s="141">
        <f t="shared" si="3"/>
        <v>40</v>
      </c>
      <c r="F59" s="141">
        <f t="shared" si="3"/>
        <v>24</v>
      </c>
      <c r="G59" s="141">
        <f t="shared" si="3"/>
        <v>0</v>
      </c>
      <c r="H59" s="141">
        <f t="shared" si="3"/>
        <v>20</v>
      </c>
      <c r="I59" s="141">
        <f t="shared" si="3"/>
        <v>0</v>
      </c>
      <c r="J59" s="141">
        <f t="shared" si="3"/>
        <v>12</v>
      </c>
      <c r="K59" s="141">
        <f t="shared" si="3"/>
        <v>24</v>
      </c>
      <c r="L59" s="141">
        <f t="shared" si="3"/>
        <v>0</v>
      </c>
      <c r="M59" s="141">
        <f t="shared" si="3"/>
        <v>40</v>
      </c>
      <c r="N59" s="141"/>
      <c r="O59" s="141">
        <f>SUM(B59:N59)</f>
        <v>210</v>
      </c>
      <c r="P59" s="141"/>
      <c r="Q59" s="141">
        <f>+O59</f>
        <v>210</v>
      </c>
      <c r="R59" s="141"/>
      <c r="S59" s="141"/>
    </row>
    <row r="60" spans="1:19" x14ac:dyDescent="0.2">
      <c r="A60" s="132">
        <v>36738</v>
      </c>
      <c r="B60" s="141"/>
      <c r="C60" s="141">
        <v>10</v>
      </c>
      <c r="D60" s="141"/>
      <c r="E60" s="141">
        <v>8</v>
      </c>
      <c r="F60" s="141">
        <v>4</v>
      </c>
      <c r="G60" s="141"/>
      <c r="H60" s="141">
        <v>4</v>
      </c>
      <c r="I60" s="141"/>
      <c r="J60" s="141">
        <v>4</v>
      </c>
      <c r="K60" s="141">
        <v>4</v>
      </c>
      <c r="L60" s="141">
        <v>4</v>
      </c>
      <c r="M60" s="141"/>
      <c r="N60" s="141"/>
      <c r="O60" s="141"/>
      <c r="P60" s="141"/>
      <c r="Q60" s="141"/>
      <c r="R60" s="141"/>
      <c r="S60" s="141"/>
    </row>
    <row r="61" spans="1:19" x14ac:dyDescent="0.2">
      <c r="A61" s="132">
        <v>36739</v>
      </c>
      <c r="B61" s="141"/>
      <c r="C61" s="141">
        <v>10</v>
      </c>
      <c r="D61" s="141"/>
      <c r="E61" s="141">
        <v>8</v>
      </c>
      <c r="F61" s="141">
        <v>4</v>
      </c>
      <c r="G61" s="141"/>
      <c r="H61" s="141">
        <v>4</v>
      </c>
      <c r="I61" s="141"/>
      <c r="J61" s="141">
        <v>4</v>
      </c>
      <c r="K61" s="141">
        <v>4</v>
      </c>
      <c r="L61" s="141">
        <v>4</v>
      </c>
      <c r="M61" s="141"/>
      <c r="N61" s="141"/>
      <c r="O61" s="141"/>
      <c r="P61" s="141"/>
      <c r="Q61" s="141"/>
      <c r="R61" s="141"/>
      <c r="S61" s="141"/>
    </row>
    <row r="62" spans="1:19" x14ac:dyDescent="0.2">
      <c r="A62" s="132">
        <v>36740</v>
      </c>
      <c r="B62" s="141"/>
      <c r="C62" s="141">
        <v>10</v>
      </c>
      <c r="D62" s="141"/>
      <c r="E62" s="141">
        <v>8</v>
      </c>
      <c r="F62" s="141">
        <v>4</v>
      </c>
      <c r="G62" s="141"/>
      <c r="H62" s="141">
        <v>4</v>
      </c>
      <c r="I62" s="141"/>
      <c r="J62" s="141">
        <v>4</v>
      </c>
      <c r="K62" s="141">
        <v>4</v>
      </c>
      <c r="L62" s="141">
        <v>4</v>
      </c>
      <c r="M62" s="141"/>
      <c r="N62" s="141"/>
      <c r="O62" s="141"/>
      <c r="P62" s="141"/>
      <c r="Q62" s="141"/>
      <c r="R62" s="141"/>
      <c r="S62" s="141"/>
    </row>
    <row r="63" spans="1:19" x14ac:dyDescent="0.2">
      <c r="A63" s="132">
        <v>36741</v>
      </c>
      <c r="B63" s="141"/>
      <c r="C63" s="141">
        <v>10</v>
      </c>
      <c r="D63" s="141"/>
      <c r="E63" s="141">
        <v>8</v>
      </c>
      <c r="F63" s="141">
        <v>4</v>
      </c>
      <c r="G63" s="141"/>
      <c r="H63" s="141">
        <v>4</v>
      </c>
      <c r="I63" s="141"/>
      <c r="J63" s="141">
        <v>4</v>
      </c>
      <c r="K63" s="141">
        <v>4</v>
      </c>
      <c r="L63" s="141">
        <v>4</v>
      </c>
      <c r="M63" s="141"/>
      <c r="N63" s="141"/>
      <c r="O63" s="141"/>
      <c r="P63" s="141"/>
      <c r="Q63" s="141"/>
      <c r="R63" s="141"/>
      <c r="S63" s="141"/>
    </row>
    <row r="64" spans="1:19" x14ac:dyDescent="0.2">
      <c r="A64" s="132">
        <v>36742</v>
      </c>
      <c r="B64" s="141"/>
      <c r="C64" s="141"/>
      <c r="D64" s="141"/>
      <c r="E64" s="141">
        <v>8</v>
      </c>
      <c r="F64" s="141">
        <v>4</v>
      </c>
      <c r="G64" s="141"/>
      <c r="H64" s="141">
        <v>4</v>
      </c>
      <c r="I64" s="141"/>
      <c r="J64" s="141">
        <v>4</v>
      </c>
      <c r="K64" s="141">
        <v>4</v>
      </c>
      <c r="L64" s="141">
        <v>4</v>
      </c>
      <c r="M64" s="141"/>
      <c r="N64" s="141"/>
      <c r="O64" s="141"/>
      <c r="P64" s="141"/>
      <c r="Q64" s="141"/>
      <c r="R64" s="141"/>
      <c r="S64" s="141"/>
    </row>
    <row r="65" spans="1:19" x14ac:dyDescent="0.2">
      <c r="A65" s="132">
        <v>36743</v>
      </c>
      <c r="B65" s="141"/>
      <c r="C65" s="141"/>
      <c r="D65" s="141"/>
      <c r="E65" s="141"/>
      <c r="F65" s="141"/>
      <c r="G65" s="141"/>
      <c r="H65" s="141"/>
      <c r="I65" s="141"/>
      <c r="J65" s="141">
        <v>4</v>
      </c>
      <c r="K65" s="141">
        <v>4</v>
      </c>
      <c r="L65" s="141">
        <v>4</v>
      </c>
      <c r="M65" s="141"/>
      <c r="N65" s="141"/>
      <c r="O65" s="141"/>
      <c r="P65" s="141"/>
      <c r="Q65" s="141"/>
      <c r="R65" s="141"/>
      <c r="S65" s="141"/>
    </row>
    <row r="66" spans="1:19" x14ac:dyDescent="0.2">
      <c r="A66" s="132">
        <v>36744</v>
      </c>
      <c r="B66" s="141"/>
      <c r="C66" s="141"/>
      <c r="D66" s="141"/>
      <c r="E66" s="141"/>
      <c r="F66" s="141"/>
      <c r="G66" s="141"/>
      <c r="H66" s="141"/>
      <c r="I66" s="141"/>
      <c r="J66" s="141"/>
      <c r="K66" s="141"/>
      <c r="L66" s="141"/>
      <c r="M66" s="141"/>
      <c r="N66" s="141"/>
      <c r="O66" s="141"/>
      <c r="P66" s="141"/>
      <c r="Q66" s="141"/>
      <c r="R66" s="141"/>
      <c r="S66" s="141"/>
    </row>
    <row r="67" spans="1:19" x14ac:dyDescent="0.2">
      <c r="A67" s="132" t="s">
        <v>372</v>
      </c>
      <c r="B67" s="141">
        <f t="shared" ref="B67:M67" si="4">SUM(B60:B66)</f>
        <v>0</v>
      </c>
      <c r="C67" s="141">
        <f t="shared" si="4"/>
        <v>40</v>
      </c>
      <c r="D67" s="141">
        <f t="shared" si="4"/>
        <v>0</v>
      </c>
      <c r="E67" s="141">
        <f t="shared" si="4"/>
        <v>40</v>
      </c>
      <c r="F67" s="141">
        <f t="shared" si="4"/>
        <v>20</v>
      </c>
      <c r="G67" s="141">
        <f t="shared" si="4"/>
        <v>0</v>
      </c>
      <c r="H67" s="141">
        <f t="shared" si="4"/>
        <v>20</v>
      </c>
      <c r="I67" s="141">
        <f t="shared" si="4"/>
        <v>0</v>
      </c>
      <c r="J67" s="141">
        <f t="shared" si="4"/>
        <v>24</v>
      </c>
      <c r="K67" s="141">
        <f t="shared" si="4"/>
        <v>24</v>
      </c>
      <c r="L67" s="141">
        <f t="shared" si="4"/>
        <v>24</v>
      </c>
      <c r="M67" s="141">
        <f t="shared" si="4"/>
        <v>0</v>
      </c>
      <c r="N67" s="141"/>
      <c r="O67" s="141">
        <f>SUM(B67:N67)</f>
        <v>192</v>
      </c>
      <c r="P67" s="141"/>
      <c r="Q67" s="141">
        <f>+O67</f>
        <v>192</v>
      </c>
      <c r="R67" s="141"/>
      <c r="S67" s="141"/>
    </row>
    <row r="68" spans="1:19" x14ac:dyDescent="0.2">
      <c r="A68" s="132">
        <v>36745</v>
      </c>
      <c r="B68" s="141"/>
      <c r="C68" s="141"/>
      <c r="D68" s="141">
        <v>10</v>
      </c>
      <c r="E68" s="141">
        <v>10</v>
      </c>
      <c r="F68" s="141">
        <v>4</v>
      </c>
      <c r="G68" s="141"/>
      <c r="H68" s="141">
        <v>10</v>
      </c>
      <c r="I68" s="141"/>
      <c r="J68" s="141">
        <v>4</v>
      </c>
      <c r="K68" s="141">
        <v>2</v>
      </c>
      <c r="L68" s="141">
        <v>4</v>
      </c>
      <c r="M68" s="141"/>
      <c r="N68" s="141"/>
      <c r="O68" s="141"/>
      <c r="P68" s="141"/>
      <c r="Q68" s="141"/>
      <c r="R68" s="141"/>
      <c r="S68" s="141"/>
    </row>
    <row r="69" spans="1:19" x14ac:dyDescent="0.2">
      <c r="A69" s="132">
        <v>36746</v>
      </c>
      <c r="B69" s="141"/>
      <c r="C69" s="141"/>
      <c r="D69" s="141">
        <v>10</v>
      </c>
      <c r="E69" s="141">
        <v>10</v>
      </c>
      <c r="F69" s="141">
        <v>4</v>
      </c>
      <c r="G69" s="141"/>
      <c r="H69" s="141">
        <v>10</v>
      </c>
      <c r="I69" s="141"/>
      <c r="J69" s="141">
        <v>4</v>
      </c>
      <c r="K69" s="141">
        <v>2</v>
      </c>
      <c r="L69" s="141">
        <v>4</v>
      </c>
      <c r="M69" s="141"/>
      <c r="N69" s="141"/>
      <c r="O69" s="141"/>
      <c r="P69" s="141"/>
      <c r="Q69" s="141"/>
      <c r="R69" s="141"/>
      <c r="S69" s="141"/>
    </row>
    <row r="70" spans="1:19" x14ac:dyDescent="0.2">
      <c r="A70" s="132">
        <v>36747</v>
      </c>
      <c r="B70" s="141"/>
      <c r="C70" s="141"/>
      <c r="D70" s="141"/>
      <c r="E70" s="141">
        <v>10</v>
      </c>
      <c r="F70" s="141">
        <v>4</v>
      </c>
      <c r="G70" s="141"/>
      <c r="H70" s="141"/>
      <c r="I70" s="141"/>
      <c r="J70" s="141">
        <v>4</v>
      </c>
      <c r="K70" s="141">
        <v>2</v>
      </c>
      <c r="L70" s="141">
        <v>4</v>
      </c>
      <c r="M70" s="141"/>
      <c r="N70" s="141"/>
      <c r="O70" s="141"/>
      <c r="P70" s="141"/>
      <c r="Q70" s="141"/>
      <c r="R70" s="141"/>
      <c r="S70" s="141"/>
    </row>
    <row r="71" spans="1:19" x14ac:dyDescent="0.2">
      <c r="A71" s="132">
        <v>36748</v>
      </c>
      <c r="B71" s="141"/>
      <c r="C71" s="141"/>
      <c r="D71" s="141"/>
      <c r="E71" s="141">
        <v>10</v>
      </c>
      <c r="F71" s="141">
        <v>4</v>
      </c>
      <c r="G71" s="141"/>
      <c r="H71" s="141"/>
      <c r="I71" s="141"/>
      <c r="J71" s="141">
        <v>4</v>
      </c>
      <c r="K71" s="141">
        <v>2</v>
      </c>
      <c r="L71" s="141">
        <v>4</v>
      </c>
      <c r="M71" s="141"/>
      <c r="N71" s="141"/>
      <c r="O71" s="141"/>
      <c r="P71" s="141"/>
      <c r="Q71" s="141"/>
      <c r="R71" s="141"/>
      <c r="S71" s="141"/>
    </row>
    <row r="72" spans="1:19" x14ac:dyDescent="0.2">
      <c r="A72" s="132">
        <v>36749</v>
      </c>
      <c r="B72" s="141"/>
      <c r="C72" s="141"/>
      <c r="D72" s="141"/>
      <c r="E72" s="141">
        <v>10</v>
      </c>
      <c r="F72" s="141">
        <v>4</v>
      </c>
      <c r="G72" s="141"/>
      <c r="H72" s="141"/>
      <c r="I72" s="141"/>
      <c r="J72" s="141">
        <v>4</v>
      </c>
      <c r="K72" s="141">
        <v>4</v>
      </c>
      <c r="L72" s="141">
        <v>4</v>
      </c>
      <c r="M72" s="141"/>
      <c r="N72" s="141"/>
      <c r="O72" s="141"/>
      <c r="P72" s="141"/>
      <c r="Q72" s="141"/>
      <c r="R72" s="141"/>
      <c r="S72" s="141"/>
    </row>
    <row r="73" spans="1:19" x14ac:dyDescent="0.2">
      <c r="A73" s="132">
        <v>36750</v>
      </c>
      <c r="B73" s="141"/>
      <c r="C73" s="141"/>
      <c r="D73" s="141"/>
      <c r="E73" s="141"/>
      <c r="F73" s="141"/>
      <c r="G73" s="141"/>
      <c r="H73" s="141"/>
      <c r="I73" s="141"/>
      <c r="J73" s="141">
        <v>4</v>
      </c>
      <c r="K73" s="141"/>
      <c r="L73" s="141">
        <v>4</v>
      </c>
      <c r="M73" s="141"/>
      <c r="N73" s="141"/>
      <c r="O73" s="141"/>
      <c r="P73" s="141"/>
      <c r="Q73" s="141"/>
      <c r="R73" s="141"/>
      <c r="S73" s="141"/>
    </row>
    <row r="74" spans="1:19" x14ac:dyDescent="0.2">
      <c r="A74" s="132">
        <v>36751</v>
      </c>
      <c r="B74" s="141"/>
      <c r="C74" s="141"/>
      <c r="D74" s="141"/>
      <c r="E74" s="141"/>
      <c r="F74" s="141"/>
      <c r="G74" s="141"/>
      <c r="H74" s="141"/>
      <c r="I74" s="141"/>
      <c r="J74" s="141"/>
      <c r="K74" s="141"/>
      <c r="L74" s="141"/>
      <c r="M74" s="141"/>
      <c r="N74" s="141"/>
      <c r="O74" s="141"/>
      <c r="P74" s="141"/>
      <c r="Q74" s="141"/>
      <c r="R74" s="141"/>
      <c r="S74" s="141"/>
    </row>
    <row r="75" spans="1:19" x14ac:dyDescent="0.2">
      <c r="A75" s="132" t="s">
        <v>372</v>
      </c>
      <c r="B75" s="141">
        <f t="shared" ref="B75:M75" si="5">SUM(B68:B74)</f>
        <v>0</v>
      </c>
      <c r="C75" s="141">
        <f t="shared" si="5"/>
        <v>0</v>
      </c>
      <c r="D75" s="141">
        <f t="shared" si="5"/>
        <v>20</v>
      </c>
      <c r="E75" s="141">
        <f t="shared" si="5"/>
        <v>50</v>
      </c>
      <c r="F75" s="141">
        <f t="shared" si="5"/>
        <v>20</v>
      </c>
      <c r="G75" s="141">
        <f t="shared" si="5"/>
        <v>0</v>
      </c>
      <c r="H75" s="141">
        <f t="shared" si="5"/>
        <v>20</v>
      </c>
      <c r="I75" s="141">
        <f t="shared" si="5"/>
        <v>0</v>
      </c>
      <c r="J75" s="141">
        <f t="shared" si="5"/>
        <v>24</v>
      </c>
      <c r="K75" s="141">
        <f t="shared" si="5"/>
        <v>12</v>
      </c>
      <c r="L75" s="141">
        <f t="shared" si="5"/>
        <v>24</v>
      </c>
      <c r="M75" s="141">
        <f t="shared" si="5"/>
        <v>0</v>
      </c>
      <c r="N75" s="141"/>
      <c r="O75" s="141">
        <f>SUM(B75:N75)</f>
        <v>170</v>
      </c>
      <c r="P75" s="141"/>
      <c r="Q75" s="141">
        <f>+O75</f>
        <v>170</v>
      </c>
      <c r="R75" s="141"/>
      <c r="S75" s="141"/>
    </row>
    <row r="76" spans="1:19" x14ac:dyDescent="0.2">
      <c r="A76" s="132" t="s">
        <v>490</v>
      </c>
      <c r="B76" s="141"/>
      <c r="C76" s="141"/>
      <c r="D76" s="141"/>
      <c r="E76" s="141"/>
      <c r="F76" s="141"/>
      <c r="G76" s="141"/>
      <c r="H76" s="141"/>
      <c r="I76" s="141"/>
      <c r="J76" s="141"/>
      <c r="K76" s="141"/>
      <c r="L76" s="141"/>
      <c r="M76" s="141"/>
      <c r="N76" s="141">
        <v>170</v>
      </c>
      <c r="O76" s="141"/>
      <c r="P76" s="141"/>
      <c r="Q76" s="141"/>
      <c r="R76" s="141"/>
      <c r="S76" s="141"/>
    </row>
    <row r="77" spans="1:19" x14ac:dyDescent="0.2">
      <c r="A77" s="132" t="s">
        <v>489</v>
      </c>
      <c r="B77" s="141"/>
      <c r="C77" s="141"/>
      <c r="D77" s="141"/>
      <c r="E77" s="141"/>
      <c r="F77" s="141"/>
      <c r="G77" s="141"/>
      <c r="H77" s="141"/>
      <c r="I77" s="141"/>
      <c r="J77" s="141"/>
      <c r="K77" s="141"/>
      <c r="L77" s="141"/>
      <c r="M77" s="141"/>
      <c r="N77" s="141">
        <v>170</v>
      </c>
      <c r="O77" s="141"/>
      <c r="P77" s="141"/>
      <c r="Q77" s="141"/>
      <c r="R77" s="141"/>
      <c r="S77" s="141"/>
    </row>
    <row r="78" spans="1:19" x14ac:dyDescent="0.2">
      <c r="A78" s="132" t="s">
        <v>491</v>
      </c>
      <c r="B78" s="141"/>
      <c r="C78" s="141"/>
      <c r="D78" s="141"/>
      <c r="E78" s="141"/>
      <c r="F78" s="141"/>
      <c r="G78" s="141"/>
      <c r="H78" s="141"/>
      <c r="I78" s="141"/>
      <c r="J78" s="141"/>
      <c r="K78" s="141"/>
      <c r="L78" s="141"/>
      <c r="M78" s="141"/>
      <c r="N78" s="141">
        <v>170</v>
      </c>
      <c r="O78" s="141"/>
      <c r="P78" s="141"/>
      <c r="Q78" s="141"/>
      <c r="R78" s="141"/>
      <c r="S78" s="141"/>
    </row>
    <row r="79" spans="1:19" x14ac:dyDescent="0.2">
      <c r="B79" s="141"/>
      <c r="C79" s="141"/>
      <c r="D79" s="141"/>
      <c r="E79" s="141"/>
      <c r="F79" s="141"/>
      <c r="G79" s="141"/>
      <c r="H79" s="141"/>
      <c r="I79" s="141"/>
      <c r="J79" s="141"/>
      <c r="K79" s="141"/>
      <c r="L79" s="141"/>
      <c r="M79" s="141"/>
      <c r="N79" s="141"/>
      <c r="O79" s="141"/>
      <c r="P79" s="141"/>
      <c r="Q79" s="141"/>
      <c r="R79" s="141"/>
      <c r="S79" s="141"/>
    </row>
    <row r="80" spans="1:19" x14ac:dyDescent="0.2">
      <c r="B80" s="141"/>
      <c r="C80" s="141"/>
      <c r="D80" s="141"/>
      <c r="E80" s="141"/>
      <c r="F80" s="141"/>
      <c r="G80" s="141"/>
      <c r="H80" s="141"/>
      <c r="I80" s="141"/>
      <c r="J80" s="141"/>
      <c r="K80" s="141"/>
      <c r="L80" s="141"/>
      <c r="M80" s="141"/>
      <c r="N80" s="141"/>
      <c r="O80" s="141"/>
      <c r="P80" s="141"/>
      <c r="Q80" s="141"/>
      <c r="R80" s="141"/>
      <c r="S80" s="141"/>
    </row>
    <row r="81" spans="1:19" x14ac:dyDescent="0.2">
      <c r="B81" s="141"/>
      <c r="C81" s="141"/>
      <c r="D81" s="141"/>
      <c r="E81" s="141"/>
      <c r="F81" s="141"/>
      <c r="G81" s="141"/>
      <c r="H81" s="141"/>
      <c r="I81" s="141"/>
      <c r="J81" s="141"/>
      <c r="K81" s="141"/>
      <c r="L81" s="141"/>
      <c r="M81" s="141"/>
      <c r="N81" s="141"/>
      <c r="O81" s="141"/>
      <c r="P81" s="141"/>
      <c r="Q81" s="141"/>
      <c r="R81" s="141"/>
      <c r="S81" s="141"/>
    </row>
    <row r="82" spans="1:19" x14ac:dyDescent="0.2">
      <c r="B82" s="141"/>
      <c r="C82" s="141"/>
      <c r="D82" s="141"/>
      <c r="E82" s="141"/>
      <c r="F82" s="141"/>
      <c r="G82" s="141"/>
      <c r="H82" s="141"/>
      <c r="I82" s="141"/>
      <c r="J82" s="141"/>
      <c r="K82" s="141"/>
      <c r="L82" s="141"/>
      <c r="M82" s="141"/>
      <c r="N82" s="141"/>
      <c r="O82" s="141"/>
      <c r="P82" s="141"/>
      <c r="Q82" s="141"/>
      <c r="R82" s="141"/>
      <c r="S82" s="141"/>
    </row>
    <row r="83" spans="1:19" x14ac:dyDescent="0.2">
      <c r="A83" s="132" t="s">
        <v>372</v>
      </c>
      <c r="B83" s="141">
        <f t="shared" ref="B83:N83" si="6">SUM(B76:B82)</f>
        <v>0</v>
      </c>
      <c r="C83" s="141">
        <f t="shared" si="6"/>
        <v>0</v>
      </c>
      <c r="D83" s="141">
        <f t="shared" si="6"/>
        <v>0</v>
      </c>
      <c r="E83" s="141">
        <f t="shared" si="6"/>
        <v>0</v>
      </c>
      <c r="F83" s="141">
        <f t="shared" si="6"/>
        <v>0</v>
      </c>
      <c r="G83" s="141">
        <f t="shared" si="6"/>
        <v>0</v>
      </c>
      <c r="H83" s="141">
        <f t="shared" si="6"/>
        <v>0</v>
      </c>
      <c r="I83" s="141">
        <f t="shared" si="6"/>
        <v>0</v>
      </c>
      <c r="J83" s="141">
        <f t="shared" si="6"/>
        <v>0</v>
      </c>
      <c r="K83" s="141">
        <f t="shared" si="6"/>
        <v>0</v>
      </c>
      <c r="L83" s="141">
        <f t="shared" si="6"/>
        <v>0</v>
      </c>
      <c r="M83" s="141">
        <f t="shared" si="6"/>
        <v>0</v>
      </c>
      <c r="N83" s="141">
        <f t="shared" si="6"/>
        <v>510</v>
      </c>
      <c r="O83" s="141">
        <f>SUM(B83:N83)</f>
        <v>510</v>
      </c>
      <c r="P83" s="141"/>
      <c r="Q83" s="184">
        <f>+O83</f>
        <v>510</v>
      </c>
      <c r="R83" s="141"/>
      <c r="S83" s="141"/>
    </row>
    <row r="84" spans="1:19" x14ac:dyDescent="0.2">
      <c r="B84" s="141"/>
      <c r="C84" s="141"/>
      <c r="D84" s="141"/>
      <c r="E84" s="141"/>
      <c r="F84" s="141"/>
      <c r="G84" s="141"/>
      <c r="H84" s="141"/>
      <c r="I84" s="141"/>
      <c r="J84" s="141"/>
      <c r="K84" s="141"/>
      <c r="L84" s="141"/>
      <c r="M84" s="141"/>
      <c r="N84" s="141"/>
      <c r="O84" s="141">
        <f>SUM(O5:O83)</f>
        <v>2183</v>
      </c>
      <c r="P84" s="141"/>
      <c r="Q84" s="141">
        <f>SUM(Q5:Q83)</f>
        <v>1082</v>
      </c>
      <c r="R84" s="141"/>
      <c r="S84" s="141"/>
    </row>
    <row r="85" spans="1:19" x14ac:dyDescent="0.2">
      <c r="A85" s="132" t="s">
        <v>431</v>
      </c>
      <c r="B85" s="141">
        <f>SUM(B83,B75,B67,B59,B51,B43,B35,B27, B19, B11)</f>
        <v>130</v>
      </c>
      <c r="C85" s="141">
        <f t="shared" ref="C85:N85" si="7">SUM(C83,C75,C67,C59,C51,C43,C35,C27, C19, C11)</f>
        <v>198</v>
      </c>
      <c r="D85" s="141">
        <f t="shared" si="7"/>
        <v>158</v>
      </c>
      <c r="E85" s="141">
        <f t="shared" si="7"/>
        <v>400</v>
      </c>
      <c r="F85" s="141">
        <f t="shared" si="7"/>
        <v>244</v>
      </c>
      <c r="G85" s="141">
        <f t="shared" si="7"/>
        <v>32</v>
      </c>
      <c r="H85" s="141">
        <f t="shared" si="7"/>
        <v>100</v>
      </c>
      <c r="I85" s="141">
        <f t="shared" si="7"/>
        <v>77</v>
      </c>
      <c r="J85" s="141">
        <f t="shared" si="7"/>
        <v>112</v>
      </c>
      <c r="K85" s="141">
        <f t="shared" si="7"/>
        <v>84</v>
      </c>
      <c r="L85" s="141">
        <f t="shared" si="7"/>
        <v>98</v>
      </c>
      <c r="M85" s="141">
        <f t="shared" si="7"/>
        <v>40</v>
      </c>
      <c r="N85" s="141">
        <f t="shared" si="7"/>
        <v>510</v>
      </c>
      <c r="O85" s="141">
        <f>SUM(B85:N85)</f>
        <v>2183</v>
      </c>
      <c r="P85" s="479">
        <f>+P11+P11+P16+P42</f>
        <v>344.5</v>
      </c>
      <c r="Q85" s="479"/>
      <c r="R85" s="141"/>
      <c r="S85" s="141"/>
    </row>
    <row r="86" spans="1:19" x14ac:dyDescent="0.2">
      <c r="B86" s="141"/>
      <c r="C86" s="141"/>
      <c r="D86" s="141"/>
      <c r="E86" s="141"/>
      <c r="F86" s="141"/>
      <c r="G86" s="141"/>
      <c r="H86" s="141"/>
      <c r="I86" s="141"/>
      <c r="J86" s="141"/>
      <c r="K86" s="141"/>
      <c r="L86" s="141"/>
      <c r="M86" s="141"/>
      <c r="N86" s="141"/>
      <c r="O86" s="141"/>
      <c r="P86" s="141"/>
      <c r="Q86" s="141"/>
      <c r="R86" s="141"/>
      <c r="S86" s="141"/>
    </row>
    <row r="87" spans="1:19" x14ac:dyDescent="0.2">
      <c r="B87" s="141"/>
      <c r="C87" s="141"/>
      <c r="D87" s="141"/>
      <c r="E87" s="141"/>
      <c r="F87" s="141"/>
      <c r="G87" s="141"/>
      <c r="H87" s="141"/>
      <c r="I87" s="141"/>
      <c r="J87" s="141"/>
      <c r="K87" s="141"/>
      <c r="L87" s="141"/>
      <c r="M87" s="141"/>
      <c r="N87" s="141"/>
      <c r="O87" s="141"/>
      <c r="P87" s="141"/>
      <c r="Q87" s="141"/>
      <c r="R87" s="141"/>
      <c r="S87" s="141"/>
    </row>
    <row r="88" spans="1:19" x14ac:dyDescent="0.2">
      <c r="B88" s="141"/>
      <c r="C88" s="141"/>
      <c r="D88" s="141"/>
      <c r="E88" s="141"/>
      <c r="F88" s="141"/>
      <c r="G88" s="141"/>
      <c r="H88" s="141"/>
      <c r="I88" s="141"/>
      <c r="J88" s="141"/>
      <c r="K88" s="141"/>
      <c r="L88" s="141"/>
      <c r="M88" s="141"/>
      <c r="N88" s="141"/>
      <c r="O88" s="141"/>
      <c r="P88" s="141"/>
      <c r="Q88" s="141"/>
      <c r="R88" s="141"/>
      <c r="S88" s="141"/>
    </row>
    <row r="89" spans="1:19" x14ac:dyDescent="0.2">
      <c r="B89" s="141"/>
      <c r="C89" s="141"/>
      <c r="D89" s="141"/>
      <c r="E89" s="141"/>
      <c r="F89" s="141"/>
      <c r="G89" s="141"/>
      <c r="H89" s="141"/>
      <c r="I89" s="141"/>
      <c r="J89" s="141"/>
      <c r="K89" s="141"/>
      <c r="L89" s="141"/>
      <c r="M89" s="141"/>
      <c r="N89" s="141"/>
      <c r="O89" s="141"/>
      <c r="P89" s="141"/>
      <c r="Q89" s="141"/>
      <c r="R89" s="141"/>
      <c r="S89" s="141"/>
    </row>
    <row r="90" spans="1:19" x14ac:dyDescent="0.2">
      <c r="B90" s="141"/>
      <c r="C90" s="141"/>
      <c r="D90" s="141"/>
      <c r="E90" s="141"/>
      <c r="F90" s="141"/>
      <c r="G90" s="141"/>
      <c r="H90" s="141"/>
      <c r="I90" s="141"/>
      <c r="J90" s="141"/>
      <c r="K90" s="141"/>
      <c r="L90" s="141"/>
      <c r="M90" s="141"/>
      <c r="N90" s="141"/>
      <c r="O90" s="141"/>
      <c r="P90" s="141"/>
      <c r="Q90" s="141"/>
      <c r="R90" s="141"/>
      <c r="S90" s="141"/>
    </row>
    <row r="91" spans="1:19" x14ac:dyDescent="0.2">
      <c r="B91" s="141"/>
      <c r="C91" s="141"/>
      <c r="D91" s="141"/>
      <c r="E91" s="141"/>
      <c r="F91" s="141"/>
      <c r="G91" s="141"/>
      <c r="H91" s="141"/>
      <c r="I91" s="141"/>
      <c r="J91" s="141"/>
      <c r="K91" s="141"/>
      <c r="L91" s="141"/>
      <c r="M91" s="141"/>
      <c r="N91" s="141"/>
      <c r="O91" s="141"/>
      <c r="P91" s="141"/>
      <c r="Q91" s="141"/>
      <c r="R91" s="141"/>
      <c r="S91" s="141"/>
    </row>
    <row r="92" spans="1:19" x14ac:dyDescent="0.2">
      <c r="B92" s="141"/>
      <c r="C92" s="141"/>
      <c r="D92" s="141"/>
      <c r="E92" s="141"/>
      <c r="F92" s="141"/>
      <c r="G92" s="141"/>
      <c r="H92" s="141"/>
      <c r="I92" s="141"/>
      <c r="J92" s="141"/>
      <c r="K92" s="141"/>
      <c r="L92" s="141"/>
      <c r="M92" s="141"/>
      <c r="N92" s="141"/>
      <c r="O92" s="141"/>
      <c r="P92" s="141"/>
      <c r="Q92" s="141"/>
      <c r="R92" s="141"/>
      <c r="S92" s="141"/>
    </row>
    <row r="93" spans="1:19" x14ac:dyDescent="0.2">
      <c r="B93" s="141"/>
      <c r="C93" s="141"/>
      <c r="D93" s="141"/>
      <c r="E93" s="141"/>
      <c r="F93" s="141"/>
      <c r="G93" s="141"/>
      <c r="H93" s="141"/>
      <c r="I93" s="141"/>
      <c r="J93" s="141"/>
      <c r="K93" s="141"/>
      <c r="L93" s="141"/>
      <c r="M93" s="141"/>
      <c r="N93" s="141"/>
      <c r="O93" s="141"/>
      <c r="P93" s="141"/>
      <c r="Q93" s="141"/>
      <c r="R93" s="141"/>
      <c r="S93" s="141"/>
    </row>
    <row r="94" spans="1:19" x14ac:dyDescent="0.2">
      <c r="B94" s="141"/>
      <c r="C94" s="141"/>
      <c r="D94" s="141"/>
      <c r="E94" s="141"/>
      <c r="F94" s="141"/>
      <c r="G94" s="141"/>
      <c r="H94" s="141"/>
      <c r="I94" s="141"/>
      <c r="J94" s="141"/>
      <c r="K94" s="141"/>
      <c r="L94" s="141"/>
      <c r="M94" s="141"/>
      <c r="N94" s="141"/>
      <c r="O94" s="141"/>
      <c r="P94" s="141"/>
      <c r="Q94" s="141"/>
      <c r="R94" s="141"/>
      <c r="S94" s="141"/>
    </row>
    <row r="95" spans="1:19" x14ac:dyDescent="0.2">
      <c r="B95" s="141"/>
      <c r="C95" s="141"/>
      <c r="D95" s="141"/>
      <c r="E95" s="141"/>
      <c r="F95" s="141"/>
      <c r="G95" s="141"/>
      <c r="H95" s="141"/>
      <c r="I95" s="141"/>
      <c r="J95" s="141"/>
      <c r="K95" s="141"/>
      <c r="L95" s="141"/>
      <c r="M95" s="141"/>
      <c r="N95" s="141"/>
      <c r="O95" s="141"/>
      <c r="P95" s="141"/>
      <c r="Q95" s="141"/>
      <c r="R95" s="141"/>
      <c r="S95" s="141"/>
    </row>
    <row r="96" spans="1:19" x14ac:dyDescent="0.2">
      <c r="B96" s="141"/>
      <c r="C96" s="141"/>
      <c r="D96" s="141"/>
      <c r="E96" s="141"/>
      <c r="F96" s="141"/>
      <c r="G96" s="141"/>
      <c r="H96" s="141"/>
      <c r="I96" s="141"/>
      <c r="J96" s="141"/>
      <c r="K96" s="141"/>
      <c r="L96" s="141"/>
      <c r="M96" s="141"/>
      <c r="N96" s="141"/>
      <c r="O96" s="141"/>
      <c r="P96" s="141"/>
      <c r="Q96" s="141"/>
      <c r="R96" s="141"/>
      <c r="S96" s="141"/>
    </row>
    <row r="97" spans="2:19" x14ac:dyDescent="0.2">
      <c r="B97" s="141"/>
      <c r="C97" s="141"/>
      <c r="D97" s="141"/>
      <c r="E97" s="141"/>
      <c r="F97" s="141"/>
      <c r="G97" s="141"/>
      <c r="H97" s="141"/>
      <c r="I97" s="141"/>
      <c r="J97" s="141"/>
      <c r="K97" s="141"/>
      <c r="L97" s="141"/>
      <c r="M97" s="141"/>
      <c r="N97" s="141"/>
      <c r="O97" s="141"/>
      <c r="P97" s="141"/>
      <c r="Q97" s="141"/>
      <c r="R97" s="141"/>
      <c r="S97" s="141"/>
    </row>
    <row r="98" spans="2:19" x14ac:dyDescent="0.2">
      <c r="B98" s="141"/>
      <c r="C98" s="141"/>
      <c r="D98" s="141"/>
      <c r="E98" s="141"/>
      <c r="F98" s="141"/>
      <c r="G98" s="141"/>
      <c r="H98" s="141"/>
      <c r="I98" s="141"/>
      <c r="J98" s="141"/>
      <c r="K98" s="141"/>
      <c r="L98" s="141"/>
      <c r="M98" s="141"/>
      <c r="N98" s="141"/>
      <c r="O98" s="141"/>
      <c r="P98" s="141"/>
      <c r="Q98" s="141"/>
      <c r="R98" s="141"/>
      <c r="S98" s="141"/>
    </row>
    <row r="99" spans="2:19" x14ac:dyDescent="0.2">
      <c r="B99" s="141"/>
      <c r="C99" s="141"/>
      <c r="D99" s="141"/>
      <c r="E99" s="141"/>
      <c r="F99" s="141"/>
      <c r="G99" s="141"/>
      <c r="H99" s="141"/>
      <c r="I99" s="141"/>
      <c r="J99" s="141"/>
      <c r="K99" s="141"/>
      <c r="L99" s="141"/>
      <c r="M99" s="141"/>
      <c r="N99" s="141"/>
      <c r="O99" s="141"/>
      <c r="P99" s="141"/>
      <c r="Q99" s="141"/>
      <c r="R99" s="141"/>
      <c r="S99" s="141"/>
    </row>
    <row r="100" spans="2:19" x14ac:dyDescent="0.2">
      <c r="B100" s="141"/>
      <c r="C100" s="141"/>
      <c r="D100" s="141"/>
      <c r="E100" s="141"/>
      <c r="F100" s="141"/>
      <c r="G100" s="141"/>
      <c r="H100" s="141"/>
      <c r="I100" s="141"/>
      <c r="J100" s="141"/>
      <c r="K100" s="141"/>
      <c r="L100" s="141"/>
      <c r="M100" s="141"/>
      <c r="N100" s="141"/>
      <c r="O100" s="141"/>
      <c r="P100" s="141"/>
      <c r="Q100" s="141"/>
      <c r="R100" s="141"/>
      <c r="S100" s="141"/>
    </row>
    <row r="101" spans="2:19" x14ac:dyDescent="0.2">
      <c r="B101" s="141"/>
      <c r="C101" s="141"/>
      <c r="D101" s="141"/>
      <c r="E101" s="141"/>
      <c r="F101" s="141"/>
      <c r="G101" s="141"/>
      <c r="H101" s="141"/>
      <c r="I101" s="141"/>
      <c r="J101" s="141"/>
      <c r="K101" s="141"/>
      <c r="L101" s="141"/>
      <c r="M101" s="141"/>
      <c r="N101" s="141"/>
      <c r="O101" s="141"/>
      <c r="P101" s="141"/>
      <c r="Q101" s="141"/>
      <c r="R101" s="141"/>
      <c r="S101" s="141"/>
    </row>
    <row r="102" spans="2:19" x14ac:dyDescent="0.2">
      <c r="B102" s="141"/>
      <c r="C102" s="141"/>
      <c r="D102" s="141"/>
      <c r="E102" s="141"/>
      <c r="F102" s="141"/>
      <c r="G102" s="141"/>
      <c r="H102" s="141"/>
      <c r="I102" s="141"/>
      <c r="J102" s="141"/>
      <c r="K102" s="141"/>
      <c r="L102" s="141"/>
      <c r="M102" s="141"/>
      <c r="N102" s="141"/>
      <c r="O102" s="141"/>
      <c r="P102" s="141"/>
      <c r="Q102" s="141"/>
      <c r="R102" s="141"/>
      <c r="S102" s="141"/>
    </row>
    <row r="103" spans="2:19" x14ac:dyDescent="0.2">
      <c r="B103" s="141"/>
      <c r="C103" s="141"/>
      <c r="D103" s="141"/>
      <c r="E103" s="141"/>
      <c r="F103" s="141"/>
      <c r="G103" s="141"/>
      <c r="H103" s="141"/>
      <c r="I103" s="141"/>
      <c r="J103" s="141"/>
      <c r="K103" s="141"/>
      <c r="L103" s="141"/>
      <c r="M103" s="141"/>
      <c r="N103" s="141"/>
      <c r="O103" s="141"/>
      <c r="P103" s="141"/>
      <c r="Q103" s="141"/>
      <c r="R103" s="141"/>
      <c r="S103" s="141"/>
    </row>
    <row r="104" spans="2:19" x14ac:dyDescent="0.2">
      <c r="B104" s="141"/>
      <c r="C104" s="141"/>
      <c r="D104" s="141"/>
      <c r="E104" s="141"/>
      <c r="F104" s="141"/>
      <c r="G104" s="141"/>
      <c r="H104" s="141"/>
      <c r="I104" s="141"/>
      <c r="J104" s="141"/>
      <c r="K104" s="141"/>
      <c r="L104" s="141"/>
      <c r="M104" s="141"/>
      <c r="N104" s="141"/>
      <c r="O104" s="141"/>
      <c r="P104" s="141"/>
      <c r="Q104" s="141"/>
      <c r="R104" s="141"/>
      <c r="S104" s="141"/>
    </row>
    <row r="105" spans="2:19" x14ac:dyDescent="0.2">
      <c r="B105" s="141"/>
      <c r="C105" s="141"/>
      <c r="D105" s="141"/>
      <c r="E105" s="141"/>
      <c r="F105" s="141"/>
      <c r="G105" s="141"/>
      <c r="H105" s="141"/>
      <c r="I105" s="141"/>
      <c r="J105" s="141"/>
      <c r="K105" s="141"/>
      <c r="L105" s="141"/>
      <c r="M105" s="141"/>
      <c r="N105" s="141"/>
      <c r="O105" s="141"/>
      <c r="P105" s="141"/>
      <c r="Q105" s="141"/>
      <c r="R105" s="141"/>
      <c r="S105" s="141"/>
    </row>
    <row r="106" spans="2:19" x14ac:dyDescent="0.2">
      <c r="B106" s="141"/>
      <c r="C106" s="141"/>
      <c r="D106" s="141"/>
      <c r="E106" s="141"/>
      <c r="F106" s="141"/>
      <c r="G106" s="141"/>
      <c r="H106" s="141"/>
      <c r="I106" s="141"/>
      <c r="J106" s="141"/>
      <c r="K106" s="141"/>
      <c r="L106" s="141"/>
      <c r="M106" s="141"/>
      <c r="N106" s="141"/>
      <c r="O106" s="141"/>
      <c r="P106" s="141"/>
      <c r="Q106" s="141"/>
      <c r="R106" s="141"/>
      <c r="S106" s="141"/>
    </row>
    <row r="107" spans="2:19" x14ac:dyDescent="0.2">
      <c r="B107" s="141"/>
      <c r="C107" s="141"/>
      <c r="D107" s="141"/>
      <c r="E107" s="141"/>
      <c r="F107" s="141"/>
      <c r="G107" s="141"/>
      <c r="H107" s="141"/>
      <c r="I107" s="141"/>
      <c r="J107" s="141"/>
      <c r="K107" s="141"/>
      <c r="L107" s="141"/>
      <c r="M107" s="141"/>
      <c r="N107" s="141"/>
      <c r="O107" s="141"/>
      <c r="P107" s="141"/>
      <c r="Q107" s="141"/>
      <c r="R107" s="141"/>
      <c r="S107" s="141"/>
    </row>
    <row r="108" spans="2:19" x14ac:dyDescent="0.2">
      <c r="B108" s="141"/>
      <c r="C108" s="141"/>
      <c r="D108" s="141"/>
      <c r="E108" s="141"/>
      <c r="F108" s="141"/>
      <c r="G108" s="141"/>
      <c r="H108" s="141"/>
      <c r="I108" s="141"/>
      <c r="J108" s="141"/>
      <c r="K108" s="141"/>
      <c r="L108" s="141"/>
      <c r="M108" s="141"/>
      <c r="N108" s="141"/>
      <c r="O108" s="141"/>
      <c r="P108" s="141"/>
      <c r="Q108" s="141"/>
      <c r="R108" s="141"/>
      <c r="S108" s="141"/>
    </row>
    <row r="109" spans="2:19" x14ac:dyDescent="0.2">
      <c r="B109" s="141"/>
      <c r="C109" s="141"/>
      <c r="D109" s="141"/>
      <c r="E109" s="141"/>
      <c r="F109" s="141"/>
      <c r="G109" s="141"/>
      <c r="H109" s="141"/>
      <c r="I109" s="141"/>
      <c r="J109" s="141"/>
      <c r="K109" s="141"/>
      <c r="L109" s="141"/>
      <c r="M109" s="141"/>
      <c r="N109" s="141"/>
      <c r="O109" s="141"/>
      <c r="P109" s="141"/>
      <c r="Q109" s="141"/>
      <c r="R109" s="141"/>
      <c r="S109" s="141"/>
    </row>
    <row r="110" spans="2:19" x14ac:dyDescent="0.2">
      <c r="B110" s="141"/>
      <c r="C110" s="141"/>
      <c r="D110" s="141"/>
      <c r="E110" s="141"/>
      <c r="F110" s="141"/>
      <c r="G110" s="141"/>
      <c r="H110" s="141"/>
      <c r="I110" s="141"/>
      <c r="J110" s="141"/>
      <c r="K110" s="141"/>
      <c r="L110" s="141"/>
      <c r="M110" s="141"/>
      <c r="N110" s="141"/>
      <c r="O110" s="141"/>
      <c r="P110" s="141"/>
      <c r="Q110" s="141"/>
      <c r="R110" s="141"/>
      <c r="S110" s="141"/>
    </row>
    <row r="111" spans="2:19" x14ac:dyDescent="0.2">
      <c r="B111" s="141"/>
      <c r="C111" s="141"/>
      <c r="D111" s="141"/>
      <c r="E111" s="141"/>
      <c r="F111" s="141"/>
      <c r="G111" s="141"/>
      <c r="H111" s="141"/>
      <c r="I111" s="141"/>
      <c r="J111" s="141"/>
      <c r="K111" s="141"/>
      <c r="L111" s="141"/>
      <c r="M111" s="141"/>
      <c r="N111" s="141"/>
      <c r="O111" s="141"/>
      <c r="P111" s="141"/>
      <c r="Q111" s="141"/>
      <c r="R111" s="141"/>
      <c r="S111" s="141"/>
    </row>
    <row r="112" spans="2:19" x14ac:dyDescent="0.2">
      <c r="B112" s="141"/>
      <c r="C112" s="141"/>
      <c r="D112" s="141"/>
      <c r="E112" s="141"/>
      <c r="F112" s="141"/>
      <c r="G112" s="141"/>
      <c r="H112" s="141"/>
      <c r="I112" s="141"/>
      <c r="J112" s="141"/>
      <c r="K112" s="141"/>
      <c r="L112" s="141"/>
      <c r="M112" s="141"/>
      <c r="N112" s="141"/>
      <c r="O112" s="141"/>
      <c r="P112" s="141"/>
      <c r="Q112" s="141"/>
      <c r="R112" s="141"/>
      <c r="S112" s="141"/>
    </row>
    <row r="113" spans="2:19" x14ac:dyDescent="0.2">
      <c r="B113" s="141"/>
      <c r="C113" s="141"/>
      <c r="D113" s="141"/>
      <c r="E113" s="141"/>
      <c r="F113" s="141"/>
      <c r="G113" s="141"/>
      <c r="H113" s="141"/>
      <c r="I113" s="141"/>
      <c r="J113" s="141"/>
      <c r="K113" s="141"/>
      <c r="L113" s="141"/>
      <c r="M113" s="141"/>
      <c r="N113" s="141"/>
      <c r="O113" s="141"/>
      <c r="P113" s="141"/>
      <c r="Q113" s="141"/>
      <c r="R113" s="141"/>
      <c r="S113" s="141"/>
    </row>
    <row r="114" spans="2:19" x14ac:dyDescent="0.2">
      <c r="B114" s="141"/>
      <c r="C114" s="141"/>
      <c r="D114" s="141"/>
      <c r="E114" s="141"/>
      <c r="F114" s="141"/>
      <c r="G114" s="141"/>
      <c r="H114" s="141"/>
      <c r="I114" s="141"/>
      <c r="J114" s="141"/>
      <c r="K114" s="141"/>
      <c r="L114" s="141"/>
      <c r="M114" s="141"/>
      <c r="N114" s="141"/>
      <c r="O114" s="141"/>
      <c r="P114" s="141"/>
      <c r="Q114" s="141"/>
      <c r="R114" s="141"/>
      <c r="S114" s="141"/>
    </row>
    <row r="115" spans="2:19" x14ac:dyDescent="0.2">
      <c r="B115" s="141"/>
      <c r="C115" s="141"/>
      <c r="D115" s="141"/>
      <c r="E115" s="141"/>
      <c r="F115" s="141"/>
      <c r="G115" s="141"/>
      <c r="H115" s="141"/>
      <c r="I115" s="141"/>
      <c r="J115" s="141"/>
      <c r="K115" s="141"/>
      <c r="L115" s="141"/>
      <c r="M115" s="141"/>
      <c r="N115" s="141"/>
      <c r="O115" s="141"/>
      <c r="P115" s="141"/>
      <c r="Q115" s="141"/>
      <c r="R115" s="141"/>
      <c r="S115" s="141"/>
    </row>
    <row r="116" spans="2:19" x14ac:dyDescent="0.2">
      <c r="B116" s="141"/>
      <c r="C116" s="141"/>
      <c r="D116" s="141"/>
      <c r="E116" s="141"/>
      <c r="F116" s="141"/>
      <c r="G116" s="141"/>
      <c r="H116" s="141"/>
      <c r="I116" s="141"/>
      <c r="J116" s="141"/>
      <c r="K116" s="141"/>
      <c r="L116" s="141"/>
      <c r="M116" s="141"/>
      <c r="N116" s="141"/>
      <c r="O116" s="141"/>
      <c r="P116" s="141"/>
      <c r="Q116" s="141"/>
      <c r="R116" s="141"/>
      <c r="S116" s="141"/>
    </row>
    <row r="117" spans="2:19" x14ac:dyDescent="0.2">
      <c r="B117" s="141"/>
      <c r="C117" s="141"/>
      <c r="D117" s="141"/>
      <c r="E117" s="141"/>
      <c r="F117" s="141"/>
      <c r="G117" s="141"/>
      <c r="H117" s="141"/>
      <c r="I117" s="141"/>
      <c r="J117" s="141"/>
      <c r="K117" s="141"/>
      <c r="L117" s="141"/>
      <c r="M117" s="141"/>
      <c r="N117" s="141"/>
      <c r="O117" s="141"/>
      <c r="P117" s="141"/>
      <c r="Q117" s="141"/>
      <c r="R117" s="141"/>
      <c r="S117" s="141"/>
    </row>
    <row r="118" spans="2:19" x14ac:dyDescent="0.2">
      <c r="B118" s="141"/>
      <c r="C118" s="141"/>
      <c r="D118" s="141"/>
      <c r="E118" s="141"/>
      <c r="F118" s="141"/>
      <c r="G118" s="141"/>
      <c r="H118" s="141"/>
      <c r="I118" s="141"/>
      <c r="J118" s="141"/>
      <c r="K118" s="141"/>
      <c r="L118" s="141"/>
      <c r="M118" s="141"/>
      <c r="N118" s="141"/>
      <c r="O118" s="141"/>
      <c r="P118" s="141"/>
      <c r="Q118" s="141"/>
      <c r="R118" s="141"/>
      <c r="S118" s="141"/>
    </row>
    <row r="119" spans="2:19" x14ac:dyDescent="0.2">
      <c r="B119" s="141"/>
      <c r="C119" s="141"/>
      <c r="D119" s="141"/>
      <c r="E119" s="141"/>
      <c r="F119" s="141"/>
      <c r="G119" s="141"/>
      <c r="H119" s="141"/>
      <c r="I119" s="141"/>
      <c r="J119" s="141"/>
      <c r="K119" s="141"/>
      <c r="L119" s="141"/>
      <c r="M119" s="141"/>
      <c r="N119" s="141"/>
      <c r="O119" s="141"/>
      <c r="P119" s="141"/>
      <c r="Q119" s="141"/>
      <c r="R119" s="141"/>
      <c r="S119" s="141"/>
    </row>
    <row r="120" spans="2:19" x14ac:dyDescent="0.2">
      <c r="B120" s="141"/>
      <c r="C120" s="141"/>
      <c r="D120" s="141"/>
      <c r="E120" s="141"/>
      <c r="F120" s="141"/>
      <c r="G120" s="141"/>
      <c r="H120" s="141"/>
      <c r="I120" s="141"/>
      <c r="J120" s="141"/>
      <c r="K120" s="141"/>
      <c r="L120" s="141"/>
      <c r="M120" s="141"/>
      <c r="N120" s="141"/>
      <c r="O120" s="141"/>
      <c r="P120" s="141"/>
      <c r="Q120" s="141"/>
      <c r="R120" s="141"/>
      <c r="S120" s="141"/>
    </row>
    <row r="121" spans="2:19" x14ac:dyDescent="0.2">
      <c r="B121" s="141"/>
      <c r="C121" s="141"/>
      <c r="D121" s="141"/>
      <c r="E121" s="141"/>
      <c r="F121" s="141"/>
      <c r="G121" s="141"/>
      <c r="H121" s="141"/>
      <c r="I121" s="141"/>
      <c r="J121" s="141"/>
      <c r="K121" s="141"/>
      <c r="L121" s="141"/>
      <c r="M121" s="141"/>
      <c r="N121" s="141"/>
      <c r="O121" s="141"/>
      <c r="P121" s="141"/>
      <c r="Q121" s="141"/>
      <c r="R121" s="141"/>
      <c r="S121" s="141"/>
    </row>
    <row r="122" spans="2:19" x14ac:dyDescent="0.2">
      <c r="B122" s="141"/>
      <c r="C122" s="141"/>
      <c r="D122" s="141"/>
      <c r="E122" s="141"/>
      <c r="F122" s="141"/>
      <c r="G122" s="141"/>
      <c r="H122" s="141"/>
      <c r="I122" s="141"/>
      <c r="J122" s="141"/>
      <c r="K122" s="141"/>
      <c r="L122" s="141"/>
      <c r="M122" s="141"/>
      <c r="N122" s="141"/>
      <c r="O122" s="141"/>
      <c r="P122" s="141"/>
      <c r="Q122" s="141"/>
      <c r="R122" s="141"/>
      <c r="S122" s="141"/>
    </row>
    <row r="123" spans="2:19" x14ac:dyDescent="0.2">
      <c r="B123" s="141"/>
      <c r="C123" s="141"/>
      <c r="D123" s="141"/>
      <c r="E123" s="141"/>
      <c r="F123" s="141"/>
      <c r="G123" s="141"/>
      <c r="H123" s="141"/>
      <c r="I123" s="141"/>
      <c r="J123" s="141"/>
      <c r="K123" s="141"/>
      <c r="L123" s="141"/>
      <c r="M123" s="141"/>
      <c r="N123" s="141"/>
      <c r="O123" s="141"/>
      <c r="P123" s="141"/>
      <c r="Q123" s="141"/>
      <c r="R123" s="141"/>
      <c r="S123" s="141"/>
    </row>
    <row r="124" spans="2:19" x14ac:dyDescent="0.2">
      <c r="B124" s="141"/>
      <c r="C124" s="141"/>
      <c r="D124" s="141"/>
      <c r="E124" s="141"/>
      <c r="F124" s="141"/>
      <c r="G124" s="141"/>
      <c r="H124" s="141"/>
      <c r="I124" s="141"/>
      <c r="J124" s="141"/>
      <c r="K124" s="141"/>
      <c r="L124" s="141"/>
      <c r="M124" s="141"/>
      <c r="N124" s="141"/>
      <c r="O124" s="141"/>
      <c r="P124" s="141"/>
      <c r="Q124" s="141"/>
      <c r="R124" s="141"/>
      <c r="S124" s="141"/>
    </row>
    <row r="125" spans="2:19" x14ac:dyDescent="0.2">
      <c r="B125" s="141"/>
      <c r="C125" s="141"/>
      <c r="D125" s="141"/>
      <c r="E125" s="141"/>
      <c r="F125" s="141"/>
      <c r="G125" s="141"/>
      <c r="H125" s="141"/>
      <c r="I125" s="141"/>
      <c r="J125" s="141"/>
      <c r="K125" s="141"/>
      <c r="L125" s="141"/>
      <c r="M125" s="141"/>
      <c r="N125" s="141"/>
      <c r="O125" s="141"/>
      <c r="P125" s="141"/>
      <c r="Q125" s="141"/>
      <c r="R125" s="141"/>
      <c r="S125" s="141"/>
    </row>
    <row r="126" spans="2:19" x14ac:dyDescent="0.2">
      <c r="B126" s="141"/>
      <c r="C126" s="141"/>
      <c r="D126" s="141"/>
      <c r="E126" s="141"/>
      <c r="F126" s="141"/>
      <c r="G126" s="141"/>
      <c r="H126" s="141"/>
      <c r="I126" s="141"/>
      <c r="J126" s="141"/>
      <c r="K126" s="141"/>
      <c r="L126" s="141"/>
      <c r="M126" s="141"/>
      <c r="N126" s="141"/>
      <c r="O126" s="141"/>
      <c r="P126" s="141"/>
      <c r="Q126" s="141"/>
      <c r="R126" s="141"/>
      <c r="S126" s="141"/>
    </row>
    <row r="127" spans="2:19" x14ac:dyDescent="0.2">
      <c r="B127" s="141"/>
      <c r="C127" s="141"/>
      <c r="D127" s="141"/>
      <c r="E127" s="141"/>
      <c r="F127" s="141"/>
      <c r="G127" s="141"/>
      <c r="H127" s="141"/>
      <c r="I127" s="141"/>
      <c r="J127" s="141"/>
      <c r="K127" s="141"/>
      <c r="L127" s="141"/>
      <c r="M127" s="141"/>
      <c r="N127" s="141"/>
      <c r="O127" s="141"/>
      <c r="P127" s="141"/>
      <c r="Q127" s="141"/>
      <c r="R127" s="141"/>
      <c r="S127" s="141"/>
    </row>
    <row r="128" spans="2:19" x14ac:dyDescent="0.2">
      <c r="B128" s="141"/>
      <c r="C128" s="141"/>
      <c r="D128" s="141"/>
      <c r="E128" s="141"/>
      <c r="F128" s="141"/>
      <c r="G128" s="141"/>
      <c r="H128" s="141"/>
      <c r="I128" s="141"/>
      <c r="J128" s="141"/>
      <c r="K128" s="141"/>
      <c r="L128" s="141"/>
      <c r="M128" s="141"/>
      <c r="N128" s="141"/>
      <c r="O128" s="141"/>
      <c r="P128" s="141"/>
      <c r="Q128" s="141"/>
      <c r="R128" s="141"/>
      <c r="S128" s="141"/>
    </row>
    <row r="129" spans="2:19" x14ac:dyDescent="0.2">
      <c r="B129" s="141"/>
      <c r="C129" s="141"/>
      <c r="D129" s="141"/>
      <c r="E129" s="141"/>
      <c r="F129" s="141"/>
      <c r="G129" s="141"/>
      <c r="H129" s="141"/>
      <c r="I129" s="141"/>
      <c r="J129" s="141"/>
      <c r="K129" s="141"/>
      <c r="L129" s="141"/>
      <c r="M129" s="141"/>
      <c r="N129" s="141"/>
      <c r="O129" s="141"/>
      <c r="P129" s="141"/>
      <c r="Q129" s="141"/>
      <c r="R129" s="141"/>
      <c r="S129" s="141"/>
    </row>
    <row r="130" spans="2:19" x14ac:dyDescent="0.2">
      <c r="B130" s="141"/>
      <c r="C130" s="141"/>
      <c r="D130" s="141"/>
      <c r="E130" s="141"/>
      <c r="F130" s="141"/>
      <c r="G130" s="141"/>
      <c r="H130" s="141"/>
      <c r="I130" s="141"/>
      <c r="J130" s="141"/>
      <c r="K130" s="141"/>
      <c r="L130" s="141"/>
      <c r="M130" s="141"/>
      <c r="N130" s="141"/>
      <c r="O130" s="141"/>
      <c r="P130" s="141"/>
      <c r="Q130" s="141"/>
      <c r="R130" s="141"/>
      <c r="S130" s="141"/>
    </row>
    <row r="131" spans="2:19" x14ac:dyDescent="0.2">
      <c r="B131" s="141"/>
      <c r="C131" s="141"/>
      <c r="D131" s="141"/>
      <c r="E131" s="141"/>
      <c r="F131" s="141"/>
      <c r="G131" s="141"/>
      <c r="H131" s="141"/>
      <c r="I131" s="141"/>
      <c r="J131" s="141"/>
      <c r="K131" s="141"/>
      <c r="L131" s="141"/>
      <c r="M131" s="141"/>
      <c r="N131" s="141"/>
      <c r="O131" s="141"/>
      <c r="P131" s="141"/>
      <c r="Q131" s="141"/>
      <c r="R131" s="141"/>
      <c r="S131" s="141"/>
    </row>
    <row r="132" spans="2:19" x14ac:dyDescent="0.2">
      <c r="B132" s="141"/>
      <c r="C132" s="141"/>
      <c r="D132" s="141"/>
      <c r="E132" s="141"/>
      <c r="F132" s="141"/>
      <c r="G132" s="141"/>
      <c r="H132" s="141"/>
      <c r="I132" s="141"/>
      <c r="J132" s="141"/>
      <c r="K132" s="141"/>
      <c r="L132" s="141"/>
      <c r="M132" s="141"/>
      <c r="N132" s="141"/>
      <c r="O132" s="141"/>
      <c r="P132" s="141"/>
      <c r="Q132" s="141"/>
      <c r="R132" s="141"/>
      <c r="S132" s="141"/>
    </row>
    <row r="133" spans="2:19" x14ac:dyDescent="0.2">
      <c r="B133" s="141"/>
      <c r="C133" s="141"/>
      <c r="D133" s="141"/>
      <c r="E133" s="141"/>
      <c r="F133" s="141"/>
      <c r="G133" s="141"/>
      <c r="H133" s="141"/>
      <c r="I133" s="141"/>
      <c r="J133" s="141"/>
      <c r="K133" s="141"/>
      <c r="L133" s="141"/>
      <c r="M133" s="141"/>
      <c r="N133" s="141"/>
      <c r="O133" s="141"/>
      <c r="P133" s="141"/>
      <c r="Q133" s="141"/>
      <c r="R133" s="141"/>
      <c r="S133" s="141"/>
    </row>
    <row r="134" spans="2:19" x14ac:dyDescent="0.2">
      <c r="B134" s="141"/>
      <c r="C134" s="141"/>
      <c r="D134" s="141"/>
      <c r="E134" s="141"/>
      <c r="F134" s="141"/>
      <c r="G134" s="141"/>
      <c r="H134" s="141"/>
      <c r="I134" s="141"/>
      <c r="J134" s="141"/>
      <c r="K134" s="141"/>
      <c r="L134" s="141"/>
      <c r="M134" s="141"/>
      <c r="N134" s="141"/>
      <c r="O134" s="141"/>
      <c r="P134" s="141"/>
      <c r="Q134" s="141"/>
      <c r="R134" s="141"/>
      <c r="S134" s="141"/>
    </row>
    <row r="135" spans="2:19" x14ac:dyDescent="0.2">
      <c r="B135" s="141"/>
      <c r="C135" s="141"/>
      <c r="D135" s="141"/>
      <c r="E135" s="141"/>
      <c r="F135" s="141"/>
      <c r="G135" s="141"/>
      <c r="H135" s="141"/>
      <c r="I135" s="141"/>
      <c r="J135" s="141"/>
      <c r="K135" s="141"/>
      <c r="L135" s="141"/>
      <c r="M135" s="141"/>
      <c r="N135" s="141"/>
      <c r="O135" s="141"/>
      <c r="P135" s="141"/>
      <c r="Q135" s="141"/>
      <c r="R135" s="141"/>
      <c r="S135" s="141"/>
    </row>
    <row r="136" spans="2:19" x14ac:dyDescent="0.2">
      <c r="B136" s="141"/>
      <c r="C136" s="141"/>
      <c r="D136" s="141"/>
      <c r="E136" s="141"/>
      <c r="F136" s="141"/>
      <c r="G136" s="141"/>
      <c r="H136" s="141"/>
      <c r="I136" s="141"/>
      <c r="J136" s="141"/>
      <c r="K136" s="141"/>
      <c r="L136" s="141"/>
      <c r="M136" s="141"/>
      <c r="N136" s="141"/>
      <c r="O136" s="141"/>
      <c r="P136" s="141"/>
      <c r="Q136" s="141"/>
      <c r="R136" s="141"/>
      <c r="S136" s="141"/>
    </row>
    <row r="137" spans="2:19" x14ac:dyDescent="0.2">
      <c r="B137" s="141"/>
      <c r="C137" s="141"/>
      <c r="D137" s="141"/>
      <c r="E137" s="141"/>
      <c r="F137" s="141"/>
      <c r="G137" s="141"/>
      <c r="H137" s="141"/>
      <c r="I137" s="141"/>
      <c r="J137" s="141"/>
      <c r="K137" s="141"/>
      <c r="L137" s="141"/>
      <c r="M137" s="141"/>
      <c r="N137" s="141"/>
      <c r="O137" s="141"/>
      <c r="P137" s="141"/>
      <c r="Q137" s="141"/>
      <c r="R137" s="141"/>
      <c r="S137" s="141"/>
    </row>
    <row r="138" spans="2:19" x14ac:dyDescent="0.2">
      <c r="B138" s="141"/>
      <c r="C138" s="141"/>
      <c r="D138" s="141"/>
      <c r="E138" s="141"/>
      <c r="F138" s="141"/>
      <c r="G138" s="141"/>
      <c r="H138" s="141"/>
      <c r="I138" s="141"/>
      <c r="J138" s="141"/>
      <c r="K138" s="141"/>
      <c r="L138" s="141"/>
      <c r="M138" s="141"/>
      <c r="N138" s="141"/>
      <c r="O138" s="141"/>
      <c r="P138" s="141"/>
      <c r="Q138" s="141"/>
      <c r="R138" s="141"/>
      <c r="S138" s="141"/>
    </row>
    <row r="139" spans="2:19" x14ac:dyDescent="0.2">
      <c r="B139" s="141"/>
      <c r="C139" s="141"/>
      <c r="D139" s="141"/>
      <c r="E139" s="141"/>
      <c r="F139" s="141"/>
      <c r="G139" s="141"/>
      <c r="H139" s="141"/>
      <c r="I139" s="141"/>
      <c r="J139" s="141"/>
      <c r="K139" s="141"/>
      <c r="L139" s="141"/>
      <c r="M139" s="141"/>
      <c r="N139" s="141"/>
      <c r="O139" s="141"/>
      <c r="P139" s="141"/>
      <c r="Q139" s="141"/>
      <c r="R139" s="141"/>
      <c r="S139" s="141"/>
    </row>
  </sheetData>
  <mergeCells count="4">
    <mergeCell ref="P16:Q16"/>
    <mergeCell ref="P42:Q42"/>
    <mergeCell ref="P50:Q50"/>
    <mergeCell ref="P85:Q85"/>
  </mergeCells>
  <pageMargins left="0.17" right="0.56000000000000005" top="0.48" bottom="0.4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28515625" defaultRowHeight="12.75" x14ac:dyDescent="0.2"/>
  <cols>
    <col min="1" max="1" width="8.85546875" style="132" customWidth="1"/>
    <col min="2" max="2" width="5.85546875" style="7" customWidth="1"/>
    <col min="3" max="4" width="5.28515625" style="7" customWidth="1"/>
    <col min="5" max="7" width="4" style="7" customWidth="1"/>
    <col min="8" max="14" width="4" style="3" customWidth="1"/>
    <col min="15" max="15" width="7.7109375" style="7" customWidth="1"/>
    <col min="16" max="16" width="13.28515625" style="3" customWidth="1"/>
    <col min="17" max="17" width="6.7109375" style="3" customWidth="1"/>
    <col min="18" max="25" width="4" style="3" customWidth="1"/>
    <col min="26" max="29" width="10.28515625" style="3" customWidth="1"/>
    <col min="30" max="30" width="4.42578125" style="3" customWidth="1"/>
    <col min="31" max="16384" width="10.28515625" style="3"/>
  </cols>
  <sheetData>
    <row r="1" spans="1:19" ht="15.75" x14ac:dyDescent="0.2">
      <c r="D1" s="2" t="s">
        <v>6</v>
      </c>
      <c r="E1" s="2"/>
      <c r="F1" s="2"/>
      <c r="G1" s="2"/>
      <c r="H1" s="2"/>
      <c r="O1" s="6" t="s">
        <v>532</v>
      </c>
    </row>
    <row r="2" spans="1:19" x14ac:dyDescent="0.2">
      <c r="D2" s="3" t="s">
        <v>7</v>
      </c>
      <c r="E2" s="3"/>
      <c r="F2" s="3"/>
      <c r="G2" s="3"/>
      <c r="O2" s="3" t="s">
        <v>587</v>
      </c>
    </row>
    <row r="3" spans="1:19" ht="4.9000000000000004" customHeight="1" x14ac:dyDescent="0.2">
      <c r="D3" s="3"/>
      <c r="E3" s="3"/>
      <c r="F3" s="3"/>
      <c r="G3" s="3"/>
      <c r="O3" s="3"/>
    </row>
    <row r="4" spans="1:19" s="138" customFormat="1" ht="84.6" customHeight="1" x14ac:dyDescent="0.2">
      <c r="A4" s="153" t="s">
        <v>538</v>
      </c>
      <c r="B4" s="139" t="s">
        <v>492</v>
      </c>
      <c r="C4" s="139" t="s">
        <v>493</v>
      </c>
      <c r="D4" s="139" t="s">
        <v>494</v>
      </c>
      <c r="E4" s="139" t="s">
        <v>495</v>
      </c>
      <c r="F4" s="139" t="s">
        <v>496</v>
      </c>
      <c r="G4" s="139" t="s">
        <v>497</v>
      </c>
      <c r="H4" s="139" t="s">
        <v>498</v>
      </c>
      <c r="I4" s="139" t="s">
        <v>499</v>
      </c>
      <c r="J4" s="139" t="s">
        <v>500</v>
      </c>
      <c r="K4" s="139"/>
      <c r="L4" s="139"/>
      <c r="M4" s="139"/>
      <c r="O4" s="139" t="s">
        <v>481</v>
      </c>
      <c r="P4" s="153" t="s">
        <v>596</v>
      </c>
      <c r="Q4" s="139" t="s">
        <v>838</v>
      </c>
    </row>
    <row r="5" spans="1:19" x14ac:dyDescent="0.2">
      <c r="A5" s="132">
        <v>36690</v>
      </c>
      <c r="B5" s="141">
        <v>12</v>
      </c>
      <c r="C5" s="142">
        <v>12.5</v>
      </c>
      <c r="D5" s="142">
        <v>12.5</v>
      </c>
      <c r="E5" s="141"/>
      <c r="F5" s="141"/>
      <c r="G5" s="141"/>
      <c r="H5" s="141"/>
      <c r="I5" s="141"/>
      <c r="J5" s="141"/>
      <c r="K5" s="141"/>
      <c r="L5" s="141"/>
      <c r="M5" s="141"/>
      <c r="N5" s="141"/>
      <c r="O5" s="141"/>
      <c r="P5" s="141"/>
      <c r="Q5" s="141"/>
      <c r="R5" s="141"/>
      <c r="S5" s="141"/>
    </row>
    <row r="6" spans="1:19" x14ac:dyDescent="0.2">
      <c r="A6" s="132">
        <v>36691</v>
      </c>
      <c r="B6" s="141">
        <v>12</v>
      </c>
      <c r="C6" s="142">
        <v>12.5</v>
      </c>
      <c r="D6" s="142">
        <v>12.5</v>
      </c>
      <c r="E6" s="141"/>
      <c r="F6" s="141"/>
      <c r="G6" s="141"/>
      <c r="H6" s="141"/>
      <c r="I6" s="141"/>
      <c r="J6" s="141"/>
      <c r="K6" s="141"/>
      <c r="L6" s="141"/>
      <c r="M6" s="141"/>
      <c r="N6" s="141"/>
      <c r="O6" s="141"/>
      <c r="P6" s="141"/>
      <c r="Q6" s="141"/>
      <c r="R6" s="141"/>
      <c r="S6" s="141"/>
    </row>
    <row r="7" spans="1:19" x14ac:dyDescent="0.2">
      <c r="A7" s="132">
        <v>36692</v>
      </c>
      <c r="B7" s="141">
        <v>12</v>
      </c>
      <c r="C7" s="142">
        <v>12.5</v>
      </c>
      <c r="D7" s="142">
        <v>12.5</v>
      </c>
      <c r="E7" s="141"/>
      <c r="F7" s="141"/>
      <c r="G7" s="141"/>
      <c r="H7" s="141"/>
      <c r="I7" s="141"/>
      <c r="J7" s="141"/>
      <c r="K7" s="141"/>
      <c r="L7" s="141"/>
      <c r="M7" s="141"/>
      <c r="N7" s="141"/>
      <c r="O7" s="141"/>
      <c r="P7" s="141"/>
      <c r="Q7" s="141"/>
      <c r="R7" s="141"/>
      <c r="S7" s="141"/>
    </row>
    <row r="8" spans="1:19" x14ac:dyDescent="0.2">
      <c r="A8" s="132">
        <v>36693</v>
      </c>
      <c r="B8" s="141">
        <v>12</v>
      </c>
      <c r="C8" s="142">
        <v>12.5</v>
      </c>
      <c r="D8" s="142">
        <v>12.5</v>
      </c>
      <c r="E8" s="141"/>
      <c r="F8" s="141"/>
      <c r="G8" s="141"/>
      <c r="H8" s="141"/>
      <c r="I8" s="141"/>
      <c r="J8" s="141"/>
      <c r="K8" s="141"/>
      <c r="L8" s="141"/>
      <c r="M8" s="141"/>
      <c r="N8" s="141"/>
      <c r="O8" s="141"/>
      <c r="P8" s="141"/>
      <c r="Q8" s="141"/>
      <c r="R8" s="141"/>
      <c r="S8" s="141"/>
    </row>
    <row r="9" spans="1:19" x14ac:dyDescent="0.2">
      <c r="A9" s="132">
        <v>36694</v>
      </c>
      <c r="B9" s="141">
        <v>12</v>
      </c>
      <c r="C9" s="142">
        <v>12.5</v>
      </c>
      <c r="D9" s="142">
        <v>12.5</v>
      </c>
      <c r="E9" s="141"/>
      <c r="F9" s="141"/>
      <c r="G9" s="141"/>
      <c r="H9" s="141"/>
      <c r="I9" s="141"/>
      <c r="J9" s="141"/>
      <c r="K9" s="141"/>
      <c r="L9" s="141"/>
      <c r="M9" s="141"/>
      <c r="N9" s="141"/>
      <c r="O9" s="141"/>
      <c r="P9" s="141"/>
      <c r="Q9" s="141"/>
      <c r="R9" s="141"/>
      <c r="S9" s="141"/>
    </row>
    <row r="10" spans="1:19" x14ac:dyDescent="0.2">
      <c r="A10" s="132">
        <v>36695</v>
      </c>
      <c r="B10" s="141">
        <v>12</v>
      </c>
      <c r="C10" s="142">
        <v>12.5</v>
      </c>
      <c r="D10" s="142">
        <v>12.5</v>
      </c>
      <c r="E10" s="141"/>
      <c r="F10" s="141"/>
      <c r="G10" s="141"/>
      <c r="H10" s="141"/>
      <c r="I10" s="141"/>
      <c r="J10" s="141"/>
      <c r="K10" s="141"/>
      <c r="L10" s="141"/>
      <c r="M10" s="141"/>
      <c r="N10" s="141"/>
      <c r="O10" s="141"/>
      <c r="P10" s="141"/>
      <c r="Q10" s="141"/>
      <c r="R10" s="141"/>
      <c r="S10" s="141"/>
    </row>
    <row r="11" spans="1:19" x14ac:dyDescent="0.2">
      <c r="A11" s="132" t="s">
        <v>372</v>
      </c>
      <c r="B11" s="399">
        <f>SUM(B5:B10)</f>
        <v>72</v>
      </c>
      <c r="C11" s="399">
        <f>SUM(C5:C10)</f>
        <v>75</v>
      </c>
      <c r="D11" s="399">
        <f>SUM(D5:D10)</f>
        <v>75</v>
      </c>
      <c r="E11" s="141">
        <f>SUM(E5:E10)</f>
        <v>0</v>
      </c>
      <c r="F11" s="141">
        <f>SUM(F5:F10)</f>
        <v>0</v>
      </c>
      <c r="G11" s="141"/>
      <c r="H11" s="141"/>
      <c r="I11" s="141"/>
      <c r="J11" s="141"/>
      <c r="K11" s="141"/>
      <c r="L11" s="141"/>
      <c r="M11" s="141"/>
      <c r="N11" s="141"/>
      <c r="O11" s="141">
        <f>SUM(B11:N11)</f>
        <v>222</v>
      </c>
      <c r="P11" s="141"/>
      <c r="Q11" s="399">
        <f>SUM(O11)</f>
        <v>222</v>
      </c>
      <c r="R11" s="141"/>
      <c r="S11" s="141"/>
    </row>
    <row r="12" spans="1:19" x14ac:dyDescent="0.2">
      <c r="A12" s="132">
        <v>36696</v>
      </c>
      <c r="B12" s="399">
        <v>12</v>
      </c>
      <c r="C12" s="403">
        <v>12.5</v>
      </c>
      <c r="D12" s="403">
        <v>12.5</v>
      </c>
      <c r="E12" s="141"/>
      <c r="F12" s="141"/>
      <c r="G12" s="141"/>
      <c r="H12" s="141"/>
      <c r="I12" s="141"/>
      <c r="J12" s="141"/>
      <c r="K12" s="141"/>
      <c r="L12" s="141"/>
      <c r="M12" s="141"/>
      <c r="N12" s="141"/>
      <c r="O12" s="141"/>
      <c r="P12" s="141"/>
      <c r="Q12" s="141"/>
      <c r="R12" s="141"/>
      <c r="S12" s="141"/>
    </row>
    <row r="13" spans="1:19" x14ac:dyDescent="0.2">
      <c r="A13" s="132">
        <v>36697</v>
      </c>
      <c r="B13" s="399">
        <v>12</v>
      </c>
      <c r="C13" s="403">
        <v>12.5</v>
      </c>
      <c r="D13" s="403">
        <v>12.5</v>
      </c>
      <c r="E13" s="141"/>
      <c r="F13" s="141"/>
      <c r="G13" s="141"/>
      <c r="H13" s="141"/>
      <c r="I13" s="141"/>
      <c r="J13" s="141"/>
      <c r="K13" s="141"/>
      <c r="L13" s="141"/>
      <c r="M13" s="141"/>
      <c r="N13" s="141"/>
      <c r="O13" s="141"/>
      <c r="P13" s="141"/>
      <c r="Q13" s="141"/>
      <c r="R13" s="141"/>
      <c r="S13" s="141"/>
    </row>
    <row r="14" spans="1:19" x14ac:dyDescent="0.2">
      <c r="A14" s="132">
        <v>36698</v>
      </c>
      <c r="B14" s="399">
        <v>12</v>
      </c>
      <c r="C14" s="403">
        <v>12.5</v>
      </c>
      <c r="D14" s="403">
        <v>12.5</v>
      </c>
      <c r="E14" s="141"/>
      <c r="F14" s="141"/>
      <c r="G14" s="141"/>
      <c r="H14" s="141"/>
      <c r="I14" s="141"/>
      <c r="J14" s="141"/>
      <c r="K14" s="141"/>
      <c r="L14" s="141"/>
      <c r="M14" s="141"/>
      <c r="N14" s="141"/>
      <c r="O14" s="141"/>
      <c r="P14" s="141"/>
      <c r="Q14" s="141"/>
      <c r="R14" s="141"/>
      <c r="S14" s="141"/>
    </row>
    <row r="15" spans="1:19" x14ac:dyDescent="0.2">
      <c r="A15" s="132">
        <v>36699</v>
      </c>
      <c r="B15" s="399">
        <v>12</v>
      </c>
      <c r="C15" s="403">
        <v>12.5</v>
      </c>
      <c r="D15" s="403">
        <v>12.5</v>
      </c>
      <c r="E15" s="141"/>
      <c r="F15" s="141"/>
      <c r="G15" s="141"/>
      <c r="H15" s="141"/>
      <c r="I15" s="141"/>
      <c r="J15" s="141"/>
      <c r="K15" s="141"/>
      <c r="L15" s="141"/>
      <c r="M15" s="141"/>
      <c r="N15" s="141"/>
      <c r="O15" s="141"/>
      <c r="P15" s="141"/>
      <c r="Q15" s="141"/>
      <c r="R15" s="141"/>
      <c r="S15" s="141"/>
    </row>
    <row r="16" spans="1:19" x14ac:dyDescent="0.2">
      <c r="A16" s="132">
        <v>36700</v>
      </c>
      <c r="B16" s="399">
        <v>12</v>
      </c>
      <c r="C16" s="403">
        <v>12.5</v>
      </c>
      <c r="D16" s="403">
        <v>12.5</v>
      </c>
      <c r="E16" s="141"/>
      <c r="F16" s="141"/>
      <c r="G16" s="141"/>
      <c r="H16" s="141"/>
      <c r="I16" s="141"/>
      <c r="J16" s="141"/>
      <c r="K16" s="141"/>
      <c r="L16" s="141"/>
      <c r="M16" s="141"/>
      <c r="N16" s="141"/>
      <c r="O16" s="141"/>
      <c r="P16" s="141"/>
      <c r="Q16" s="399">
        <f>SUM(B12:D16)</f>
        <v>185</v>
      </c>
      <c r="R16" s="141"/>
      <c r="S16" s="141"/>
    </row>
    <row r="17" spans="1:19" x14ac:dyDescent="0.2">
      <c r="A17" s="132">
        <v>36701</v>
      </c>
      <c r="B17" s="141">
        <v>12</v>
      </c>
      <c r="C17" s="142">
        <v>12.5</v>
      </c>
      <c r="D17" s="142">
        <v>12.5</v>
      </c>
      <c r="E17" s="141"/>
      <c r="F17" s="141"/>
      <c r="G17" s="141"/>
      <c r="H17" s="141"/>
      <c r="I17" s="141"/>
      <c r="J17" s="141"/>
      <c r="K17" s="141"/>
      <c r="L17" s="141"/>
      <c r="M17" s="141"/>
      <c r="N17" s="141"/>
      <c r="O17" s="141"/>
      <c r="P17" s="141"/>
      <c r="Q17" s="141"/>
      <c r="R17" s="141"/>
      <c r="S17" s="141"/>
    </row>
    <row r="18" spans="1:19" x14ac:dyDescent="0.2">
      <c r="A18" s="132">
        <v>36702</v>
      </c>
      <c r="B18" s="141">
        <v>12</v>
      </c>
      <c r="C18" s="142">
        <v>12.5</v>
      </c>
      <c r="D18" s="142">
        <v>12.5</v>
      </c>
      <c r="E18" s="141"/>
      <c r="F18" s="141"/>
      <c r="G18" s="141"/>
      <c r="H18" s="141"/>
      <c r="I18" s="141"/>
      <c r="J18" s="141"/>
      <c r="K18" s="141"/>
      <c r="L18" s="141"/>
      <c r="M18" s="141"/>
      <c r="N18" s="141"/>
      <c r="O18" s="141"/>
      <c r="P18" s="141"/>
      <c r="Q18" s="141"/>
      <c r="R18" s="141"/>
      <c r="S18" s="141"/>
    </row>
    <row r="19" spans="1:19" x14ac:dyDescent="0.2">
      <c r="A19" s="132" t="s">
        <v>372</v>
      </c>
      <c r="B19" s="142">
        <f>SUM(B12:B18)</f>
        <v>84</v>
      </c>
      <c r="C19" s="142">
        <f>SUM(C12:C18)</f>
        <v>87.5</v>
      </c>
      <c r="D19" s="142">
        <f>SUM(D12:D18)</f>
        <v>87.5</v>
      </c>
      <c r="E19" s="141">
        <f>SUM(E13:E18)</f>
        <v>0</v>
      </c>
      <c r="F19" s="141">
        <f>SUM(F13:F18)</f>
        <v>0</v>
      </c>
      <c r="G19" s="141"/>
      <c r="H19" s="141"/>
      <c r="I19" s="141"/>
      <c r="J19" s="141"/>
      <c r="K19" s="141"/>
      <c r="L19" s="141"/>
      <c r="M19" s="141"/>
      <c r="N19" s="141"/>
      <c r="O19" s="141">
        <f>SUM(B19:N19)</f>
        <v>259</v>
      </c>
      <c r="P19" s="141"/>
      <c r="Q19" s="141"/>
      <c r="R19" s="141"/>
      <c r="S19" s="141"/>
    </row>
    <row r="20" spans="1:19" x14ac:dyDescent="0.2">
      <c r="A20" s="132">
        <v>36703</v>
      </c>
      <c r="B20" s="141">
        <v>15</v>
      </c>
      <c r="C20" s="142">
        <v>12.5</v>
      </c>
      <c r="D20" s="142">
        <v>12.5</v>
      </c>
      <c r="E20" s="141"/>
      <c r="F20" s="141">
        <v>4</v>
      </c>
      <c r="G20" s="141">
        <v>12</v>
      </c>
      <c r="H20" s="141">
        <v>4</v>
      </c>
      <c r="I20" s="141">
        <v>12</v>
      </c>
      <c r="J20" s="141"/>
      <c r="K20" s="141"/>
      <c r="L20" s="141"/>
      <c r="M20" s="141"/>
      <c r="N20" s="141"/>
      <c r="O20" s="141"/>
      <c r="P20" s="141"/>
      <c r="Q20" s="141"/>
      <c r="R20" s="141"/>
      <c r="S20" s="141"/>
    </row>
    <row r="21" spans="1:19" x14ac:dyDescent="0.2">
      <c r="A21" s="132">
        <v>36704</v>
      </c>
      <c r="B21" s="141">
        <v>15</v>
      </c>
      <c r="C21" s="141"/>
      <c r="D21" s="141">
        <v>12</v>
      </c>
      <c r="E21" s="141"/>
      <c r="F21" s="141"/>
      <c r="G21" s="141"/>
      <c r="H21" s="141"/>
      <c r="I21" s="141"/>
      <c r="J21" s="141"/>
      <c r="K21" s="141"/>
      <c r="L21" s="141"/>
      <c r="M21" s="141"/>
      <c r="N21" s="141"/>
      <c r="O21" s="141"/>
      <c r="P21" s="141"/>
      <c r="Q21" s="141"/>
      <c r="R21" s="141"/>
      <c r="S21" s="141"/>
    </row>
    <row r="22" spans="1:19" x14ac:dyDescent="0.2">
      <c r="A22" s="132">
        <v>36705</v>
      </c>
      <c r="B22" s="141">
        <v>15</v>
      </c>
      <c r="C22" s="141">
        <v>12</v>
      </c>
      <c r="D22" s="141"/>
      <c r="E22" s="141"/>
      <c r="F22" s="141"/>
      <c r="G22" s="141"/>
      <c r="H22" s="141"/>
      <c r="I22" s="141"/>
      <c r="J22" s="141"/>
      <c r="K22" s="141"/>
      <c r="L22" s="141"/>
      <c r="M22" s="141"/>
      <c r="N22" s="141"/>
      <c r="O22" s="141"/>
      <c r="P22" s="141"/>
      <c r="Q22" s="141"/>
      <c r="R22" s="141"/>
      <c r="S22" s="141"/>
    </row>
    <row r="23" spans="1:19" x14ac:dyDescent="0.2">
      <c r="A23" s="132">
        <v>36706</v>
      </c>
      <c r="B23" s="141">
        <v>15</v>
      </c>
      <c r="C23" s="141"/>
      <c r="D23" s="141"/>
      <c r="E23" s="141"/>
      <c r="F23" s="141"/>
      <c r="G23" s="141"/>
      <c r="H23" s="141"/>
      <c r="I23" s="141"/>
      <c r="J23" s="141"/>
      <c r="K23" s="141"/>
      <c r="L23" s="141"/>
      <c r="M23" s="141"/>
      <c r="N23" s="141"/>
      <c r="O23" s="141"/>
      <c r="P23" s="141"/>
      <c r="Q23" s="141"/>
      <c r="R23" s="141"/>
      <c r="S23" s="141"/>
    </row>
    <row r="24" spans="1:19" x14ac:dyDescent="0.2">
      <c r="A24" s="132">
        <v>36707</v>
      </c>
      <c r="B24" s="141">
        <v>15</v>
      </c>
      <c r="C24" s="141">
        <v>12</v>
      </c>
      <c r="D24" s="141"/>
      <c r="E24" s="141">
        <v>4</v>
      </c>
      <c r="F24" s="141"/>
      <c r="G24" s="141"/>
      <c r="H24" s="141"/>
      <c r="I24" s="141"/>
      <c r="J24" s="141"/>
      <c r="K24" s="141"/>
      <c r="L24" s="141"/>
      <c r="M24" s="141"/>
      <c r="N24" s="141"/>
      <c r="O24" s="141"/>
      <c r="P24" s="141"/>
      <c r="Q24" s="141"/>
      <c r="R24" s="141"/>
      <c r="S24" s="141"/>
    </row>
    <row r="25" spans="1:19" x14ac:dyDescent="0.2">
      <c r="A25" s="132">
        <v>36708</v>
      </c>
      <c r="B25" s="141">
        <v>15</v>
      </c>
      <c r="C25" s="141">
        <v>12</v>
      </c>
      <c r="D25" s="141"/>
      <c r="E25" s="141">
        <v>2</v>
      </c>
      <c r="F25" s="141"/>
      <c r="G25" s="141"/>
      <c r="H25" s="141"/>
      <c r="I25" s="141"/>
      <c r="J25" s="141"/>
      <c r="K25" s="141"/>
      <c r="L25" s="141"/>
      <c r="M25" s="141"/>
      <c r="N25" s="141"/>
      <c r="O25" s="141"/>
      <c r="P25" s="141"/>
      <c r="Q25" s="141"/>
      <c r="R25" s="141"/>
      <c r="S25" s="141"/>
    </row>
    <row r="26" spans="1:19" x14ac:dyDescent="0.2">
      <c r="A26" s="132">
        <v>36709</v>
      </c>
      <c r="B26" s="141">
        <v>12</v>
      </c>
      <c r="C26" s="141">
        <v>12</v>
      </c>
      <c r="D26" s="141"/>
      <c r="E26" s="141"/>
      <c r="F26" s="141"/>
      <c r="G26" s="141"/>
      <c r="H26" s="141"/>
      <c r="I26" s="141"/>
      <c r="J26" s="141"/>
      <c r="K26" s="141"/>
      <c r="L26" s="141"/>
      <c r="M26" s="141"/>
      <c r="N26" s="141"/>
      <c r="O26" s="141"/>
      <c r="P26" s="141"/>
      <c r="Q26" s="141"/>
      <c r="R26" s="141"/>
      <c r="S26" s="141"/>
    </row>
    <row r="27" spans="1:19" x14ac:dyDescent="0.2">
      <c r="A27" s="132" t="s">
        <v>372</v>
      </c>
      <c r="B27" s="142">
        <f>SUM(B20:B26)</f>
        <v>102</v>
      </c>
      <c r="C27" s="142">
        <f t="shared" ref="C27:N27" si="0">SUM(C20:C26)</f>
        <v>60.5</v>
      </c>
      <c r="D27" s="142">
        <f t="shared" si="0"/>
        <v>24.5</v>
      </c>
      <c r="E27" s="142">
        <f t="shared" si="0"/>
        <v>6</v>
      </c>
      <c r="F27" s="142">
        <f t="shared" si="0"/>
        <v>4</v>
      </c>
      <c r="G27" s="142">
        <f t="shared" si="0"/>
        <v>12</v>
      </c>
      <c r="H27" s="142">
        <f t="shared" si="0"/>
        <v>4</v>
      </c>
      <c r="I27" s="142">
        <f t="shared" si="0"/>
        <v>12</v>
      </c>
      <c r="J27" s="142">
        <f t="shared" si="0"/>
        <v>0</v>
      </c>
      <c r="K27" s="142">
        <f t="shared" si="0"/>
        <v>0</v>
      </c>
      <c r="L27" s="142">
        <f t="shared" si="0"/>
        <v>0</v>
      </c>
      <c r="M27" s="142">
        <f t="shared" si="0"/>
        <v>0</v>
      </c>
      <c r="N27" s="142">
        <f t="shared" si="0"/>
        <v>0</v>
      </c>
      <c r="O27" s="141">
        <f>SUM(B27:N27)</f>
        <v>225</v>
      </c>
      <c r="P27" s="141"/>
      <c r="Q27" s="141"/>
      <c r="R27" s="141"/>
      <c r="S27" s="141"/>
    </row>
    <row r="28" spans="1:19" x14ac:dyDescent="0.2">
      <c r="A28" s="132">
        <v>36710</v>
      </c>
      <c r="B28" s="141">
        <v>6</v>
      </c>
      <c r="C28" s="141">
        <v>12</v>
      </c>
      <c r="D28" s="141">
        <v>12</v>
      </c>
      <c r="E28" s="141">
        <v>12</v>
      </c>
      <c r="F28" s="141">
        <v>6</v>
      </c>
      <c r="G28" s="141"/>
      <c r="H28" s="141"/>
      <c r="I28" s="141"/>
      <c r="J28" s="141"/>
      <c r="K28" s="141"/>
      <c r="L28" s="141"/>
      <c r="M28" s="141"/>
      <c r="N28" s="141"/>
      <c r="O28" s="141"/>
      <c r="P28" s="141"/>
      <c r="Q28" s="141"/>
      <c r="R28" s="141"/>
      <c r="S28" s="141"/>
    </row>
    <row r="29" spans="1:19" x14ac:dyDescent="0.2">
      <c r="A29" s="132">
        <v>36711</v>
      </c>
      <c r="B29" s="141"/>
      <c r="C29" s="141">
        <v>12</v>
      </c>
      <c r="D29" s="141">
        <v>12</v>
      </c>
      <c r="E29" s="141">
        <v>12</v>
      </c>
      <c r="F29" s="141"/>
      <c r="G29" s="141"/>
      <c r="H29" s="141"/>
      <c r="I29" s="141"/>
      <c r="J29" s="141"/>
      <c r="K29" s="141"/>
      <c r="L29" s="141"/>
      <c r="M29" s="141"/>
      <c r="N29" s="141"/>
      <c r="O29" s="141"/>
      <c r="P29" s="141"/>
      <c r="Q29" s="141"/>
      <c r="R29" s="141"/>
      <c r="S29" s="141"/>
    </row>
    <row r="30" spans="1:19" x14ac:dyDescent="0.2">
      <c r="A30" s="132">
        <v>36712</v>
      </c>
      <c r="B30" s="141">
        <v>14</v>
      </c>
      <c r="C30" s="141">
        <v>12.5</v>
      </c>
      <c r="D30" s="141">
        <v>12</v>
      </c>
      <c r="E30" s="141">
        <v>6</v>
      </c>
      <c r="F30" s="141"/>
      <c r="G30" s="141"/>
      <c r="H30" s="141"/>
      <c r="I30" s="141">
        <v>12</v>
      </c>
      <c r="J30" s="141"/>
      <c r="K30" s="141"/>
      <c r="L30" s="141"/>
      <c r="M30" s="141"/>
      <c r="N30" s="141"/>
      <c r="O30" s="141"/>
      <c r="P30" s="141"/>
      <c r="Q30" s="141"/>
      <c r="R30" s="141"/>
      <c r="S30" s="141"/>
    </row>
    <row r="31" spans="1:19" x14ac:dyDescent="0.2">
      <c r="A31" s="132">
        <v>36713</v>
      </c>
      <c r="B31" s="141">
        <v>14</v>
      </c>
      <c r="C31" s="141">
        <v>12.5</v>
      </c>
      <c r="D31" s="141">
        <v>12</v>
      </c>
      <c r="E31" s="141">
        <v>6</v>
      </c>
      <c r="F31" s="141"/>
      <c r="G31" s="141"/>
      <c r="H31" s="141"/>
      <c r="I31" s="141">
        <v>6</v>
      </c>
      <c r="J31" s="141"/>
      <c r="K31" s="141"/>
      <c r="L31" s="141"/>
      <c r="M31" s="141"/>
      <c r="N31" s="141"/>
      <c r="O31" s="141"/>
      <c r="P31" s="141"/>
      <c r="Q31" s="141"/>
      <c r="R31" s="141"/>
      <c r="S31" s="141"/>
    </row>
    <row r="32" spans="1:19" x14ac:dyDescent="0.2">
      <c r="A32" s="132">
        <v>36714</v>
      </c>
      <c r="B32" s="141">
        <v>14</v>
      </c>
      <c r="C32" s="141">
        <v>12.5</v>
      </c>
      <c r="D32" s="141">
        <v>12</v>
      </c>
      <c r="E32" s="141"/>
      <c r="F32" s="141"/>
      <c r="G32" s="141">
        <v>12</v>
      </c>
      <c r="H32" s="141"/>
      <c r="I32" s="141"/>
      <c r="J32" s="141"/>
      <c r="K32" s="141"/>
      <c r="L32" s="141"/>
      <c r="M32" s="141"/>
      <c r="N32" s="141"/>
      <c r="O32" s="141"/>
      <c r="P32" s="141"/>
      <c r="Q32" s="141"/>
      <c r="R32" s="141"/>
      <c r="S32" s="141"/>
    </row>
    <row r="33" spans="1:19" x14ac:dyDescent="0.2">
      <c r="A33" s="132">
        <v>36715</v>
      </c>
      <c r="B33" s="141">
        <v>14</v>
      </c>
      <c r="C33" s="141">
        <v>12.5</v>
      </c>
      <c r="D33" s="141">
        <v>12</v>
      </c>
      <c r="E33" s="141"/>
      <c r="F33" s="141"/>
      <c r="G33" s="141">
        <v>12</v>
      </c>
      <c r="H33" s="141"/>
      <c r="I33" s="141"/>
      <c r="J33" s="141"/>
      <c r="K33" s="141"/>
      <c r="L33" s="141"/>
      <c r="M33" s="141"/>
      <c r="N33" s="141"/>
      <c r="O33" s="141"/>
      <c r="P33" s="141"/>
      <c r="Q33" s="141"/>
      <c r="R33" s="141"/>
      <c r="S33" s="141"/>
    </row>
    <row r="34" spans="1:19" x14ac:dyDescent="0.2">
      <c r="A34" s="132">
        <v>36716</v>
      </c>
      <c r="B34" s="141">
        <v>12</v>
      </c>
      <c r="C34" s="141">
        <v>12.5</v>
      </c>
      <c r="D34" s="141">
        <v>12</v>
      </c>
      <c r="E34" s="141"/>
      <c r="F34" s="141"/>
      <c r="G34" s="141">
        <v>12</v>
      </c>
      <c r="H34" s="141"/>
      <c r="I34" s="141"/>
      <c r="J34" s="141"/>
      <c r="K34" s="141"/>
      <c r="L34" s="141"/>
      <c r="M34" s="141"/>
      <c r="N34" s="141"/>
      <c r="O34" s="141"/>
      <c r="P34" s="141"/>
      <c r="Q34" s="141"/>
      <c r="R34" s="141"/>
      <c r="S34" s="141"/>
    </row>
    <row r="35" spans="1:19" x14ac:dyDescent="0.2">
      <c r="A35" s="132" t="s">
        <v>372</v>
      </c>
      <c r="B35" s="141">
        <f t="shared" ref="B35:M35" si="1">SUM(B28:B34)</f>
        <v>74</v>
      </c>
      <c r="C35" s="141">
        <f t="shared" si="1"/>
        <v>86.5</v>
      </c>
      <c r="D35" s="141">
        <f t="shared" si="1"/>
        <v>84</v>
      </c>
      <c r="E35" s="141">
        <f t="shared" si="1"/>
        <v>36</v>
      </c>
      <c r="F35" s="141">
        <f t="shared" si="1"/>
        <v>6</v>
      </c>
      <c r="G35" s="141">
        <f t="shared" si="1"/>
        <v>36</v>
      </c>
      <c r="H35" s="141">
        <f t="shared" si="1"/>
        <v>0</v>
      </c>
      <c r="I35" s="141">
        <f t="shared" si="1"/>
        <v>18</v>
      </c>
      <c r="J35" s="141">
        <f t="shared" si="1"/>
        <v>0</v>
      </c>
      <c r="K35" s="141">
        <f t="shared" si="1"/>
        <v>0</v>
      </c>
      <c r="L35" s="141">
        <f t="shared" si="1"/>
        <v>0</v>
      </c>
      <c r="M35" s="141">
        <f t="shared" si="1"/>
        <v>0</v>
      </c>
      <c r="N35" s="141"/>
      <c r="O35" s="141">
        <f>SUM(B35:N35)</f>
        <v>340.5</v>
      </c>
      <c r="P35" s="141"/>
      <c r="Q35" s="141"/>
      <c r="R35" s="141"/>
      <c r="S35" s="141"/>
    </row>
    <row r="36" spans="1:19" x14ac:dyDescent="0.2">
      <c r="A36" s="132">
        <v>36717</v>
      </c>
      <c r="B36" s="141">
        <v>12</v>
      </c>
      <c r="C36" s="141">
        <v>12.5</v>
      </c>
      <c r="D36" s="141">
        <v>12</v>
      </c>
      <c r="E36" s="141"/>
      <c r="F36" s="141"/>
      <c r="G36" s="141">
        <v>12</v>
      </c>
      <c r="H36" s="141"/>
      <c r="I36" s="141"/>
      <c r="J36" s="141"/>
      <c r="K36" s="141"/>
      <c r="L36" s="141"/>
      <c r="M36" s="141"/>
      <c r="N36" s="141"/>
      <c r="O36" s="141"/>
      <c r="P36" s="141"/>
      <c r="Q36" s="141"/>
      <c r="R36" s="141"/>
      <c r="S36" s="141"/>
    </row>
    <row r="37" spans="1:19" x14ac:dyDescent="0.2">
      <c r="A37" s="132">
        <v>36718</v>
      </c>
      <c r="B37" s="141">
        <v>12</v>
      </c>
      <c r="C37" s="141">
        <v>12.5</v>
      </c>
      <c r="D37" s="141">
        <v>12</v>
      </c>
      <c r="E37" s="141"/>
      <c r="F37" s="141"/>
      <c r="G37" s="141">
        <v>12</v>
      </c>
      <c r="H37" s="141"/>
      <c r="I37" s="141"/>
      <c r="J37" s="141"/>
      <c r="K37" s="141"/>
      <c r="L37" s="141"/>
      <c r="M37" s="141"/>
      <c r="N37" s="141"/>
      <c r="O37" s="141"/>
      <c r="P37" s="141"/>
      <c r="Q37" s="141"/>
      <c r="R37" s="141"/>
      <c r="S37" s="141"/>
    </row>
    <row r="38" spans="1:19" x14ac:dyDescent="0.2">
      <c r="A38" s="132">
        <v>36719</v>
      </c>
      <c r="B38" s="141">
        <v>12</v>
      </c>
      <c r="C38" s="141">
        <v>12.5</v>
      </c>
      <c r="D38" s="141">
        <v>12</v>
      </c>
      <c r="E38" s="141"/>
      <c r="F38" s="141"/>
      <c r="G38" s="141">
        <v>12</v>
      </c>
      <c r="H38" s="141"/>
      <c r="I38" s="141"/>
      <c r="J38" s="141"/>
      <c r="K38" s="141"/>
      <c r="L38" s="141"/>
      <c r="M38" s="141"/>
      <c r="N38" s="141"/>
      <c r="O38" s="141"/>
      <c r="P38" s="141"/>
      <c r="Q38" s="141"/>
      <c r="R38" s="141"/>
      <c r="S38" s="141"/>
    </row>
    <row r="39" spans="1:19" x14ac:dyDescent="0.2">
      <c r="A39" s="132">
        <v>36720</v>
      </c>
      <c r="B39" s="399">
        <v>14</v>
      </c>
      <c r="C39" s="399">
        <v>12.5</v>
      </c>
      <c r="D39" s="399">
        <v>15</v>
      </c>
      <c r="E39" s="399"/>
      <c r="F39" s="399"/>
      <c r="G39" s="399">
        <v>15</v>
      </c>
      <c r="H39" s="141"/>
      <c r="I39" s="141"/>
      <c r="J39" s="141"/>
      <c r="K39" s="141"/>
      <c r="L39" s="141"/>
      <c r="M39" s="141"/>
      <c r="N39" s="141"/>
      <c r="O39" s="141"/>
      <c r="P39" s="141"/>
      <c r="Q39" s="141"/>
      <c r="R39" s="141"/>
      <c r="S39" s="141"/>
    </row>
    <row r="40" spans="1:19" x14ac:dyDescent="0.2">
      <c r="A40" s="132">
        <v>36721</v>
      </c>
      <c r="B40" s="399">
        <v>14</v>
      </c>
      <c r="C40" s="399">
        <v>12.5</v>
      </c>
      <c r="D40" s="399">
        <v>12</v>
      </c>
      <c r="E40" s="399"/>
      <c r="F40" s="399">
        <v>8</v>
      </c>
      <c r="G40" s="399">
        <v>12</v>
      </c>
      <c r="H40" s="141"/>
      <c r="I40" s="141"/>
      <c r="J40" s="141"/>
      <c r="K40" s="141"/>
      <c r="L40" s="141"/>
      <c r="M40" s="141"/>
      <c r="N40" s="141"/>
      <c r="O40" s="141"/>
      <c r="P40" s="141"/>
      <c r="Q40" s="141"/>
      <c r="R40" s="141"/>
      <c r="S40" s="141"/>
    </row>
    <row r="41" spans="1:19" x14ac:dyDescent="0.2">
      <c r="A41" s="132">
        <v>36722</v>
      </c>
      <c r="B41" s="399">
        <v>8</v>
      </c>
      <c r="C41" s="399">
        <v>12.5</v>
      </c>
      <c r="D41" s="399">
        <v>12</v>
      </c>
      <c r="E41" s="399"/>
      <c r="F41" s="399"/>
      <c r="G41" s="399">
        <v>12</v>
      </c>
      <c r="H41" s="141"/>
      <c r="I41" s="141"/>
      <c r="J41" s="141"/>
      <c r="K41" s="141"/>
      <c r="L41" s="141"/>
      <c r="M41" s="141"/>
      <c r="N41" s="141"/>
      <c r="O41" s="141"/>
      <c r="P41" s="141"/>
      <c r="Q41" s="141"/>
      <c r="R41" s="141"/>
      <c r="S41" s="141"/>
    </row>
    <row r="42" spans="1:19" x14ac:dyDescent="0.2">
      <c r="A42" s="132">
        <v>36723</v>
      </c>
      <c r="B42" s="404"/>
      <c r="C42" s="399">
        <v>12.5</v>
      </c>
      <c r="D42" s="399">
        <v>12</v>
      </c>
      <c r="E42" s="399"/>
      <c r="F42" s="399"/>
      <c r="G42" s="399">
        <v>8</v>
      </c>
      <c r="H42" s="141"/>
      <c r="I42" s="141"/>
      <c r="J42" s="141"/>
      <c r="K42" s="141"/>
      <c r="L42" s="141"/>
      <c r="M42" s="141"/>
      <c r="N42" s="141"/>
      <c r="O42" s="141"/>
      <c r="P42" s="141"/>
      <c r="Q42" s="399">
        <f>SUM(B39:G42)</f>
        <v>192</v>
      </c>
      <c r="R42" s="141"/>
      <c r="S42" s="141"/>
    </row>
    <row r="43" spans="1:19" x14ac:dyDescent="0.2">
      <c r="A43" s="132" t="s">
        <v>372</v>
      </c>
      <c r="B43" s="141">
        <f>SUM(B36:B41)</f>
        <v>72</v>
      </c>
      <c r="C43" s="141">
        <f t="shared" ref="C43:M43" si="2">SUM(C36:C42)</f>
        <v>87.5</v>
      </c>
      <c r="D43" s="141">
        <f t="shared" si="2"/>
        <v>87</v>
      </c>
      <c r="E43" s="141">
        <f t="shared" si="2"/>
        <v>0</v>
      </c>
      <c r="F43" s="141">
        <f t="shared" si="2"/>
        <v>8</v>
      </c>
      <c r="G43" s="141">
        <f t="shared" si="2"/>
        <v>83</v>
      </c>
      <c r="H43" s="141">
        <f t="shared" si="2"/>
        <v>0</v>
      </c>
      <c r="I43" s="141">
        <f t="shared" si="2"/>
        <v>0</v>
      </c>
      <c r="J43" s="141">
        <f t="shared" si="2"/>
        <v>0</v>
      </c>
      <c r="K43" s="141">
        <f t="shared" si="2"/>
        <v>0</v>
      </c>
      <c r="L43" s="141">
        <f t="shared" si="2"/>
        <v>0</v>
      </c>
      <c r="M43" s="141">
        <f t="shared" si="2"/>
        <v>0</v>
      </c>
      <c r="N43" s="141"/>
      <c r="O43" s="141">
        <f>SUM(B43:N43)</f>
        <v>337.5</v>
      </c>
      <c r="P43" s="141"/>
      <c r="Q43" s="141"/>
      <c r="R43" s="141"/>
      <c r="S43" s="141"/>
    </row>
    <row r="44" spans="1:19" x14ac:dyDescent="0.2">
      <c r="A44" s="132">
        <v>36724</v>
      </c>
      <c r="B44" s="399">
        <v>14</v>
      </c>
      <c r="C44" s="399">
        <v>12.5</v>
      </c>
      <c r="D44" s="399">
        <v>12</v>
      </c>
      <c r="E44" s="399"/>
      <c r="F44" s="399"/>
      <c r="G44" s="399">
        <v>12</v>
      </c>
      <c r="H44" s="399"/>
      <c r="I44" s="399">
        <v>6</v>
      </c>
      <c r="J44" s="399"/>
      <c r="K44" s="141"/>
      <c r="L44" s="141"/>
      <c r="M44" s="141"/>
      <c r="N44" s="141"/>
      <c r="O44" s="141"/>
      <c r="P44" s="141"/>
      <c r="Q44" s="141"/>
      <c r="R44" s="141"/>
      <c r="S44" s="141"/>
    </row>
    <row r="45" spans="1:19" x14ac:dyDescent="0.2">
      <c r="A45" s="132">
        <v>36725</v>
      </c>
      <c r="B45" s="399">
        <v>13</v>
      </c>
      <c r="C45" s="399">
        <v>12.5</v>
      </c>
      <c r="D45" s="399">
        <v>12</v>
      </c>
      <c r="E45" s="399"/>
      <c r="F45" s="399"/>
      <c r="G45" s="399">
        <v>12</v>
      </c>
      <c r="H45" s="399"/>
      <c r="I45" s="399">
        <v>12</v>
      </c>
      <c r="J45" s="399"/>
      <c r="K45" s="141"/>
      <c r="L45" s="141"/>
      <c r="M45" s="141"/>
      <c r="N45" s="141"/>
      <c r="O45" s="141"/>
      <c r="P45" s="141"/>
      <c r="Q45" s="141"/>
      <c r="R45" s="141"/>
      <c r="S45" s="141"/>
    </row>
    <row r="46" spans="1:19" x14ac:dyDescent="0.2">
      <c r="A46" s="132">
        <v>36726</v>
      </c>
      <c r="B46" s="399">
        <v>14</v>
      </c>
      <c r="C46" s="399">
        <v>12.5</v>
      </c>
      <c r="D46" s="399">
        <v>12</v>
      </c>
      <c r="E46" s="399"/>
      <c r="F46" s="399">
        <v>12</v>
      </c>
      <c r="G46" s="399">
        <v>12</v>
      </c>
      <c r="H46" s="399"/>
      <c r="I46" s="399">
        <v>12</v>
      </c>
      <c r="J46" s="399"/>
      <c r="K46" s="141"/>
      <c r="L46" s="141"/>
      <c r="M46" s="141"/>
      <c r="N46" s="141"/>
      <c r="O46" s="141"/>
      <c r="P46" s="141"/>
      <c r="Q46" s="141"/>
      <c r="R46" s="141"/>
      <c r="S46" s="141"/>
    </row>
    <row r="47" spans="1:19" x14ac:dyDescent="0.2">
      <c r="A47" s="132">
        <v>36727</v>
      </c>
      <c r="B47" s="399">
        <v>21</v>
      </c>
      <c r="C47" s="399">
        <v>21</v>
      </c>
      <c r="D47" s="399">
        <v>21</v>
      </c>
      <c r="E47" s="399"/>
      <c r="F47" s="399">
        <v>21</v>
      </c>
      <c r="G47" s="399">
        <v>21</v>
      </c>
      <c r="H47" s="399"/>
      <c r="I47" s="399">
        <v>12</v>
      </c>
      <c r="J47" s="399">
        <v>21</v>
      </c>
      <c r="K47" s="141"/>
      <c r="L47" s="141"/>
      <c r="M47" s="141"/>
      <c r="N47" s="141"/>
      <c r="O47" s="141"/>
      <c r="P47" s="141"/>
      <c r="Q47" s="141"/>
      <c r="R47" s="141"/>
      <c r="S47" s="141"/>
    </row>
    <row r="48" spans="1:19" x14ac:dyDescent="0.2">
      <c r="A48" s="132">
        <v>36728</v>
      </c>
      <c r="B48" s="399">
        <v>12</v>
      </c>
      <c r="C48" s="399">
        <v>12.5</v>
      </c>
      <c r="D48" s="399">
        <v>12</v>
      </c>
      <c r="E48" s="399">
        <v>12</v>
      </c>
      <c r="F48" s="399">
        <v>12</v>
      </c>
      <c r="G48" s="399">
        <v>12</v>
      </c>
      <c r="H48" s="399"/>
      <c r="I48" s="399">
        <v>12</v>
      </c>
      <c r="J48" s="399">
        <v>12</v>
      </c>
      <c r="K48" s="141"/>
      <c r="L48" s="141"/>
      <c r="M48" s="141"/>
      <c r="N48" s="141"/>
      <c r="O48" s="141"/>
      <c r="P48" s="141"/>
      <c r="Q48" s="141"/>
      <c r="R48" s="141"/>
      <c r="S48" s="141"/>
    </row>
    <row r="49" spans="1:19" x14ac:dyDescent="0.2">
      <c r="A49" s="132">
        <v>36729</v>
      </c>
      <c r="B49" s="399">
        <v>16</v>
      </c>
      <c r="C49" s="399">
        <v>12.5</v>
      </c>
      <c r="D49" s="399">
        <v>16</v>
      </c>
      <c r="E49" s="399">
        <v>12</v>
      </c>
      <c r="F49" s="399">
        <v>12</v>
      </c>
      <c r="G49" s="399">
        <v>16</v>
      </c>
      <c r="H49" s="399"/>
      <c r="I49" s="399">
        <v>12</v>
      </c>
      <c r="J49" s="399">
        <v>12</v>
      </c>
      <c r="K49" s="141"/>
      <c r="L49" s="141"/>
      <c r="M49" s="141"/>
      <c r="N49" s="141"/>
      <c r="O49" s="141"/>
      <c r="P49" s="141"/>
      <c r="Q49" s="141"/>
      <c r="R49" s="141"/>
      <c r="S49" s="141"/>
    </row>
    <row r="50" spans="1:19" x14ac:dyDescent="0.2">
      <c r="A50" s="132">
        <v>36730</v>
      </c>
      <c r="B50" s="399">
        <v>10</v>
      </c>
      <c r="C50" s="399"/>
      <c r="D50" s="399">
        <v>10</v>
      </c>
      <c r="E50" s="399"/>
      <c r="F50" s="399"/>
      <c r="G50" s="399">
        <v>10</v>
      </c>
      <c r="H50" s="399"/>
      <c r="I50" s="399">
        <v>10</v>
      </c>
      <c r="J50" s="399"/>
      <c r="K50" s="141"/>
      <c r="L50" s="141"/>
      <c r="M50" s="141"/>
      <c r="N50" s="141"/>
      <c r="O50" s="141"/>
      <c r="P50" s="141"/>
      <c r="Q50" s="399">
        <f>SUM(B44:J50)</f>
        <v>575.5</v>
      </c>
      <c r="R50" s="141"/>
      <c r="S50" s="141"/>
    </row>
    <row r="51" spans="1:19" x14ac:dyDescent="0.2">
      <c r="A51" s="132" t="s">
        <v>372</v>
      </c>
      <c r="B51" s="141">
        <f t="shared" ref="B51:M51" si="3">SUM(B44:B50)</f>
        <v>100</v>
      </c>
      <c r="C51" s="141">
        <f t="shared" si="3"/>
        <v>83.5</v>
      </c>
      <c r="D51" s="141">
        <f t="shared" si="3"/>
        <v>95</v>
      </c>
      <c r="E51" s="141">
        <f t="shared" si="3"/>
        <v>24</v>
      </c>
      <c r="F51" s="141">
        <f t="shared" si="3"/>
        <v>57</v>
      </c>
      <c r="G51" s="141">
        <f t="shared" si="3"/>
        <v>95</v>
      </c>
      <c r="H51" s="141">
        <f t="shared" si="3"/>
        <v>0</v>
      </c>
      <c r="I51" s="141">
        <f t="shared" si="3"/>
        <v>76</v>
      </c>
      <c r="J51" s="141">
        <f t="shared" si="3"/>
        <v>45</v>
      </c>
      <c r="K51" s="141">
        <f t="shared" si="3"/>
        <v>0</v>
      </c>
      <c r="L51" s="141">
        <f t="shared" si="3"/>
        <v>0</v>
      </c>
      <c r="M51" s="141">
        <f t="shared" si="3"/>
        <v>0</v>
      </c>
      <c r="N51" s="141"/>
      <c r="O51" s="141">
        <f>SUM(B51:N51)</f>
        <v>575.5</v>
      </c>
      <c r="P51" s="141"/>
      <c r="Q51" s="141"/>
      <c r="R51" s="141"/>
      <c r="S51" s="141"/>
    </row>
    <row r="52" spans="1:19" x14ac:dyDescent="0.2">
      <c r="A52" s="132">
        <v>36731</v>
      </c>
      <c r="B52" s="141">
        <v>10</v>
      </c>
      <c r="C52" s="141"/>
      <c r="D52" s="141"/>
      <c r="E52" s="141"/>
      <c r="F52" s="141"/>
      <c r="G52" s="141"/>
      <c r="H52" s="141"/>
      <c r="I52" s="141"/>
      <c r="J52" s="141"/>
      <c r="K52" s="141"/>
      <c r="L52" s="141"/>
      <c r="M52" s="141"/>
      <c r="N52" s="141"/>
      <c r="O52" s="141"/>
      <c r="P52" s="141"/>
      <c r="Q52" s="141"/>
      <c r="R52" s="141"/>
      <c r="S52" s="141"/>
    </row>
    <row r="53" spans="1:19" x14ac:dyDescent="0.2">
      <c r="A53" s="132">
        <v>36732</v>
      </c>
      <c r="B53" s="141">
        <v>10</v>
      </c>
      <c r="C53" s="141"/>
      <c r="D53" s="141"/>
      <c r="E53" s="141"/>
      <c r="F53" s="141"/>
      <c r="G53" s="141"/>
      <c r="H53" s="141"/>
      <c r="I53" s="141"/>
      <c r="J53" s="141"/>
      <c r="K53" s="141"/>
      <c r="L53" s="141"/>
      <c r="M53" s="141"/>
      <c r="N53" s="141"/>
      <c r="O53" s="141"/>
      <c r="P53" s="141"/>
      <c r="Q53" s="141"/>
      <c r="R53" s="141"/>
      <c r="S53" s="141"/>
    </row>
    <row r="54" spans="1:19" x14ac:dyDescent="0.2">
      <c r="A54" s="132">
        <v>36733</v>
      </c>
      <c r="B54" s="141">
        <v>10</v>
      </c>
      <c r="C54" s="141"/>
      <c r="D54" s="141"/>
      <c r="E54" s="141"/>
      <c r="F54" s="141"/>
      <c r="G54" s="141"/>
      <c r="H54" s="141"/>
      <c r="I54" s="141"/>
      <c r="J54" s="141"/>
      <c r="K54" s="141"/>
      <c r="L54" s="141"/>
      <c r="M54" s="141"/>
      <c r="N54" s="141"/>
      <c r="O54" s="141"/>
      <c r="P54" s="141"/>
      <c r="Q54" s="141"/>
      <c r="R54" s="141"/>
      <c r="S54" s="141"/>
    </row>
    <row r="55" spans="1:19" x14ac:dyDescent="0.2">
      <c r="A55" s="132">
        <v>36734</v>
      </c>
      <c r="B55" s="141">
        <v>10</v>
      </c>
      <c r="C55" s="141"/>
      <c r="D55" s="141"/>
      <c r="E55" s="141"/>
      <c r="F55" s="141"/>
      <c r="G55" s="141"/>
      <c r="H55" s="141"/>
      <c r="I55" s="141"/>
      <c r="J55" s="141"/>
      <c r="K55" s="141"/>
      <c r="L55" s="141"/>
      <c r="M55" s="141"/>
      <c r="N55" s="141"/>
      <c r="O55" s="141"/>
      <c r="P55" s="141"/>
      <c r="Q55" s="141"/>
      <c r="R55" s="141"/>
      <c r="S55" s="141"/>
    </row>
    <row r="56" spans="1:19" x14ac:dyDescent="0.2">
      <c r="A56" s="132">
        <v>36735</v>
      </c>
      <c r="B56" s="141">
        <v>10</v>
      </c>
      <c r="C56" s="141"/>
      <c r="D56" s="141"/>
      <c r="E56" s="141"/>
      <c r="F56" s="141"/>
      <c r="G56" s="141"/>
      <c r="H56" s="141"/>
      <c r="I56" s="141"/>
      <c r="J56" s="141"/>
      <c r="K56" s="141"/>
      <c r="L56" s="141"/>
      <c r="M56" s="141"/>
      <c r="N56" s="141"/>
      <c r="O56" s="141"/>
      <c r="P56" s="141"/>
      <c r="Q56" s="141"/>
      <c r="R56" s="141"/>
      <c r="S56" s="141"/>
    </row>
    <row r="57" spans="1:19" x14ac:dyDescent="0.2">
      <c r="A57" s="132">
        <v>36736</v>
      </c>
      <c r="B57" s="141">
        <v>10</v>
      </c>
      <c r="C57" s="141"/>
      <c r="D57" s="141"/>
      <c r="E57" s="141"/>
      <c r="F57" s="141"/>
      <c r="G57" s="141"/>
      <c r="H57" s="141"/>
      <c r="I57" s="141"/>
      <c r="J57" s="141"/>
      <c r="K57" s="141"/>
      <c r="L57" s="141"/>
      <c r="M57" s="141"/>
      <c r="N57" s="141"/>
      <c r="O57" s="141"/>
      <c r="P57" s="141"/>
      <c r="Q57" s="141"/>
      <c r="R57" s="141"/>
      <c r="S57" s="141"/>
    </row>
    <row r="58" spans="1:19" x14ac:dyDescent="0.2">
      <c r="A58" s="132">
        <v>36737</v>
      </c>
      <c r="B58" s="141"/>
      <c r="C58" s="141"/>
      <c r="D58" s="141"/>
      <c r="E58" s="141"/>
      <c r="F58" s="141"/>
      <c r="G58" s="141"/>
      <c r="H58" s="141"/>
      <c r="I58" s="141"/>
      <c r="J58" s="141"/>
      <c r="K58" s="141"/>
      <c r="L58" s="141"/>
      <c r="M58" s="141"/>
      <c r="N58" s="141"/>
      <c r="O58" s="141"/>
      <c r="P58" s="141"/>
      <c r="Q58" s="141"/>
      <c r="R58" s="141"/>
      <c r="S58" s="141"/>
    </row>
    <row r="59" spans="1:19" x14ac:dyDescent="0.2">
      <c r="A59" s="132" t="s">
        <v>372</v>
      </c>
      <c r="B59" s="141">
        <f t="shared" ref="B59:M59" si="4">SUM(B52:B58)</f>
        <v>60</v>
      </c>
      <c r="C59" s="141">
        <f t="shared" si="4"/>
        <v>0</v>
      </c>
      <c r="D59" s="141">
        <f t="shared" si="4"/>
        <v>0</v>
      </c>
      <c r="E59" s="141">
        <f t="shared" si="4"/>
        <v>0</v>
      </c>
      <c r="F59" s="141">
        <f t="shared" si="4"/>
        <v>0</v>
      </c>
      <c r="G59" s="141">
        <f t="shared" si="4"/>
        <v>0</v>
      </c>
      <c r="H59" s="141">
        <f t="shared" si="4"/>
        <v>0</v>
      </c>
      <c r="I59" s="141">
        <f t="shared" si="4"/>
        <v>0</v>
      </c>
      <c r="J59" s="141">
        <f t="shared" si="4"/>
        <v>0</v>
      </c>
      <c r="K59" s="141">
        <f t="shared" si="4"/>
        <v>0</v>
      </c>
      <c r="L59" s="141">
        <f t="shared" si="4"/>
        <v>0</v>
      </c>
      <c r="M59" s="141">
        <f t="shared" si="4"/>
        <v>0</v>
      </c>
      <c r="N59" s="141"/>
      <c r="O59" s="141">
        <f>SUM(B59:N59)</f>
        <v>60</v>
      </c>
      <c r="P59" s="141">
        <f>+O59</f>
        <v>60</v>
      </c>
      <c r="Q59" s="141"/>
      <c r="R59" s="141"/>
      <c r="S59" s="141"/>
    </row>
    <row r="60" spans="1:19" x14ac:dyDescent="0.2">
      <c r="A60" s="132">
        <v>36738</v>
      </c>
      <c r="B60" s="141">
        <v>8</v>
      </c>
      <c r="C60" s="141"/>
      <c r="D60" s="141"/>
      <c r="E60" s="141"/>
      <c r="F60" s="141"/>
      <c r="G60" s="141"/>
      <c r="H60" s="141"/>
      <c r="I60" s="141"/>
      <c r="J60" s="141"/>
      <c r="K60" s="141"/>
      <c r="L60" s="141"/>
      <c r="M60" s="141"/>
      <c r="N60" s="141"/>
      <c r="O60" s="141"/>
      <c r="P60" s="141"/>
      <c r="Q60" s="141"/>
      <c r="R60" s="141"/>
      <c r="S60" s="141"/>
    </row>
    <row r="61" spans="1:19" x14ac:dyDescent="0.2">
      <c r="A61" s="132">
        <v>36739</v>
      </c>
      <c r="B61" s="141">
        <v>14</v>
      </c>
      <c r="C61" s="141"/>
      <c r="D61" s="141"/>
      <c r="E61" s="141"/>
      <c r="F61" s="141"/>
      <c r="G61" s="141"/>
      <c r="H61" s="141"/>
      <c r="I61" s="141"/>
      <c r="J61" s="141"/>
      <c r="K61" s="141"/>
      <c r="L61" s="141"/>
      <c r="M61" s="141"/>
      <c r="N61" s="141"/>
      <c r="O61" s="141"/>
      <c r="P61" s="141"/>
      <c r="Q61" s="141"/>
      <c r="R61" s="141"/>
      <c r="S61" s="141"/>
    </row>
    <row r="62" spans="1:19" x14ac:dyDescent="0.2">
      <c r="A62" s="132">
        <v>36740</v>
      </c>
      <c r="B62" s="141">
        <v>16</v>
      </c>
      <c r="C62" s="141"/>
      <c r="D62" s="141"/>
      <c r="E62" s="141"/>
      <c r="F62" s="141"/>
      <c r="G62" s="141"/>
      <c r="H62" s="141"/>
      <c r="I62" s="141"/>
      <c r="J62" s="141"/>
      <c r="K62" s="141"/>
      <c r="L62" s="141"/>
      <c r="M62" s="141"/>
      <c r="N62" s="141"/>
      <c r="O62" s="141"/>
      <c r="P62" s="141"/>
      <c r="Q62" s="141"/>
      <c r="R62" s="141"/>
      <c r="S62" s="141"/>
    </row>
    <row r="63" spans="1:19" x14ac:dyDescent="0.2">
      <c r="A63" s="132">
        <v>36741</v>
      </c>
      <c r="B63" s="141">
        <v>12</v>
      </c>
      <c r="C63" s="141"/>
      <c r="D63" s="141"/>
      <c r="E63" s="141"/>
      <c r="F63" s="141"/>
      <c r="G63" s="141"/>
      <c r="H63" s="141"/>
      <c r="I63" s="141"/>
      <c r="J63" s="141"/>
      <c r="K63" s="141"/>
      <c r="L63" s="141"/>
      <c r="M63" s="141"/>
      <c r="N63" s="141"/>
      <c r="O63" s="141"/>
      <c r="P63" s="141"/>
      <c r="Q63" s="141"/>
      <c r="R63" s="141"/>
      <c r="S63" s="141"/>
    </row>
    <row r="64" spans="1:19" x14ac:dyDescent="0.2">
      <c r="A64" s="132">
        <v>36742</v>
      </c>
      <c r="B64" s="141">
        <v>8</v>
      </c>
      <c r="C64" s="141"/>
      <c r="D64" s="141"/>
      <c r="E64" s="141"/>
      <c r="F64" s="141"/>
      <c r="G64" s="141"/>
      <c r="H64" s="141"/>
      <c r="I64" s="141"/>
      <c r="J64" s="141"/>
      <c r="K64" s="141"/>
      <c r="L64" s="141"/>
      <c r="M64" s="141"/>
      <c r="N64" s="141"/>
      <c r="O64" s="141"/>
      <c r="P64" s="141"/>
      <c r="Q64" s="141"/>
      <c r="R64" s="141"/>
      <c r="S64" s="141"/>
    </row>
    <row r="65" spans="1:19" x14ac:dyDescent="0.2">
      <c r="A65" s="132">
        <v>36743</v>
      </c>
      <c r="B65" s="141"/>
      <c r="C65" s="141"/>
      <c r="D65" s="141"/>
      <c r="E65" s="141"/>
      <c r="F65" s="141"/>
      <c r="G65" s="141"/>
      <c r="H65" s="141"/>
      <c r="I65" s="141"/>
      <c r="J65" s="141"/>
      <c r="K65" s="141"/>
      <c r="L65" s="141"/>
      <c r="M65" s="141"/>
      <c r="N65" s="141"/>
      <c r="O65" s="141"/>
      <c r="P65" s="141"/>
      <c r="Q65" s="141"/>
      <c r="R65" s="141"/>
      <c r="S65" s="141"/>
    </row>
    <row r="66" spans="1:19" x14ac:dyDescent="0.2">
      <c r="A66" s="132">
        <v>36744</v>
      </c>
      <c r="B66" s="141"/>
      <c r="C66" s="141"/>
      <c r="D66" s="141"/>
      <c r="E66" s="141"/>
      <c r="F66" s="141"/>
      <c r="G66" s="141"/>
      <c r="H66" s="141"/>
      <c r="I66" s="141"/>
      <c r="J66" s="141"/>
      <c r="K66" s="141"/>
      <c r="L66" s="141"/>
      <c r="M66" s="141"/>
      <c r="N66" s="141"/>
      <c r="O66" s="141"/>
      <c r="P66" s="141"/>
      <c r="Q66" s="141"/>
      <c r="R66" s="141"/>
      <c r="S66" s="141"/>
    </row>
    <row r="67" spans="1:19" x14ac:dyDescent="0.2">
      <c r="A67" s="132" t="s">
        <v>372</v>
      </c>
      <c r="B67" s="141">
        <f t="shared" ref="B67:M67" si="5">SUM(B60:B66)</f>
        <v>58</v>
      </c>
      <c r="C67" s="141">
        <f t="shared" si="5"/>
        <v>0</v>
      </c>
      <c r="D67" s="141">
        <f t="shared" si="5"/>
        <v>0</v>
      </c>
      <c r="E67" s="141">
        <f t="shared" si="5"/>
        <v>0</v>
      </c>
      <c r="F67" s="141">
        <f t="shared" si="5"/>
        <v>0</v>
      </c>
      <c r="G67" s="141">
        <f t="shared" si="5"/>
        <v>0</v>
      </c>
      <c r="H67" s="141">
        <f t="shared" si="5"/>
        <v>0</v>
      </c>
      <c r="I67" s="141">
        <f t="shared" si="5"/>
        <v>0</v>
      </c>
      <c r="J67" s="141">
        <f t="shared" si="5"/>
        <v>0</v>
      </c>
      <c r="K67" s="141">
        <f t="shared" si="5"/>
        <v>0</v>
      </c>
      <c r="L67" s="141">
        <f t="shared" si="5"/>
        <v>0</v>
      </c>
      <c r="M67" s="141">
        <f t="shared" si="5"/>
        <v>0</v>
      </c>
      <c r="N67" s="141"/>
      <c r="O67" s="141">
        <f>SUM(B67:N67)</f>
        <v>58</v>
      </c>
      <c r="P67" s="141">
        <f>+O67</f>
        <v>58</v>
      </c>
      <c r="Q67" s="141"/>
      <c r="R67" s="141"/>
      <c r="S67" s="141"/>
    </row>
    <row r="68" spans="1:19" x14ac:dyDescent="0.2">
      <c r="A68" s="132">
        <v>36745</v>
      </c>
      <c r="B68" s="141"/>
      <c r="C68" s="141"/>
      <c r="D68" s="141"/>
      <c r="E68" s="141"/>
      <c r="F68" s="141"/>
      <c r="G68" s="141"/>
      <c r="H68" s="141"/>
      <c r="I68" s="141"/>
      <c r="J68" s="141"/>
      <c r="K68" s="141"/>
      <c r="L68" s="141"/>
      <c r="M68" s="141"/>
      <c r="N68" s="141"/>
      <c r="O68" s="141"/>
      <c r="P68" s="141"/>
      <c r="Q68" s="141"/>
      <c r="R68" s="141"/>
      <c r="S68" s="141"/>
    </row>
    <row r="69" spans="1:19" x14ac:dyDescent="0.2">
      <c r="A69" s="132">
        <v>36746</v>
      </c>
      <c r="B69" s="141"/>
      <c r="C69" s="141"/>
      <c r="D69" s="141"/>
      <c r="E69" s="141"/>
      <c r="F69" s="141"/>
      <c r="G69" s="141"/>
      <c r="H69" s="141"/>
      <c r="I69" s="141"/>
      <c r="J69" s="141"/>
      <c r="K69" s="141"/>
      <c r="L69" s="141"/>
      <c r="M69" s="141"/>
      <c r="N69" s="141"/>
      <c r="O69" s="141"/>
      <c r="P69" s="141"/>
      <c r="Q69" s="141"/>
      <c r="R69" s="141"/>
      <c r="S69" s="141"/>
    </row>
    <row r="70" spans="1:19" x14ac:dyDescent="0.2">
      <c r="A70" s="132">
        <v>36747</v>
      </c>
      <c r="B70" s="141"/>
      <c r="C70" s="141"/>
      <c r="D70" s="141"/>
      <c r="E70" s="141"/>
      <c r="F70" s="141"/>
      <c r="G70" s="141"/>
      <c r="H70" s="141"/>
      <c r="I70" s="141"/>
      <c r="J70" s="141"/>
      <c r="K70" s="141"/>
      <c r="L70" s="141"/>
      <c r="M70" s="141"/>
      <c r="N70" s="141"/>
      <c r="O70" s="141"/>
      <c r="P70" s="141"/>
      <c r="Q70" s="141"/>
      <c r="R70" s="141"/>
      <c r="S70" s="141"/>
    </row>
    <row r="71" spans="1:19" x14ac:dyDescent="0.2">
      <c r="A71" s="132">
        <v>36748</v>
      </c>
      <c r="B71" s="141"/>
      <c r="C71" s="141"/>
      <c r="D71" s="141"/>
      <c r="E71" s="141"/>
      <c r="F71" s="141"/>
      <c r="G71" s="141"/>
      <c r="H71" s="141"/>
      <c r="I71" s="141"/>
      <c r="J71" s="141"/>
      <c r="K71" s="141"/>
      <c r="L71" s="141"/>
      <c r="M71" s="141"/>
      <c r="N71" s="141"/>
      <c r="O71" s="141"/>
      <c r="P71" s="141"/>
      <c r="Q71" s="141"/>
      <c r="R71" s="141"/>
      <c r="S71" s="141"/>
    </row>
    <row r="72" spans="1:19" x14ac:dyDescent="0.2">
      <c r="A72" s="132">
        <v>36749</v>
      </c>
      <c r="B72" s="141"/>
      <c r="C72" s="141"/>
      <c r="D72" s="141"/>
      <c r="E72" s="141"/>
      <c r="F72" s="141"/>
      <c r="G72" s="141"/>
      <c r="H72" s="141"/>
      <c r="I72" s="141"/>
      <c r="J72" s="141"/>
      <c r="K72" s="141"/>
      <c r="L72" s="141"/>
      <c r="M72" s="141"/>
      <c r="N72" s="141"/>
      <c r="O72" s="141"/>
      <c r="P72" s="141"/>
      <c r="Q72" s="141"/>
      <c r="R72" s="141"/>
      <c r="S72" s="141"/>
    </row>
    <row r="73" spans="1:19" x14ac:dyDescent="0.2">
      <c r="A73" s="132">
        <v>36750</v>
      </c>
      <c r="B73" s="141"/>
      <c r="C73" s="141"/>
      <c r="D73" s="141"/>
      <c r="E73" s="141"/>
      <c r="F73" s="141"/>
      <c r="G73" s="141"/>
      <c r="H73" s="141"/>
      <c r="I73" s="141"/>
      <c r="J73" s="141"/>
      <c r="K73" s="141"/>
      <c r="L73" s="141"/>
      <c r="M73" s="141"/>
      <c r="N73" s="141"/>
      <c r="O73" s="141"/>
      <c r="P73" s="141"/>
      <c r="Q73" s="141"/>
      <c r="R73" s="141"/>
      <c r="S73" s="141"/>
    </row>
    <row r="74" spans="1:19" x14ac:dyDescent="0.2">
      <c r="A74" s="132">
        <v>36751</v>
      </c>
      <c r="B74" s="141"/>
      <c r="C74" s="141"/>
      <c r="D74" s="141"/>
      <c r="E74" s="141"/>
      <c r="F74" s="141"/>
      <c r="G74" s="141"/>
      <c r="H74" s="141"/>
      <c r="I74" s="141"/>
      <c r="J74" s="141"/>
      <c r="K74" s="141"/>
      <c r="L74" s="141"/>
      <c r="M74" s="141"/>
      <c r="N74" s="141"/>
      <c r="O74" s="141"/>
      <c r="P74" s="141"/>
      <c r="Q74" s="141"/>
      <c r="R74" s="141"/>
      <c r="S74" s="141"/>
    </row>
    <row r="75" spans="1:19" x14ac:dyDescent="0.2">
      <c r="A75" s="132" t="s">
        <v>372</v>
      </c>
      <c r="B75" s="141">
        <f t="shared" ref="B75:M75" si="6">SUM(B68:B74)</f>
        <v>0</v>
      </c>
      <c r="C75" s="141">
        <f t="shared" si="6"/>
        <v>0</v>
      </c>
      <c r="D75" s="141">
        <f t="shared" si="6"/>
        <v>0</v>
      </c>
      <c r="E75" s="141">
        <f t="shared" si="6"/>
        <v>0</v>
      </c>
      <c r="F75" s="141">
        <f t="shared" si="6"/>
        <v>0</v>
      </c>
      <c r="G75" s="141">
        <f t="shared" si="6"/>
        <v>0</v>
      </c>
      <c r="H75" s="141">
        <f t="shared" si="6"/>
        <v>0</v>
      </c>
      <c r="I75" s="141">
        <f t="shared" si="6"/>
        <v>0</v>
      </c>
      <c r="J75" s="141">
        <f t="shared" si="6"/>
        <v>0</v>
      </c>
      <c r="K75" s="141">
        <f t="shared" si="6"/>
        <v>0</v>
      </c>
      <c r="L75" s="141">
        <f t="shared" si="6"/>
        <v>0</v>
      </c>
      <c r="M75" s="141">
        <f t="shared" si="6"/>
        <v>0</v>
      </c>
      <c r="N75" s="141"/>
      <c r="O75" s="141">
        <f>SUM(B75:N75)</f>
        <v>0</v>
      </c>
      <c r="P75" s="141"/>
      <c r="Q75" s="141"/>
      <c r="R75" s="141"/>
      <c r="S75" s="141"/>
    </row>
    <row r="76" spans="1:19" x14ac:dyDescent="0.2">
      <c r="A76" s="132" t="s">
        <v>490</v>
      </c>
      <c r="B76" s="141"/>
      <c r="C76" s="141"/>
      <c r="D76" s="141"/>
      <c r="E76" s="141"/>
      <c r="F76" s="141"/>
      <c r="G76" s="141"/>
      <c r="H76" s="141"/>
      <c r="I76" s="141"/>
      <c r="J76" s="141"/>
      <c r="K76" s="141"/>
      <c r="L76" s="141"/>
      <c r="M76" s="141"/>
      <c r="N76" s="141"/>
      <c r="O76" s="141"/>
      <c r="P76" s="141"/>
      <c r="Q76" s="141"/>
      <c r="R76" s="141"/>
      <c r="S76" s="141"/>
    </row>
    <row r="77" spans="1:19" x14ac:dyDescent="0.2">
      <c r="A77" s="132" t="s">
        <v>489</v>
      </c>
      <c r="B77" s="141"/>
      <c r="C77" s="141"/>
      <c r="D77" s="141"/>
      <c r="E77" s="141"/>
      <c r="F77" s="141"/>
      <c r="G77" s="141"/>
      <c r="H77" s="141"/>
      <c r="I77" s="141"/>
      <c r="J77" s="141"/>
      <c r="K77" s="141"/>
      <c r="L77" s="141"/>
      <c r="M77" s="141"/>
      <c r="N77" s="141"/>
      <c r="O77" s="141"/>
      <c r="P77" s="141"/>
      <c r="Q77" s="141"/>
      <c r="R77" s="141"/>
      <c r="S77" s="141"/>
    </row>
    <row r="78" spans="1:19" x14ac:dyDescent="0.2">
      <c r="A78" s="132" t="s">
        <v>491</v>
      </c>
      <c r="B78" s="141"/>
      <c r="C78" s="141"/>
      <c r="D78" s="141"/>
      <c r="E78" s="141"/>
      <c r="F78" s="141"/>
      <c r="G78" s="141"/>
      <c r="H78" s="141"/>
      <c r="I78" s="141"/>
      <c r="J78" s="141"/>
      <c r="K78" s="141"/>
      <c r="L78" s="141"/>
      <c r="M78" s="141"/>
      <c r="N78" s="141"/>
      <c r="O78" s="141"/>
      <c r="P78" s="141"/>
      <c r="Q78" s="141"/>
      <c r="R78" s="141"/>
      <c r="S78" s="141"/>
    </row>
    <row r="79" spans="1:19" x14ac:dyDescent="0.2">
      <c r="B79" s="141"/>
      <c r="C79" s="141"/>
      <c r="D79" s="141"/>
      <c r="E79" s="141"/>
      <c r="F79" s="141"/>
      <c r="G79" s="141"/>
      <c r="H79" s="141"/>
      <c r="I79" s="141"/>
      <c r="J79" s="141"/>
      <c r="K79" s="141"/>
      <c r="L79" s="141"/>
      <c r="M79" s="141"/>
      <c r="N79" s="141"/>
      <c r="O79" s="141"/>
      <c r="P79" s="141"/>
      <c r="Q79" s="141"/>
      <c r="R79" s="141"/>
      <c r="S79" s="141"/>
    </row>
    <row r="80" spans="1:19" x14ac:dyDescent="0.2">
      <c r="B80" s="141"/>
      <c r="C80" s="141"/>
      <c r="D80" s="141"/>
      <c r="E80" s="141"/>
      <c r="F80" s="141"/>
      <c r="G80" s="141"/>
      <c r="H80" s="141"/>
      <c r="I80" s="141"/>
      <c r="J80" s="141"/>
      <c r="K80" s="141"/>
      <c r="L80" s="141"/>
      <c r="M80" s="141"/>
      <c r="N80" s="141"/>
      <c r="O80" s="141"/>
      <c r="P80" s="141"/>
      <c r="Q80" s="141"/>
      <c r="R80" s="141"/>
      <c r="S80" s="141"/>
    </row>
    <row r="81" spans="1:19" x14ac:dyDescent="0.2">
      <c r="B81" s="141"/>
      <c r="C81" s="141"/>
      <c r="D81" s="141"/>
      <c r="E81" s="141"/>
      <c r="F81" s="141"/>
      <c r="G81" s="141"/>
      <c r="H81" s="141"/>
      <c r="I81" s="141"/>
      <c r="J81" s="141"/>
      <c r="K81" s="141"/>
      <c r="L81" s="141"/>
      <c r="M81" s="141"/>
      <c r="N81" s="141"/>
      <c r="O81" s="141"/>
      <c r="P81" s="141"/>
      <c r="Q81" s="141"/>
      <c r="R81" s="141"/>
      <c r="S81" s="141"/>
    </row>
    <row r="82" spans="1:19" x14ac:dyDescent="0.2">
      <c r="B82" s="141"/>
      <c r="C82" s="141"/>
      <c r="D82" s="141"/>
      <c r="E82" s="141"/>
      <c r="F82" s="141"/>
      <c r="G82" s="141"/>
      <c r="H82" s="141"/>
      <c r="I82" s="141"/>
      <c r="J82" s="141"/>
      <c r="K82" s="141"/>
      <c r="L82" s="141"/>
      <c r="M82" s="141"/>
      <c r="N82" s="141"/>
      <c r="O82" s="141"/>
      <c r="P82" s="141"/>
      <c r="Q82" s="141"/>
      <c r="R82" s="141"/>
      <c r="S82" s="141"/>
    </row>
    <row r="83" spans="1:19" x14ac:dyDescent="0.2">
      <c r="A83" s="132" t="s">
        <v>372</v>
      </c>
      <c r="B83" s="141">
        <f t="shared" ref="B83:N83" si="7">SUM(B76:B82)</f>
        <v>0</v>
      </c>
      <c r="C83" s="141">
        <f t="shared" si="7"/>
        <v>0</v>
      </c>
      <c r="D83" s="141">
        <f t="shared" si="7"/>
        <v>0</v>
      </c>
      <c r="E83" s="141">
        <f t="shared" si="7"/>
        <v>0</v>
      </c>
      <c r="F83" s="141">
        <f t="shared" si="7"/>
        <v>0</v>
      </c>
      <c r="G83" s="141">
        <f t="shared" si="7"/>
        <v>0</v>
      </c>
      <c r="H83" s="141">
        <f t="shared" si="7"/>
        <v>0</v>
      </c>
      <c r="I83" s="141">
        <f t="shared" si="7"/>
        <v>0</v>
      </c>
      <c r="J83" s="141">
        <f t="shared" si="7"/>
        <v>0</v>
      </c>
      <c r="K83" s="141">
        <f t="shared" si="7"/>
        <v>0</v>
      </c>
      <c r="L83" s="141">
        <f t="shared" si="7"/>
        <v>0</v>
      </c>
      <c r="M83" s="141">
        <f t="shared" si="7"/>
        <v>0</v>
      </c>
      <c r="N83" s="141">
        <f t="shared" si="7"/>
        <v>0</v>
      </c>
      <c r="O83" s="185">
        <f>SUM(B83:N83)</f>
        <v>0</v>
      </c>
      <c r="P83" s="185"/>
      <c r="Q83" s="185"/>
      <c r="R83" s="141"/>
      <c r="S83" s="141"/>
    </row>
    <row r="84" spans="1:19" x14ac:dyDescent="0.2">
      <c r="B84" s="141"/>
      <c r="C84" s="141"/>
      <c r="D84" s="141"/>
      <c r="E84" s="141"/>
      <c r="F84" s="141"/>
      <c r="G84" s="141"/>
      <c r="H84" s="141"/>
      <c r="I84" s="141"/>
      <c r="J84" s="141"/>
      <c r="K84" s="141"/>
      <c r="L84" s="141"/>
      <c r="M84" s="141"/>
      <c r="N84" s="141"/>
      <c r="O84" s="141">
        <f>SUM(O5:O83)</f>
        <v>2077.5</v>
      </c>
      <c r="P84" s="141">
        <f>SUM(P5:P83)</f>
        <v>118</v>
      </c>
      <c r="Q84" s="141"/>
      <c r="R84" s="141"/>
      <c r="S84" s="141"/>
    </row>
    <row r="85" spans="1:19" x14ac:dyDescent="0.2">
      <c r="A85" s="132" t="s">
        <v>431</v>
      </c>
      <c r="B85" s="141">
        <f t="shared" ref="B85:N85" si="8">SUM(B83,B75,B67,B59,B51,B43,B35,B27, B19, B11)</f>
        <v>622</v>
      </c>
      <c r="C85" s="141">
        <f t="shared" si="8"/>
        <v>480.5</v>
      </c>
      <c r="D85" s="141">
        <f t="shared" si="8"/>
        <v>453</v>
      </c>
      <c r="E85" s="141">
        <f t="shared" si="8"/>
        <v>66</v>
      </c>
      <c r="F85" s="141">
        <f t="shared" si="8"/>
        <v>75</v>
      </c>
      <c r="G85" s="141">
        <f t="shared" si="8"/>
        <v>226</v>
      </c>
      <c r="H85" s="141">
        <f t="shared" si="8"/>
        <v>4</v>
      </c>
      <c r="I85" s="141">
        <f t="shared" si="8"/>
        <v>106</v>
      </c>
      <c r="J85" s="141">
        <f t="shared" si="8"/>
        <v>45</v>
      </c>
      <c r="K85" s="141">
        <f t="shared" si="8"/>
        <v>0</v>
      </c>
      <c r="L85" s="141">
        <f t="shared" si="8"/>
        <v>0</v>
      </c>
      <c r="M85" s="141">
        <f t="shared" si="8"/>
        <v>0</v>
      </c>
      <c r="N85" s="141">
        <f t="shared" si="8"/>
        <v>0</v>
      </c>
      <c r="O85" s="141">
        <f>SUM(B85:N85)</f>
        <v>2077.5</v>
      </c>
      <c r="P85" s="141"/>
      <c r="Q85" s="399">
        <f>SUM(Q6:Q83)</f>
        <v>1174.5</v>
      </c>
      <c r="R85" s="141"/>
      <c r="S85" s="141"/>
    </row>
    <row r="86" spans="1:19" x14ac:dyDescent="0.2">
      <c r="B86" s="141"/>
      <c r="C86" s="141"/>
      <c r="D86" s="141"/>
      <c r="E86" s="141"/>
      <c r="F86" s="141"/>
      <c r="G86" s="141"/>
      <c r="H86" s="141"/>
      <c r="I86" s="141"/>
      <c r="J86" s="141"/>
      <c r="K86" s="141"/>
      <c r="L86" s="141"/>
      <c r="M86" s="141"/>
      <c r="N86" s="141"/>
      <c r="O86" s="141"/>
      <c r="P86" s="141"/>
      <c r="Q86" s="141"/>
      <c r="R86" s="141"/>
      <c r="S86" s="141"/>
    </row>
    <row r="87" spans="1:19" x14ac:dyDescent="0.2">
      <c r="B87" s="141"/>
      <c r="C87" s="141"/>
      <c r="D87" s="141"/>
      <c r="E87" s="141"/>
      <c r="F87" s="141"/>
      <c r="G87" s="141"/>
      <c r="H87" s="141"/>
      <c r="I87" s="141"/>
      <c r="J87" s="141"/>
      <c r="K87" s="141"/>
      <c r="L87" s="141"/>
      <c r="M87" s="141"/>
      <c r="N87" s="141"/>
      <c r="O87" s="141"/>
      <c r="P87" s="141"/>
      <c r="Q87" s="141"/>
      <c r="R87" s="141"/>
      <c r="S87" s="141"/>
    </row>
    <row r="88" spans="1:19" x14ac:dyDescent="0.2">
      <c r="B88" s="141"/>
      <c r="C88" s="141"/>
      <c r="D88" s="141"/>
      <c r="E88" s="141"/>
      <c r="F88" s="141"/>
      <c r="G88" s="141"/>
      <c r="H88" s="141"/>
      <c r="I88" s="141"/>
      <c r="J88" s="141"/>
      <c r="K88" s="141"/>
      <c r="L88" s="141"/>
      <c r="M88" s="141"/>
      <c r="N88" s="141"/>
      <c r="O88" s="141"/>
      <c r="P88" s="141"/>
      <c r="Q88" s="141"/>
      <c r="R88" s="141"/>
      <c r="S88" s="141"/>
    </row>
    <row r="89" spans="1:19" x14ac:dyDescent="0.2">
      <c r="B89" s="141"/>
      <c r="C89" s="141"/>
      <c r="D89" s="141"/>
      <c r="E89" s="141"/>
      <c r="F89" s="141"/>
      <c r="G89" s="141"/>
      <c r="H89" s="141"/>
      <c r="I89" s="141"/>
      <c r="J89" s="141"/>
      <c r="K89" s="141"/>
      <c r="L89" s="141"/>
      <c r="M89" s="141"/>
      <c r="N89" s="141"/>
      <c r="O89" s="141"/>
      <c r="P89" s="141"/>
      <c r="Q89" s="141"/>
      <c r="R89" s="141"/>
      <c r="S89" s="141"/>
    </row>
    <row r="90" spans="1:19" x14ac:dyDescent="0.2">
      <c r="B90" s="141"/>
      <c r="C90" s="141"/>
      <c r="D90" s="141"/>
      <c r="E90" s="141"/>
      <c r="F90" s="141"/>
      <c r="G90" s="141"/>
      <c r="H90" s="141"/>
      <c r="I90" s="141"/>
      <c r="J90" s="141"/>
      <c r="K90" s="141"/>
      <c r="L90" s="141"/>
      <c r="M90" s="141"/>
      <c r="N90" s="141"/>
      <c r="O90" s="141"/>
      <c r="P90" s="141"/>
      <c r="Q90" s="141"/>
      <c r="R90" s="141"/>
      <c r="S90" s="141"/>
    </row>
    <row r="91" spans="1:19" x14ac:dyDescent="0.2">
      <c r="B91" s="141"/>
      <c r="C91" s="141"/>
      <c r="D91" s="141"/>
      <c r="E91" s="141"/>
      <c r="F91" s="141"/>
      <c r="G91" s="141"/>
      <c r="H91" s="141"/>
      <c r="I91" s="141"/>
      <c r="J91" s="141"/>
      <c r="K91" s="141"/>
      <c r="L91" s="141"/>
      <c r="M91" s="141"/>
      <c r="N91" s="141"/>
      <c r="O91" s="141"/>
      <c r="P91" s="141"/>
      <c r="Q91" s="141"/>
      <c r="R91" s="141"/>
      <c r="S91" s="141"/>
    </row>
    <row r="92" spans="1:19" x14ac:dyDescent="0.2">
      <c r="B92" s="141"/>
      <c r="C92" s="141"/>
      <c r="D92" s="141"/>
      <c r="E92" s="141"/>
      <c r="F92" s="141"/>
      <c r="G92" s="141"/>
      <c r="H92" s="141"/>
      <c r="I92" s="141"/>
      <c r="J92" s="141"/>
      <c r="K92" s="141"/>
      <c r="L92" s="141"/>
      <c r="M92" s="141"/>
      <c r="N92" s="141"/>
      <c r="O92" s="141"/>
      <c r="P92" s="141"/>
      <c r="Q92" s="141"/>
      <c r="R92" s="141"/>
      <c r="S92" s="141"/>
    </row>
    <row r="93" spans="1:19" x14ac:dyDescent="0.2">
      <c r="B93" s="141"/>
      <c r="C93" s="141"/>
      <c r="D93" s="141"/>
      <c r="E93" s="141"/>
      <c r="F93" s="141"/>
      <c r="G93" s="141"/>
      <c r="H93" s="141"/>
      <c r="I93" s="141"/>
      <c r="J93" s="141"/>
      <c r="K93" s="141"/>
      <c r="L93" s="141"/>
      <c r="M93" s="141"/>
      <c r="N93" s="141"/>
      <c r="O93" s="141"/>
      <c r="P93" s="141"/>
      <c r="Q93" s="141"/>
      <c r="R93" s="141"/>
      <c r="S93" s="141"/>
    </row>
    <row r="94" spans="1:19" x14ac:dyDescent="0.2">
      <c r="B94" s="141"/>
      <c r="C94" s="141"/>
      <c r="D94" s="141"/>
      <c r="E94" s="141"/>
      <c r="F94" s="141"/>
      <c r="G94" s="141"/>
      <c r="H94" s="141"/>
      <c r="I94" s="141"/>
      <c r="J94" s="141"/>
      <c r="K94" s="141"/>
      <c r="L94" s="141"/>
      <c r="M94" s="141"/>
      <c r="N94" s="141"/>
      <c r="O94" s="141"/>
      <c r="P94" s="141"/>
      <c r="Q94" s="141"/>
      <c r="R94" s="141"/>
      <c r="S94" s="141"/>
    </row>
    <row r="95" spans="1:19" x14ac:dyDescent="0.2">
      <c r="B95" s="141"/>
      <c r="C95" s="141"/>
      <c r="D95" s="141"/>
      <c r="E95" s="141"/>
      <c r="F95" s="141"/>
      <c r="G95" s="141"/>
      <c r="H95" s="141"/>
      <c r="I95" s="141"/>
      <c r="J95" s="141"/>
      <c r="K95" s="141"/>
      <c r="L95" s="141"/>
      <c r="M95" s="141"/>
      <c r="N95" s="141"/>
      <c r="O95" s="141"/>
      <c r="P95" s="141"/>
      <c r="Q95" s="141"/>
      <c r="R95" s="141"/>
      <c r="S95" s="141"/>
    </row>
    <row r="96" spans="1:19" x14ac:dyDescent="0.2">
      <c r="B96" s="141"/>
      <c r="C96" s="141"/>
      <c r="D96" s="141"/>
      <c r="E96" s="141"/>
      <c r="F96" s="141"/>
      <c r="G96" s="141"/>
      <c r="H96" s="141"/>
      <c r="I96" s="141"/>
      <c r="J96" s="141"/>
      <c r="K96" s="141"/>
      <c r="L96" s="141"/>
      <c r="M96" s="141"/>
      <c r="N96" s="141"/>
      <c r="O96" s="141"/>
      <c r="P96" s="141"/>
      <c r="Q96" s="141"/>
      <c r="R96" s="141"/>
      <c r="S96" s="141"/>
    </row>
    <row r="97" spans="2:19" x14ac:dyDescent="0.2">
      <c r="B97" s="141"/>
      <c r="C97" s="141"/>
      <c r="D97" s="141"/>
      <c r="E97" s="141"/>
      <c r="F97" s="141"/>
      <c r="G97" s="141"/>
      <c r="H97" s="141"/>
      <c r="I97" s="141"/>
      <c r="J97" s="141"/>
      <c r="K97" s="141"/>
      <c r="L97" s="141"/>
      <c r="M97" s="141"/>
      <c r="N97" s="141"/>
      <c r="O97" s="141"/>
      <c r="P97" s="141"/>
      <c r="Q97" s="141"/>
      <c r="R97" s="141"/>
      <c r="S97" s="141"/>
    </row>
    <row r="98" spans="2:19" x14ac:dyDescent="0.2">
      <c r="B98" s="141"/>
      <c r="C98" s="141"/>
      <c r="D98" s="141"/>
      <c r="E98" s="141"/>
      <c r="F98" s="141"/>
      <c r="G98" s="141"/>
      <c r="H98" s="141"/>
      <c r="I98" s="141"/>
      <c r="J98" s="141"/>
      <c r="K98" s="141"/>
      <c r="L98" s="141"/>
      <c r="M98" s="141"/>
      <c r="N98" s="141"/>
      <c r="O98" s="141"/>
      <c r="P98" s="141"/>
      <c r="Q98" s="141"/>
      <c r="R98" s="141"/>
      <c r="S98" s="141"/>
    </row>
    <row r="99" spans="2:19" x14ac:dyDescent="0.2">
      <c r="B99" s="141"/>
      <c r="C99" s="141"/>
      <c r="D99" s="141"/>
      <c r="E99" s="141"/>
      <c r="F99" s="141"/>
      <c r="G99" s="141"/>
      <c r="H99" s="141"/>
      <c r="I99" s="141"/>
      <c r="J99" s="141"/>
      <c r="K99" s="141"/>
      <c r="L99" s="141"/>
      <c r="M99" s="141"/>
      <c r="N99" s="141"/>
      <c r="O99" s="141"/>
      <c r="P99" s="141"/>
      <c r="Q99" s="141"/>
      <c r="R99" s="141"/>
      <c r="S99" s="141"/>
    </row>
    <row r="100" spans="2:19" x14ac:dyDescent="0.2">
      <c r="B100" s="141"/>
      <c r="C100" s="141"/>
      <c r="D100" s="141"/>
      <c r="E100" s="141"/>
      <c r="F100" s="141"/>
      <c r="G100" s="141"/>
      <c r="H100" s="141"/>
      <c r="I100" s="141"/>
      <c r="J100" s="141"/>
      <c r="K100" s="141"/>
      <c r="L100" s="141"/>
      <c r="M100" s="141"/>
      <c r="N100" s="141"/>
      <c r="O100" s="141"/>
      <c r="P100" s="141"/>
      <c r="Q100" s="141"/>
      <c r="R100" s="141"/>
      <c r="S100" s="141"/>
    </row>
    <row r="101" spans="2:19" x14ac:dyDescent="0.2">
      <c r="B101" s="141"/>
      <c r="C101" s="141"/>
      <c r="D101" s="141"/>
      <c r="E101" s="141"/>
      <c r="F101" s="141"/>
      <c r="G101" s="141"/>
      <c r="H101" s="141"/>
      <c r="I101" s="141"/>
      <c r="J101" s="141"/>
      <c r="K101" s="141"/>
      <c r="L101" s="141"/>
      <c r="M101" s="141"/>
      <c r="N101" s="141"/>
      <c r="O101" s="141"/>
      <c r="P101" s="141"/>
      <c r="Q101" s="141"/>
      <c r="R101" s="141"/>
      <c r="S101" s="141"/>
    </row>
    <row r="102" spans="2:19" x14ac:dyDescent="0.2">
      <c r="B102" s="141"/>
      <c r="C102" s="141"/>
      <c r="D102" s="141"/>
      <c r="E102" s="141"/>
      <c r="F102" s="141"/>
      <c r="G102" s="141"/>
      <c r="H102" s="141"/>
      <c r="I102" s="141"/>
      <c r="J102" s="141"/>
      <c r="K102" s="141"/>
      <c r="L102" s="141"/>
      <c r="M102" s="141"/>
      <c r="N102" s="141"/>
      <c r="O102" s="141"/>
      <c r="P102" s="141"/>
      <c r="Q102" s="141"/>
      <c r="R102" s="141"/>
      <c r="S102" s="141"/>
    </row>
    <row r="103" spans="2:19" x14ac:dyDescent="0.2">
      <c r="B103" s="141"/>
      <c r="C103" s="141"/>
      <c r="D103" s="141"/>
      <c r="E103" s="141"/>
      <c r="F103" s="141"/>
      <c r="G103" s="141"/>
      <c r="H103" s="141"/>
      <c r="I103" s="141"/>
      <c r="J103" s="141"/>
      <c r="K103" s="141"/>
      <c r="L103" s="141"/>
      <c r="M103" s="141"/>
      <c r="N103" s="141"/>
      <c r="O103" s="141"/>
      <c r="P103" s="141"/>
      <c r="Q103" s="141"/>
      <c r="R103" s="141"/>
      <c r="S103" s="141"/>
    </row>
    <row r="104" spans="2:19" x14ac:dyDescent="0.2">
      <c r="B104" s="141"/>
      <c r="C104" s="141"/>
      <c r="D104" s="141"/>
      <c r="E104" s="141"/>
      <c r="F104" s="141"/>
      <c r="G104" s="141"/>
      <c r="H104" s="141"/>
      <c r="I104" s="141"/>
      <c r="J104" s="141"/>
      <c r="K104" s="141"/>
      <c r="L104" s="141"/>
      <c r="M104" s="141"/>
      <c r="N104" s="141"/>
      <c r="O104" s="141"/>
      <c r="P104" s="141"/>
      <c r="Q104" s="141"/>
      <c r="R104" s="141"/>
      <c r="S104" s="141"/>
    </row>
    <row r="105" spans="2:19" x14ac:dyDescent="0.2">
      <c r="B105" s="141"/>
      <c r="C105" s="141"/>
      <c r="D105" s="141"/>
      <c r="E105" s="141"/>
      <c r="F105" s="141"/>
      <c r="G105" s="141"/>
      <c r="H105" s="141"/>
      <c r="I105" s="141"/>
      <c r="J105" s="141"/>
      <c r="K105" s="141"/>
      <c r="L105" s="141"/>
      <c r="M105" s="141"/>
      <c r="N105" s="141"/>
      <c r="O105" s="141"/>
      <c r="P105" s="141"/>
      <c r="Q105" s="141"/>
      <c r="R105" s="141"/>
      <c r="S105" s="141"/>
    </row>
    <row r="106" spans="2:19" x14ac:dyDescent="0.2">
      <c r="B106" s="141"/>
      <c r="C106" s="141"/>
      <c r="D106" s="141"/>
      <c r="E106" s="141"/>
      <c r="F106" s="141"/>
      <c r="G106" s="141"/>
      <c r="H106" s="141"/>
      <c r="I106" s="141"/>
      <c r="J106" s="141"/>
      <c r="K106" s="141"/>
      <c r="L106" s="141"/>
      <c r="M106" s="141"/>
      <c r="N106" s="141"/>
      <c r="O106" s="141"/>
      <c r="P106" s="141"/>
      <c r="Q106" s="141"/>
      <c r="R106" s="141"/>
      <c r="S106" s="141"/>
    </row>
    <row r="107" spans="2:19" x14ac:dyDescent="0.2">
      <c r="B107" s="141"/>
      <c r="C107" s="141"/>
      <c r="D107" s="141"/>
      <c r="E107" s="141"/>
      <c r="F107" s="141"/>
      <c r="G107" s="141"/>
      <c r="H107" s="141"/>
      <c r="I107" s="141"/>
      <c r="J107" s="141"/>
      <c r="K107" s="141"/>
      <c r="L107" s="141"/>
      <c r="M107" s="141"/>
      <c r="N107" s="141"/>
      <c r="O107" s="141"/>
      <c r="P107" s="141"/>
      <c r="Q107" s="141"/>
      <c r="R107" s="141"/>
      <c r="S107" s="141"/>
    </row>
    <row r="108" spans="2:19" x14ac:dyDescent="0.2">
      <c r="B108" s="141"/>
      <c r="C108" s="141"/>
      <c r="D108" s="141"/>
      <c r="E108" s="141"/>
      <c r="F108" s="141"/>
      <c r="G108" s="141"/>
      <c r="H108" s="141"/>
      <c r="I108" s="141"/>
      <c r="J108" s="141"/>
      <c r="K108" s="141"/>
      <c r="L108" s="141"/>
      <c r="M108" s="141"/>
      <c r="N108" s="141"/>
      <c r="O108" s="141"/>
      <c r="P108" s="141"/>
      <c r="Q108" s="141"/>
      <c r="R108" s="141"/>
      <c r="S108" s="141"/>
    </row>
    <row r="109" spans="2:19" x14ac:dyDescent="0.2">
      <c r="B109" s="141"/>
      <c r="C109" s="141"/>
      <c r="D109" s="141"/>
      <c r="E109" s="141"/>
      <c r="F109" s="141"/>
      <c r="G109" s="141"/>
      <c r="H109" s="141"/>
      <c r="I109" s="141"/>
      <c r="J109" s="141"/>
      <c r="K109" s="141"/>
      <c r="L109" s="141"/>
      <c r="M109" s="141"/>
      <c r="N109" s="141"/>
      <c r="O109" s="141"/>
      <c r="P109" s="141"/>
      <c r="Q109" s="141"/>
      <c r="R109" s="141"/>
      <c r="S109" s="141"/>
    </row>
    <row r="110" spans="2:19" x14ac:dyDescent="0.2">
      <c r="B110" s="141"/>
      <c r="C110" s="141"/>
      <c r="D110" s="141"/>
      <c r="E110" s="141"/>
      <c r="F110" s="141"/>
      <c r="G110" s="141"/>
      <c r="H110" s="141"/>
      <c r="I110" s="141"/>
      <c r="J110" s="141"/>
      <c r="K110" s="141"/>
      <c r="L110" s="141"/>
      <c r="M110" s="141"/>
      <c r="N110" s="141"/>
      <c r="O110" s="141"/>
      <c r="P110" s="141"/>
      <c r="Q110" s="141"/>
      <c r="R110" s="141"/>
      <c r="S110" s="141"/>
    </row>
    <row r="111" spans="2:19" x14ac:dyDescent="0.2">
      <c r="B111" s="141"/>
      <c r="C111" s="141"/>
      <c r="D111" s="141"/>
      <c r="E111" s="141"/>
      <c r="F111" s="141"/>
      <c r="G111" s="141"/>
      <c r="H111" s="141"/>
      <c r="I111" s="141"/>
      <c r="J111" s="141"/>
      <c r="K111" s="141"/>
      <c r="L111" s="141"/>
      <c r="M111" s="141"/>
      <c r="N111" s="141"/>
      <c r="O111" s="141"/>
      <c r="P111" s="141"/>
      <c r="Q111" s="141"/>
      <c r="R111" s="141"/>
      <c r="S111" s="141"/>
    </row>
    <row r="112" spans="2:19" x14ac:dyDescent="0.2">
      <c r="B112" s="141"/>
      <c r="C112" s="141"/>
      <c r="D112" s="141"/>
      <c r="E112" s="141"/>
      <c r="F112" s="141"/>
      <c r="G112" s="141"/>
      <c r="H112" s="141"/>
      <c r="I112" s="141"/>
      <c r="J112" s="141"/>
      <c r="K112" s="141"/>
      <c r="L112" s="141"/>
      <c r="M112" s="141"/>
      <c r="N112" s="141"/>
      <c r="O112" s="141"/>
      <c r="P112" s="141"/>
      <c r="Q112" s="141"/>
      <c r="R112" s="141"/>
      <c r="S112" s="141"/>
    </row>
    <row r="113" spans="2:19" x14ac:dyDescent="0.2">
      <c r="B113" s="141"/>
      <c r="C113" s="141"/>
      <c r="D113" s="141"/>
      <c r="E113" s="141"/>
      <c r="F113" s="141"/>
      <c r="G113" s="141"/>
      <c r="H113" s="141"/>
      <c r="I113" s="141"/>
      <c r="J113" s="141"/>
      <c r="K113" s="141"/>
      <c r="L113" s="141"/>
      <c r="M113" s="141"/>
      <c r="N113" s="141"/>
      <c r="O113" s="141"/>
      <c r="P113" s="141"/>
      <c r="Q113" s="141"/>
      <c r="R113" s="141"/>
      <c r="S113" s="141"/>
    </row>
    <row r="114" spans="2:19" x14ac:dyDescent="0.2">
      <c r="B114" s="141"/>
      <c r="C114" s="141"/>
      <c r="D114" s="141"/>
      <c r="E114" s="141"/>
      <c r="F114" s="141"/>
      <c r="G114" s="141"/>
      <c r="H114" s="141"/>
      <c r="I114" s="141"/>
      <c r="J114" s="141"/>
      <c r="K114" s="141"/>
      <c r="L114" s="141"/>
      <c r="M114" s="141"/>
      <c r="N114" s="141"/>
      <c r="O114" s="141"/>
      <c r="P114" s="141"/>
      <c r="Q114" s="141"/>
      <c r="R114" s="141"/>
      <c r="S114" s="141"/>
    </row>
    <row r="115" spans="2:19" x14ac:dyDescent="0.2">
      <c r="B115" s="141"/>
      <c r="C115" s="141"/>
      <c r="D115" s="141"/>
      <c r="E115" s="141"/>
      <c r="F115" s="141"/>
      <c r="G115" s="141"/>
      <c r="H115" s="141"/>
      <c r="I115" s="141"/>
      <c r="J115" s="141"/>
      <c r="K115" s="141"/>
      <c r="L115" s="141"/>
      <c r="M115" s="141"/>
      <c r="N115" s="141"/>
      <c r="O115" s="141"/>
      <c r="P115" s="141"/>
      <c r="Q115" s="141"/>
      <c r="R115" s="141"/>
      <c r="S115" s="141"/>
    </row>
    <row r="116" spans="2:19" x14ac:dyDescent="0.2">
      <c r="B116" s="141"/>
      <c r="C116" s="141"/>
      <c r="D116" s="141"/>
      <c r="E116" s="141"/>
      <c r="F116" s="141"/>
      <c r="G116" s="141"/>
      <c r="H116" s="141"/>
      <c r="I116" s="141"/>
      <c r="J116" s="141"/>
      <c r="K116" s="141"/>
      <c r="L116" s="141"/>
      <c r="M116" s="141"/>
      <c r="N116" s="141"/>
      <c r="O116" s="141"/>
      <c r="P116" s="141"/>
      <c r="Q116" s="141"/>
      <c r="R116" s="141"/>
      <c r="S116" s="141"/>
    </row>
    <row r="117" spans="2:19" x14ac:dyDescent="0.2">
      <c r="B117" s="141"/>
      <c r="C117" s="141"/>
      <c r="D117" s="141"/>
      <c r="E117" s="141"/>
      <c r="F117" s="141"/>
      <c r="G117" s="141"/>
      <c r="H117" s="141"/>
      <c r="I117" s="141"/>
      <c r="J117" s="141"/>
      <c r="K117" s="141"/>
      <c r="L117" s="141"/>
      <c r="M117" s="141"/>
      <c r="N117" s="141"/>
      <c r="O117" s="141"/>
      <c r="P117" s="141"/>
      <c r="Q117" s="141"/>
      <c r="R117" s="141"/>
      <c r="S117" s="141"/>
    </row>
    <row r="118" spans="2:19" x14ac:dyDescent="0.2">
      <c r="B118" s="141"/>
      <c r="C118" s="141"/>
      <c r="D118" s="141"/>
      <c r="E118" s="141"/>
      <c r="F118" s="141"/>
      <c r="G118" s="141"/>
      <c r="H118" s="141"/>
      <c r="I118" s="141"/>
      <c r="J118" s="141"/>
      <c r="K118" s="141"/>
      <c r="L118" s="141"/>
      <c r="M118" s="141"/>
      <c r="N118" s="141"/>
      <c r="O118" s="141"/>
      <c r="P118" s="141"/>
      <c r="Q118" s="141"/>
      <c r="R118" s="141"/>
      <c r="S118" s="141"/>
    </row>
    <row r="119" spans="2:19" x14ac:dyDescent="0.2">
      <c r="B119" s="141"/>
      <c r="C119" s="141"/>
      <c r="D119" s="141"/>
      <c r="E119" s="141"/>
      <c r="F119" s="141"/>
      <c r="G119" s="141"/>
      <c r="H119" s="141"/>
      <c r="I119" s="141"/>
      <c r="J119" s="141"/>
      <c r="K119" s="141"/>
      <c r="L119" s="141"/>
      <c r="M119" s="141"/>
      <c r="N119" s="141"/>
      <c r="O119" s="141"/>
      <c r="P119" s="141"/>
      <c r="Q119" s="141"/>
      <c r="R119" s="141"/>
      <c r="S119" s="141"/>
    </row>
    <row r="120" spans="2:19" x14ac:dyDescent="0.2">
      <c r="B120" s="141"/>
      <c r="C120" s="141"/>
      <c r="D120" s="141"/>
      <c r="E120" s="141"/>
      <c r="F120" s="141"/>
      <c r="G120" s="141"/>
      <c r="H120" s="141"/>
      <c r="I120" s="141"/>
      <c r="J120" s="141"/>
      <c r="K120" s="141"/>
      <c r="L120" s="141"/>
      <c r="M120" s="141"/>
      <c r="N120" s="141"/>
      <c r="O120" s="141"/>
      <c r="P120" s="141"/>
      <c r="Q120" s="141"/>
      <c r="R120" s="141"/>
      <c r="S120" s="141"/>
    </row>
    <row r="121" spans="2:19" x14ac:dyDescent="0.2">
      <c r="B121" s="141"/>
      <c r="C121" s="141"/>
      <c r="D121" s="141"/>
      <c r="E121" s="141"/>
      <c r="F121" s="141"/>
      <c r="G121" s="141"/>
      <c r="H121" s="141"/>
      <c r="I121" s="141"/>
      <c r="J121" s="141"/>
      <c r="K121" s="141"/>
      <c r="L121" s="141"/>
      <c r="M121" s="141"/>
      <c r="N121" s="141"/>
      <c r="O121" s="141"/>
      <c r="P121" s="141"/>
      <c r="Q121" s="141"/>
      <c r="R121" s="141"/>
      <c r="S121" s="141"/>
    </row>
    <row r="122" spans="2:19" x14ac:dyDescent="0.2">
      <c r="B122" s="141"/>
      <c r="C122" s="141"/>
      <c r="D122" s="141"/>
      <c r="E122" s="141"/>
      <c r="F122" s="141"/>
      <c r="G122" s="141"/>
      <c r="H122" s="141"/>
      <c r="I122" s="141"/>
      <c r="J122" s="141"/>
      <c r="K122" s="141"/>
      <c r="L122" s="141"/>
      <c r="M122" s="141"/>
      <c r="N122" s="141"/>
      <c r="O122" s="141"/>
      <c r="P122" s="141"/>
      <c r="Q122" s="141"/>
      <c r="R122" s="141"/>
      <c r="S122" s="141"/>
    </row>
    <row r="123" spans="2:19" x14ac:dyDescent="0.2">
      <c r="B123" s="141"/>
      <c r="C123" s="141"/>
      <c r="D123" s="141"/>
      <c r="E123" s="141"/>
      <c r="F123" s="141"/>
      <c r="G123" s="141"/>
      <c r="H123" s="141"/>
      <c r="I123" s="141"/>
      <c r="J123" s="141"/>
      <c r="K123" s="141"/>
      <c r="L123" s="141"/>
      <c r="M123" s="141"/>
      <c r="N123" s="141"/>
      <c r="O123" s="141"/>
      <c r="P123" s="141"/>
      <c r="Q123" s="141"/>
      <c r="R123" s="141"/>
      <c r="S123" s="141"/>
    </row>
    <row r="124" spans="2:19" x14ac:dyDescent="0.2">
      <c r="B124" s="141"/>
      <c r="C124" s="141"/>
      <c r="D124" s="141"/>
      <c r="E124" s="141"/>
      <c r="F124" s="141"/>
      <c r="G124" s="141"/>
      <c r="H124" s="141"/>
      <c r="I124" s="141"/>
      <c r="J124" s="141"/>
      <c r="K124" s="141"/>
      <c r="L124" s="141"/>
      <c r="M124" s="141"/>
      <c r="N124" s="141"/>
      <c r="O124" s="141"/>
      <c r="P124" s="141"/>
      <c r="Q124" s="141"/>
      <c r="R124" s="141"/>
      <c r="S124" s="141"/>
    </row>
    <row r="125" spans="2:19" x14ac:dyDescent="0.2">
      <c r="B125" s="141"/>
      <c r="C125" s="141"/>
      <c r="D125" s="141"/>
      <c r="E125" s="141"/>
      <c r="F125" s="141"/>
      <c r="G125" s="141"/>
      <c r="H125" s="141"/>
      <c r="I125" s="141"/>
      <c r="J125" s="141"/>
      <c r="K125" s="141"/>
      <c r="L125" s="141"/>
      <c r="M125" s="141"/>
      <c r="N125" s="141"/>
      <c r="O125" s="141"/>
      <c r="P125" s="141"/>
      <c r="Q125" s="141"/>
      <c r="R125" s="141"/>
      <c r="S125" s="141"/>
    </row>
    <row r="126" spans="2:19" x14ac:dyDescent="0.2">
      <c r="B126" s="141"/>
      <c r="C126" s="141"/>
      <c r="D126" s="141"/>
      <c r="E126" s="141"/>
      <c r="F126" s="141"/>
      <c r="G126" s="141"/>
      <c r="H126" s="141"/>
      <c r="I126" s="141"/>
      <c r="J126" s="141"/>
      <c r="K126" s="141"/>
      <c r="L126" s="141"/>
      <c r="M126" s="141"/>
      <c r="N126" s="141"/>
      <c r="O126" s="141"/>
      <c r="P126" s="141"/>
      <c r="Q126" s="141"/>
      <c r="R126" s="141"/>
      <c r="S126" s="141"/>
    </row>
    <row r="127" spans="2:19" x14ac:dyDescent="0.2">
      <c r="B127" s="141"/>
      <c r="C127" s="141"/>
      <c r="D127" s="141"/>
      <c r="E127" s="141"/>
      <c r="F127" s="141"/>
      <c r="G127" s="141"/>
      <c r="H127" s="141"/>
      <c r="I127" s="141"/>
      <c r="J127" s="141"/>
      <c r="K127" s="141"/>
      <c r="L127" s="141"/>
      <c r="M127" s="141"/>
      <c r="N127" s="141"/>
      <c r="O127" s="141"/>
      <c r="P127" s="141"/>
      <c r="Q127" s="141"/>
      <c r="R127" s="141"/>
      <c r="S127" s="141"/>
    </row>
    <row r="128" spans="2:19" x14ac:dyDescent="0.2">
      <c r="B128" s="141"/>
      <c r="C128" s="141"/>
      <c r="D128" s="141"/>
      <c r="E128" s="141"/>
      <c r="F128" s="141"/>
      <c r="G128" s="141"/>
      <c r="H128" s="141"/>
      <c r="I128" s="141"/>
      <c r="J128" s="141"/>
      <c r="K128" s="141"/>
      <c r="L128" s="141"/>
      <c r="M128" s="141"/>
      <c r="N128" s="141"/>
      <c r="O128" s="141"/>
      <c r="P128" s="141"/>
      <c r="Q128" s="141"/>
      <c r="R128" s="141"/>
      <c r="S128" s="141"/>
    </row>
    <row r="129" spans="2:19" x14ac:dyDescent="0.2">
      <c r="B129" s="141"/>
      <c r="C129" s="141"/>
      <c r="D129" s="141"/>
      <c r="E129" s="141"/>
      <c r="F129" s="141"/>
      <c r="G129" s="141"/>
      <c r="H129" s="141"/>
      <c r="I129" s="141"/>
      <c r="J129" s="141"/>
      <c r="K129" s="141"/>
      <c r="L129" s="141"/>
      <c r="M129" s="141"/>
      <c r="N129" s="141"/>
      <c r="O129" s="141"/>
      <c r="P129" s="141"/>
      <c r="Q129" s="141"/>
      <c r="R129" s="141"/>
      <c r="S129" s="141"/>
    </row>
    <row r="130" spans="2:19" x14ac:dyDescent="0.2">
      <c r="B130" s="141"/>
      <c r="C130" s="141"/>
      <c r="D130" s="141"/>
      <c r="E130" s="141"/>
      <c r="F130" s="141"/>
      <c r="G130" s="141"/>
      <c r="H130" s="141"/>
      <c r="I130" s="141"/>
      <c r="J130" s="141"/>
      <c r="K130" s="141"/>
      <c r="L130" s="141"/>
      <c r="M130" s="141"/>
      <c r="N130" s="141"/>
      <c r="O130" s="141"/>
      <c r="P130" s="141"/>
      <c r="Q130" s="141"/>
      <c r="R130" s="141"/>
      <c r="S130" s="141"/>
    </row>
    <row r="131" spans="2:19" x14ac:dyDescent="0.2">
      <c r="B131" s="141"/>
      <c r="C131" s="141"/>
      <c r="D131" s="141"/>
      <c r="E131" s="141"/>
      <c r="F131" s="141"/>
      <c r="G131" s="141"/>
      <c r="H131" s="141"/>
      <c r="I131" s="141"/>
      <c r="J131" s="141"/>
      <c r="K131" s="141"/>
      <c r="L131" s="141"/>
      <c r="M131" s="141"/>
      <c r="N131" s="141"/>
      <c r="O131" s="141"/>
      <c r="P131" s="141"/>
      <c r="Q131" s="141"/>
      <c r="R131" s="141"/>
      <c r="S131" s="141"/>
    </row>
    <row r="132" spans="2:19" x14ac:dyDescent="0.2">
      <c r="B132" s="141"/>
      <c r="C132" s="141"/>
      <c r="D132" s="141"/>
      <c r="E132" s="141"/>
      <c r="F132" s="141"/>
      <c r="G132" s="141"/>
      <c r="H132" s="141"/>
      <c r="I132" s="141"/>
      <c r="J132" s="141"/>
      <c r="K132" s="141"/>
      <c r="L132" s="141"/>
      <c r="M132" s="141"/>
      <c r="N132" s="141"/>
      <c r="O132" s="141"/>
      <c r="P132" s="141"/>
      <c r="Q132" s="141"/>
      <c r="R132" s="141"/>
      <c r="S132" s="141"/>
    </row>
    <row r="133" spans="2:19" x14ac:dyDescent="0.2">
      <c r="B133" s="141"/>
      <c r="C133" s="141"/>
      <c r="D133" s="141"/>
      <c r="E133" s="141"/>
      <c r="F133" s="141"/>
      <c r="G133" s="141"/>
      <c r="H133" s="141"/>
      <c r="I133" s="141"/>
      <c r="J133" s="141"/>
      <c r="K133" s="141"/>
      <c r="L133" s="141"/>
      <c r="M133" s="141"/>
      <c r="N133" s="141"/>
      <c r="O133" s="141"/>
      <c r="P133" s="141"/>
      <c r="Q133" s="141"/>
      <c r="R133" s="141"/>
      <c r="S133" s="141"/>
    </row>
    <row r="134" spans="2:19" x14ac:dyDescent="0.2">
      <c r="B134" s="141"/>
      <c r="C134" s="141"/>
      <c r="D134" s="141"/>
      <c r="E134" s="141"/>
      <c r="F134" s="141"/>
      <c r="G134" s="141"/>
      <c r="H134" s="141"/>
      <c r="I134" s="141"/>
      <c r="J134" s="141"/>
      <c r="K134" s="141"/>
      <c r="L134" s="141"/>
      <c r="M134" s="141"/>
      <c r="N134" s="141"/>
      <c r="O134" s="141"/>
      <c r="P134" s="141"/>
      <c r="Q134" s="141"/>
      <c r="R134" s="141"/>
      <c r="S134" s="141"/>
    </row>
    <row r="135" spans="2:19" x14ac:dyDescent="0.2">
      <c r="B135" s="141"/>
      <c r="C135" s="141"/>
      <c r="D135" s="141"/>
      <c r="E135" s="141"/>
      <c r="F135" s="141"/>
      <c r="G135" s="141"/>
      <c r="H135" s="141"/>
      <c r="I135" s="141"/>
      <c r="J135" s="141"/>
      <c r="K135" s="141"/>
      <c r="L135" s="141"/>
      <c r="M135" s="141"/>
      <c r="N135" s="141"/>
      <c r="O135" s="141"/>
      <c r="P135" s="141"/>
      <c r="Q135" s="141"/>
      <c r="R135" s="141"/>
      <c r="S135" s="141"/>
    </row>
    <row r="136" spans="2:19" x14ac:dyDescent="0.2">
      <c r="B136" s="141"/>
      <c r="C136" s="141"/>
      <c r="D136" s="141"/>
      <c r="E136" s="141"/>
      <c r="F136" s="141"/>
      <c r="G136" s="141"/>
      <c r="H136" s="141"/>
      <c r="I136" s="141"/>
      <c r="J136" s="141"/>
      <c r="K136" s="141"/>
      <c r="L136" s="141"/>
      <c r="M136" s="141"/>
      <c r="N136" s="141"/>
      <c r="O136" s="141"/>
      <c r="P136" s="141"/>
      <c r="Q136" s="141"/>
      <c r="R136" s="141"/>
      <c r="S136" s="141"/>
    </row>
    <row r="137" spans="2:19" x14ac:dyDescent="0.2">
      <c r="B137" s="141"/>
      <c r="C137" s="141"/>
      <c r="D137" s="141"/>
      <c r="E137" s="141"/>
      <c r="F137" s="141"/>
      <c r="G137" s="141"/>
      <c r="H137" s="141"/>
      <c r="I137" s="141"/>
      <c r="J137" s="141"/>
      <c r="K137" s="141"/>
      <c r="L137" s="141"/>
      <c r="M137" s="141"/>
      <c r="N137" s="141"/>
      <c r="O137" s="141"/>
      <c r="P137" s="141"/>
      <c r="Q137" s="141"/>
      <c r="R137" s="141"/>
      <c r="S137" s="141"/>
    </row>
    <row r="138" spans="2:19" x14ac:dyDescent="0.2">
      <c r="B138" s="141"/>
      <c r="C138" s="141"/>
      <c r="D138" s="141"/>
      <c r="E138" s="141"/>
      <c r="F138" s="141"/>
      <c r="G138" s="141"/>
      <c r="H138" s="141"/>
      <c r="I138" s="141"/>
      <c r="J138" s="141"/>
      <c r="K138" s="141"/>
      <c r="L138" s="141"/>
      <c r="M138" s="141"/>
      <c r="N138" s="141"/>
      <c r="O138" s="141"/>
      <c r="P138" s="141"/>
      <c r="Q138" s="141"/>
      <c r="R138" s="141"/>
      <c r="S138" s="141"/>
    </row>
    <row r="139" spans="2:19" x14ac:dyDescent="0.2">
      <c r="B139" s="141"/>
      <c r="C139" s="141"/>
      <c r="D139" s="141"/>
      <c r="E139" s="141"/>
      <c r="F139" s="141"/>
      <c r="G139" s="141"/>
      <c r="H139" s="141"/>
      <c r="I139" s="141"/>
      <c r="J139" s="141"/>
      <c r="K139" s="141"/>
      <c r="L139" s="141"/>
      <c r="M139" s="141"/>
      <c r="N139" s="141"/>
      <c r="O139" s="141"/>
      <c r="P139" s="141"/>
      <c r="Q139" s="141"/>
      <c r="R139" s="141"/>
      <c r="S139" s="141"/>
    </row>
  </sheetData>
  <pageMargins left="0.17" right="0.56000000000000005" top="0.48" bottom="0.56000000000000005"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139"/>
  <sheetViews>
    <sheetView view="pageBreakPreview" zoomScale="50" zoomScaleNormal="50" zoomScaleSheetLayoutView="50" workbookViewId="0"/>
  </sheetViews>
  <sheetFormatPr defaultColWidth="10.28515625" defaultRowHeight="12.75" x14ac:dyDescent="0.2"/>
  <cols>
    <col min="1" max="1" width="8.140625" style="275" customWidth="1"/>
    <col min="2" max="2" width="0.42578125" style="275" customWidth="1"/>
    <col min="3" max="3" width="0.28515625" style="275" customWidth="1"/>
    <col min="4" max="4" width="7.42578125" style="275" customWidth="1"/>
    <col min="5" max="5" width="0.28515625" style="275" customWidth="1"/>
    <col min="6" max="6" width="0.28515625" style="274" customWidth="1"/>
    <col min="7" max="8" width="0.28515625" style="275" customWidth="1"/>
    <col min="9" max="10" width="0.28515625" style="274" customWidth="1"/>
    <col min="11" max="11" width="5" style="274" customWidth="1"/>
    <col min="12" max="13" width="0.28515625" style="275" customWidth="1"/>
    <col min="14" max="18" width="0.28515625" style="274" customWidth="1"/>
    <col min="19" max="19" width="5" style="274" customWidth="1"/>
    <col min="20" max="21" width="0.28515625" style="275" customWidth="1"/>
    <col min="22" max="27" width="0.28515625" style="276" customWidth="1"/>
    <col min="28" max="29" width="0.28515625" style="274" customWidth="1"/>
    <col min="30" max="30" width="5.28515625" style="274" customWidth="1"/>
    <col min="31" max="46" width="0.28515625" style="274" customWidth="1"/>
    <col min="47" max="47" width="5" style="274" customWidth="1"/>
    <col min="48" max="49" width="0.28515625" style="274" customWidth="1"/>
    <col min="50" max="50" width="5" style="274" customWidth="1"/>
    <col min="51" max="55" width="0.28515625" style="274" customWidth="1"/>
    <col min="56" max="56" width="5" style="274" customWidth="1"/>
    <col min="57" max="59" width="0.28515625" style="274" customWidth="1"/>
    <col min="60" max="60" width="6.140625" style="274" customWidth="1"/>
    <col min="61" max="61" width="6.7109375" style="274" customWidth="1"/>
    <col min="62" max="63" width="0.28515625" style="274" customWidth="1"/>
    <col min="64" max="64" width="5" style="274" customWidth="1"/>
    <col min="65" max="67" width="0.28515625" style="274" customWidth="1"/>
    <col min="68" max="68" width="5" style="274" customWidth="1"/>
    <col min="69" max="69" width="4.28515625" style="274" customWidth="1"/>
    <col min="70" max="70" width="9.28515625" style="274" customWidth="1"/>
    <col min="71" max="71" width="8.5703125" style="277" customWidth="1"/>
    <col min="72" max="72" width="9.28515625" customWidth="1"/>
    <col min="73" max="73" width="10.28515625" customWidth="1"/>
    <col min="74" max="74" width="14.7109375" customWidth="1"/>
    <col min="75" max="78" width="10.28515625" customWidth="1"/>
    <col min="79" max="16384" width="10.28515625" style="274"/>
  </cols>
  <sheetData>
    <row r="1" spans="1:78" x14ac:dyDescent="0.2">
      <c r="A1" s="274" t="s">
        <v>7</v>
      </c>
      <c r="W1" s="274"/>
      <c r="X1" s="274"/>
      <c r="Y1" s="274"/>
      <c r="Z1" s="274"/>
      <c r="AA1" s="274"/>
      <c r="AX1" s="321" t="s">
        <v>758</v>
      </c>
    </row>
    <row r="2" spans="1:78" s="280" customFormat="1" ht="34.15" customHeight="1" x14ac:dyDescent="0.2">
      <c r="A2" s="413" t="s">
        <v>844</v>
      </c>
      <c r="B2" s="413" t="s">
        <v>843</v>
      </c>
      <c r="C2" s="413"/>
      <c r="D2" s="413"/>
      <c r="E2" s="413"/>
      <c r="F2" s="413"/>
      <c r="G2" s="413"/>
      <c r="H2" s="413"/>
      <c r="K2" s="313">
        <v>0.5</v>
      </c>
      <c r="L2" s="311"/>
      <c r="M2" s="311"/>
      <c r="S2" s="313">
        <v>0.5</v>
      </c>
      <c r="AD2" s="313">
        <v>0.5</v>
      </c>
      <c r="AU2" s="313">
        <v>0.5</v>
      </c>
      <c r="AX2" s="313">
        <v>0.5</v>
      </c>
      <c r="BE2" s="284"/>
      <c r="BF2" s="284"/>
      <c r="BG2" s="284"/>
      <c r="BH2" s="313">
        <v>1</v>
      </c>
      <c r="BI2" s="313">
        <v>1</v>
      </c>
      <c r="BL2" s="313">
        <v>1</v>
      </c>
      <c r="BS2" s="312"/>
      <c r="BT2"/>
      <c r="BU2"/>
      <c r="BV2"/>
      <c r="BW2"/>
      <c r="BX2"/>
      <c r="BY2"/>
      <c r="BZ2"/>
    </row>
    <row r="3" spans="1:78" s="282" customFormat="1" ht="61.15" customHeight="1" x14ac:dyDescent="0.2">
      <c r="A3" s="311" t="s">
        <v>479</v>
      </c>
      <c r="B3" s="281" t="s">
        <v>686</v>
      </c>
      <c r="C3" s="281" t="s">
        <v>687</v>
      </c>
      <c r="D3" s="278" t="s">
        <v>676</v>
      </c>
      <c r="E3" s="281" t="s">
        <v>688</v>
      </c>
      <c r="F3" s="282" t="s">
        <v>689</v>
      </c>
      <c r="G3" s="281" t="s">
        <v>690</v>
      </c>
      <c r="H3" s="281" t="s">
        <v>487</v>
      </c>
      <c r="I3" s="282" t="s">
        <v>691</v>
      </c>
      <c r="J3" s="282" t="s">
        <v>692</v>
      </c>
      <c r="K3" s="279" t="s">
        <v>677</v>
      </c>
      <c r="L3" s="281" t="s">
        <v>693</v>
      </c>
      <c r="M3" s="281" t="s">
        <v>694</v>
      </c>
      <c r="N3" s="282" t="s">
        <v>695</v>
      </c>
      <c r="O3" s="282" t="s">
        <v>696</v>
      </c>
      <c r="P3" s="282" t="s">
        <v>697</v>
      </c>
      <c r="Q3" s="282" t="s">
        <v>698</v>
      </c>
      <c r="R3" s="281" t="s">
        <v>699</v>
      </c>
      <c r="S3" s="279" t="s">
        <v>678</v>
      </c>
      <c r="T3" s="281" t="s">
        <v>700</v>
      </c>
      <c r="U3" s="281" t="s">
        <v>701</v>
      </c>
      <c r="V3" s="282" t="s">
        <v>702</v>
      </c>
      <c r="W3" s="282" t="s">
        <v>703</v>
      </c>
      <c r="X3" s="282" t="s">
        <v>704</v>
      </c>
      <c r="Y3" s="282" t="s">
        <v>705</v>
      </c>
      <c r="Z3" s="282" t="s">
        <v>706</v>
      </c>
      <c r="AA3" s="282" t="s">
        <v>707</v>
      </c>
      <c r="AB3" s="282" t="s">
        <v>708</v>
      </c>
      <c r="AC3" s="282" t="s">
        <v>709</v>
      </c>
      <c r="AD3" s="279" t="s">
        <v>679</v>
      </c>
      <c r="AE3" s="282" t="s">
        <v>710</v>
      </c>
      <c r="AF3" s="283" t="s">
        <v>711</v>
      </c>
      <c r="AG3" s="282" t="s">
        <v>712</v>
      </c>
      <c r="AH3" s="282" t="s">
        <v>713</v>
      </c>
      <c r="AI3" s="282" t="s">
        <v>714</v>
      </c>
      <c r="AJ3" s="282" t="s">
        <v>715</v>
      </c>
      <c r="AK3" s="282" t="s">
        <v>716</v>
      </c>
      <c r="AL3" s="282" t="s">
        <v>717</v>
      </c>
      <c r="AM3" s="282" t="s">
        <v>718</v>
      </c>
      <c r="AN3" s="282" t="s">
        <v>719</v>
      </c>
      <c r="AO3" s="282" t="s">
        <v>720</v>
      </c>
      <c r="AP3" s="282" t="s">
        <v>721</v>
      </c>
      <c r="AQ3" s="282" t="s">
        <v>722</v>
      </c>
      <c r="AR3" s="282" t="s">
        <v>723</v>
      </c>
      <c r="AS3" s="282" t="s">
        <v>724</v>
      </c>
      <c r="AT3" s="282" t="s">
        <v>725</v>
      </c>
      <c r="AU3" s="279" t="s">
        <v>680</v>
      </c>
      <c r="AV3" s="282" t="s">
        <v>726</v>
      </c>
      <c r="AW3" s="282" t="s">
        <v>727</v>
      </c>
      <c r="AX3" s="279" t="s">
        <v>681</v>
      </c>
      <c r="AY3" s="282" t="s">
        <v>728</v>
      </c>
      <c r="AZ3" s="282" t="s">
        <v>729</v>
      </c>
      <c r="BA3" s="282" t="s">
        <v>730</v>
      </c>
      <c r="BB3" s="283" t="s">
        <v>731</v>
      </c>
      <c r="BC3" s="282" t="s">
        <v>732</v>
      </c>
      <c r="BD3" s="279" t="s">
        <v>682</v>
      </c>
      <c r="BE3" s="282" t="s">
        <v>733</v>
      </c>
      <c r="BF3" s="282" t="s">
        <v>734</v>
      </c>
      <c r="BG3" s="282" t="s">
        <v>735</v>
      </c>
      <c r="BH3" s="284" t="s">
        <v>683</v>
      </c>
      <c r="BI3" s="284" t="s">
        <v>774</v>
      </c>
      <c r="BJ3" s="282" t="s">
        <v>736</v>
      </c>
      <c r="BK3" s="282" t="s">
        <v>737</v>
      </c>
      <c r="BL3" s="279" t="s">
        <v>684</v>
      </c>
      <c r="BM3" s="282" t="s">
        <v>738</v>
      </c>
      <c r="BN3" s="282" t="s">
        <v>739</v>
      </c>
      <c r="BO3" s="282" t="s">
        <v>740</v>
      </c>
      <c r="BP3" s="279" t="s">
        <v>685</v>
      </c>
      <c r="BQ3" s="279" t="s">
        <v>741</v>
      </c>
      <c r="BR3" s="319" t="s">
        <v>754</v>
      </c>
      <c r="BS3" s="319" t="s">
        <v>755</v>
      </c>
      <c r="BT3"/>
      <c r="BU3"/>
      <c r="BV3"/>
      <c r="BW3"/>
      <c r="BX3"/>
      <c r="BY3"/>
      <c r="BZ3"/>
    </row>
    <row r="4" spans="1:78" x14ac:dyDescent="0.2">
      <c r="A4" s="275">
        <v>37056</v>
      </c>
      <c r="B4" s="285"/>
      <c r="C4" s="285"/>
      <c r="D4" s="407"/>
      <c r="E4" s="407">
        <v>10</v>
      </c>
      <c r="F4" s="407">
        <v>10</v>
      </c>
      <c r="G4" s="407">
        <v>10</v>
      </c>
      <c r="H4" s="407">
        <v>6</v>
      </c>
      <c r="I4" s="407"/>
      <c r="J4" s="407"/>
      <c r="K4" s="408">
        <f>SUM(D4:J4)</f>
        <v>36</v>
      </c>
      <c r="L4" s="407"/>
      <c r="M4" s="407"/>
      <c r="N4" s="407"/>
      <c r="O4" s="407"/>
      <c r="P4" s="407"/>
      <c r="Q4" s="407"/>
      <c r="R4" s="407"/>
      <c r="S4" s="408"/>
      <c r="T4" s="407"/>
      <c r="U4" s="407"/>
      <c r="V4" s="407"/>
      <c r="W4" s="407"/>
      <c r="X4" s="407"/>
      <c r="Y4" s="407"/>
      <c r="Z4" s="407"/>
      <c r="AA4" s="407">
        <v>10</v>
      </c>
      <c r="AB4" s="407">
        <v>10</v>
      </c>
      <c r="AC4" s="407">
        <v>0</v>
      </c>
      <c r="AD4" s="408">
        <f>SUM(T4:AC4)</f>
        <v>20</v>
      </c>
      <c r="AE4" s="407"/>
      <c r="AF4" s="407"/>
      <c r="AG4" s="407"/>
      <c r="AH4" s="407"/>
      <c r="AI4" s="407"/>
      <c r="AJ4" s="407"/>
      <c r="AK4" s="407"/>
      <c r="AL4" s="407"/>
      <c r="AM4" s="407"/>
      <c r="AN4" s="407"/>
      <c r="AO4" s="407"/>
      <c r="AP4" s="407"/>
      <c r="AQ4" s="407"/>
      <c r="AR4" s="407"/>
      <c r="AS4" s="407"/>
      <c r="AT4" s="407"/>
      <c r="AU4" s="408"/>
      <c r="AV4" s="407"/>
      <c r="AW4" s="407"/>
      <c r="AX4" s="408"/>
      <c r="AY4" s="407"/>
      <c r="AZ4" s="407"/>
      <c r="BA4" s="407"/>
      <c r="BB4" s="407"/>
      <c r="BC4" s="407"/>
      <c r="BD4" s="408">
        <f t="shared" ref="BD4:BD42" si="0">SUM(AY4:BC4)</f>
        <v>0</v>
      </c>
      <c r="BE4" s="407"/>
      <c r="BF4" s="407"/>
      <c r="BG4" s="407"/>
      <c r="BH4" s="407"/>
      <c r="BI4" s="407"/>
      <c r="BJ4" s="407"/>
      <c r="BK4" s="407"/>
      <c r="BL4" s="407"/>
      <c r="BM4" s="407"/>
      <c r="BN4" s="407"/>
      <c r="BO4" s="407"/>
      <c r="BP4" s="407"/>
      <c r="BQ4" s="407"/>
      <c r="BR4" s="285">
        <f t="shared" ref="BR4:BR43" si="1">+D4+K4+S4+AD4+AU4+AX4+BD4+BH4+BL4+BP4+BQ4+BI4</f>
        <v>56</v>
      </c>
      <c r="BS4" s="409">
        <f>+((K4+S4+AD4+AU4+AX4+BD4)*0.5)+D4+BP4+BQ4</f>
        <v>28</v>
      </c>
    </row>
    <row r="5" spans="1:78" x14ac:dyDescent="0.2">
      <c r="A5" s="275">
        <v>37057</v>
      </c>
      <c r="B5" s="285">
        <v>9</v>
      </c>
      <c r="C5" s="285">
        <v>9</v>
      </c>
      <c r="D5" s="407">
        <f t="shared" ref="D5:D14" si="2">+C5+B5</f>
        <v>18</v>
      </c>
      <c r="E5" s="407"/>
      <c r="F5" s="407"/>
      <c r="G5" s="407"/>
      <c r="H5" s="407"/>
      <c r="I5" s="407"/>
      <c r="J5" s="407"/>
      <c r="K5" s="408">
        <f>SUM(D5:J5)</f>
        <v>18</v>
      </c>
      <c r="L5" s="407"/>
      <c r="M5" s="407"/>
      <c r="N5" s="407"/>
      <c r="O5" s="407"/>
      <c r="P5" s="407"/>
      <c r="Q5" s="407"/>
      <c r="R5" s="407">
        <v>4</v>
      </c>
      <c r="S5" s="408">
        <f>SUM(M5:R5)</f>
        <v>4</v>
      </c>
      <c r="T5" s="407"/>
      <c r="U5" s="407"/>
      <c r="V5" s="407">
        <v>8</v>
      </c>
      <c r="W5" s="407">
        <v>2</v>
      </c>
      <c r="X5" s="407" t="s">
        <v>742</v>
      </c>
      <c r="Y5" s="407">
        <v>0</v>
      </c>
      <c r="Z5" s="407"/>
      <c r="AA5" s="407"/>
      <c r="AB5" s="407"/>
      <c r="AC5" s="407"/>
      <c r="AD5" s="408">
        <f>SUM(T5:AC5)</f>
        <v>10</v>
      </c>
      <c r="AE5" s="407"/>
      <c r="AF5" s="407"/>
      <c r="AG5" s="407"/>
      <c r="AH5" s="407"/>
      <c r="AI5" s="407"/>
      <c r="AJ5" s="407"/>
      <c r="AK5" s="407"/>
      <c r="AL5" s="407"/>
      <c r="AM5" s="407"/>
      <c r="AN5" s="407"/>
      <c r="AO5" s="407"/>
      <c r="AP5" s="407"/>
      <c r="AQ5" s="407">
        <v>9</v>
      </c>
      <c r="AR5" s="407">
        <v>8</v>
      </c>
      <c r="AS5" s="407">
        <v>9</v>
      </c>
      <c r="AT5" s="407">
        <v>9</v>
      </c>
      <c r="AU5" s="408">
        <f t="shared" ref="AU5:AU43" si="3">SUM(AE5:AT5)</f>
        <v>35</v>
      </c>
      <c r="AV5" s="407"/>
      <c r="AW5" s="407"/>
      <c r="AX5" s="408"/>
      <c r="AY5" s="407"/>
      <c r="AZ5" s="407"/>
      <c r="BA5" s="407"/>
      <c r="BB5" s="407"/>
      <c r="BC5" s="407"/>
      <c r="BD5" s="408">
        <f t="shared" si="0"/>
        <v>0</v>
      </c>
      <c r="BE5" s="407"/>
      <c r="BF5" s="407"/>
      <c r="BG5" s="407"/>
      <c r="BH5" s="407"/>
      <c r="BI5" s="407"/>
      <c r="BJ5" s="407"/>
      <c r="BK5" s="407"/>
      <c r="BL5" s="407"/>
      <c r="BM5" s="407"/>
      <c r="BN5" s="407"/>
      <c r="BO5" s="407"/>
      <c r="BP5" s="407"/>
      <c r="BQ5" s="407"/>
      <c r="BR5" s="285">
        <f t="shared" si="1"/>
        <v>85</v>
      </c>
      <c r="BS5" s="409">
        <f t="shared" ref="BS5:BS43" si="4">+((K5+S5+AD5+AU5+AX5+BD5)*0.5)+D5+BP5+BQ5</f>
        <v>51.5</v>
      </c>
    </row>
    <row r="6" spans="1:78" x14ac:dyDescent="0.2">
      <c r="A6" s="275">
        <v>37058</v>
      </c>
      <c r="B6" s="285">
        <v>6</v>
      </c>
      <c r="C6" s="285">
        <v>6</v>
      </c>
      <c r="D6" s="407">
        <f t="shared" si="2"/>
        <v>12</v>
      </c>
      <c r="E6" s="407"/>
      <c r="F6" s="407"/>
      <c r="G6" s="407"/>
      <c r="H6" s="407"/>
      <c r="I6" s="407"/>
      <c r="J6" s="407"/>
      <c r="K6" s="408"/>
      <c r="L6" s="407"/>
      <c r="M6" s="407"/>
      <c r="N6" s="407">
        <v>4</v>
      </c>
      <c r="O6" s="407"/>
      <c r="P6" s="407"/>
      <c r="Q6" s="407"/>
      <c r="R6" s="407"/>
      <c r="S6" s="408">
        <f>SUM(M6:R6)</f>
        <v>4</v>
      </c>
      <c r="T6" s="407"/>
      <c r="U6" s="407"/>
      <c r="V6" s="407"/>
      <c r="W6" s="407"/>
      <c r="X6" s="407"/>
      <c r="Y6" s="407"/>
      <c r="Z6" s="407"/>
      <c r="AA6" s="407"/>
      <c r="AB6" s="407"/>
      <c r="AC6" s="407"/>
      <c r="AD6" s="408"/>
      <c r="AE6" s="407"/>
      <c r="AF6" s="407"/>
      <c r="AG6" s="407"/>
      <c r="AH6" s="407"/>
      <c r="AI6" s="407"/>
      <c r="AJ6" s="407"/>
      <c r="AK6" s="407">
        <v>1</v>
      </c>
      <c r="AL6" s="407">
        <v>1.5</v>
      </c>
      <c r="AM6" s="407"/>
      <c r="AN6" s="407"/>
      <c r="AO6" s="407">
        <v>4</v>
      </c>
      <c r="AP6" s="407">
        <v>7</v>
      </c>
      <c r="AQ6" s="407">
        <v>6</v>
      </c>
      <c r="AR6" s="407"/>
      <c r="AS6" s="407"/>
      <c r="AT6" s="407"/>
      <c r="AU6" s="408">
        <f t="shared" si="3"/>
        <v>19.5</v>
      </c>
      <c r="AV6" s="407"/>
      <c r="AW6" s="407"/>
      <c r="AX6" s="408"/>
      <c r="AY6" s="407">
        <v>2</v>
      </c>
      <c r="AZ6" s="407">
        <v>2</v>
      </c>
      <c r="BA6" s="407"/>
      <c r="BB6" s="407"/>
      <c r="BC6" s="407">
        <v>10</v>
      </c>
      <c r="BD6" s="408">
        <f t="shared" si="0"/>
        <v>14</v>
      </c>
      <c r="BE6" s="407"/>
      <c r="BF6" s="407"/>
      <c r="BG6" s="407"/>
      <c r="BH6" s="407"/>
      <c r="BI6" s="407"/>
      <c r="BJ6" s="407"/>
      <c r="BK6" s="407"/>
      <c r="BL6" s="407"/>
      <c r="BM6" s="407"/>
      <c r="BN6" s="407"/>
      <c r="BO6" s="407"/>
      <c r="BP6" s="407"/>
      <c r="BQ6" s="407"/>
      <c r="BR6" s="285">
        <f t="shared" si="1"/>
        <v>49.5</v>
      </c>
      <c r="BS6" s="409">
        <f t="shared" si="4"/>
        <v>30.75</v>
      </c>
    </row>
    <row r="7" spans="1:78" x14ac:dyDescent="0.2">
      <c r="A7" s="275">
        <v>37059</v>
      </c>
      <c r="B7" s="285">
        <v>10.5</v>
      </c>
      <c r="C7" s="285">
        <v>10.5</v>
      </c>
      <c r="D7" s="407">
        <f t="shared" si="2"/>
        <v>21</v>
      </c>
      <c r="E7" s="407">
        <v>10</v>
      </c>
      <c r="F7" s="407">
        <v>10</v>
      </c>
      <c r="G7" s="407">
        <v>9.5</v>
      </c>
      <c r="H7" s="407">
        <v>5</v>
      </c>
      <c r="I7" s="407"/>
      <c r="J7" s="407"/>
      <c r="K7" s="408">
        <f t="shared" ref="K7:K22" si="5">SUM(E7:J7)</f>
        <v>34.5</v>
      </c>
      <c r="L7" s="407">
        <v>10</v>
      </c>
      <c r="M7" s="407">
        <v>0</v>
      </c>
      <c r="N7" s="407"/>
      <c r="O7" s="407"/>
      <c r="P7" s="407">
        <v>10</v>
      </c>
      <c r="Q7" s="407"/>
      <c r="R7" s="407">
        <v>10</v>
      </c>
      <c r="S7" s="408">
        <f>SUM(M7:R7)</f>
        <v>20</v>
      </c>
      <c r="T7" s="407"/>
      <c r="U7" s="407"/>
      <c r="V7" s="407"/>
      <c r="W7" s="407"/>
      <c r="X7" s="407"/>
      <c r="Y7" s="407"/>
      <c r="Z7" s="407"/>
      <c r="AA7" s="407"/>
      <c r="AB7" s="407"/>
      <c r="AC7" s="407"/>
      <c r="AD7" s="408"/>
      <c r="AE7" s="407">
        <v>7.5</v>
      </c>
      <c r="AF7" s="407"/>
      <c r="AG7" s="407">
        <v>10</v>
      </c>
      <c r="AH7" s="407"/>
      <c r="AI7" s="407"/>
      <c r="AJ7" s="407"/>
      <c r="AK7" s="407"/>
      <c r="AL7" s="407"/>
      <c r="AM7" s="407"/>
      <c r="AN7" s="407"/>
      <c r="AO7" s="407"/>
      <c r="AP7" s="407">
        <v>6</v>
      </c>
      <c r="AQ7" s="407">
        <v>10.5</v>
      </c>
      <c r="AR7" s="407"/>
      <c r="AS7" s="407">
        <v>10</v>
      </c>
      <c r="AT7" s="407">
        <v>10</v>
      </c>
      <c r="AU7" s="408">
        <f t="shared" si="3"/>
        <v>54</v>
      </c>
      <c r="AV7" s="407"/>
      <c r="AW7" s="407"/>
      <c r="AX7" s="408"/>
      <c r="AY7" s="407"/>
      <c r="AZ7" s="407"/>
      <c r="BA7" s="407"/>
      <c r="BB7" s="407"/>
      <c r="BC7" s="407">
        <v>10</v>
      </c>
      <c r="BD7" s="408">
        <f t="shared" si="0"/>
        <v>10</v>
      </c>
      <c r="BE7" s="407"/>
      <c r="BF7" s="407"/>
      <c r="BG7" s="407"/>
      <c r="BH7" s="407"/>
      <c r="BI7" s="407"/>
      <c r="BJ7" s="407"/>
      <c r="BK7" s="407"/>
      <c r="BL7" s="407"/>
      <c r="BM7" s="407"/>
      <c r="BN7" s="407"/>
      <c r="BO7" s="407"/>
      <c r="BP7" s="407"/>
      <c r="BQ7" s="407"/>
      <c r="BR7" s="285">
        <f t="shared" si="1"/>
        <v>139.5</v>
      </c>
      <c r="BS7" s="409">
        <f t="shared" si="4"/>
        <v>80.25</v>
      </c>
    </row>
    <row r="8" spans="1:78" x14ac:dyDescent="0.2">
      <c r="A8" s="275">
        <v>37060</v>
      </c>
      <c r="B8" s="285">
        <v>10</v>
      </c>
      <c r="C8" s="285">
        <v>10</v>
      </c>
      <c r="D8" s="407">
        <f t="shared" si="2"/>
        <v>20</v>
      </c>
      <c r="E8" s="407">
        <v>10</v>
      </c>
      <c r="F8" s="407">
        <v>10</v>
      </c>
      <c r="G8" s="407"/>
      <c r="H8" s="407">
        <v>5</v>
      </c>
      <c r="I8" s="407"/>
      <c r="J8" s="407"/>
      <c r="K8" s="408">
        <f t="shared" si="5"/>
        <v>25</v>
      </c>
      <c r="L8" s="407">
        <v>10</v>
      </c>
      <c r="M8" s="407">
        <v>0</v>
      </c>
      <c r="N8" s="407"/>
      <c r="O8" s="407"/>
      <c r="P8" s="407"/>
      <c r="Q8" s="407"/>
      <c r="R8" s="407"/>
      <c r="S8" s="408"/>
      <c r="T8" s="407"/>
      <c r="U8" s="407">
        <v>10</v>
      </c>
      <c r="V8" s="407"/>
      <c r="W8" s="407"/>
      <c r="X8" s="407"/>
      <c r="Y8" s="407"/>
      <c r="Z8" s="407"/>
      <c r="AA8" s="407"/>
      <c r="AB8" s="407"/>
      <c r="AC8" s="407"/>
      <c r="AD8" s="408">
        <f>SUM(T8:AC8)</f>
        <v>10</v>
      </c>
      <c r="AE8" s="407">
        <v>0</v>
      </c>
      <c r="AF8" s="407"/>
      <c r="AG8" s="407">
        <v>6</v>
      </c>
      <c r="AH8" s="407">
        <v>3</v>
      </c>
      <c r="AI8" s="407"/>
      <c r="AJ8" s="407"/>
      <c r="AK8" s="407"/>
      <c r="AL8" s="407"/>
      <c r="AM8" s="407"/>
      <c r="AN8" s="407"/>
      <c r="AO8" s="407"/>
      <c r="AP8" s="407"/>
      <c r="AQ8" s="407">
        <v>10</v>
      </c>
      <c r="AR8" s="407"/>
      <c r="AS8" s="407"/>
      <c r="AT8" s="407">
        <v>10</v>
      </c>
      <c r="AU8" s="408">
        <f t="shared" si="3"/>
        <v>29</v>
      </c>
      <c r="AV8" s="407"/>
      <c r="AW8" s="407"/>
      <c r="AX8" s="408"/>
      <c r="AY8" s="407"/>
      <c r="AZ8" s="407">
        <v>10</v>
      </c>
      <c r="BA8" s="407"/>
      <c r="BB8" s="407"/>
      <c r="BC8" s="407">
        <v>10</v>
      </c>
      <c r="BD8" s="408">
        <f t="shared" si="0"/>
        <v>20</v>
      </c>
      <c r="BE8" s="407"/>
      <c r="BF8" s="407"/>
      <c r="BG8" s="407"/>
      <c r="BH8" s="407"/>
      <c r="BI8" s="407"/>
      <c r="BJ8" s="407"/>
      <c r="BK8" s="407"/>
      <c r="BL8" s="407"/>
      <c r="BM8" s="407"/>
      <c r="BN8" s="407"/>
      <c r="BO8" s="407"/>
      <c r="BP8" s="407"/>
      <c r="BQ8" s="407"/>
      <c r="BR8" s="285">
        <f t="shared" si="1"/>
        <v>104</v>
      </c>
      <c r="BS8" s="409">
        <f t="shared" si="4"/>
        <v>62</v>
      </c>
    </row>
    <row r="9" spans="1:78" x14ac:dyDescent="0.2">
      <c r="A9" s="275">
        <v>37061</v>
      </c>
      <c r="B9" s="285">
        <v>10.5</v>
      </c>
      <c r="C9" s="285">
        <v>10.5</v>
      </c>
      <c r="D9" s="407">
        <f t="shared" si="2"/>
        <v>21</v>
      </c>
      <c r="E9" s="407">
        <v>10</v>
      </c>
      <c r="F9" s="407">
        <v>10</v>
      </c>
      <c r="G9" s="407"/>
      <c r="H9" s="407">
        <v>5</v>
      </c>
      <c r="I9" s="407"/>
      <c r="J9" s="407"/>
      <c r="K9" s="408">
        <f t="shared" si="5"/>
        <v>25</v>
      </c>
      <c r="L9" s="407">
        <v>10</v>
      </c>
      <c r="M9" s="407">
        <v>5</v>
      </c>
      <c r="N9" s="407">
        <v>5</v>
      </c>
      <c r="O9" s="407"/>
      <c r="P9" s="407">
        <v>10</v>
      </c>
      <c r="Q9" s="407">
        <v>10</v>
      </c>
      <c r="R9" s="407">
        <v>10</v>
      </c>
      <c r="S9" s="408">
        <f>SUM(M9:R9)</f>
        <v>40</v>
      </c>
      <c r="T9" s="407">
        <v>10</v>
      </c>
      <c r="U9" s="407">
        <v>10</v>
      </c>
      <c r="V9" s="407"/>
      <c r="W9" s="407"/>
      <c r="X9" s="407"/>
      <c r="Y9" s="407"/>
      <c r="Z9" s="407"/>
      <c r="AA9" s="407"/>
      <c r="AB9" s="407"/>
      <c r="AC9" s="407"/>
      <c r="AD9" s="408">
        <f>SUM(T9:AC9)</f>
        <v>20</v>
      </c>
      <c r="AE9" s="407">
        <v>8</v>
      </c>
      <c r="AF9" s="407"/>
      <c r="AG9" s="407"/>
      <c r="AH9" s="407"/>
      <c r="AI9" s="407">
        <v>10</v>
      </c>
      <c r="AJ9" s="407"/>
      <c r="AK9" s="407"/>
      <c r="AL9" s="407"/>
      <c r="AM9" s="407"/>
      <c r="AN9" s="407"/>
      <c r="AO9" s="407">
        <v>5</v>
      </c>
      <c r="AP9" s="407"/>
      <c r="AQ9" s="407">
        <v>10.5</v>
      </c>
      <c r="AR9" s="407">
        <v>10.5</v>
      </c>
      <c r="AS9" s="407">
        <v>10.5</v>
      </c>
      <c r="AT9" s="407">
        <v>3.5</v>
      </c>
      <c r="AU9" s="408">
        <f t="shared" si="3"/>
        <v>58</v>
      </c>
      <c r="AV9" s="407"/>
      <c r="AW9" s="407"/>
      <c r="AX9" s="408"/>
      <c r="AY9" s="407">
        <v>1</v>
      </c>
      <c r="AZ9" s="407">
        <v>1</v>
      </c>
      <c r="BA9" s="407">
        <v>2</v>
      </c>
      <c r="BB9" s="407"/>
      <c r="BC9" s="407">
        <v>10</v>
      </c>
      <c r="BD9" s="408">
        <f t="shared" si="0"/>
        <v>14</v>
      </c>
      <c r="BE9" s="407"/>
      <c r="BF9" s="407"/>
      <c r="BG9" s="407"/>
      <c r="BH9" s="407"/>
      <c r="BI9" s="407"/>
      <c r="BJ9" s="407"/>
      <c r="BK9" s="407"/>
      <c r="BL9" s="407"/>
      <c r="BM9" s="407"/>
      <c r="BN9" s="407"/>
      <c r="BO9" s="407"/>
      <c r="BP9" s="407"/>
      <c r="BQ9" s="407"/>
      <c r="BR9" s="285">
        <f t="shared" si="1"/>
        <v>178</v>
      </c>
      <c r="BS9" s="409">
        <f t="shared" si="4"/>
        <v>99.5</v>
      </c>
    </row>
    <row r="10" spans="1:78" x14ac:dyDescent="0.2">
      <c r="A10" s="275">
        <v>37062</v>
      </c>
      <c r="B10" s="285">
        <v>10</v>
      </c>
      <c r="C10" s="285">
        <v>10</v>
      </c>
      <c r="D10" s="407">
        <f t="shared" si="2"/>
        <v>20</v>
      </c>
      <c r="E10" s="407">
        <v>10</v>
      </c>
      <c r="F10" s="407">
        <v>10</v>
      </c>
      <c r="G10" s="407"/>
      <c r="H10" s="407">
        <v>5</v>
      </c>
      <c r="I10" s="407"/>
      <c r="J10" s="407"/>
      <c r="K10" s="408">
        <f t="shared" si="5"/>
        <v>25</v>
      </c>
      <c r="L10" s="407"/>
      <c r="M10" s="407"/>
      <c r="N10" s="407"/>
      <c r="O10" s="407"/>
      <c r="P10" s="407"/>
      <c r="Q10" s="407"/>
      <c r="R10" s="407">
        <v>10</v>
      </c>
      <c r="S10" s="408">
        <f>SUM(M10:R10)</f>
        <v>10</v>
      </c>
      <c r="T10" s="407"/>
      <c r="U10" s="407">
        <v>10</v>
      </c>
      <c r="V10" s="407"/>
      <c r="W10" s="407"/>
      <c r="X10" s="407"/>
      <c r="Y10" s="407"/>
      <c r="Z10" s="407"/>
      <c r="AA10" s="407"/>
      <c r="AB10" s="407">
        <v>10</v>
      </c>
      <c r="AC10" s="407"/>
      <c r="AD10" s="408">
        <f>SUM(T10:AC10)</f>
        <v>20</v>
      </c>
      <c r="AE10" s="407">
        <v>10</v>
      </c>
      <c r="AF10" s="407"/>
      <c r="AG10" s="407"/>
      <c r="AH10" s="407"/>
      <c r="AI10" s="407">
        <v>10.5</v>
      </c>
      <c r="AJ10" s="407"/>
      <c r="AK10" s="407"/>
      <c r="AL10" s="407"/>
      <c r="AM10" s="407"/>
      <c r="AN10" s="407"/>
      <c r="AO10" s="407">
        <v>0</v>
      </c>
      <c r="AP10" s="407"/>
      <c r="AQ10" s="407">
        <v>9.5</v>
      </c>
      <c r="AR10" s="407">
        <v>10</v>
      </c>
      <c r="AS10" s="407">
        <v>10</v>
      </c>
      <c r="AT10" s="407">
        <v>10</v>
      </c>
      <c r="AU10" s="408">
        <f t="shared" si="3"/>
        <v>60</v>
      </c>
      <c r="AV10" s="407">
        <v>10</v>
      </c>
      <c r="AW10" s="407"/>
      <c r="AX10" s="408">
        <f t="shared" ref="AX10:AX19" si="6">+AW10+AV10</f>
        <v>10</v>
      </c>
      <c r="AY10" s="407">
        <v>1</v>
      </c>
      <c r="AZ10" s="407">
        <v>2</v>
      </c>
      <c r="BA10" s="407">
        <v>1</v>
      </c>
      <c r="BB10" s="407"/>
      <c r="BC10" s="407">
        <v>10</v>
      </c>
      <c r="BD10" s="408">
        <f t="shared" si="0"/>
        <v>14</v>
      </c>
      <c r="BE10" s="407"/>
      <c r="BF10" s="407"/>
      <c r="BG10" s="407"/>
      <c r="BH10" s="407"/>
      <c r="BI10" s="407"/>
      <c r="BJ10" s="407"/>
      <c r="BK10" s="407"/>
      <c r="BL10" s="407"/>
      <c r="BM10" s="407"/>
      <c r="BN10" s="407"/>
      <c r="BO10" s="407"/>
      <c r="BP10" s="407"/>
      <c r="BQ10" s="407"/>
      <c r="BR10" s="285">
        <f t="shared" si="1"/>
        <v>159</v>
      </c>
      <c r="BS10" s="409">
        <f t="shared" si="4"/>
        <v>89.5</v>
      </c>
    </row>
    <row r="11" spans="1:78" x14ac:dyDescent="0.2">
      <c r="A11" s="275">
        <v>37063</v>
      </c>
      <c r="B11" s="285">
        <v>10</v>
      </c>
      <c r="C11" s="285">
        <v>10</v>
      </c>
      <c r="D11" s="407">
        <f t="shared" si="2"/>
        <v>20</v>
      </c>
      <c r="E11" s="407">
        <v>10</v>
      </c>
      <c r="F11" s="407"/>
      <c r="G11" s="407"/>
      <c r="H11" s="407">
        <v>5</v>
      </c>
      <c r="I11" s="407"/>
      <c r="J11" s="407"/>
      <c r="K11" s="408">
        <f t="shared" si="5"/>
        <v>15</v>
      </c>
      <c r="L11" s="407">
        <v>1</v>
      </c>
      <c r="M11" s="407">
        <v>2</v>
      </c>
      <c r="N11" s="407"/>
      <c r="O11" s="407"/>
      <c r="P11" s="407"/>
      <c r="Q11" s="407"/>
      <c r="R11" s="407">
        <v>10</v>
      </c>
      <c r="S11" s="408">
        <f>SUM(M11:R11)</f>
        <v>12</v>
      </c>
      <c r="T11" s="407"/>
      <c r="U11" s="407"/>
      <c r="V11" s="407"/>
      <c r="W11" s="407"/>
      <c r="X11" s="407"/>
      <c r="Y11" s="407"/>
      <c r="Z11" s="407"/>
      <c r="AA11" s="407"/>
      <c r="AB11" s="407"/>
      <c r="AC11" s="407"/>
      <c r="AD11" s="408"/>
      <c r="AE11" s="407">
        <v>10</v>
      </c>
      <c r="AF11" s="407"/>
      <c r="AG11" s="407"/>
      <c r="AH11" s="407">
        <v>10</v>
      </c>
      <c r="AI11" s="407">
        <v>0</v>
      </c>
      <c r="AJ11" s="407"/>
      <c r="AK11" s="407"/>
      <c r="AL11" s="407"/>
      <c r="AM11" s="407"/>
      <c r="AN11" s="407"/>
      <c r="AO11" s="407">
        <v>0</v>
      </c>
      <c r="AP11" s="407"/>
      <c r="AQ11" s="407">
        <v>10</v>
      </c>
      <c r="AR11" s="407">
        <v>10</v>
      </c>
      <c r="AS11" s="407">
        <v>10.5</v>
      </c>
      <c r="AT11" s="407">
        <v>8.5</v>
      </c>
      <c r="AU11" s="408">
        <f t="shared" si="3"/>
        <v>59</v>
      </c>
      <c r="AV11" s="407">
        <v>10</v>
      </c>
      <c r="AW11" s="407"/>
      <c r="AX11" s="408">
        <f t="shared" si="6"/>
        <v>10</v>
      </c>
      <c r="AY11" s="407">
        <v>2</v>
      </c>
      <c r="AZ11" s="407">
        <v>4</v>
      </c>
      <c r="BA11" s="407">
        <v>5</v>
      </c>
      <c r="BB11" s="407"/>
      <c r="BC11" s="407">
        <v>10</v>
      </c>
      <c r="BD11" s="408">
        <f t="shared" si="0"/>
        <v>21</v>
      </c>
      <c r="BE11" s="407"/>
      <c r="BF11" s="407"/>
      <c r="BG11" s="407"/>
      <c r="BH11" s="407"/>
      <c r="BI11" s="407"/>
      <c r="BJ11" s="407"/>
      <c r="BK11" s="407"/>
      <c r="BL11" s="407"/>
      <c r="BM11" s="407"/>
      <c r="BN11" s="407"/>
      <c r="BO11" s="407"/>
      <c r="BP11" s="407"/>
      <c r="BQ11" s="407"/>
      <c r="BR11" s="285">
        <f t="shared" si="1"/>
        <v>137</v>
      </c>
      <c r="BS11" s="409">
        <f t="shared" si="4"/>
        <v>78.5</v>
      </c>
    </row>
    <row r="12" spans="1:78" x14ac:dyDescent="0.2">
      <c r="A12" s="275">
        <v>37064</v>
      </c>
      <c r="B12" s="285">
        <v>9</v>
      </c>
      <c r="C12" s="285">
        <v>9</v>
      </c>
      <c r="D12" s="407">
        <f t="shared" si="2"/>
        <v>18</v>
      </c>
      <c r="E12" s="407">
        <v>12</v>
      </c>
      <c r="F12" s="407"/>
      <c r="G12" s="407"/>
      <c r="H12" s="407">
        <v>7</v>
      </c>
      <c r="I12" s="407"/>
      <c r="J12" s="407"/>
      <c r="K12" s="408">
        <f t="shared" si="5"/>
        <v>19</v>
      </c>
      <c r="L12" s="407"/>
      <c r="M12" s="407"/>
      <c r="N12" s="407"/>
      <c r="O12" s="407"/>
      <c r="P12" s="407"/>
      <c r="Q12" s="407"/>
      <c r="R12" s="407">
        <v>9</v>
      </c>
      <c r="S12" s="408">
        <f>SUM(M12:R12)</f>
        <v>9</v>
      </c>
      <c r="T12" s="407"/>
      <c r="U12" s="407"/>
      <c r="V12" s="407"/>
      <c r="W12" s="407"/>
      <c r="X12" s="407"/>
      <c r="Y12" s="407"/>
      <c r="Z12" s="407"/>
      <c r="AA12" s="407"/>
      <c r="AB12" s="407"/>
      <c r="AC12" s="407"/>
      <c r="AD12" s="408"/>
      <c r="AE12" s="407">
        <v>9</v>
      </c>
      <c r="AF12" s="407">
        <v>6.5</v>
      </c>
      <c r="AG12" s="407"/>
      <c r="AH12" s="407">
        <v>9</v>
      </c>
      <c r="AI12" s="407">
        <v>9</v>
      </c>
      <c r="AJ12" s="407">
        <v>9</v>
      </c>
      <c r="AK12" s="407"/>
      <c r="AL12" s="407"/>
      <c r="AM12" s="407">
        <v>5</v>
      </c>
      <c r="AN12" s="407"/>
      <c r="AO12" s="407"/>
      <c r="AP12" s="407"/>
      <c r="AQ12" s="407">
        <v>11</v>
      </c>
      <c r="AR12" s="407">
        <v>11.5</v>
      </c>
      <c r="AS12" s="407">
        <v>11.5</v>
      </c>
      <c r="AT12" s="407">
        <v>9</v>
      </c>
      <c r="AU12" s="408">
        <f t="shared" si="3"/>
        <v>90.5</v>
      </c>
      <c r="AV12" s="407">
        <v>9</v>
      </c>
      <c r="AW12" s="407"/>
      <c r="AX12" s="408">
        <f t="shared" si="6"/>
        <v>9</v>
      </c>
      <c r="AY12" s="407"/>
      <c r="AZ12" s="407">
        <v>2.5</v>
      </c>
      <c r="BA12" s="407">
        <v>13.5</v>
      </c>
      <c r="BB12" s="407"/>
      <c r="BC12" s="407">
        <v>3</v>
      </c>
      <c r="BD12" s="408">
        <f t="shared" si="0"/>
        <v>19</v>
      </c>
      <c r="BE12" s="407"/>
      <c r="BF12" s="407"/>
      <c r="BG12" s="407"/>
      <c r="BH12" s="407"/>
      <c r="BI12" s="407"/>
      <c r="BJ12" s="407"/>
      <c r="BK12" s="407"/>
      <c r="BL12" s="407"/>
      <c r="BM12" s="407"/>
      <c r="BN12" s="407"/>
      <c r="BO12" s="407"/>
      <c r="BP12" s="407"/>
      <c r="BQ12" s="407">
        <v>2</v>
      </c>
      <c r="BR12" s="285">
        <f t="shared" si="1"/>
        <v>166.5</v>
      </c>
      <c r="BS12" s="409">
        <f t="shared" si="4"/>
        <v>93.25</v>
      </c>
    </row>
    <row r="13" spans="1:78" x14ac:dyDescent="0.2">
      <c r="A13" s="275">
        <v>37065</v>
      </c>
      <c r="B13" s="285">
        <v>13</v>
      </c>
      <c r="C13" s="285">
        <v>9.5</v>
      </c>
      <c r="D13" s="407">
        <f t="shared" si="2"/>
        <v>22.5</v>
      </c>
      <c r="E13" s="407">
        <v>10.5</v>
      </c>
      <c r="F13" s="407"/>
      <c r="G13" s="407"/>
      <c r="H13" s="407">
        <v>5</v>
      </c>
      <c r="I13" s="407"/>
      <c r="J13" s="407"/>
      <c r="K13" s="408">
        <f t="shared" si="5"/>
        <v>15.5</v>
      </c>
      <c r="L13" s="407"/>
      <c r="M13" s="407"/>
      <c r="N13" s="407"/>
      <c r="O13" s="407"/>
      <c r="P13" s="407"/>
      <c r="Q13" s="407"/>
      <c r="R13" s="407"/>
      <c r="S13" s="408"/>
      <c r="T13" s="407"/>
      <c r="U13" s="407"/>
      <c r="V13" s="407"/>
      <c r="W13" s="407"/>
      <c r="X13" s="407"/>
      <c r="Y13" s="407"/>
      <c r="Z13" s="407"/>
      <c r="AA13" s="407"/>
      <c r="AB13" s="407"/>
      <c r="AC13" s="407"/>
      <c r="AD13" s="408"/>
      <c r="AE13" s="407">
        <v>9.5</v>
      </c>
      <c r="AF13" s="407"/>
      <c r="AG13" s="407"/>
      <c r="AH13" s="407">
        <v>10</v>
      </c>
      <c r="AI13" s="407">
        <v>10</v>
      </c>
      <c r="AJ13" s="407">
        <v>10</v>
      </c>
      <c r="AK13" s="407"/>
      <c r="AL13" s="407"/>
      <c r="AM13" s="407"/>
      <c r="AN13" s="407"/>
      <c r="AO13" s="407"/>
      <c r="AP13" s="407"/>
      <c r="AQ13" s="407"/>
      <c r="AR13" s="407">
        <v>11.5</v>
      </c>
      <c r="AS13" s="407">
        <v>13</v>
      </c>
      <c r="AT13" s="407">
        <v>10</v>
      </c>
      <c r="AU13" s="408">
        <f t="shared" si="3"/>
        <v>74</v>
      </c>
      <c r="AV13" s="407">
        <v>10</v>
      </c>
      <c r="AW13" s="407"/>
      <c r="AX13" s="408">
        <f t="shared" si="6"/>
        <v>10</v>
      </c>
      <c r="AY13" s="407">
        <v>2</v>
      </c>
      <c r="AZ13" s="407">
        <v>4</v>
      </c>
      <c r="BA13" s="407">
        <v>10</v>
      </c>
      <c r="BB13" s="407"/>
      <c r="BC13" s="407">
        <v>4</v>
      </c>
      <c r="BD13" s="408">
        <f t="shared" si="0"/>
        <v>20</v>
      </c>
      <c r="BE13" s="407"/>
      <c r="BF13" s="407"/>
      <c r="BG13" s="407"/>
      <c r="BH13" s="407"/>
      <c r="BI13" s="407"/>
      <c r="BJ13" s="407"/>
      <c r="BK13" s="407"/>
      <c r="BL13" s="407"/>
      <c r="BM13" s="407"/>
      <c r="BN13" s="407"/>
      <c r="BO13" s="407"/>
      <c r="BP13" s="407"/>
      <c r="BQ13" s="407"/>
      <c r="BR13" s="285">
        <f t="shared" si="1"/>
        <v>142</v>
      </c>
      <c r="BS13" s="409">
        <f t="shared" si="4"/>
        <v>82.25</v>
      </c>
      <c r="BT13" s="414">
        <f>SUM(BS4:BS13)</f>
        <v>695.5</v>
      </c>
    </row>
    <row r="14" spans="1:78" x14ac:dyDescent="0.2">
      <c r="A14" s="275">
        <v>37066</v>
      </c>
      <c r="B14" s="285">
        <v>11</v>
      </c>
      <c r="C14" s="285"/>
      <c r="D14" s="285">
        <f t="shared" si="2"/>
        <v>11</v>
      </c>
      <c r="E14" s="285">
        <v>10</v>
      </c>
      <c r="F14" s="285"/>
      <c r="G14" s="285"/>
      <c r="H14" s="285">
        <v>4</v>
      </c>
      <c r="I14" s="285"/>
      <c r="J14" s="285"/>
      <c r="K14" s="286">
        <f t="shared" si="5"/>
        <v>14</v>
      </c>
      <c r="L14" s="285"/>
      <c r="M14" s="285"/>
      <c r="N14" s="285"/>
      <c r="O14" s="285"/>
      <c r="P14" s="285"/>
      <c r="Q14" s="285"/>
      <c r="R14" s="285"/>
      <c r="S14" s="286"/>
      <c r="T14" s="285"/>
      <c r="U14" s="285"/>
      <c r="V14" s="285"/>
      <c r="W14" s="285"/>
      <c r="X14" s="285"/>
      <c r="Y14" s="285"/>
      <c r="Z14" s="285"/>
      <c r="AA14" s="285"/>
      <c r="AB14" s="285"/>
      <c r="AC14" s="285"/>
      <c r="AD14" s="286"/>
      <c r="AE14" s="285"/>
      <c r="AF14" s="285">
        <v>12.5</v>
      </c>
      <c r="AG14" s="285"/>
      <c r="AH14" s="285">
        <v>10</v>
      </c>
      <c r="AI14" s="285">
        <v>3</v>
      </c>
      <c r="AJ14" s="285">
        <v>10</v>
      </c>
      <c r="AK14" s="285"/>
      <c r="AL14" s="285"/>
      <c r="AM14" s="285"/>
      <c r="AN14" s="285"/>
      <c r="AO14" s="285"/>
      <c r="AP14" s="285"/>
      <c r="AQ14" s="285"/>
      <c r="AR14" s="285">
        <v>13</v>
      </c>
      <c r="AS14" s="285">
        <v>12</v>
      </c>
      <c r="AT14" s="285">
        <v>8</v>
      </c>
      <c r="AU14" s="286">
        <f t="shared" si="3"/>
        <v>68.5</v>
      </c>
      <c r="AV14" s="285">
        <v>10</v>
      </c>
      <c r="AW14" s="285"/>
      <c r="AX14" s="286">
        <f t="shared" si="6"/>
        <v>10</v>
      </c>
      <c r="AY14" s="285"/>
      <c r="AZ14" s="285">
        <v>1</v>
      </c>
      <c r="BA14" s="285">
        <v>12</v>
      </c>
      <c r="BB14" s="285"/>
      <c r="BC14" s="285">
        <v>10</v>
      </c>
      <c r="BD14" s="286">
        <f t="shared" si="0"/>
        <v>23</v>
      </c>
      <c r="BE14" s="285"/>
      <c r="BF14" s="285"/>
      <c r="BG14" s="285"/>
      <c r="BH14" s="285"/>
      <c r="BI14" s="285"/>
      <c r="BJ14" s="285"/>
      <c r="BK14" s="285"/>
      <c r="BL14" s="285"/>
      <c r="BM14" s="285"/>
      <c r="BN14" s="285"/>
      <c r="BO14" s="285"/>
      <c r="BP14" s="285"/>
      <c r="BQ14" s="285"/>
      <c r="BR14" s="285">
        <f t="shared" si="1"/>
        <v>126.5</v>
      </c>
      <c r="BS14" s="277">
        <f t="shared" si="4"/>
        <v>68.75</v>
      </c>
    </row>
    <row r="15" spans="1:78" x14ac:dyDescent="0.2">
      <c r="A15" s="275">
        <v>37067</v>
      </c>
      <c r="B15" s="285"/>
      <c r="C15" s="285"/>
      <c r="D15" s="285"/>
      <c r="E15" s="285"/>
      <c r="F15" s="285"/>
      <c r="G15" s="285"/>
      <c r="H15" s="285">
        <v>4</v>
      </c>
      <c r="I15" s="285"/>
      <c r="J15" s="285"/>
      <c r="K15" s="286">
        <f t="shared" si="5"/>
        <v>4</v>
      </c>
      <c r="L15" s="285"/>
      <c r="M15" s="285"/>
      <c r="N15" s="285"/>
      <c r="O15" s="285"/>
      <c r="P15" s="285"/>
      <c r="Q15" s="285"/>
      <c r="R15" s="285"/>
      <c r="S15" s="286"/>
      <c r="T15" s="285"/>
      <c r="U15" s="285"/>
      <c r="V15" s="285">
        <v>10</v>
      </c>
      <c r="W15" s="285">
        <v>10</v>
      </c>
      <c r="X15" s="285">
        <v>10</v>
      </c>
      <c r="Y15" s="285"/>
      <c r="Z15" s="285"/>
      <c r="AA15" s="285"/>
      <c r="AB15" s="285"/>
      <c r="AC15" s="285"/>
      <c r="AD15" s="286">
        <f>SUM(T15:AC15)</f>
        <v>30</v>
      </c>
      <c r="AE15" s="285">
        <v>3</v>
      </c>
      <c r="AF15" s="285">
        <v>12.5</v>
      </c>
      <c r="AG15" s="285"/>
      <c r="AH15" s="285"/>
      <c r="AI15" s="285"/>
      <c r="AJ15" s="285"/>
      <c r="AK15" s="285"/>
      <c r="AL15" s="285"/>
      <c r="AM15" s="285"/>
      <c r="AN15" s="285"/>
      <c r="AO15" s="285"/>
      <c r="AP15" s="285"/>
      <c r="AQ15" s="285"/>
      <c r="AR15" s="285"/>
      <c r="AS15" s="285"/>
      <c r="AT15" s="285"/>
      <c r="AU15" s="286">
        <f t="shared" si="3"/>
        <v>15.5</v>
      </c>
      <c r="AV15" s="285">
        <v>10</v>
      </c>
      <c r="AW15" s="285"/>
      <c r="AX15" s="286">
        <f t="shared" si="6"/>
        <v>10</v>
      </c>
      <c r="AY15" s="285"/>
      <c r="AZ15" s="285">
        <v>7.5</v>
      </c>
      <c r="BA15" s="285">
        <v>3.5</v>
      </c>
      <c r="BB15" s="285"/>
      <c r="BC15" s="285">
        <v>5</v>
      </c>
      <c r="BD15" s="286">
        <f t="shared" si="0"/>
        <v>16</v>
      </c>
      <c r="BE15" s="285"/>
      <c r="BF15" s="285"/>
      <c r="BG15" s="285"/>
      <c r="BH15" s="285"/>
      <c r="BI15" s="285"/>
      <c r="BJ15" s="285"/>
      <c r="BK15" s="285"/>
      <c r="BL15" s="285"/>
      <c r="BM15" s="285"/>
      <c r="BN15" s="285"/>
      <c r="BO15" s="285"/>
      <c r="BP15" s="285"/>
      <c r="BQ15" s="285"/>
      <c r="BR15" s="285">
        <f t="shared" si="1"/>
        <v>75.5</v>
      </c>
      <c r="BS15" s="277">
        <f t="shared" si="4"/>
        <v>37.75</v>
      </c>
    </row>
    <row r="16" spans="1:78" x14ac:dyDescent="0.2">
      <c r="A16" s="275">
        <v>37068</v>
      </c>
      <c r="B16" s="285"/>
      <c r="C16" s="285"/>
      <c r="D16" s="285"/>
      <c r="E16" s="285"/>
      <c r="F16" s="285"/>
      <c r="G16" s="285"/>
      <c r="H16" s="285">
        <v>5</v>
      </c>
      <c r="I16" s="285"/>
      <c r="J16" s="285"/>
      <c r="K16" s="286">
        <f t="shared" si="5"/>
        <v>5</v>
      </c>
      <c r="L16" s="285"/>
      <c r="M16" s="285"/>
      <c r="N16" s="285"/>
      <c r="O16" s="285"/>
      <c r="P16" s="285"/>
      <c r="Q16" s="285"/>
      <c r="R16" s="285"/>
      <c r="S16" s="286"/>
      <c r="T16" s="285"/>
      <c r="U16" s="285"/>
      <c r="V16" s="285"/>
      <c r="W16" s="285"/>
      <c r="X16" s="285"/>
      <c r="Y16" s="285"/>
      <c r="Z16" s="285"/>
      <c r="AA16" s="285"/>
      <c r="AB16" s="285"/>
      <c r="AC16" s="285"/>
      <c r="AD16" s="286"/>
      <c r="AE16" s="285"/>
      <c r="AF16" s="285">
        <v>12.5</v>
      </c>
      <c r="AG16" s="285"/>
      <c r="AH16" s="285"/>
      <c r="AI16" s="285">
        <v>5</v>
      </c>
      <c r="AJ16" s="285">
        <v>10</v>
      </c>
      <c r="AK16" s="285">
        <v>5</v>
      </c>
      <c r="AL16" s="285"/>
      <c r="AM16" s="285"/>
      <c r="AN16" s="285"/>
      <c r="AO16" s="285"/>
      <c r="AP16" s="285"/>
      <c r="AQ16" s="285"/>
      <c r="AR16" s="285">
        <v>0</v>
      </c>
      <c r="AS16" s="285">
        <v>11</v>
      </c>
      <c r="AT16" s="285">
        <v>0</v>
      </c>
      <c r="AU16" s="286">
        <f t="shared" si="3"/>
        <v>43.5</v>
      </c>
      <c r="AV16" s="285">
        <v>6.5</v>
      </c>
      <c r="AW16" s="285"/>
      <c r="AX16" s="286">
        <f t="shared" si="6"/>
        <v>6.5</v>
      </c>
      <c r="AY16" s="285">
        <v>0</v>
      </c>
      <c r="AZ16" s="285">
        <v>2</v>
      </c>
      <c r="BA16" s="285">
        <v>10</v>
      </c>
      <c r="BB16" s="285">
        <v>7.5</v>
      </c>
      <c r="BC16" s="285">
        <v>10</v>
      </c>
      <c r="BD16" s="286">
        <f t="shared" si="0"/>
        <v>29.5</v>
      </c>
      <c r="BE16" s="285"/>
      <c r="BF16" s="285"/>
      <c r="BG16" s="285"/>
      <c r="BH16" s="285"/>
      <c r="BI16" s="285"/>
      <c r="BJ16" s="285"/>
      <c r="BK16" s="285"/>
      <c r="BL16" s="285"/>
      <c r="BM16" s="285"/>
      <c r="BN16" s="285"/>
      <c r="BO16" s="285"/>
      <c r="BP16" s="285"/>
      <c r="BQ16" s="285"/>
      <c r="BR16" s="285">
        <f t="shared" si="1"/>
        <v>84.5</v>
      </c>
      <c r="BS16" s="277">
        <f t="shared" si="4"/>
        <v>42.25</v>
      </c>
    </row>
    <row r="17" spans="1:71" x14ac:dyDescent="0.2">
      <c r="A17" s="275">
        <v>37069</v>
      </c>
      <c r="B17" s="285">
        <v>7</v>
      </c>
      <c r="C17" s="287" t="s">
        <v>743</v>
      </c>
      <c r="D17" s="285">
        <f>+B17</f>
        <v>7</v>
      </c>
      <c r="F17" s="285">
        <v>10</v>
      </c>
      <c r="G17" s="288"/>
      <c r="H17" s="285">
        <v>4</v>
      </c>
      <c r="I17" s="285"/>
      <c r="J17" s="285"/>
      <c r="K17" s="286">
        <f t="shared" si="5"/>
        <v>14</v>
      </c>
      <c r="L17" s="285"/>
      <c r="M17" s="285"/>
      <c r="N17" s="285"/>
      <c r="O17" s="285"/>
      <c r="P17" s="285"/>
      <c r="Q17" s="285"/>
      <c r="R17" s="285"/>
      <c r="S17" s="286"/>
      <c r="T17" s="285"/>
      <c r="U17" s="285"/>
      <c r="V17" s="285"/>
      <c r="W17" s="285"/>
      <c r="X17" s="285"/>
      <c r="Y17" s="285"/>
      <c r="Z17" s="285"/>
      <c r="AA17" s="285"/>
      <c r="AB17" s="285">
        <v>10</v>
      </c>
      <c r="AC17" s="285">
        <v>10</v>
      </c>
      <c r="AD17" s="286">
        <f>SUM(T17:AC17)</f>
        <v>20</v>
      </c>
      <c r="AE17" s="285"/>
      <c r="AF17" s="285">
        <v>12.5</v>
      </c>
      <c r="AG17" s="285"/>
      <c r="AH17" s="285">
        <v>10</v>
      </c>
      <c r="AI17" s="285"/>
      <c r="AJ17" s="285">
        <v>10</v>
      </c>
      <c r="AK17" s="285"/>
      <c r="AL17" s="285"/>
      <c r="AM17" s="285"/>
      <c r="AN17" s="285"/>
      <c r="AO17" s="285"/>
      <c r="AP17" s="285"/>
      <c r="AQ17" s="285"/>
      <c r="AR17" s="285">
        <v>13</v>
      </c>
      <c r="AS17" s="285">
        <v>14</v>
      </c>
      <c r="AT17" s="285">
        <v>0</v>
      </c>
      <c r="AU17" s="286">
        <f t="shared" si="3"/>
        <v>59.5</v>
      </c>
      <c r="AV17" s="285">
        <v>10</v>
      </c>
      <c r="AW17" s="285"/>
      <c r="AX17" s="286">
        <f t="shared" si="6"/>
        <v>10</v>
      </c>
      <c r="AY17" s="285">
        <v>6</v>
      </c>
      <c r="AZ17" s="285"/>
      <c r="BA17" s="285"/>
      <c r="BB17" s="285">
        <v>12.5</v>
      </c>
      <c r="BC17" s="285">
        <v>7</v>
      </c>
      <c r="BD17" s="286">
        <f t="shared" si="0"/>
        <v>25.5</v>
      </c>
      <c r="BE17" s="285"/>
      <c r="BF17" s="285"/>
      <c r="BG17" s="285"/>
      <c r="BH17" s="285"/>
      <c r="BI17" s="285"/>
      <c r="BJ17" s="285"/>
      <c r="BK17" s="285"/>
      <c r="BL17" s="285"/>
      <c r="BM17" s="285"/>
      <c r="BN17" s="285"/>
      <c r="BO17" s="285">
        <v>6</v>
      </c>
      <c r="BP17" s="285">
        <f>+BM17+BN17+BO17</f>
        <v>6</v>
      </c>
      <c r="BQ17" s="285"/>
      <c r="BR17" s="285">
        <f t="shared" si="1"/>
        <v>142</v>
      </c>
      <c r="BS17" s="277">
        <f t="shared" si="4"/>
        <v>77.5</v>
      </c>
    </row>
    <row r="18" spans="1:71" x14ac:dyDescent="0.2">
      <c r="A18" s="275">
        <v>37070</v>
      </c>
      <c r="B18" s="285">
        <v>7</v>
      </c>
      <c r="C18" s="287" t="s">
        <v>743</v>
      </c>
      <c r="D18" s="285">
        <f>+B18</f>
        <v>7</v>
      </c>
      <c r="F18" s="285"/>
      <c r="G18" s="288"/>
      <c r="H18" s="285">
        <v>2</v>
      </c>
      <c r="I18" s="285"/>
      <c r="J18" s="285"/>
      <c r="K18" s="286">
        <f t="shared" si="5"/>
        <v>2</v>
      </c>
      <c r="L18" s="285"/>
      <c r="M18" s="285"/>
      <c r="N18" s="285"/>
      <c r="O18" s="285"/>
      <c r="P18" s="285"/>
      <c r="Q18" s="285"/>
      <c r="R18" s="285"/>
      <c r="S18" s="286"/>
      <c r="T18" s="285"/>
      <c r="U18" s="285"/>
      <c r="V18" s="285">
        <v>10</v>
      </c>
      <c r="W18" s="285">
        <v>10</v>
      </c>
      <c r="X18" s="285">
        <v>10</v>
      </c>
      <c r="Y18" s="285"/>
      <c r="Z18" s="285"/>
      <c r="AA18" s="285"/>
      <c r="AB18" s="285"/>
      <c r="AC18" s="285"/>
      <c r="AD18" s="286">
        <f>SUM(T18:AC18)</f>
        <v>30</v>
      </c>
      <c r="AE18" s="285"/>
      <c r="AF18" s="285">
        <v>13</v>
      </c>
      <c r="AG18" s="285"/>
      <c r="AH18" s="285">
        <v>10</v>
      </c>
      <c r="AI18" s="285"/>
      <c r="AJ18" s="285">
        <v>10</v>
      </c>
      <c r="AK18" s="285"/>
      <c r="AL18" s="285"/>
      <c r="AM18" s="285"/>
      <c r="AN18" s="285"/>
      <c r="AO18" s="285"/>
      <c r="AP18" s="285"/>
      <c r="AQ18" s="285">
        <v>10</v>
      </c>
      <c r="AR18" s="285">
        <v>10</v>
      </c>
      <c r="AS18" s="285">
        <v>11.5</v>
      </c>
      <c r="AT18" s="285">
        <v>10</v>
      </c>
      <c r="AU18" s="286">
        <f t="shared" si="3"/>
        <v>74.5</v>
      </c>
      <c r="AV18" s="285">
        <v>10</v>
      </c>
      <c r="AW18" s="285"/>
      <c r="AX18" s="286">
        <f t="shared" si="6"/>
        <v>10</v>
      </c>
      <c r="AY18" s="285"/>
      <c r="AZ18" s="285">
        <v>1</v>
      </c>
      <c r="BA18" s="285">
        <v>10</v>
      </c>
      <c r="BB18" s="285">
        <v>13</v>
      </c>
      <c r="BC18" s="285">
        <v>0</v>
      </c>
      <c r="BD18" s="286">
        <f t="shared" si="0"/>
        <v>24</v>
      </c>
      <c r="BE18" s="285"/>
      <c r="BF18" s="285"/>
      <c r="BG18" s="285"/>
      <c r="BH18" s="285"/>
      <c r="BI18" s="285"/>
      <c r="BJ18" s="285"/>
      <c r="BK18" s="285"/>
      <c r="BL18" s="285"/>
      <c r="BM18" s="285"/>
      <c r="BN18" s="285"/>
      <c r="BO18" s="285"/>
      <c r="BP18" s="285"/>
      <c r="BQ18" s="285"/>
      <c r="BR18" s="285">
        <f t="shared" si="1"/>
        <v>147.5</v>
      </c>
      <c r="BS18" s="277">
        <f t="shared" si="4"/>
        <v>77.25</v>
      </c>
    </row>
    <row r="19" spans="1:71" x14ac:dyDescent="0.2">
      <c r="A19" s="275">
        <v>37071</v>
      </c>
      <c r="B19" s="285">
        <v>10</v>
      </c>
      <c r="C19" s="285"/>
      <c r="D19" s="285">
        <f t="shared" ref="D19:D24" si="7">+C19+B19</f>
        <v>10</v>
      </c>
      <c r="E19" s="285">
        <v>3</v>
      </c>
      <c r="F19" s="285"/>
      <c r="G19" s="285"/>
      <c r="H19" s="285"/>
      <c r="I19" s="285"/>
      <c r="J19" s="285"/>
      <c r="K19" s="286">
        <f t="shared" si="5"/>
        <v>3</v>
      </c>
      <c r="L19" s="285"/>
      <c r="M19" s="285"/>
      <c r="N19" s="285"/>
      <c r="O19" s="285"/>
      <c r="P19" s="285"/>
      <c r="Q19" s="285"/>
      <c r="R19" s="285"/>
      <c r="S19" s="286"/>
      <c r="T19" s="285"/>
      <c r="U19" s="285"/>
      <c r="V19" s="285"/>
      <c r="W19" s="285"/>
      <c r="X19" s="285"/>
      <c r="Y19" s="285">
        <v>9</v>
      </c>
      <c r="Z19" s="285"/>
      <c r="AA19" s="285"/>
      <c r="AB19" s="285"/>
      <c r="AC19" s="285"/>
      <c r="AD19" s="286">
        <f>SUM(T19:AC19)</f>
        <v>9</v>
      </c>
      <c r="AE19" s="285"/>
      <c r="AF19" s="285">
        <v>12.5</v>
      </c>
      <c r="AG19" s="285"/>
      <c r="AH19" s="285">
        <v>9</v>
      </c>
      <c r="AI19" s="285"/>
      <c r="AJ19" s="285"/>
      <c r="AK19" s="285"/>
      <c r="AL19" s="285"/>
      <c r="AM19" s="285"/>
      <c r="AN19" s="285"/>
      <c r="AO19" s="285"/>
      <c r="AP19" s="285"/>
      <c r="AQ19" s="285">
        <v>9</v>
      </c>
      <c r="AR19" s="285">
        <v>8.5</v>
      </c>
      <c r="AS19" s="285">
        <v>9</v>
      </c>
      <c r="AT19" s="285">
        <v>9</v>
      </c>
      <c r="AU19" s="286">
        <f t="shared" si="3"/>
        <v>57</v>
      </c>
      <c r="AV19" s="285">
        <v>13.5</v>
      </c>
      <c r="AW19" s="285"/>
      <c r="AX19" s="286">
        <f t="shared" si="6"/>
        <v>13.5</v>
      </c>
      <c r="AY19" s="285"/>
      <c r="AZ19" s="285">
        <v>1</v>
      </c>
      <c r="BA19" s="285">
        <v>9</v>
      </c>
      <c r="BB19" s="285">
        <v>12.5</v>
      </c>
      <c r="BC19" s="285">
        <v>3</v>
      </c>
      <c r="BD19" s="286">
        <f t="shared" si="0"/>
        <v>25.5</v>
      </c>
      <c r="BE19" s="285"/>
      <c r="BF19" s="285"/>
      <c r="BG19" s="285"/>
      <c r="BH19" s="285"/>
      <c r="BI19" s="285"/>
      <c r="BJ19" s="285"/>
      <c r="BK19" s="285"/>
      <c r="BL19" s="285"/>
      <c r="BM19" s="285"/>
      <c r="BN19" s="285"/>
      <c r="BO19" s="285"/>
      <c r="BP19" s="285"/>
      <c r="BQ19" s="285"/>
      <c r="BR19" s="285">
        <f t="shared" si="1"/>
        <v>118</v>
      </c>
      <c r="BS19" s="277">
        <f t="shared" si="4"/>
        <v>64</v>
      </c>
    </row>
    <row r="20" spans="1:71" x14ac:dyDescent="0.2">
      <c r="A20" s="275">
        <v>37072</v>
      </c>
      <c r="B20" s="285">
        <v>11</v>
      </c>
      <c r="C20" s="285"/>
      <c r="D20" s="285">
        <f t="shared" si="7"/>
        <v>11</v>
      </c>
      <c r="E20" s="285"/>
      <c r="F20" s="285"/>
      <c r="G20" s="285"/>
      <c r="H20" s="285"/>
      <c r="I20" s="285"/>
      <c r="J20" s="285"/>
      <c r="K20" s="286">
        <f t="shared" si="5"/>
        <v>0</v>
      </c>
      <c r="L20" s="285"/>
      <c r="M20" s="285"/>
      <c r="N20" s="285"/>
      <c r="O20" s="285"/>
      <c r="P20" s="285"/>
      <c r="Q20" s="285"/>
      <c r="R20" s="285"/>
      <c r="S20" s="286"/>
      <c r="T20" s="285"/>
      <c r="U20" s="285"/>
      <c r="V20" s="285"/>
      <c r="W20" s="285"/>
      <c r="X20" s="285"/>
      <c r="Y20" s="285"/>
      <c r="Z20" s="285"/>
      <c r="AA20" s="285"/>
      <c r="AB20" s="285"/>
      <c r="AC20" s="285"/>
      <c r="AD20" s="286"/>
      <c r="AE20" s="285"/>
      <c r="AF20" s="285">
        <v>12.5</v>
      </c>
      <c r="AG20" s="285"/>
      <c r="AH20" s="285">
        <v>10</v>
      </c>
      <c r="AI20" s="285"/>
      <c r="AJ20" s="285"/>
      <c r="AK20" s="285"/>
      <c r="AL20" s="285"/>
      <c r="AM20" s="285"/>
      <c r="AN20" s="285"/>
      <c r="AO20" s="285"/>
      <c r="AP20" s="285"/>
      <c r="AQ20" s="285">
        <v>10</v>
      </c>
      <c r="AR20" s="285">
        <v>8.5</v>
      </c>
      <c r="AS20" s="285"/>
      <c r="AT20" s="285">
        <v>10</v>
      </c>
      <c r="AU20" s="286">
        <f t="shared" si="3"/>
        <v>51</v>
      </c>
      <c r="AV20" s="285"/>
      <c r="AW20" s="285"/>
      <c r="AX20" s="286"/>
      <c r="AY20" s="285">
        <v>1</v>
      </c>
      <c r="AZ20" s="285">
        <v>1</v>
      </c>
      <c r="BA20" s="285">
        <v>8</v>
      </c>
      <c r="BB20" s="285">
        <v>12.5</v>
      </c>
      <c r="BC20" s="285">
        <v>7</v>
      </c>
      <c r="BD20" s="286">
        <f t="shared" si="0"/>
        <v>29.5</v>
      </c>
      <c r="BE20" s="285"/>
      <c r="BF20" s="285"/>
      <c r="BG20" s="285"/>
      <c r="BH20" s="285"/>
      <c r="BI20" s="285"/>
      <c r="BJ20" s="285"/>
      <c r="BK20" s="285"/>
      <c r="BL20" s="285"/>
      <c r="BM20" s="285"/>
      <c r="BN20" s="285"/>
      <c r="BO20" s="285"/>
      <c r="BP20" s="285"/>
      <c r="BQ20" s="285"/>
      <c r="BR20" s="285">
        <f t="shared" si="1"/>
        <v>91.5</v>
      </c>
      <c r="BS20" s="277">
        <f t="shared" si="4"/>
        <v>51.25</v>
      </c>
    </row>
    <row r="21" spans="1:71" x14ac:dyDescent="0.2">
      <c r="A21" s="275">
        <v>37073</v>
      </c>
      <c r="B21" s="285">
        <v>11</v>
      </c>
      <c r="C21" s="285"/>
      <c r="D21" s="285">
        <f t="shared" si="7"/>
        <v>11</v>
      </c>
      <c r="E21" s="285">
        <v>11</v>
      </c>
      <c r="F21" s="285"/>
      <c r="G21" s="285"/>
      <c r="H21" s="285">
        <v>0</v>
      </c>
      <c r="I21" s="285"/>
      <c r="J21" s="285"/>
      <c r="K21" s="286">
        <f t="shared" si="5"/>
        <v>11</v>
      </c>
      <c r="L21" s="285"/>
      <c r="M21" s="285"/>
      <c r="N21" s="285"/>
      <c r="O21" s="285"/>
      <c r="P21" s="285"/>
      <c r="Q21" s="285"/>
      <c r="R21" s="285"/>
      <c r="S21" s="286"/>
      <c r="T21" s="285"/>
      <c r="U21" s="285"/>
      <c r="V21" s="285"/>
      <c r="W21" s="285"/>
      <c r="X21" s="285"/>
      <c r="Y21" s="285"/>
      <c r="Z21" s="285"/>
      <c r="AA21" s="285"/>
      <c r="AB21" s="285"/>
      <c r="AC21" s="285"/>
      <c r="AD21" s="286"/>
      <c r="AE21" s="285"/>
      <c r="AF21" s="285">
        <v>13</v>
      </c>
      <c r="AG21" s="285"/>
      <c r="AH21" s="285">
        <v>10</v>
      </c>
      <c r="AI21" s="285"/>
      <c r="AJ21" s="285"/>
      <c r="AK21" s="285"/>
      <c r="AL21" s="285"/>
      <c r="AM21" s="285"/>
      <c r="AN21" s="285"/>
      <c r="AO21" s="285"/>
      <c r="AP21" s="285"/>
      <c r="AQ21" s="285"/>
      <c r="AR21" s="285"/>
      <c r="AS21" s="285"/>
      <c r="AT21" s="285"/>
      <c r="AU21" s="286">
        <f t="shared" si="3"/>
        <v>23</v>
      </c>
      <c r="AV21" s="285"/>
      <c r="AW21" s="285"/>
      <c r="AX21" s="286"/>
      <c r="AY21" s="285">
        <v>1</v>
      </c>
      <c r="AZ21" s="285">
        <v>1</v>
      </c>
      <c r="BA21" s="285">
        <v>12</v>
      </c>
      <c r="BB21" s="285">
        <v>13</v>
      </c>
      <c r="BC21" s="285">
        <v>11</v>
      </c>
      <c r="BD21" s="286">
        <f t="shared" si="0"/>
        <v>38</v>
      </c>
      <c r="BE21" s="285"/>
      <c r="BF21" s="285"/>
      <c r="BG21" s="285"/>
      <c r="BH21" s="285"/>
      <c r="BI21" s="285"/>
      <c r="BJ21" s="285"/>
      <c r="BK21" s="285"/>
      <c r="BL21" s="285"/>
      <c r="BM21" s="285"/>
      <c r="BN21" s="285"/>
      <c r="BO21" s="285"/>
      <c r="BP21" s="285"/>
      <c r="BQ21" s="285"/>
      <c r="BR21" s="285">
        <f t="shared" si="1"/>
        <v>83</v>
      </c>
      <c r="BS21" s="277">
        <f t="shared" si="4"/>
        <v>47</v>
      </c>
    </row>
    <row r="22" spans="1:71" x14ac:dyDescent="0.2">
      <c r="A22" s="275">
        <v>37074</v>
      </c>
      <c r="B22" s="285">
        <v>9</v>
      </c>
      <c r="C22" s="285"/>
      <c r="D22" s="285">
        <f t="shared" si="7"/>
        <v>9</v>
      </c>
      <c r="E22" s="285" t="s">
        <v>742</v>
      </c>
      <c r="F22" s="285">
        <v>8</v>
      </c>
      <c r="G22" s="285"/>
      <c r="H22" s="285"/>
      <c r="I22" s="285"/>
      <c r="J22" s="285"/>
      <c r="K22" s="286">
        <f t="shared" si="5"/>
        <v>8</v>
      </c>
      <c r="L22" s="285"/>
      <c r="M22" s="285"/>
      <c r="N22" s="285"/>
      <c r="O22" s="285"/>
      <c r="P22" s="285"/>
      <c r="Q22" s="285"/>
      <c r="R22" s="285"/>
      <c r="S22" s="286"/>
      <c r="T22" s="285"/>
      <c r="U22" s="285"/>
      <c r="V22" s="285"/>
      <c r="W22" s="285"/>
      <c r="X22" s="285"/>
      <c r="Y22" s="285"/>
      <c r="Z22" s="285"/>
      <c r="AA22" s="285"/>
      <c r="AB22" s="285"/>
      <c r="AC22" s="285"/>
      <c r="AD22" s="286"/>
      <c r="AE22" s="285"/>
      <c r="AF22" s="285">
        <v>12.5</v>
      </c>
      <c r="AG22" s="285"/>
      <c r="AH22" s="285"/>
      <c r="AI22" s="285"/>
      <c r="AJ22" s="285"/>
      <c r="AK22" s="285"/>
      <c r="AL22" s="285"/>
      <c r="AM22" s="285"/>
      <c r="AN22" s="285"/>
      <c r="AO22" s="285"/>
      <c r="AP22" s="285"/>
      <c r="AQ22" s="285">
        <v>2</v>
      </c>
      <c r="AR22" s="285"/>
      <c r="AS22" s="285"/>
      <c r="AT22" s="285"/>
      <c r="AU22" s="286">
        <f t="shared" si="3"/>
        <v>14.5</v>
      </c>
      <c r="AV22" s="285">
        <v>5</v>
      </c>
      <c r="AW22" s="285"/>
      <c r="AX22" s="286">
        <f>+AW22+AV22</f>
        <v>5</v>
      </c>
      <c r="AY22" s="285"/>
      <c r="AZ22" s="285">
        <v>0</v>
      </c>
      <c r="BA22" s="285">
        <v>12</v>
      </c>
      <c r="BB22" s="285">
        <v>12.5</v>
      </c>
      <c r="BC22" s="285">
        <v>0</v>
      </c>
      <c r="BD22" s="286">
        <f t="shared" si="0"/>
        <v>24.5</v>
      </c>
      <c r="BE22" s="285"/>
      <c r="BF22" s="285"/>
      <c r="BG22" s="285"/>
      <c r="BH22" s="285"/>
      <c r="BI22" s="285"/>
      <c r="BJ22" s="285"/>
      <c r="BK22" s="285"/>
      <c r="BL22" s="285"/>
      <c r="BM22" s="285"/>
      <c r="BN22" s="285"/>
      <c r="BO22" s="285"/>
      <c r="BP22" s="285"/>
      <c r="BQ22" s="285"/>
      <c r="BR22" s="285">
        <f t="shared" si="1"/>
        <v>61</v>
      </c>
      <c r="BS22" s="277">
        <f t="shared" si="4"/>
        <v>35</v>
      </c>
    </row>
    <row r="23" spans="1:71" x14ac:dyDescent="0.2">
      <c r="A23" s="275">
        <v>37075</v>
      </c>
      <c r="B23" s="285">
        <v>11.5</v>
      </c>
      <c r="C23" s="285"/>
      <c r="D23" s="285">
        <f t="shared" si="7"/>
        <v>11.5</v>
      </c>
      <c r="E23" s="285"/>
      <c r="F23" s="285"/>
      <c r="G23" s="285"/>
      <c r="H23" s="285"/>
      <c r="I23" s="285"/>
      <c r="J23" s="285"/>
      <c r="K23" s="286"/>
      <c r="L23" s="285"/>
      <c r="M23" s="285"/>
      <c r="N23" s="285">
        <v>10</v>
      </c>
      <c r="O23" s="285">
        <v>10</v>
      </c>
      <c r="P23" s="285"/>
      <c r="Q23" s="285"/>
      <c r="R23" s="285"/>
      <c r="S23" s="286">
        <f>SUM(M23:R23)</f>
        <v>20</v>
      </c>
      <c r="T23" s="285"/>
      <c r="U23" s="285"/>
      <c r="V23" s="285"/>
      <c r="W23" s="285"/>
      <c r="X23" s="285"/>
      <c r="Y23" s="285"/>
      <c r="Z23" s="285"/>
      <c r="AA23" s="285"/>
      <c r="AB23" s="285"/>
      <c r="AC23" s="285"/>
      <c r="AD23" s="286"/>
      <c r="AE23" s="285"/>
      <c r="AF23" s="285"/>
      <c r="AG23" s="285"/>
      <c r="AH23" s="285">
        <v>10</v>
      </c>
      <c r="AI23" s="285"/>
      <c r="AJ23" s="285"/>
      <c r="AK23" s="285">
        <v>10</v>
      </c>
      <c r="AL23" s="285">
        <v>10</v>
      </c>
      <c r="AM23" s="285">
        <v>10</v>
      </c>
      <c r="AN23" s="285">
        <v>10</v>
      </c>
      <c r="AO23" s="285"/>
      <c r="AP23" s="285"/>
      <c r="AQ23" s="285">
        <v>10</v>
      </c>
      <c r="AR23" s="285">
        <v>10.5</v>
      </c>
      <c r="AS23" s="285">
        <v>13.5</v>
      </c>
      <c r="AT23" s="285">
        <v>10</v>
      </c>
      <c r="AU23" s="286">
        <f t="shared" si="3"/>
        <v>94</v>
      </c>
      <c r="AV23" s="285">
        <v>8</v>
      </c>
      <c r="AW23" s="285"/>
      <c r="AX23" s="286">
        <f>+AW23+AV23</f>
        <v>8</v>
      </c>
      <c r="AY23" s="285">
        <v>1</v>
      </c>
      <c r="AZ23" s="285">
        <v>1</v>
      </c>
      <c r="BA23" s="285">
        <v>6</v>
      </c>
      <c r="BB23" s="285"/>
      <c r="BC23" s="285"/>
      <c r="BD23" s="286">
        <f t="shared" si="0"/>
        <v>8</v>
      </c>
      <c r="BE23" s="285"/>
      <c r="BF23" s="285"/>
      <c r="BG23" s="285"/>
      <c r="BH23" s="285"/>
      <c r="BI23" s="285"/>
      <c r="BJ23" s="285"/>
      <c r="BK23" s="285"/>
      <c r="BL23" s="285"/>
      <c r="BM23" s="285"/>
      <c r="BN23" s="285"/>
      <c r="BO23" s="285"/>
      <c r="BP23" s="285"/>
      <c r="BQ23" s="285"/>
      <c r="BR23" s="285">
        <f t="shared" si="1"/>
        <v>141.5</v>
      </c>
      <c r="BS23" s="277">
        <f t="shared" si="4"/>
        <v>76.5</v>
      </c>
    </row>
    <row r="24" spans="1:71" x14ac:dyDescent="0.2">
      <c r="A24" s="275">
        <v>37076</v>
      </c>
      <c r="B24" s="285">
        <v>13</v>
      </c>
      <c r="C24" s="285"/>
      <c r="D24" s="285">
        <f t="shared" si="7"/>
        <v>13</v>
      </c>
      <c r="E24" s="285"/>
      <c r="F24" s="285">
        <v>11.5</v>
      </c>
      <c r="G24" s="285"/>
      <c r="H24" s="285"/>
      <c r="I24" s="285"/>
      <c r="J24" s="285"/>
      <c r="K24" s="286">
        <f>SUM(E24:J24)</f>
        <v>11.5</v>
      </c>
      <c r="L24" s="285"/>
      <c r="M24" s="285">
        <v>10</v>
      </c>
      <c r="N24" s="285">
        <v>0</v>
      </c>
      <c r="O24" s="285">
        <v>5</v>
      </c>
      <c r="P24" s="285"/>
      <c r="Q24" s="285"/>
      <c r="R24" s="285"/>
      <c r="S24" s="286">
        <f>SUM(M24:R24)</f>
        <v>15</v>
      </c>
      <c r="T24" s="285"/>
      <c r="U24" s="285"/>
      <c r="V24" s="285"/>
      <c r="W24" s="285"/>
      <c r="X24" s="285"/>
      <c r="Y24" s="285"/>
      <c r="Z24" s="285"/>
      <c r="AA24" s="285"/>
      <c r="AB24" s="285"/>
      <c r="AC24" s="285"/>
      <c r="AD24" s="286"/>
      <c r="AE24" s="285"/>
      <c r="AF24" s="285">
        <v>7</v>
      </c>
      <c r="AG24" s="285"/>
      <c r="AH24" s="285"/>
      <c r="AI24" s="285">
        <v>5</v>
      </c>
      <c r="AJ24" s="285"/>
      <c r="AK24" s="285">
        <v>3.5</v>
      </c>
      <c r="AL24" s="285">
        <v>3.5</v>
      </c>
      <c r="AM24" s="285">
        <v>5</v>
      </c>
      <c r="AN24" s="285"/>
      <c r="AO24" s="285"/>
      <c r="AP24" s="285"/>
      <c r="AQ24" s="285">
        <v>12</v>
      </c>
      <c r="AR24" s="285">
        <v>5.5</v>
      </c>
      <c r="AS24" s="285">
        <v>12</v>
      </c>
      <c r="AT24" s="285">
        <v>10</v>
      </c>
      <c r="AU24" s="286">
        <f t="shared" si="3"/>
        <v>63.5</v>
      </c>
      <c r="AV24" s="285">
        <v>5</v>
      </c>
      <c r="AW24" s="285"/>
      <c r="AX24" s="286">
        <f>+AW24+AV24</f>
        <v>5</v>
      </c>
      <c r="AY24" s="285"/>
      <c r="AZ24" s="285">
        <v>1</v>
      </c>
      <c r="BA24" s="285">
        <v>12</v>
      </c>
      <c r="BB24" s="285">
        <v>13</v>
      </c>
      <c r="BC24" s="285">
        <v>0</v>
      </c>
      <c r="BD24" s="286">
        <f t="shared" si="0"/>
        <v>26</v>
      </c>
      <c r="BE24" s="285"/>
      <c r="BF24" s="285"/>
      <c r="BG24" s="285"/>
      <c r="BH24" s="285"/>
      <c r="BI24" s="285"/>
      <c r="BJ24" s="285"/>
      <c r="BK24" s="285"/>
      <c r="BL24" s="285"/>
      <c r="BM24" s="285"/>
      <c r="BN24" s="285"/>
      <c r="BO24" s="285"/>
      <c r="BP24" s="285"/>
      <c r="BQ24" s="285"/>
      <c r="BR24" s="285">
        <f t="shared" si="1"/>
        <v>134</v>
      </c>
      <c r="BS24" s="277">
        <f t="shared" si="4"/>
        <v>73.5</v>
      </c>
    </row>
    <row r="25" spans="1:71" x14ac:dyDescent="0.2">
      <c r="A25" s="275">
        <v>37077</v>
      </c>
      <c r="B25" s="285">
        <v>8</v>
      </c>
      <c r="C25" s="287" t="s">
        <v>744</v>
      </c>
      <c r="D25" s="285">
        <f>+B25</f>
        <v>8</v>
      </c>
      <c r="F25" s="285">
        <v>11.5</v>
      </c>
      <c r="G25" s="285"/>
      <c r="H25" s="285"/>
      <c r="I25" s="285"/>
      <c r="J25" s="285"/>
      <c r="K25" s="286">
        <f>SUM(E25:J25)</f>
        <v>11.5</v>
      </c>
      <c r="L25" s="285"/>
      <c r="M25" s="285">
        <v>10</v>
      </c>
      <c r="N25" s="285">
        <v>0</v>
      </c>
      <c r="O25" s="285">
        <v>10</v>
      </c>
      <c r="P25" s="285"/>
      <c r="Q25" s="285"/>
      <c r="R25" s="285"/>
      <c r="S25" s="286">
        <f>SUM(M25:R25)</f>
        <v>20</v>
      </c>
      <c r="T25" s="285"/>
      <c r="U25" s="285"/>
      <c r="V25" s="285"/>
      <c r="W25" s="285"/>
      <c r="X25" s="285"/>
      <c r="Y25" s="285"/>
      <c r="Z25" s="285"/>
      <c r="AA25" s="285"/>
      <c r="AB25" s="285"/>
      <c r="AC25" s="285"/>
      <c r="AD25" s="286"/>
      <c r="AE25" s="285"/>
      <c r="AF25" s="285">
        <v>6</v>
      </c>
      <c r="AG25" s="285"/>
      <c r="AH25" s="285">
        <v>10</v>
      </c>
      <c r="AI25" s="285">
        <v>10</v>
      </c>
      <c r="AJ25" s="285"/>
      <c r="AK25" s="285">
        <v>5</v>
      </c>
      <c r="AL25" s="285">
        <v>5</v>
      </c>
      <c r="AM25" s="285">
        <v>10</v>
      </c>
      <c r="AN25" s="285"/>
      <c r="AO25" s="285"/>
      <c r="AP25" s="285"/>
      <c r="AQ25" s="285">
        <v>5</v>
      </c>
      <c r="AR25" s="285">
        <v>5</v>
      </c>
      <c r="AS25" s="285">
        <v>12</v>
      </c>
      <c r="AT25" s="285"/>
      <c r="AU25" s="286">
        <f t="shared" si="3"/>
        <v>68</v>
      </c>
      <c r="AV25" s="285"/>
      <c r="AW25" s="285"/>
      <c r="AX25" s="286"/>
      <c r="AY25" s="285">
        <v>1</v>
      </c>
      <c r="AZ25" s="285">
        <v>1</v>
      </c>
      <c r="BA25" s="285">
        <v>8</v>
      </c>
      <c r="BB25" s="285">
        <v>13</v>
      </c>
      <c r="BC25" s="285">
        <v>11.5</v>
      </c>
      <c r="BD25" s="286">
        <f t="shared" si="0"/>
        <v>34.5</v>
      </c>
      <c r="BE25" s="285"/>
      <c r="BF25" s="285"/>
      <c r="BG25" s="285"/>
      <c r="BH25" s="285"/>
      <c r="BI25" s="285"/>
      <c r="BJ25" s="285"/>
      <c r="BK25" s="285"/>
      <c r="BL25" s="285"/>
      <c r="BM25" s="285"/>
      <c r="BN25" s="285"/>
      <c r="BO25" s="285"/>
      <c r="BP25" s="285"/>
      <c r="BQ25" s="285"/>
      <c r="BR25" s="285">
        <f t="shared" si="1"/>
        <v>142</v>
      </c>
      <c r="BS25" s="277">
        <f t="shared" si="4"/>
        <v>75</v>
      </c>
    </row>
    <row r="26" spans="1:71" x14ac:dyDescent="0.2">
      <c r="A26" s="275">
        <v>37078</v>
      </c>
      <c r="B26" s="285">
        <v>10</v>
      </c>
      <c r="C26" s="285"/>
      <c r="D26" s="285">
        <f t="shared" ref="D26:D36" si="8">+C26+B26</f>
        <v>10</v>
      </c>
      <c r="E26" s="285"/>
      <c r="F26" s="285">
        <v>1.5</v>
      </c>
      <c r="G26" s="285"/>
      <c r="H26" s="285"/>
      <c r="I26" s="285"/>
      <c r="J26" s="285"/>
      <c r="K26" s="286">
        <f>SUM(E26:J26)</f>
        <v>1.5</v>
      </c>
      <c r="L26" s="285"/>
      <c r="M26" s="285">
        <v>9</v>
      </c>
      <c r="N26" s="285">
        <v>3</v>
      </c>
      <c r="O26" s="285">
        <v>0</v>
      </c>
      <c r="P26" s="285"/>
      <c r="Q26" s="285"/>
      <c r="R26" s="285"/>
      <c r="S26" s="286">
        <f>SUM(M26:R26)</f>
        <v>12</v>
      </c>
      <c r="T26" s="285"/>
      <c r="U26" s="285"/>
      <c r="V26" s="285"/>
      <c r="W26" s="285"/>
      <c r="X26" s="285"/>
      <c r="Y26" s="285"/>
      <c r="Z26" s="285"/>
      <c r="AA26" s="285"/>
      <c r="AB26" s="285"/>
      <c r="AC26" s="285"/>
      <c r="AD26" s="286"/>
      <c r="AE26" s="285"/>
      <c r="AF26" s="285">
        <v>12.5</v>
      </c>
      <c r="AG26" s="285"/>
      <c r="AH26" s="285">
        <v>9</v>
      </c>
      <c r="AI26" s="285"/>
      <c r="AJ26" s="285"/>
      <c r="AK26" s="285"/>
      <c r="AL26" s="285"/>
      <c r="AM26" s="285"/>
      <c r="AN26" s="285"/>
      <c r="AO26" s="285"/>
      <c r="AP26" s="285"/>
      <c r="AQ26" s="285"/>
      <c r="AR26" s="285"/>
      <c r="AS26" s="285">
        <v>11</v>
      </c>
      <c r="AT26" s="285">
        <v>9</v>
      </c>
      <c r="AU26" s="286">
        <f t="shared" si="3"/>
        <v>41.5</v>
      </c>
      <c r="AV26" s="285"/>
      <c r="AW26" s="285"/>
      <c r="AX26" s="286"/>
      <c r="AY26" s="285">
        <v>3</v>
      </c>
      <c r="AZ26" s="285">
        <v>1</v>
      </c>
      <c r="BA26" s="285" t="s">
        <v>745</v>
      </c>
      <c r="BB26" s="285">
        <v>12.5</v>
      </c>
      <c r="BC26" s="285">
        <v>1.5</v>
      </c>
      <c r="BD26" s="286">
        <f t="shared" si="0"/>
        <v>18</v>
      </c>
      <c r="BE26" s="285"/>
      <c r="BF26" s="285"/>
      <c r="BG26" s="285"/>
      <c r="BH26" s="285"/>
      <c r="BI26" s="285"/>
      <c r="BJ26" s="285"/>
      <c r="BK26" s="285"/>
      <c r="BL26" s="285"/>
      <c r="BM26" s="285"/>
      <c r="BN26" s="285"/>
      <c r="BO26" s="285"/>
      <c r="BP26" s="285"/>
      <c r="BQ26" s="285"/>
      <c r="BR26" s="285">
        <f t="shared" si="1"/>
        <v>83</v>
      </c>
      <c r="BS26" s="277">
        <f t="shared" si="4"/>
        <v>46.5</v>
      </c>
    </row>
    <row r="27" spans="1:71" x14ac:dyDescent="0.2">
      <c r="A27" s="275">
        <v>37079</v>
      </c>
      <c r="B27" s="285">
        <v>11</v>
      </c>
      <c r="C27" s="285"/>
      <c r="D27" s="285">
        <f t="shared" si="8"/>
        <v>11</v>
      </c>
      <c r="E27" s="285"/>
      <c r="F27" s="285"/>
      <c r="G27" s="285"/>
      <c r="H27" s="285"/>
      <c r="I27" s="285"/>
      <c r="J27" s="285"/>
      <c r="K27" s="286"/>
      <c r="L27" s="285"/>
      <c r="M27" s="285"/>
      <c r="N27" s="285"/>
      <c r="O27" s="285"/>
      <c r="P27" s="285"/>
      <c r="Q27" s="285"/>
      <c r="R27" s="285"/>
      <c r="S27" s="286"/>
      <c r="T27" s="285"/>
      <c r="U27" s="285"/>
      <c r="V27" s="285"/>
      <c r="W27" s="285"/>
      <c r="X27" s="285"/>
      <c r="Y27" s="285"/>
      <c r="Z27" s="285"/>
      <c r="AA27" s="285"/>
      <c r="AB27" s="285"/>
      <c r="AC27" s="285"/>
      <c r="AD27" s="286"/>
      <c r="AE27" s="285"/>
      <c r="AF27" s="285">
        <v>12.5</v>
      </c>
      <c r="AG27" s="285"/>
      <c r="AH27" s="285">
        <v>10</v>
      </c>
      <c r="AI27" s="285"/>
      <c r="AJ27" s="285"/>
      <c r="AK27" s="285"/>
      <c r="AL27" s="285"/>
      <c r="AM27" s="285"/>
      <c r="AN27" s="285"/>
      <c r="AO27" s="285"/>
      <c r="AP27" s="285"/>
      <c r="AQ27" s="285"/>
      <c r="AR27" s="285">
        <v>10</v>
      </c>
      <c r="AS27" s="285">
        <v>10</v>
      </c>
      <c r="AT27" s="285">
        <v>10</v>
      </c>
      <c r="AU27" s="286">
        <f t="shared" si="3"/>
        <v>52.5</v>
      </c>
      <c r="AV27" s="285">
        <v>10</v>
      </c>
      <c r="AW27" s="285"/>
      <c r="AX27" s="286">
        <f>+AW27+AV27</f>
        <v>10</v>
      </c>
      <c r="AY27" s="285">
        <v>2</v>
      </c>
      <c r="AZ27" s="285">
        <v>1</v>
      </c>
      <c r="BA27" s="285"/>
      <c r="BB27" s="285">
        <v>12.5</v>
      </c>
      <c r="BC27" s="285">
        <v>0</v>
      </c>
      <c r="BD27" s="286">
        <f t="shared" si="0"/>
        <v>15.5</v>
      </c>
      <c r="BE27" s="285"/>
      <c r="BF27" s="285"/>
      <c r="BG27" s="285"/>
      <c r="BH27" s="285"/>
      <c r="BI27" s="285"/>
      <c r="BJ27" s="285"/>
      <c r="BK27" s="285"/>
      <c r="BL27" s="285"/>
      <c r="BM27" s="285"/>
      <c r="BN27" s="285"/>
      <c r="BO27" s="285"/>
      <c r="BP27" s="285"/>
      <c r="BQ27" s="285"/>
      <c r="BR27" s="285">
        <f t="shared" si="1"/>
        <v>89</v>
      </c>
      <c r="BS27" s="277">
        <f t="shared" si="4"/>
        <v>50</v>
      </c>
    </row>
    <row r="28" spans="1:71" x14ac:dyDescent="0.2">
      <c r="A28" s="275">
        <v>37080</v>
      </c>
      <c r="B28" s="285">
        <v>11</v>
      </c>
      <c r="C28" s="285"/>
      <c r="D28" s="285">
        <f t="shared" si="8"/>
        <v>11</v>
      </c>
      <c r="E28" s="285"/>
      <c r="F28" s="285"/>
      <c r="G28" s="285"/>
      <c r="H28" s="285"/>
      <c r="I28" s="285"/>
      <c r="J28" s="285"/>
      <c r="K28" s="286"/>
      <c r="L28" s="285"/>
      <c r="M28" s="285"/>
      <c r="N28" s="285"/>
      <c r="O28" s="285"/>
      <c r="P28" s="285"/>
      <c r="Q28" s="285"/>
      <c r="R28" s="285"/>
      <c r="S28" s="286"/>
      <c r="T28" s="285"/>
      <c r="U28" s="285"/>
      <c r="V28" s="285"/>
      <c r="W28" s="285"/>
      <c r="X28" s="285"/>
      <c r="Y28" s="285"/>
      <c r="Z28" s="285"/>
      <c r="AA28" s="285"/>
      <c r="AB28" s="285"/>
      <c r="AC28" s="285"/>
      <c r="AD28" s="286"/>
      <c r="AE28" s="285"/>
      <c r="AF28" s="285">
        <v>12.5</v>
      </c>
      <c r="AG28" s="285"/>
      <c r="AH28" s="285">
        <v>10</v>
      </c>
      <c r="AI28" s="285"/>
      <c r="AJ28" s="285"/>
      <c r="AK28" s="285"/>
      <c r="AL28" s="285"/>
      <c r="AM28" s="285"/>
      <c r="AN28" s="285"/>
      <c r="AO28" s="285"/>
      <c r="AP28" s="285"/>
      <c r="AQ28" s="285">
        <v>10</v>
      </c>
      <c r="AR28" s="285">
        <v>9.5</v>
      </c>
      <c r="AS28" s="285">
        <v>10</v>
      </c>
      <c r="AT28" s="285">
        <v>7.5</v>
      </c>
      <c r="AU28" s="286">
        <f t="shared" si="3"/>
        <v>59.5</v>
      </c>
      <c r="AV28" s="285"/>
      <c r="AW28" s="285"/>
      <c r="AX28" s="286"/>
      <c r="AY28" s="285"/>
      <c r="AZ28" s="285">
        <v>2</v>
      </c>
      <c r="BA28" s="285"/>
      <c r="BB28" s="285">
        <v>12.5</v>
      </c>
      <c r="BC28" s="285">
        <v>0</v>
      </c>
      <c r="BD28" s="286">
        <f t="shared" si="0"/>
        <v>14.5</v>
      </c>
      <c r="BE28" s="285"/>
      <c r="BF28" s="285"/>
      <c r="BG28" s="285"/>
      <c r="BH28" s="285"/>
      <c r="BI28" s="285"/>
      <c r="BJ28" s="285"/>
      <c r="BK28" s="285"/>
      <c r="BL28" s="285"/>
      <c r="BM28" s="285"/>
      <c r="BN28" s="285"/>
      <c r="BO28" s="285"/>
      <c r="BP28" s="285"/>
      <c r="BQ28" s="285"/>
      <c r="BR28" s="285">
        <f t="shared" si="1"/>
        <v>85</v>
      </c>
      <c r="BS28" s="277">
        <f t="shared" si="4"/>
        <v>48</v>
      </c>
    </row>
    <row r="29" spans="1:71" x14ac:dyDescent="0.2">
      <c r="A29" s="275">
        <v>37081</v>
      </c>
      <c r="B29" s="285">
        <v>6</v>
      </c>
      <c r="C29" s="285"/>
      <c r="D29" s="285">
        <f t="shared" si="8"/>
        <v>6</v>
      </c>
      <c r="E29" s="285"/>
      <c r="F29" s="285"/>
      <c r="G29" s="285"/>
      <c r="H29" s="285"/>
      <c r="I29" s="285"/>
      <c r="J29" s="285"/>
      <c r="K29" s="286"/>
      <c r="L29" s="285"/>
      <c r="M29" s="285"/>
      <c r="N29" s="285"/>
      <c r="O29" s="285">
        <v>6.5</v>
      </c>
      <c r="P29" s="285"/>
      <c r="Q29" s="285"/>
      <c r="R29" s="285"/>
      <c r="S29" s="286">
        <f>SUM(M29:R29)</f>
        <v>6.5</v>
      </c>
      <c r="T29" s="285"/>
      <c r="U29" s="285"/>
      <c r="V29" s="285"/>
      <c r="W29" s="285"/>
      <c r="X29" s="285"/>
      <c r="Y29" s="285"/>
      <c r="Z29" s="285"/>
      <c r="AA29" s="285"/>
      <c r="AB29" s="285"/>
      <c r="AC29" s="285"/>
      <c r="AD29" s="286"/>
      <c r="AE29" s="285"/>
      <c r="AF29" s="285">
        <v>12.5</v>
      </c>
      <c r="AG29" s="285"/>
      <c r="AH29" s="285"/>
      <c r="AI29" s="285"/>
      <c r="AJ29" s="285"/>
      <c r="AK29" s="285">
        <v>5.5</v>
      </c>
      <c r="AL29" s="285">
        <v>5.5</v>
      </c>
      <c r="AM29" s="285"/>
      <c r="AN29" s="285">
        <v>6.5</v>
      </c>
      <c r="AO29" s="285"/>
      <c r="AP29" s="285"/>
      <c r="AQ29" s="285"/>
      <c r="AR29" s="285"/>
      <c r="AS29" s="285">
        <v>8</v>
      </c>
      <c r="AT29" s="285"/>
      <c r="AU29" s="286">
        <f t="shared" si="3"/>
        <v>38</v>
      </c>
      <c r="AV29" s="285">
        <v>6.5</v>
      </c>
      <c r="AW29" s="285"/>
      <c r="AX29" s="286">
        <f>+AW29+AV29</f>
        <v>6.5</v>
      </c>
      <c r="AY29" s="285"/>
      <c r="AZ29" s="285">
        <v>5.5</v>
      </c>
      <c r="BA29" s="285"/>
      <c r="BB29" s="285">
        <v>12.5</v>
      </c>
      <c r="BC29" s="285">
        <v>0</v>
      </c>
      <c r="BD29" s="286">
        <f t="shared" si="0"/>
        <v>18</v>
      </c>
      <c r="BE29" s="285"/>
      <c r="BF29" s="285"/>
      <c r="BG29" s="285"/>
      <c r="BH29" s="285"/>
      <c r="BI29" s="285"/>
      <c r="BJ29" s="285"/>
      <c r="BK29" s="285"/>
      <c r="BL29" s="285"/>
      <c r="BM29" s="285"/>
      <c r="BN29" s="285"/>
      <c r="BO29" s="285"/>
      <c r="BP29" s="285"/>
      <c r="BQ29" s="285"/>
      <c r="BR29" s="285">
        <f t="shared" si="1"/>
        <v>75</v>
      </c>
      <c r="BS29" s="277">
        <f t="shared" si="4"/>
        <v>40.5</v>
      </c>
    </row>
    <row r="30" spans="1:71" x14ac:dyDescent="0.2">
      <c r="A30" s="275">
        <v>37082</v>
      </c>
      <c r="B30" s="285">
        <v>10</v>
      </c>
      <c r="C30" s="285"/>
      <c r="D30" s="285">
        <f t="shared" si="8"/>
        <v>10</v>
      </c>
      <c r="E30" s="285">
        <v>6</v>
      </c>
      <c r="F30" s="285">
        <v>6</v>
      </c>
      <c r="G30" s="285"/>
      <c r="H30" s="285"/>
      <c r="I30" s="285"/>
      <c r="J30" s="285"/>
      <c r="K30" s="286">
        <f>SUM(E30:J30)</f>
        <v>12</v>
      </c>
      <c r="L30" s="285">
        <v>6</v>
      </c>
      <c r="M30" s="285"/>
      <c r="N30" s="285"/>
      <c r="O30" s="285"/>
      <c r="P30" s="285"/>
      <c r="Q30" s="285"/>
      <c r="R30" s="285"/>
      <c r="S30" s="286"/>
      <c r="T30" s="285"/>
      <c r="U30" s="285"/>
      <c r="V30" s="285"/>
      <c r="W30" s="285"/>
      <c r="X30" s="285"/>
      <c r="Y30" s="285"/>
      <c r="Z30" s="285"/>
      <c r="AA30" s="285"/>
      <c r="AB30" s="285"/>
      <c r="AC30" s="285"/>
      <c r="AD30" s="286"/>
      <c r="AE30" s="285"/>
      <c r="AF30" s="285">
        <v>12.5</v>
      </c>
      <c r="AG30" s="285"/>
      <c r="AH30" s="285">
        <v>10</v>
      </c>
      <c r="AI30" s="285"/>
      <c r="AJ30" s="285"/>
      <c r="AK30" s="285">
        <v>0</v>
      </c>
      <c r="AL30" s="285"/>
      <c r="AM30" s="285"/>
      <c r="AN30" s="285">
        <v>0</v>
      </c>
      <c r="AO30" s="285"/>
      <c r="AP30" s="285"/>
      <c r="AQ30" s="285">
        <v>10</v>
      </c>
      <c r="AR30" s="285">
        <v>10</v>
      </c>
      <c r="AS30" s="285">
        <v>10</v>
      </c>
      <c r="AT30" s="285"/>
      <c r="AU30" s="286">
        <f t="shared" si="3"/>
        <v>52.5</v>
      </c>
      <c r="AV30" s="285"/>
      <c r="AW30" s="285"/>
      <c r="AX30" s="286"/>
      <c r="AY30" s="285">
        <v>6</v>
      </c>
      <c r="AZ30" s="285">
        <v>2</v>
      </c>
      <c r="BA30" s="285"/>
      <c r="BB30" s="285">
        <v>10</v>
      </c>
      <c r="BC30" s="285">
        <v>12.5</v>
      </c>
      <c r="BD30" s="286">
        <f t="shared" si="0"/>
        <v>30.5</v>
      </c>
      <c r="BE30" s="288">
        <v>4</v>
      </c>
      <c r="BF30" s="288">
        <v>4</v>
      </c>
      <c r="BG30" s="288">
        <v>4</v>
      </c>
      <c r="BH30" s="288">
        <f t="shared" ref="BH30:BH42" si="9">+BE30+BF30+BG30</f>
        <v>12</v>
      </c>
      <c r="BI30" s="288">
        <v>4</v>
      </c>
      <c r="BJ30" s="288">
        <v>4</v>
      </c>
      <c r="BK30" s="285"/>
      <c r="BL30" s="288">
        <f>+BJ30+BK30</f>
        <v>4</v>
      </c>
      <c r="BM30" s="285"/>
      <c r="BN30" s="285"/>
      <c r="BO30" s="285"/>
      <c r="BP30" s="285"/>
      <c r="BQ30" s="285"/>
      <c r="BR30" s="285">
        <f t="shared" si="1"/>
        <v>125</v>
      </c>
      <c r="BS30" s="277">
        <f t="shared" si="4"/>
        <v>57.5</v>
      </c>
    </row>
    <row r="31" spans="1:71" x14ac:dyDescent="0.2">
      <c r="A31" s="275">
        <v>37083</v>
      </c>
      <c r="B31" s="285">
        <v>11</v>
      </c>
      <c r="C31" s="285"/>
      <c r="D31" s="285">
        <f t="shared" si="8"/>
        <v>11</v>
      </c>
      <c r="E31" s="285"/>
      <c r="F31" s="285"/>
      <c r="G31" s="285"/>
      <c r="H31" s="285"/>
      <c r="I31" s="285"/>
      <c r="J31" s="285"/>
      <c r="K31" s="286"/>
      <c r="L31" s="285"/>
      <c r="M31" s="285"/>
      <c r="N31" s="285"/>
      <c r="O31" s="285"/>
      <c r="P31" s="285"/>
      <c r="Q31" s="285"/>
      <c r="R31" s="285"/>
      <c r="S31" s="286"/>
      <c r="T31" s="285"/>
      <c r="U31" s="285"/>
      <c r="V31" s="285"/>
      <c r="W31" s="285"/>
      <c r="X31" s="285"/>
      <c r="Y31" s="285"/>
      <c r="Z31" s="285"/>
      <c r="AA31" s="285"/>
      <c r="AB31" s="285"/>
      <c r="AC31" s="285">
        <v>10</v>
      </c>
      <c r="AD31" s="286">
        <f t="shared" ref="AD31:AD43" si="10">SUM(T31:AC31)</f>
        <v>10</v>
      </c>
      <c r="AE31" s="285"/>
      <c r="AF31" s="285"/>
      <c r="AG31" s="285"/>
      <c r="AH31" s="285">
        <v>10</v>
      </c>
      <c r="AI31" s="285">
        <v>4</v>
      </c>
      <c r="AJ31" s="285"/>
      <c r="AK31" s="285"/>
      <c r="AL31" s="285"/>
      <c r="AM31" s="285">
        <v>5</v>
      </c>
      <c r="AN31" s="285">
        <v>5</v>
      </c>
      <c r="AO31" s="285"/>
      <c r="AP31" s="285"/>
      <c r="AQ31" s="285">
        <v>10</v>
      </c>
      <c r="AR31" s="285">
        <v>10</v>
      </c>
      <c r="AS31" s="285">
        <v>10</v>
      </c>
      <c r="AT31" s="285"/>
      <c r="AU31" s="286">
        <f t="shared" si="3"/>
        <v>54</v>
      </c>
      <c r="AV31" s="285"/>
      <c r="AW31" s="285"/>
      <c r="AX31" s="286"/>
      <c r="AY31" s="285">
        <v>4</v>
      </c>
      <c r="AZ31" s="285">
        <v>2</v>
      </c>
      <c r="BA31" s="285"/>
      <c r="BB31" s="285">
        <v>10</v>
      </c>
      <c r="BC31" s="285">
        <v>12.5</v>
      </c>
      <c r="BD31" s="286">
        <f t="shared" si="0"/>
        <v>28.5</v>
      </c>
      <c r="BE31" s="288">
        <v>4</v>
      </c>
      <c r="BF31" s="288">
        <v>4</v>
      </c>
      <c r="BG31" s="288">
        <v>4</v>
      </c>
      <c r="BH31" s="288">
        <f t="shared" si="9"/>
        <v>12</v>
      </c>
      <c r="BI31" s="288">
        <v>4</v>
      </c>
      <c r="BJ31" s="288">
        <v>4</v>
      </c>
      <c r="BK31" s="285"/>
      <c r="BL31" s="288">
        <f>+BJ31+BK31</f>
        <v>4</v>
      </c>
      <c r="BM31" s="285"/>
      <c r="BN31" s="285"/>
      <c r="BO31" s="285"/>
      <c r="BP31" s="285"/>
      <c r="BQ31" s="285"/>
      <c r="BR31" s="285">
        <f t="shared" si="1"/>
        <v>123.5</v>
      </c>
      <c r="BS31" s="277">
        <f t="shared" si="4"/>
        <v>57.25</v>
      </c>
    </row>
    <row r="32" spans="1:71" x14ac:dyDescent="0.2">
      <c r="A32" s="275">
        <v>37084</v>
      </c>
      <c r="B32" s="285">
        <v>13</v>
      </c>
      <c r="C32" s="285"/>
      <c r="D32" s="285">
        <f t="shared" si="8"/>
        <v>13</v>
      </c>
      <c r="E32" s="285"/>
      <c r="F32" s="285"/>
      <c r="G32" s="285"/>
      <c r="H32" s="285"/>
      <c r="I32" s="285"/>
      <c r="J32" s="285"/>
      <c r="K32" s="286"/>
      <c r="L32" s="285"/>
      <c r="M32" s="285"/>
      <c r="N32" s="285">
        <v>5</v>
      </c>
      <c r="O32" s="285">
        <v>5</v>
      </c>
      <c r="P32" s="285"/>
      <c r="Q32" s="285"/>
      <c r="R32" s="285"/>
      <c r="S32" s="286">
        <f>SUM(M32:R32)</f>
        <v>10</v>
      </c>
      <c r="T32" s="285"/>
      <c r="U32" s="285"/>
      <c r="V32" s="285"/>
      <c r="W32" s="285"/>
      <c r="X32" s="285"/>
      <c r="Y32" s="285"/>
      <c r="Z32" s="285"/>
      <c r="AA32" s="285"/>
      <c r="AB32" s="285">
        <v>10</v>
      </c>
      <c r="AC32" s="285">
        <v>10</v>
      </c>
      <c r="AD32" s="286">
        <f t="shared" si="10"/>
        <v>20</v>
      </c>
      <c r="AE32" s="285"/>
      <c r="AF32" s="285">
        <v>5</v>
      </c>
      <c r="AG32" s="285"/>
      <c r="AH32" s="285"/>
      <c r="AI32" s="285"/>
      <c r="AJ32" s="285"/>
      <c r="AK32" s="285"/>
      <c r="AL32" s="285"/>
      <c r="AM32" s="285"/>
      <c r="AN32" s="285"/>
      <c r="AO32" s="285"/>
      <c r="AP32" s="285"/>
      <c r="AQ32" s="285">
        <v>10</v>
      </c>
      <c r="AR32" s="285">
        <v>10</v>
      </c>
      <c r="AS32" s="285">
        <v>10.5</v>
      </c>
      <c r="AT32" s="285"/>
      <c r="AU32" s="286">
        <f t="shared" si="3"/>
        <v>35.5</v>
      </c>
      <c r="AV32" s="285"/>
      <c r="AW32" s="285"/>
      <c r="AX32" s="286"/>
      <c r="AY32" s="285">
        <v>3</v>
      </c>
      <c r="AZ32" s="285">
        <v>4</v>
      </c>
      <c r="BA32" s="285"/>
      <c r="BB32" s="285">
        <v>12.5</v>
      </c>
      <c r="BC32" s="285">
        <v>5</v>
      </c>
      <c r="BD32" s="286">
        <f t="shared" si="0"/>
        <v>24.5</v>
      </c>
      <c r="BE32" s="288">
        <v>0</v>
      </c>
      <c r="BF32" s="288">
        <v>4</v>
      </c>
      <c r="BG32" s="288">
        <v>4</v>
      </c>
      <c r="BH32" s="288">
        <f t="shared" si="9"/>
        <v>8</v>
      </c>
      <c r="BI32" s="288">
        <v>4</v>
      </c>
      <c r="BJ32" s="288">
        <v>4</v>
      </c>
      <c r="BK32" s="285"/>
      <c r="BL32" s="288">
        <f>+BJ32+BK32</f>
        <v>4</v>
      </c>
      <c r="BM32" s="285"/>
      <c r="BN32" s="285"/>
      <c r="BO32" s="285"/>
      <c r="BP32" s="285"/>
      <c r="BQ32" s="285"/>
      <c r="BR32" s="285">
        <f t="shared" si="1"/>
        <v>119</v>
      </c>
      <c r="BS32" s="277">
        <f t="shared" si="4"/>
        <v>58</v>
      </c>
    </row>
    <row r="33" spans="1:78" x14ac:dyDescent="0.2">
      <c r="A33" s="275">
        <v>37085</v>
      </c>
      <c r="B33" s="285">
        <v>10</v>
      </c>
      <c r="C33" s="285"/>
      <c r="D33" s="407">
        <f t="shared" si="8"/>
        <v>10</v>
      </c>
      <c r="E33" s="407"/>
      <c r="F33" s="407"/>
      <c r="G33" s="407"/>
      <c r="H33" s="407"/>
      <c r="I33" s="407"/>
      <c r="J33" s="407"/>
      <c r="K33" s="408"/>
      <c r="L33" s="407"/>
      <c r="M33" s="407"/>
      <c r="N33" s="407"/>
      <c r="O33" s="407"/>
      <c r="P33" s="407"/>
      <c r="Q33" s="407"/>
      <c r="R33" s="407"/>
      <c r="S33" s="408"/>
      <c r="T33" s="407"/>
      <c r="U33" s="407"/>
      <c r="V33" s="407"/>
      <c r="W33" s="407"/>
      <c r="X33" s="407"/>
      <c r="Y33" s="407"/>
      <c r="Z33" s="407"/>
      <c r="AA33" s="407">
        <v>9</v>
      </c>
      <c r="AB33" s="407">
        <v>9</v>
      </c>
      <c r="AC33" s="407">
        <v>10.5</v>
      </c>
      <c r="AD33" s="408">
        <f t="shared" si="10"/>
        <v>28.5</v>
      </c>
      <c r="AE33" s="407"/>
      <c r="AF33" s="407">
        <v>12.5</v>
      </c>
      <c r="AG33" s="407"/>
      <c r="AH33" s="407"/>
      <c r="AI33" s="407">
        <v>9</v>
      </c>
      <c r="AJ33" s="407"/>
      <c r="AK33" s="407"/>
      <c r="AL33" s="407"/>
      <c r="AM33" s="407">
        <v>9</v>
      </c>
      <c r="AN33" s="407"/>
      <c r="AO33" s="407"/>
      <c r="AP33" s="407"/>
      <c r="AQ33" s="407">
        <v>9.5</v>
      </c>
      <c r="AR33" s="407">
        <v>9.5</v>
      </c>
      <c r="AS33" s="407">
        <v>10</v>
      </c>
      <c r="AT33" s="407"/>
      <c r="AU33" s="408">
        <f t="shared" si="3"/>
        <v>59.5</v>
      </c>
      <c r="AV33" s="407"/>
      <c r="AW33" s="407"/>
      <c r="AX33" s="408"/>
      <c r="AY33" s="407">
        <v>4</v>
      </c>
      <c r="AZ33" s="407">
        <v>2</v>
      </c>
      <c r="BA33" s="407"/>
      <c r="BB33" s="407">
        <v>12.5</v>
      </c>
      <c r="BC33" s="407">
        <v>9</v>
      </c>
      <c r="BD33" s="408">
        <f t="shared" si="0"/>
        <v>27.5</v>
      </c>
      <c r="BE33" s="410">
        <v>4</v>
      </c>
      <c r="BF33" s="410">
        <v>4</v>
      </c>
      <c r="BG33" s="410">
        <v>4</v>
      </c>
      <c r="BH33" s="410">
        <f t="shared" si="9"/>
        <v>12</v>
      </c>
      <c r="BI33" s="410"/>
      <c r="BJ33" s="410">
        <v>4</v>
      </c>
      <c r="BK33" s="407"/>
      <c r="BL33" s="410">
        <f>+BJ33+BK33</f>
        <v>4</v>
      </c>
      <c r="BM33" s="407"/>
      <c r="BN33" s="407"/>
      <c r="BO33" s="407"/>
      <c r="BP33" s="407"/>
      <c r="BQ33" s="407"/>
      <c r="BR33" s="285">
        <f t="shared" si="1"/>
        <v>141.5</v>
      </c>
      <c r="BS33" s="409">
        <f t="shared" si="4"/>
        <v>67.75</v>
      </c>
    </row>
    <row r="34" spans="1:78" x14ac:dyDescent="0.2">
      <c r="A34" s="275">
        <v>37086</v>
      </c>
      <c r="B34" s="285">
        <v>11.5</v>
      </c>
      <c r="C34" s="285"/>
      <c r="D34" s="407">
        <f t="shared" si="8"/>
        <v>11.5</v>
      </c>
      <c r="E34" s="407"/>
      <c r="F34" s="407"/>
      <c r="G34" s="407"/>
      <c r="H34" s="407"/>
      <c r="I34" s="407"/>
      <c r="J34" s="407"/>
      <c r="K34" s="408"/>
      <c r="L34" s="407"/>
      <c r="M34" s="407"/>
      <c r="N34" s="407"/>
      <c r="O34" s="407"/>
      <c r="P34" s="407"/>
      <c r="Q34" s="407"/>
      <c r="R34" s="407"/>
      <c r="S34" s="408"/>
      <c r="T34" s="407"/>
      <c r="U34" s="407"/>
      <c r="V34" s="407"/>
      <c r="W34" s="407"/>
      <c r="X34" s="407"/>
      <c r="Y34" s="407"/>
      <c r="Z34" s="407"/>
      <c r="AA34" s="407"/>
      <c r="AB34" s="407">
        <v>10</v>
      </c>
      <c r="AC34" s="407">
        <v>10</v>
      </c>
      <c r="AD34" s="408">
        <f t="shared" si="10"/>
        <v>20</v>
      </c>
      <c r="AE34" s="407"/>
      <c r="AF34" s="407">
        <v>12.5</v>
      </c>
      <c r="AG34" s="407"/>
      <c r="AH34" s="407">
        <v>11</v>
      </c>
      <c r="AI34" s="407">
        <v>10</v>
      </c>
      <c r="AJ34" s="407"/>
      <c r="AK34" s="407"/>
      <c r="AL34" s="407"/>
      <c r="AM34" s="407"/>
      <c r="AN34" s="407"/>
      <c r="AO34" s="407"/>
      <c r="AP34" s="407"/>
      <c r="AQ34" s="407">
        <v>10.5</v>
      </c>
      <c r="AR34" s="407">
        <v>10.5</v>
      </c>
      <c r="AS34" s="407">
        <v>11</v>
      </c>
      <c r="AT34" s="407"/>
      <c r="AU34" s="408">
        <f t="shared" si="3"/>
        <v>65.5</v>
      </c>
      <c r="AV34" s="407">
        <v>10</v>
      </c>
      <c r="AW34" s="407"/>
      <c r="AX34" s="408">
        <f t="shared" ref="AX34:AX43" si="11">+AW34+AV34</f>
        <v>10</v>
      </c>
      <c r="AY34" s="407"/>
      <c r="AZ34" s="407"/>
      <c r="BA34" s="407"/>
      <c r="BB34" s="407">
        <v>10</v>
      </c>
      <c r="BC34" s="407">
        <v>12.5</v>
      </c>
      <c r="BD34" s="408">
        <f t="shared" si="0"/>
        <v>22.5</v>
      </c>
      <c r="BE34" s="410">
        <v>4</v>
      </c>
      <c r="BF34" s="410">
        <v>4</v>
      </c>
      <c r="BG34" s="410"/>
      <c r="BH34" s="410">
        <f t="shared" si="9"/>
        <v>8</v>
      </c>
      <c r="BI34" s="410">
        <v>4</v>
      </c>
      <c r="BJ34" s="410">
        <v>4</v>
      </c>
      <c r="BK34" s="407"/>
      <c r="BL34" s="410">
        <f>+BJ34+BK34</f>
        <v>4</v>
      </c>
      <c r="BM34" s="407"/>
      <c r="BN34" s="407"/>
      <c r="BO34" s="407"/>
      <c r="BP34" s="407"/>
      <c r="BQ34" s="407"/>
      <c r="BR34" s="285">
        <f t="shared" si="1"/>
        <v>145.5</v>
      </c>
      <c r="BS34" s="409">
        <f t="shared" si="4"/>
        <v>70.5</v>
      </c>
    </row>
    <row r="35" spans="1:78" x14ac:dyDescent="0.2">
      <c r="A35" s="275">
        <v>37087</v>
      </c>
      <c r="B35" s="285">
        <v>11</v>
      </c>
      <c r="C35" s="285"/>
      <c r="D35" s="407">
        <f t="shared" si="8"/>
        <v>11</v>
      </c>
      <c r="E35" s="407"/>
      <c r="F35" s="407"/>
      <c r="G35" s="407"/>
      <c r="H35" s="407"/>
      <c r="I35" s="407"/>
      <c r="J35" s="407"/>
      <c r="K35" s="408"/>
      <c r="L35" s="407"/>
      <c r="M35" s="407"/>
      <c r="N35" s="407">
        <v>5</v>
      </c>
      <c r="O35" s="407">
        <v>5</v>
      </c>
      <c r="P35" s="407"/>
      <c r="Q35" s="407"/>
      <c r="R35" s="407"/>
      <c r="S35" s="408">
        <f t="shared" ref="S35:S40" si="12">SUM(M35:R35)</f>
        <v>10</v>
      </c>
      <c r="T35" s="407"/>
      <c r="U35" s="407"/>
      <c r="V35" s="407"/>
      <c r="W35" s="407"/>
      <c r="X35" s="407"/>
      <c r="Y35" s="407"/>
      <c r="Z35" s="407"/>
      <c r="AA35" s="407"/>
      <c r="AB35" s="407"/>
      <c r="AC35" s="407">
        <v>10</v>
      </c>
      <c r="AD35" s="408">
        <f t="shared" si="10"/>
        <v>10</v>
      </c>
      <c r="AE35" s="407"/>
      <c r="AF35" s="407">
        <v>12.5</v>
      </c>
      <c r="AG35" s="407"/>
      <c r="AH35" s="407">
        <v>5</v>
      </c>
      <c r="AI35" s="407">
        <v>5</v>
      </c>
      <c r="AJ35" s="407"/>
      <c r="AK35" s="407">
        <v>5</v>
      </c>
      <c r="AL35" s="407">
        <v>5</v>
      </c>
      <c r="AM35" s="407">
        <v>5</v>
      </c>
      <c r="AN35" s="407">
        <v>5</v>
      </c>
      <c r="AO35" s="407"/>
      <c r="AP35" s="407"/>
      <c r="AQ35" s="407">
        <v>9</v>
      </c>
      <c r="AR35" s="407">
        <v>10</v>
      </c>
      <c r="AS35" s="407">
        <v>10</v>
      </c>
      <c r="AT35" s="407"/>
      <c r="AU35" s="408">
        <f t="shared" si="3"/>
        <v>71.5</v>
      </c>
      <c r="AV35" s="407">
        <v>10</v>
      </c>
      <c r="AW35" s="407">
        <v>7.5</v>
      </c>
      <c r="AX35" s="408">
        <f t="shared" si="11"/>
        <v>17.5</v>
      </c>
      <c r="AY35" s="407"/>
      <c r="AZ35" s="407"/>
      <c r="BA35" s="407"/>
      <c r="BB35" s="407">
        <v>10</v>
      </c>
      <c r="BC35" s="407">
        <v>12.5</v>
      </c>
      <c r="BD35" s="408">
        <f t="shared" si="0"/>
        <v>22.5</v>
      </c>
      <c r="BE35" s="410">
        <v>7</v>
      </c>
      <c r="BF35" s="410"/>
      <c r="BG35" s="410"/>
      <c r="BH35" s="410">
        <f t="shared" si="9"/>
        <v>7</v>
      </c>
      <c r="BI35" s="410">
        <v>4</v>
      </c>
      <c r="BJ35" s="410"/>
      <c r="BK35" s="407"/>
      <c r="BL35" s="410"/>
      <c r="BM35" s="407"/>
      <c r="BN35" s="407"/>
      <c r="BO35" s="407"/>
      <c r="BP35" s="407"/>
      <c r="BQ35" s="407"/>
      <c r="BR35" s="285">
        <f t="shared" si="1"/>
        <v>153.5</v>
      </c>
      <c r="BS35" s="409">
        <f t="shared" si="4"/>
        <v>76.75</v>
      </c>
    </row>
    <row r="36" spans="1:78" x14ac:dyDescent="0.2">
      <c r="A36" s="275">
        <v>37088</v>
      </c>
      <c r="B36" s="285">
        <v>8</v>
      </c>
      <c r="C36" s="285"/>
      <c r="D36" s="407">
        <f t="shared" si="8"/>
        <v>8</v>
      </c>
      <c r="E36" s="407"/>
      <c r="F36" s="407"/>
      <c r="G36" s="407"/>
      <c r="H36" s="407"/>
      <c r="I36" s="407"/>
      <c r="J36" s="407">
        <v>4</v>
      </c>
      <c r="K36" s="408">
        <f>SUM(E36:J36)</f>
        <v>4</v>
      </c>
      <c r="L36" s="407"/>
      <c r="M36" s="407"/>
      <c r="N36" s="407">
        <v>4</v>
      </c>
      <c r="O36" s="407">
        <v>4</v>
      </c>
      <c r="P36" s="407"/>
      <c r="Q36" s="407"/>
      <c r="R36" s="407"/>
      <c r="S36" s="408">
        <f t="shared" si="12"/>
        <v>8</v>
      </c>
      <c r="T36" s="407"/>
      <c r="U36" s="407"/>
      <c r="V36" s="407"/>
      <c r="W36" s="407"/>
      <c r="X36" s="407"/>
      <c r="Y36" s="407"/>
      <c r="Z36" s="407"/>
      <c r="AA36" s="407"/>
      <c r="AB36" s="407"/>
      <c r="AC36" s="407">
        <v>9.5</v>
      </c>
      <c r="AD36" s="408">
        <f t="shared" si="10"/>
        <v>9.5</v>
      </c>
      <c r="AE36" s="407"/>
      <c r="AF36" s="407">
        <v>12.5</v>
      </c>
      <c r="AG36" s="407"/>
      <c r="AH36" s="407">
        <v>5</v>
      </c>
      <c r="AI36" s="407"/>
      <c r="AJ36" s="407"/>
      <c r="AK36" s="407">
        <v>4</v>
      </c>
      <c r="AL36" s="407">
        <v>4</v>
      </c>
      <c r="AM36" s="407"/>
      <c r="AN36" s="407">
        <v>4</v>
      </c>
      <c r="AO36" s="407"/>
      <c r="AP36" s="407"/>
      <c r="AQ36" s="407"/>
      <c r="AR36" s="407">
        <v>5</v>
      </c>
      <c r="AS36" s="407"/>
      <c r="AT36" s="407"/>
      <c r="AU36" s="408">
        <f t="shared" si="3"/>
        <v>34.5</v>
      </c>
      <c r="AV36" s="407">
        <v>8</v>
      </c>
      <c r="AW36" s="407"/>
      <c r="AX36" s="408">
        <f t="shared" si="11"/>
        <v>8</v>
      </c>
      <c r="AY36" s="407"/>
      <c r="AZ36" s="407"/>
      <c r="BA36" s="407"/>
      <c r="BB36" s="407">
        <v>12.5</v>
      </c>
      <c r="BC36" s="407">
        <v>8</v>
      </c>
      <c r="BD36" s="408">
        <f t="shared" si="0"/>
        <v>20.5</v>
      </c>
      <c r="BE36" s="410">
        <v>3.5</v>
      </c>
      <c r="BF36" s="410"/>
      <c r="BG36" s="410"/>
      <c r="BH36" s="410">
        <f t="shared" si="9"/>
        <v>3.5</v>
      </c>
      <c r="BI36" s="410">
        <v>4</v>
      </c>
      <c r="BJ36" s="410"/>
      <c r="BK36" s="407"/>
      <c r="BL36" s="410"/>
      <c r="BM36" s="407"/>
      <c r="BN36" s="407"/>
      <c r="BO36" s="407"/>
      <c r="BP36" s="407"/>
      <c r="BQ36" s="407"/>
      <c r="BR36" s="285">
        <f t="shared" si="1"/>
        <v>100</v>
      </c>
      <c r="BS36" s="409">
        <f t="shared" si="4"/>
        <v>50.25</v>
      </c>
    </row>
    <row r="37" spans="1:78" x14ac:dyDescent="0.2">
      <c r="A37" s="275">
        <v>36724</v>
      </c>
      <c r="B37" s="285"/>
      <c r="C37" s="285"/>
      <c r="D37" s="407"/>
      <c r="E37" s="407"/>
      <c r="F37" s="407">
        <v>11.5</v>
      </c>
      <c r="G37" s="407"/>
      <c r="H37" s="407"/>
      <c r="I37" s="407">
        <v>10</v>
      </c>
      <c r="J37" s="407">
        <v>10</v>
      </c>
      <c r="K37" s="408">
        <f>SUM(E37:J37)</f>
        <v>31.5</v>
      </c>
      <c r="L37" s="407"/>
      <c r="M37" s="407"/>
      <c r="N37" s="407">
        <v>5</v>
      </c>
      <c r="O37" s="407">
        <v>6</v>
      </c>
      <c r="P37" s="407"/>
      <c r="Q37" s="407"/>
      <c r="R37" s="407"/>
      <c r="S37" s="408">
        <f t="shared" si="12"/>
        <v>11</v>
      </c>
      <c r="T37" s="407"/>
      <c r="U37" s="407"/>
      <c r="V37" s="407"/>
      <c r="W37" s="407"/>
      <c r="X37" s="407"/>
      <c r="Y37" s="407"/>
      <c r="Z37" s="407"/>
      <c r="AA37" s="407">
        <v>10</v>
      </c>
      <c r="AB37" s="407">
        <v>5.5</v>
      </c>
      <c r="AC37" s="407">
        <v>10</v>
      </c>
      <c r="AD37" s="408">
        <f t="shared" si="10"/>
        <v>25.5</v>
      </c>
      <c r="AE37" s="407" t="s">
        <v>745</v>
      </c>
      <c r="AF37" s="407">
        <v>12.5</v>
      </c>
      <c r="AG37" s="407">
        <v>10</v>
      </c>
      <c r="AH37" s="407">
        <v>10</v>
      </c>
      <c r="AI37" s="407">
        <v>5</v>
      </c>
      <c r="AJ37" s="407"/>
      <c r="AK37" s="407">
        <v>5</v>
      </c>
      <c r="AL37" s="407">
        <v>5</v>
      </c>
      <c r="AM37" s="407">
        <v>5</v>
      </c>
      <c r="AN37" s="407">
        <v>5</v>
      </c>
      <c r="AO37" s="407"/>
      <c r="AP37" s="407"/>
      <c r="AQ37" s="407">
        <v>11.5</v>
      </c>
      <c r="AR37" s="407">
        <v>10.5</v>
      </c>
      <c r="AS37" s="407">
        <v>10.5</v>
      </c>
      <c r="AT37" s="407"/>
      <c r="AU37" s="408">
        <f t="shared" si="3"/>
        <v>90</v>
      </c>
      <c r="AV37" s="407">
        <v>10</v>
      </c>
      <c r="AW37" s="407">
        <v>9</v>
      </c>
      <c r="AX37" s="408">
        <f t="shared" si="11"/>
        <v>19</v>
      </c>
      <c r="AY37" s="407">
        <v>9</v>
      </c>
      <c r="AZ37" s="407">
        <v>2</v>
      </c>
      <c r="BA37" s="407"/>
      <c r="BB37" s="407">
        <v>12.5</v>
      </c>
      <c r="BC37" s="407">
        <v>10.5</v>
      </c>
      <c r="BD37" s="408">
        <f t="shared" si="0"/>
        <v>34</v>
      </c>
      <c r="BE37" s="410">
        <v>4</v>
      </c>
      <c r="BF37" s="410">
        <v>4</v>
      </c>
      <c r="BG37" s="410">
        <v>4</v>
      </c>
      <c r="BH37" s="410">
        <f t="shared" si="9"/>
        <v>12</v>
      </c>
      <c r="BI37" s="410">
        <v>4</v>
      </c>
      <c r="BJ37" s="410">
        <v>4</v>
      </c>
      <c r="BK37" s="407"/>
      <c r="BL37" s="410">
        <f>+BJ37+BK37</f>
        <v>4</v>
      </c>
      <c r="BM37" s="407">
        <v>5</v>
      </c>
      <c r="BN37" s="407"/>
      <c r="BO37" s="407"/>
      <c r="BP37" s="407">
        <f>+BM37+BN37+BO37</f>
        <v>5</v>
      </c>
      <c r="BQ37" s="407">
        <v>5</v>
      </c>
      <c r="BR37" s="285">
        <f t="shared" si="1"/>
        <v>241</v>
      </c>
      <c r="BS37" s="409">
        <f t="shared" si="4"/>
        <v>115.5</v>
      </c>
    </row>
    <row r="38" spans="1:78" x14ac:dyDescent="0.2">
      <c r="A38" s="275">
        <v>36725</v>
      </c>
      <c r="B38" s="285"/>
      <c r="C38" s="285"/>
      <c r="D38" s="407"/>
      <c r="E38" s="407"/>
      <c r="F38" s="407">
        <v>10</v>
      </c>
      <c r="G38" s="407"/>
      <c r="H38" s="407"/>
      <c r="I38" s="407"/>
      <c r="J38" s="407"/>
      <c r="K38" s="408">
        <f>SUM(E38:J38)</f>
        <v>10</v>
      </c>
      <c r="L38" s="407"/>
      <c r="M38" s="407"/>
      <c r="N38" s="407">
        <v>5</v>
      </c>
      <c r="O38" s="407">
        <v>5</v>
      </c>
      <c r="P38" s="407"/>
      <c r="Q38" s="407"/>
      <c r="R38" s="407"/>
      <c r="S38" s="408">
        <f t="shared" si="12"/>
        <v>10</v>
      </c>
      <c r="T38" s="407"/>
      <c r="U38" s="407"/>
      <c r="V38" s="407"/>
      <c r="W38" s="407">
        <v>5</v>
      </c>
      <c r="X38" s="407"/>
      <c r="Y38" s="407"/>
      <c r="Z38" s="407"/>
      <c r="AA38" s="407"/>
      <c r="AB38" s="407"/>
      <c r="AC38" s="407">
        <v>10</v>
      </c>
      <c r="AD38" s="408">
        <f t="shared" si="10"/>
        <v>15</v>
      </c>
      <c r="AE38" s="407"/>
      <c r="AF38" s="407">
        <v>12.5</v>
      </c>
      <c r="AG38" s="407">
        <v>10</v>
      </c>
      <c r="AH38" s="407">
        <v>10</v>
      </c>
      <c r="AI38" s="407">
        <v>5</v>
      </c>
      <c r="AJ38" s="407"/>
      <c r="AK38" s="407">
        <v>5</v>
      </c>
      <c r="AL38" s="407">
        <v>5</v>
      </c>
      <c r="AM38" s="407">
        <v>5</v>
      </c>
      <c r="AN38" s="407">
        <v>5</v>
      </c>
      <c r="AO38" s="407"/>
      <c r="AP38" s="407"/>
      <c r="AQ38" s="407">
        <v>11</v>
      </c>
      <c r="AR38" s="407">
        <v>11</v>
      </c>
      <c r="AS38" s="407">
        <v>11</v>
      </c>
      <c r="AT38" s="407"/>
      <c r="AU38" s="408">
        <f t="shared" si="3"/>
        <v>90.5</v>
      </c>
      <c r="AV38" s="407">
        <v>10</v>
      </c>
      <c r="AW38" s="407"/>
      <c r="AX38" s="408">
        <f t="shared" si="11"/>
        <v>10</v>
      </c>
      <c r="AY38" s="407">
        <v>2</v>
      </c>
      <c r="AZ38" s="407">
        <v>2</v>
      </c>
      <c r="BA38" s="407"/>
      <c r="BB38" s="407">
        <v>12.5</v>
      </c>
      <c r="BC38" s="407">
        <v>10</v>
      </c>
      <c r="BD38" s="408">
        <f t="shared" si="0"/>
        <v>26.5</v>
      </c>
      <c r="BE38" s="410">
        <v>5.5</v>
      </c>
      <c r="BF38" s="410">
        <v>4</v>
      </c>
      <c r="BG38" s="410">
        <v>6.5</v>
      </c>
      <c r="BH38" s="410">
        <f t="shared" si="9"/>
        <v>16</v>
      </c>
      <c r="BI38" s="410">
        <v>4</v>
      </c>
      <c r="BJ38" s="410">
        <v>4</v>
      </c>
      <c r="BK38" s="407"/>
      <c r="BL38" s="410">
        <f>+BJ38+BK38</f>
        <v>4</v>
      </c>
      <c r="BM38" s="407"/>
      <c r="BN38" s="407"/>
      <c r="BO38" s="407"/>
      <c r="BP38" s="407"/>
      <c r="BQ38" s="407"/>
      <c r="BR38" s="285">
        <f t="shared" si="1"/>
        <v>186</v>
      </c>
      <c r="BS38" s="409">
        <f t="shared" si="4"/>
        <v>81</v>
      </c>
    </row>
    <row r="39" spans="1:78" x14ac:dyDescent="0.2">
      <c r="A39" s="275">
        <v>36726</v>
      </c>
      <c r="B39" s="285"/>
      <c r="C39" s="285"/>
      <c r="D39" s="407"/>
      <c r="E39" s="407"/>
      <c r="F39" s="407"/>
      <c r="G39" s="407"/>
      <c r="H39" s="407"/>
      <c r="I39" s="407"/>
      <c r="J39" s="407"/>
      <c r="K39" s="408"/>
      <c r="L39" s="407"/>
      <c r="M39" s="407"/>
      <c r="N39" s="407">
        <v>6</v>
      </c>
      <c r="O39" s="407">
        <v>6</v>
      </c>
      <c r="P39" s="407"/>
      <c r="Q39" s="407"/>
      <c r="R39" s="407"/>
      <c r="S39" s="408">
        <f t="shared" si="12"/>
        <v>12</v>
      </c>
      <c r="T39" s="407"/>
      <c r="U39" s="407"/>
      <c r="V39" s="407"/>
      <c r="W39" s="407">
        <v>5</v>
      </c>
      <c r="X39" s="407"/>
      <c r="Y39" s="407"/>
      <c r="Z39" s="407"/>
      <c r="AA39" s="407"/>
      <c r="AB39" s="407"/>
      <c r="AC39" s="407">
        <v>10</v>
      </c>
      <c r="AD39" s="408">
        <f t="shared" si="10"/>
        <v>15</v>
      </c>
      <c r="AE39" s="407"/>
      <c r="AF39" s="407">
        <v>12.5</v>
      </c>
      <c r="AG39" s="407">
        <v>10</v>
      </c>
      <c r="AH39" s="407">
        <v>11</v>
      </c>
      <c r="AI39" s="407">
        <v>5</v>
      </c>
      <c r="AJ39" s="407"/>
      <c r="AK39" s="407">
        <v>6</v>
      </c>
      <c r="AL39" s="407">
        <v>6</v>
      </c>
      <c r="AM39" s="407">
        <v>6</v>
      </c>
      <c r="AN39" s="407">
        <v>6</v>
      </c>
      <c r="AO39" s="407"/>
      <c r="AP39" s="407"/>
      <c r="AQ39" s="407">
        <v>9.5</v>
      </c>
      <c r="AR39" s="407">
        <v>10</v>
      </c>
      <c r="AS39" s="407">
        <v>9.5</v>
      </c>
      <c r="AT39" s="407"/>
      <c r="AU39" s="408">
        <f t="shared" si="3"/>
        <v>91.5</v>
      </c>
      <c r="AV39" s="407">
        <v>11</v>
      </c>
      <c r="AW39" s="407"/>
      <c r="AX39" s="408">
        <f t="shared" si="11"/>
        <v>11</v>
      </c>
      <c r="AY39" s="407">
        <v>2</v>
      </c>
      <c r="AZ39" s="407">
        <v>1</v>
      </c>
      <c r="BA39" s="407"/>
      <c r="BB39" s="407">
        <v>12.5</v>
      </c>
      <c r="BC39" s="407">
        <v>5.5</v>
      </c>
      <c r="BD39" s="408">
        <f t="shared" si="0"/>
        <v>21</v>
      </c>
      <c r="BE39" s="410">
        <v>4.5</v>
      </c>
      <c r="BF39" s="410">
        <v>4</v>
      </c>
      <c r="BG39" s="410">
        <v>4</v>
      </c>
      <c r="BH39" s="410">
        <f t="shared" si="9"/>
        <v>12.5</v>
      </c>
      <c r="BI39" s="410">
        <v>3.5</v>
      </c>
      <c r="BJ39" s="410">
        <v>4</v>
      </c>
      <c r="BK39" s="407"/>
      <c r="BL39" s="410">
        <f>+BJ39+BK39</f>
        <v>4</v>
      </c>
      <c r="BM39" s="407"/>
      <c r="BN39" s="407"/>
      <c r="BO39" s="407"/>
      <c r="BP39" s="407"/>
      <c r="BQ39" s="407"/>
      <c r="BR39" s="285">
        <f t="shared" si="1"/>
        <v>170.5</v>
      </c>
      <c r="BS39" s="409">
        <f t="shared" si="4"/>
        <v>75.25</v>
      </c>
    </row>
    <row r="40" spans="1:78" x14ac:dyDescent="0.2">
      <c r="A40" s="275">
        <v>36727</v>
      </c>
      <c r="B40" s="285"/>
      <c r="C40" s="285"/>
      <c r="D40" s="407"/>
      <c r="E40" s="407"/>
      <c r="F40" s="407">
        <v>7.5</v>
      </c>
      <c r="G40" s="407"/>
      <c r="H40" s="407"/>
      <c r="I40" s="407">
        <v>9</v>
      </c>
      <c r="J40" s="407">
        <v>9</v>
      </c>
      <c r="K40" s="408">
        <f>SUM(E40:J40)</f>
        <v>25.5</v>
      </c>
      <c r="L40" s="407"/>
      <c r="M40" s="407"/>
      <c r="N40" s="407">
        <v>5</v>
      </c>
      <c r="O40" s="407">
        <v>7</v>
      </c>
      <c r="P40" s="407"/>
      <c r="Q40" s="407"/>
      <c r="R40" s="407"/>
      <c r="S40" s="408">
        <f t="shared" si="12"/>
        <v>12</v>
      </c>
      <c r="T40" s="407"/>
      <c r="U40" s="407"/>
      <c r="V40" s="407"/>
      <c r="W40" s="407">
        <v>6</v>
      </c>
      <c r="X40" s="407"/>
      <c r="Y40" s="407"/>
      <c r="Z40" s="407">
        <v>6</v>
      </c>
      <c r="AA40" s="407"/>
      <c r="AB40" s="407">
        <v>6</v>
      </c>
      <c r="AC40" s="407">
        <v>15.5</v>
      </c>
      <c r="AD40" s="408">
        <f t="shared" si="10"/>
        <v>33.5</v>
      </c>
      <c r="AE40" s="407"/>
      <c r="AF40" s="407">
        <v>12.5</v>
      </c>
      <c r="AG40" s="407">
        <v>9</v>
      </c>
      <c r="AH40" s="407">
        <v>9</v>
      </c>
      <c r="AI40" s="407">
        <v>5</v>
      </c>
      <c r="AJ40" s="407"/>
      <c r="AK40" s="407">
        <v>7</v>
      </c>
      <c r="AL40" s="407">
        <v>7</v>
      </c>
      <c r="AM40" s="407">
        <v>7</v>
      </c>
      <c r="AN40" s="407">
        <v>5</v>
      </c>
      <c r="AO40" s="407"/>
      <c r="AP40" s="407"/>
      <c r="AQ40" s="407">
        <v>9</v>
      </c>
      <c r="AR40" s="407">
        <v>12</v>
      </c>
      <c r="AS40" s="407">
        <v>10</v>
      </c>
      <c r="AT40" s="407"/>
      <c r="AU40" s="408">
        <f t="shared" si="3"/>
        <v>92.5</v>
      </c>
      <c r="AV40" s="407">
        <v>11.5</v>
      </c>
      <c r="AW40" s="407"/>
      <c r="AX40" s="408">
        <f t="shared" si="11"/>
        <v>11.5</v>
      </c>
      <c r="AY40" s="407">
        <v>3</v>
      </c>
      <c r="AZ40" s="407">
        <v>2</v>
      </c>
      <c r="BA40" s="407"/>
      <c r="BB40" s="407">
        <v>13</v>
      </c>
      <c r="BC40" s="407" t="s">
        <v>745</v>
      </c>
      <c r="BD40" s="408">
        <f t="shared" si="0"/>
        <v>18</v>
      </c>
      <c r="BE40" s="410">
        <v>4</v>
      </c>
      <c r="BF40" s="410">
        <v>4</v>
      </c>
      <c r="BG40" s="410">
        <v>4</v>
      </c>
      <c r="BH40" s="410">
        <f t="shared" si="9"/>
        <v>12</v>
      </c>
      <c r="BI40" s="410">
        <v>3</v>
      </c>
      <c r="BJ40" s="410">
        <v>3</v>
      </c>
      <c r="BK40" s="407"/>
      <c r="BL40" s="410">
        <f>+BJ40+BK40</f>
        <v>3</v>
      </c>
      <c r="BM40" s="407"/>
      <c r="BN40" s="407"/>
      <c r="BO40" s="407"/>
      <c r="BP40" s="407"/>
      <c r="BQ40" s="407"/>
      <c r="BR40" s="285">
        <f t="shared" si="1"/>
        <v>211</v>
      </c>
      <c r="BS40" s="409">
        <f t="shared" si="4"/>
        <v>96.5</v>
      </c>
    </row>
    <row r="41" spans="1:78" x14ac:dyDescent="0.2">
      <c r="A41" s="275">
        <v>36728</v>
      </c>
      <c r="B41" s="285"/>
      <c r="C41" s="285"/>
      <c r="D41" s="407"/>
      <c r="E41" s="407"/>
      <c r="F41" s="407"/>
      <c r="G41" s="407"/>
      <c r="H41" s="407"/>
      <c r="I41" s="407"/>
      <c r="J41" s="407"/>
      <c r="K41" s="408"/>
      <c r="L41" s="407"/>
      <c r="M41" s="407"/>
      <c r="N41" s="407"/>
      <c r="O41" s="407"/>
      <c r="P41" s="407"/>
      <c r="Q41" s="407"/>
      <c r="R41" s="407"/>
      <c r="S41" s="408"/>
      <c r="T41" s="407"/>
      <c r="U41" s="407"/>
      <c r="V41" s="407"/>
      <c r="W41" s="407">
        <v>4</v>
      </c>
      <c r="X41" s="407"/>
      <c r="Y41" s="407"/>
      <c r="Z41" s="407">
        <v>2</v>
      </c>
      <c r="AA41" s="407"/>
      <c r="AB41" s="407"/>
      <c r="AC41" s="407">
        <v>10</v>
      </c>
      <c r="AD41" s="408">
        <f t="shared" si="10"/>
        <v>16</v>
      </c>
      <c r="AE41" s="407"/>
      <c r="AF41" s="407"/>
      <c r="AG41" s="407">
        <v>10</v>
      </c>
      <c r="AH41" s="407">
        <v>10</v>
      </c>
      <c r="AI41" s="407">
        <v>5</v>
      </c>
      <c r="AJ41" s="407"/>
      <c r="AK41" s="407">
        <v>5</v>
      </c>
      <c r="AL41" s="407">
        <v>5</v>
      </c>
      <c r="AM41" s="407">
        <v>5</v>
      </c>
      <c r="AN41" s="407">
        <v>5</v>
      </c>
      <c r="AO41" s="407"/>
      <c r="AP41" s="407"/>
      <c r="AQ41" s="407">
        <v>10</v>
      </c>
      <c r="AR41" s="407">
        <v>10</v>
      </c>
      <c r="AS41" s="407">
        <v>10</v>
      </c>
      <c r="AT41" s="407"/>
      <c r="AU41" s="408">
        <f t="shared" si="3"/>
        <v>75</v>
      </c>
      <c r="AV41" s="407">
        <v>10</v>
      </c>
      <c r="AW41" s="407"/>
      <c r="AX41" s="408">
        <f t="shared" si="11"/>
        <v>10</v>
      </c>
      <c r="AY41" s="407">
        <v>2</v>
      </c>
      <c r="AZ41" s="407">
        <v>2</v>
      </c>
      <c r="BA41" s="407"/>
      <c r="BB41" s="407">
        <v>12.5</v>
      </c>
      <c r="BC41" s="407"/>
      <c r="BD41" s="408">
        <f t="shared" si="0"/>
        <v>16.5</v>
      </c>
      <c r="BE41" s="410">
        <v>4</v>
      </c>
      <c r="BF41" s="410">
        <v>4</v>
      </c>
      <c r="BG41" s="410">
        <v>4</v>
      </c>
      <c r="BH41" s="410">
        <f t="shared" si="9"/>
        <v>12</v>
      </c>
      <c r="BI41" s="410">
        <v>4</v>
      </c>
      <c r="BJ41" s="410">
        <v>4</v>
      </c>
      <c r="BK41" s="407"/>
      <c r="BL41" s="410">
        <f>+BJ41+BK41</f>
        <v>4</v>
      </c>
      <c r="BM41" s="407"/>
      <c r="BN41" s="407"/>
      <c r="BO41" s="407"/>
      <c r="BP41" s="407"/>
      <c r="BQ41" s="407"/>
      <c r="BR41" s="285">
        <f t="shared" si="1"/>
        <v>137.5</v>
      </c>
      <c r="BS41" s="409">
        <f t="shared" si="4"/>
        <v>58.75</v>
      </c>
    </row>
    <row r="42" spans="1:78" x14ac:dyDescent="0.2">
      <c r="A42" s="275">
        <v>36729</v>
      </c>
      <c r="B42" s="285"/>
      <c r="C42" s="285"/>
      <c r="D42" s="407"/>
      <c r="E42" s="407"/>
      <c r="F42" s="407">
        <v>10</v>
      </c>
      <c r="G42" s="407"/>
      <c r="H42" s="407"/>
      <c r="I42" s="407">
        <v>10</v>
      </c>
      <c r="J42" s="407">
        <v>10</v>
      </c>
      <c r="K42" s="408">
        <f>SUM(E42:J42)</f>
        <v>30</v>
      </c>
      <c r="L42" s="407"/>
      <c r="M42" s="407"/>
      <c r="N42" s="407" t="s">
        <v>745</v>
      </c>
      <c r="O42" s="407">
        <v>5</v>
      </c>
      <c r="P42" s="407"/>
      <c r="Q42" s="407"/>
      <c r="R42" s="407"/>
      <c r="S42" s="408">
        <f>SUM(M42:R42)</f>
        <v>5</v>
      </c>
      <c r="T42" s="407"/>
      <c r="U42" s="407"/>
      <c r="V42" s="407"/>
      <c r="W42" s="407">
        <v>5</v>
      </c>
      <c r="X42" s="407"/>
      <c r="Y42" s="407"/>
      <c r="Z42" s="407"/>
      <c r="AA42" s="407"/>
      <c r="AB42" s="407"/>
      <c r="AC42" s="407">
        <v>14.5</v>
      </c>
      <c r="AD42" s="408">
        <f t="shared" si="10"/>
        <v>19.5</v>
      </c>
      <c r="AE42" s="407"/>
      <c r="AF42" s="407" t="s">
        <v>745</v>
      </c>
      <c r="AG42" s="407">
        <v>5</v>
      </c>
      <c r="AH42" s="407">
        <v>8</v>
      </c>
      <c r="AI42" s="407">
        <v>5</v>
      </c>
      <c r="AJ42" s="407"/>
      <c r="AK42" s="407">
        <v>5</v>
      </c>
      <c r="AL42" s="407">
        <v>5</v>
      </c>
      <c r="AM42" s="407">
        <v>5</v>
      </c>
      <c r="AN42" s="407">
        <v>8</v>
      </c>
      <c r="AO42" s="407"/>
      <c r="AP42" s="407"/>
      <c r="AQ42" s="407">
        <v>8</v>
      </c>
      <c r="AR42" s="407">
        <v>8</v>
      </c>
      <c r="AS42" s="407">
        <v>8</v>
      </c>
      <c r="AT42" s="407" t="s">
        <v>745</v>
      </c>
      <c r="AU42" s="408">
        <f t="shared" si="3"/>
        <v>65</v>
      </c>
      <c r="AV42" s="407">
        <v>14.5</v>
      </c>
      <c r="AW42" s="407"/>
      <c r="AX42" s="408">
        <f t="shared" si="11"/>
        <v>14.5</v>
      </c>
      <c r="AY42" s="407">
        <v>1</v>
      </c>
      <c r="AZ42" s="407">
        <v>1</v>
      </c>
      <c r="BA42" s="407"/>
      <c r="BB42" s="407">
        <v>8</v>
      </c>
      <c r="BC42" s="407"/>
      <c r="BD42" s="408">
        <f t="shared" si="0"/>
        <v>10</v>
      </c>
      <c r="BE42" s="410"/>
      <c r="BF42" s="410"/>
      <c r="BG42" s="410">
        <v>4</v>
      </c>
      <c r="BH42" s="410">
        <f t="shared" si="9"/>
        <v>4</v>
      </c>
      <c r="BI42" s="410">
        <v>1.5</v>
      </c>
      <c r="BJ42" s="410"/>
      <c r="BK42" s="407"/>
      <c r="BL42" s="410"/>
      <c r="BM42" s="407"/>
      <c r="BN42" s="407"/>
      <c r="BO42" s="407"/>
      <c r="BP42" s="407"/>
      <c r="BQ42" s="407"/>
      <c r="BR42" s="285">
        <f t="shared" si="1"/>
        <v>149.5</v>
      </c>
      <c r="BS42" s="409">
        <f t="shared" si="4"/>
        <v>72</v>
      </c>
    </row>
    <row r="43" spans="1:78" x14ac:dyDescent="0.2">
      <c r="A43" s="275">
        <v>36730</v>
      </c>
      <c r="B43" s="285"/>
      <c r="C43" s="285"/>
      <c r="D43" s="407"/>
      <c r="E43" s="407"/>
      <c r="F43" s="407"/>
      <c r="G43" s="407"/>
      <c r="H43" s="407"/>
      <c r="I43" s="407"/>
      <c r="J43" s="407"/>
      <c r="K43" s="407"/>
      <c r="L43" s="407"/>
      <c r="M43" s="407"/>
      <c r="N43" s="407"/>
      <c r="O43" s="407"/>
      <c r="P43" s="407"/>
      <c r="Q43" s="407"/>
      <c r="R43" s="407"/>
      <c r="S43" s="408"/>
      <c r="T43" s="407"/>
      <c r="U43" s="407"/>
      <c r="V43" s="407"/>
      <c r="W43" s="407"/>
      <c r="X43" s="407"/>
      <c r="Y43" s="407"/>
      <c r="Z43" s="407"/>
      <c r="AA43" s="407"/>
      <c r="AB43" s="407"/>
      <c r="AC43" s="407">
        <v>10</v>
      </c>
      <c r="AD43" s="408">
        <f t="shared" si="10"/>
        <v>10</v>
      </c>
      <c r="AE43" s="407"/>
      <c r="AF43" s="407"/>
      <c r="AG43" s="407"/>
      <c r="AH43" s="407"/>
      <c r="AI43" s="407"/>
      <c r="AJ43" s="407"/>
      <c r="AK43" s="407"/>
      <c r="AL43" s="407"/>
      <c r="AM43" s="407"/>
      <c r="AN43" s="407"/>
      <c r="AO43" s="407"/>
      <c r="AP43" s="407"/>
      <c r="AQ43" s="407">
        <v>9.5</v>
      </c>
      <c r="AR43" s="407">
        <v>4</v>
      </c>
      <c r="AS43" s="407">
        <v>10</v>
      </c>
      <c r="AT43" s="407"/>
      <c r="AU43" s="408">
        <f t="shared" si="3"/>
        <v>23.5</v>
      </c>
      <c r="AV43" s="407">
        <v>4</v>
      </c>
      <c r="AW43" s="407"/>
      <c r="AX43" s="408">
        <f t="shared" si="11"/>
        <v>4</v>
      </c>
      <c r="AY43" s="407"/>
      <c r="AZ43" s="407"/>
      <c r="BA43" s="407"/>
      <c r="BB43" s="407"/>
      <c r="BC43" s="407"/>
      <c r="BD43" s="408"/>
      <c r="BE43" s="407"/>
      <c r="BF43" s="407"/>
      <c r="BG43" s="407"/>
      <c r="BH43" s="407"/>
      <c r="BI43" s="407"/>
      <c r="BJ43" s="407"/>
      <c r="BK43" s="407"/>
      <c r="BL43" s="407"/>
      <c r="BM43" s="407"/>
      <c r="BN43" s="407"/>
      <c r="BO43" s="407"/>
      <c r="BP43" s="407"/>
      <c r="BQ43" s="407"/>
      <c r="BR43" s="314">
        <f t="shared" si="1"/>
        <v>37.5</v>
      </c>
      <c r="BS43" s="409">
        <f t="shared" si="4"/>
        <v>18.75</v>
      </c>
      <c r="BT43" s="414">
        <f>SUM(BS33:BS43)</f>
        <v>783</v>
      </c>
    </row>
    <row r="44" spans="1:78" x14ac:dyDescent="0.2">
      <c r="A44" s="299"/>
      <c r="B44" s="299" t="s">
        <v>747</v>
      </c>
      <c r="C44" s="299"/>
      <c r="D44" s="299"/>
      <c r="E44" s="299"/>
      <c r="F44" s="300"/>
      <c r="G44" s="299"/>
      <c r="H44" s="299"/>
      <c r="I44" s="299"/>
      <c r="J44" s="300"/>
      <c r="K44" s="300"/>
      <c r="L44" s="299"/>
      <c r="M44" s="299"/>
      <c r="N44" s="300"/>
      <c r="O44" s="300"/>
      <c r="P44" s="300"/>
      <c r="Q44" s="300"/>
      <c r="R44" s="300"/>
      <c r="S44" s="300"/>
      <c r="T44" s="299"/>
      <c r="U44" s="299"/>
      <c r="V44" s="299"/>
      <c r="W44" s="300"/>
      <c r="X44" s="300"/>
      <c r="Y44" s="300"/>
      <c r="Z44" s="300"/>
      <c r="AA44" s="300"/>
      <c r="AB44" s="300"/>
      <c r="AC44" s="299"/>
      <c r="AD44" s="299"/>
      <c r="AE44" s="300"/>
      <c r="AF44" s="300"/>
      <c r="AG44" s="300"/>
      <c r="AH44" s="299" t="s">
        <v>747</v>
      </c>
      <c r="AI44" s="300"/>
      <c r="AJ44" s="300"/>
      <c r="AK44" s="300"/>
      <c r="AL44" s="300"/>
      <c r="AM44" s="300"/>
      <c r="AN44" s="300"/>
      <c r="AO44" s="300"/>
      <c r="AP44" s="300"/>
      <c r="AQ44" s="299"/>
      <c r="AR44" s="299"/>
      <c r="AS44" s="300"/>
      <c r="AT44" s="300"/>
      <c r="AU44" s="300"/>
      <c r="AV44" s="300"/>
      <c r="AW44" s="300"/>
      <c r="AX44" s="300"/>
      <c r="AY44" s="300"/>
      <c r="AZ44" s="299"/>
      <c r="BA44" s="300"/>
      <c r="BB44" s="300"/>
      <c r="BC44" s="300"/>
      <c r="BD44" s="300"/>
      <c r="BE44" s="299"/>
      <c r="BF44" s="300"/>
      <c r="BG44" s="300"/>
      <c r="BH44" s="300"/>
      <c r="BI44" s="299" t="s">
        <v>747</v>
      </c>
      <c r="BJ44" s="300"/>
      <c r="BK44" s="300"/>
      <c r="BL44" s="300"/>
      <c r="BM44" s="300"/>
      <c r="BN44" s="300"/>
      <c r="BO44" s="300"/>
      <c r="BP44" s="300"/>
      <c r="BQ44" s="300"/>
      <c r="BR44" s="300"/>
    </row>
    <row r="45" spans="1:78" s="291" customFormat="1" x14ac:dyDescent="0.2">
      <c r="A45" s="290"/>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f>SUM(BR4:BR43)</f>
        <v>4936.5</v>
      </c>
      <c r="BS45" s="289">
        <f>SUM(BS4:BS43)</f>
        <v>2562</v>
      </c>
      <c r="BT45"/>
      <c r="BU45"/>
      <c r="BV45"/>
      <c r="BW45"/>
      <c r="BX45"/>
      <c r="BY45"/>
      <c r="BZ45"/>
    </row>
    <row r="46" spans="1:78" s="293" customFormat="1" ht="41.45" customHeight="1" x14ac:dyDescent="0.2">
      <c r="A46" s="292" t="s">
        <v>431</v>
      </c>
      <c r="B46" s="293">
        <f t="shared" ref="B46:AG46" si="13">SUM(B4:B43)</f>
        <v>299</v>
      </c>
      <c r="C46" s="292">
        <f t="shared" si="13"/>
        <v>84.5</v>
      </c>
      <c r="D46" s="293">
        <f t="shared" si="13"/>
        <v>383.5</v>
      </c>
      <c r="E46" s="292">
        <f t="shared" si="13"/>
        <v>112.5</v>
      </c>
      <c r="F46" s="292">
        <f t="shared" si="13"/>
        <v>137.5</v>
      </c>
      <c r="G46" s="292">
        <f t="shared" si="13"/>
        <v>19.5</v>
      </c>
      <c r="H46" s="292">
        <f t="shared" si="13"/>
        <v>62</v>
      </c>
      <c r="I46" s="292">
        <f t="shared" si="13"/>
        <v>29</v>
      </c>
      <c r="J46" s="292">
        <f t="shared" si="13"/>
        <v>33</v>
      </c>
      <c r="K46" s="293">
        <f t="shared" si="13"/>
        <v>411.5</v>
      </c>
      <c r="L46" s="292">
        <f t="shared" si="13"/>
        <v>37</v>
      </c>
      <c r="M46" s="292">
        <f t="shared" si="13"/>
        <v>36</v>
      </c>
      <c r="N46" s="292">
        <f t="shared" si="13"/>
        <v>57</v>
      </c>
      <c r="O46" s="292">
        <f t="shared" si="13"/>
        <v>74.5</v>
      </c>
      <c r="P46" s="292">
        <f t="shared" si="13"/>
        <v>20</v>
      </c>
      <c r="Q46" s="292">
        <f t="shared" si="13"/>
        <v>10</v>
      </c>
      <c r="R46" s="292">
        <f t="shared" si="13"/>
        <v>53</v>
      </c>
      <c r="S46" s="293">
        <f t="shared" si="13"/>
        <v>250.5</v>
      </c>
      <c r="T46" s="292">
        <f t="shared" si="13"/>
        <v>10</v>
      </c>
      <c r="U46" s="292">
        <f t="shared" si="13"/>
        <v>30</v>
      </c>
      <c r="V46" s="292">
        <f t="shared" si="13"/>
        <v>28</v>
      </c>
      <c r="W46" s="292">
        <f t="shared" si="13"/>
        <v>47</v>
      </c>
      <c r="X46" s="292">
        <f t="shared" si="13"/>
        <v>20</v>
      </c>
      <c r="Y46" s="292">
        <f t="shared" si="13"/>
        <v>9</v>
      </c>
      <c r="Z46" s="292">
        <f t="shared" si="13"/>
        <v>8</v>
      </c>
      <c r="AA46" s="292">
        <f t="shared" si="13"/>
        <v>29</v>
      </c>
      <c r="AB46" s="292">
        <f t="shared" si="13"/>
        <v>70.5</v>
      </c>
      <c r="AC46" s="292">
        <f t="shared" si="13"/>
        <v>150</v>
      </c>
      <c r="AD46" s="293">
        <f t="shared" si="13"/>
        <v>401.5</v>
      </c>
      <c r="AE46" s="292">
        <f t="shared" si="13"/>
        <v>57</v>
      </c>
      <c r="AF46" s="292">
        <f t="shared" si="13"/>
        <v>300.5</v>
      </c>
      <c r="AG46" s="292">
        <f t="shared" si="13"/>
        <v>70</v>
      </c>
      <c r="AH46" s="292">
        <f t="shared" ref="AH46:BQ46" si="14">SUM(AH4:AH43)</f>
        <v>239</v>
      </c>
      <c r="AI46" s="292">
        <f t="shared" si="14"/>
        <v>120.5</v>
      </c>
      <c r="AJ46" s="292">
        <f t="shared" si="14"/>
        <v>59</v>
      </c>
      <c r="AK46" s="292">
        <f t="shared" si="14"/>
        <v>72</v>
      </c>
      <c r="AL46" s="292">
        <f t="shared" si="14"/>
        <v>67.5</v>
      </c>
      <c r="AM46" s="292">
        <f t="shared" si="14"/>
        <v>82</v>
      </c>
      <c r="AN46" s="292">
        <f t="shared" si="14"/>
        <v>64.5</v>
      </c>
      <c r="AO46" s="292">
        <f t="shared" si="14"/>
        <v>9</v>
      </c>
      <c r="AP46" s="292">
        <f t="shared" si="14"/>
        <v>13</v>
      </c>
      <c r="AQ46" s="292">
        <f t="shared" si="14"/>
        <v>272</v>
      </c>
      <c r="AR46" s="292">
        <f t="shared" si="14"/>
        <v>285.5</v>
      </c>
      <c r="AS46" s="292">
        <f t="shared" si="14"/>
        <v>339</v>
      </c>
      <c r="AT46" s="292">
        <f t="shared" si="14"/>
        <v>153.5</v>
      </c>
      <c r="AU46" s="293">
        <f t="shared" si="14"/>
        <v>2204</v>
      </c>
      <c r="AV46" s="292">
        <f t="shared" si="14"/>
        <v>232.5</v>
      </c>
      <c r="AW46" s="292">
        <f t="shared" si="14"/>
        <v>16.5</v>
      </c>
      <c r="AX46" s="293">
        <f t="shared" si="14"/>
        <v>249</v>
      </c>
      <c r="AY46" s="292">
        <f t="shared" si="14"/>
        <v>59</v>
      </c>
      <c r="AZ46" s="292">
        <f t="shared" si="14"/>
        <v>72.5</v>
      </c>
      <c r="BA46" s="292">
        <f t="shared" si="14"/>
        <v>134</v>
      </c>
      <c r="BB46" s="292">
        <f t="shared" si="14"/>
        <v>308</v>
      </c>
      <c r="BC46" s="292">
        <f t="shared" si="14"/>
        <v>231</v>
      </c>
      <c r="BD46" s="293">
        <f t="shared" si="14"/>
        <v>804.5</v>
      </c>
      <c r="BE46" s="292">
        <f t="shared" si="14"/>
        <v>48.5</v>
      </c>
      <c r="BF46" s="292">
        <f t="shared" si="14"/>
        <v>40</v>
      </c>
      <c r="BG46" s="292">
        <f t="shared" si="14"/>
        <v>42.5</v>
      </c>
      <c r="BH46" s="294">
        <f t="shared" si="14"/>
        <v>131</v>
      </c>
      <c r="BI46" s="294">
        <f t="shared" si="14"/>
        <v>44</v>
      </c>
      <c r="BJ46" s="295">
        <f t="shared" si="14"/>
        <v>39</v>
      </c>
      <c r="BK46" s="295">
        <f t="shared" si="14"/>
        <v>0</v>
      </c>
      <c r="BL46" s="294">
        <f t="shared" si="14"/>
        <v>39</v>
      </c>
      <c r="BM46" s="292">
        <f t="shared" si="14"/>
        <v>5</v>
      </c>
      <c r="BN46" s="292">
        <f t="shared" si="14"/>
        <v>0</v>
      </c>
      <c r="BO46" s="292">
        <f t="shared" si="14"/>
        <v>6</v>
      </c>
      <c r="BP46" s="293">
        <f t="shared" si="14"/>
        <v>11</v>
      </c>
      <c r="BQ46" s="293">
        <f t="shared" si="14"/>
        <v>7</v>
      </c>
      <c r="BR46" s="296">
        <f>+D46+K46+S46+AD46+AU46+AX46+BD46+BH46+BI46+BL46+BP46+BQ46</f>
        <v>4936.5</v>
      </c>
      <c r="BS46" s="320" t="b">
        <f>+BS45+BH46+BI46+BL46-BR49=BR46</f>
        <v>1</v>
      </c>
      <c r="BT46"/>
      <c r="BU46"/>
      <c r="BV46"/>
      <c r="BW46"/>
      <c r="BX46"/>
      <c r="BY46"/>
      <c r="BZ46"/>
    </row>
    <row r="47" spans="1:78" s="293" customFormat="1" ht="17.45" customHeight="1" x14ac:dyDescent="0.2">
      <c r="A47" s="292"/>
      <c r="C47" s="292"/>
      <c r="E47" s="292"/>
      <c r="F47" s="292"/>
      <c r="G47" s="292"/>
      <c r="H47" s="292"/>
      <c r="I47" s="292"/>
      <c r="J47" s="292"/>
      <c r="L47" s="292"/>
      <c r="M47" s="292"/>
      <c r="N47" s="292"/>
      <c r="O47" s="292"/>
      <c r="P47" s="292"/>
      <c r="Q47" s="292"/>
      <c r="R47" s="292"/>
      <c r="T47" s="292"/>
      <c r="U47" s="292"/>
      <c r="V47" s="292"/>
      <c r="W47" s="292"/>
      <c r="X47" s="292"/>
      <c r="Y47" s="292"/>
      <c r="Z47" s="292"/>
      <c r="AA47" s="292"/>
      <c r="AB47" s="292"/>
      <c r="AC47" s="292"/>
      <c r="AE47" s="292"/>
      <c r="AF47" s="292"/>
      <c r="AG47" s="292"/>
      <c r="AH47" s="292"/>
      <c r="AI47" s="292"/>
      <c r="AJ47" s="292"/>
      <c r="AK47" s="292"/>
      <c r="AL47" s="292"/>
      <c r="AM47" s="292"/>
      <c r="AN47" s="292"/>
      <c r="AO47" s="292"/>
      <c r="AP47" s="292"/>
      <c r="AQ47" s="292"/>
      <c r="AR47" s="292"/>
      <c r="AS47" s="292"/>
      <c r="AT47" s="292"/>
      <c r="AV47" s="292"/>
      <c r="AW47" s="292"/>
      <c r="AY47" s="292"/>
      <c r="AZ47" s="292"/>
      <c r="BA47" s="292"/>
      <c r="BB47" s="292"/>
      <c r="BC47" s="292"/>
      <c r="BE47" s="292"/>
      <c r="BF47" s="292"/>
      <c r="BG47" s="292"/>
      <c r="BH47" s="294"/>
      <c r="BI47" s="294"/>
      <c r="BJ47" s="295"/>
      <c r="BK47" s="295"/>
      <c r="BL47" s="294"/>
      <c r="BM47" s="292"/>
      <c r="BN47" s="292"/>
      <c r="BO47" s="292"/>
      <c r="BR47" s="411" t="s">
        <v>842</v>
      </c>
      <c r="BS47" s="412">
        <f>SUM(BS33:BS43)+SUM(BS4:BS13)</f>
        <v>1478.5</v>
      </c>
      <c r="BT47"/>
      <c r="BU47"/>
      <c r="BV47"/>
      <c r="BW47"/>
      <c r="BX47"/>
      <c r="BY47"/>
      <c r="BZ47"/>
    </row>
    <row r="48" spans="1:78" s="293" customFormat="1" ht="27" customHeight="1" x14ac:dyDescent="0.2">
      <c r="A48" s="297" t="s">
        <v>746</v>
      </c>
      <c r="B48" s="292"/>
      <c r="C48" s="292"/>
      <c r="D48" s="292">
        <f>+D46/40</f>
        <v>9.5875000000000004</v>
      </c>
      <c r="E48" s="292"/>
      <c r="F48" s="292"/>
      <c r="G48" s="292"/>
      <c r="H48" s="292"/>
      <c r="I48" s="292"/>
      <c r="J48" s="292"/>
      <c r="K48" s="292">
        <f>+K46/40</f>
        <v>10.2875</v>
      </c>
      <c r="L48" s="292"/>
      <c r="M48" s="292"/>
      <c r="N48" s="292"/>
      <c r="O48" s="292"/>
      <c r="P48" s="292"/>
      <c r="Q48" s="292"/>
      <c r="R48" s="292"/>
      <c r="S48" s="292">
        <f>+S46/40</f>
        <v>6.2625000000000002</v>
      </c>
      <c r="T48" s="292"/>
      <c r="U48" s="292"/>
      <c r="V48" s="292"/>
      <c r="W48" s="292"/>
      <c r="X48" s="292"/>
      <c r="Y48" s="292"/>
      <c r="Z48" s="292"/>
      <c r="AA48" s="292"/>
      <c r="AB48" s="292"/>
      <c r="AC48" s="292"/>
      <c r="AD48" s="292">
        <f>+AD46/40</f>
        <v>10.0375</v>
      </c>
      <c r="AE48" s="292"/>
      <c r="AF48" s="292"/>
      <c r="AG48" s="292"/>
      <c r="AH48" s="292"/>
      <c r="AI48" s="292"/>
      <c r="AJ48" s="292"/>
      <c r="AK48" s="292"/>
      <c r="AL48" s="292"/>
      <c r="AM48" s="292"/>
      <c r="AN48" s="292"/>
      <c r="AO48" s="292"/>
      <c r="AP48" s="292"/>
      <c r="AQ48" s="292"/>
      <c r="AR48" s="292"/>
      <c r="AS48" s="292"/>
      <c r="AT48" s="292"/>
      <c r="AU48" s="292">
        <f>+AU46/40</f>
        <v>55.1</v>
      </c>
      <c r="AV48" s="292"/>
      <c r="AW48" s="292"/>
      <c r="AX48" s="292">
        <f>+AX46/40</f>
        <v>6.2249999999999996</v>
      </c>
      <c r="AY48" s="292"/>
      <c r="AZ48" s="292"/>
      <c r="BA48" s="292"/>
      <c r="BB48" s="292"/>
      <c r="BC48" s="292"/>
      <c r="BD48" s="292">
        <f>+BD46/40</f>
        <v>20.112500000000001</v>
      </c>
      <c r="BE48" s="292"/>
      <c r="BF48" s="292"/>
      <c r="BG48" s="292"/>
      <c r="BH48" s="292">
        <f>+BH46/40</f>
        <v>3.2749999999999999</v>
      </c>
      <c r="BI48" s="292">
        <f>+BI46/40</f>
        <v>1.1000000000000001</v>
      </c>
      <c r="BJ48" s="292"/>
      <c r="BK48" s="292"/>
      <c r="BL48" s="292">
        <f>+BL46/40</f>
        <v>0.97499999999999998</v>
      </c>
      <c r="BM48" s="292"/>
      <c r="BN48" s="292"/>
      <c r="BO48" s="292"/>
      <c r="BP48" s="292">
        <f>+BP46/40</f>
        <v>0.27500000000000002</v>
      </c>
      <c r="BQ48" s="292">
        <f>+BQ46/40</f>
        <v>0.17499999999999999</v>
      </c>
      <c r="BR48" s="298">
        <f>+D48+K48+S48+AD48+AU48+AX48+BD48+BH48+BI48+BL48+BP48+BQ48</f>
        <v>123.41249999999999</v>
      </c>
      <c r="BS48" s="277"/>
      <c r="BT48"/>
      <c r="BU48"/>
      <c r="BV48"/>
      <c r="BW48"/>
      <c r="BX48"/>
      <c r="BY48"/>
      <c r="BZ48"/>
    </row>
    <row r="49" spans="1:78" s="315" customFormat="1" ht="48.6" customHeight="1" x14ac:dyDescent="0.2">
      <c r="A49" s="480" t="s">
        <v>752</v>
      </c>
      <c r="B49" s="480"/>
      <c r="C49" s="480"/>
      <c r="D49" s="315">
        <v>0</v>
      </c>
      <c r="K49" s="318">
        <f>+K46*-0.5</f>
        <v>-205.75</v>
      </c>
      <c r="S49" s="318">
        <f>+S46*-0.5</f>
        <v>-125.25</v>
      </c>
      <c r="AD49" s="318">
        <f>+AD46*-0.5</f>
        <v>-200.75</v>
      </c>
      <c r="AU49" s="318">
        <f>+AU46*-0.5</f>
        <v>-1102</v>
      </c>
      <c r="AX49" s="318">
        <f>+AX46*-0.5</f>
        <v>-124.5</v>
      </c>
      <c r="BD49" s="318">
        <f>+BD46*-0.5</f>
        <v>-402.25</v>
      </c>
      <c r="BH49" s="315" t="s">
        <v>753</v>
      </c>
      <c r="BI49" s="315" t="s">
        <v>753</v>
      </c>
      <c r="BL49" s="315" t="s">
        <v>753</v>
      </c>
      <c r="BP49" s="315">
        <v>0</v>
      </c>
      <c r="BQ49" s="315">
        <v>0</v>
      </c>
      <c r="BR49" s="316">
        <f>SUM(B49:BQ49)</f>
        <v>-2160.5</v>
      </c>
      <c r="BS49" s="317"/>
      <c r="BT49"/>
      <c r="BU49"/>
      <c r="BV49"/>
      <c r="BW49"/>
      <c r="BX49"/>
      <c r="BY49"/>
      <c r="BZ49"/>
    </row>
    <row r="50" spans="1:78" x14ac:dyDescent="0.2">
      <c r="A50" s="275">
        <v>36731</v>
      </c>
      <c r="D50" s="285"/>
      <c r="F50" s="285"/>
      <c r="I50" s="285"/>
      <c r="J50" s="285"/>
      <c r="K50" s="285"/>
      <c r="N50" s="285"/>
      <c r="O50" s="285"/>
      <c r="P50" s="285"/>
      <c r="Q50" s="285"/>
      <c r="R50" s="285"/>
      <c r="S50" s="285"/>
      <c r="V50" s="285"/>
      <c r="W50" s="285"/>
      <c r="X50" s="285"/>
      <c r="Y50" s="285"/>
      <c r="Z50" s="285"/>
      <c r="AA50" s="285"/>
      <c r="AB50" s="285"/>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85"/>
      <c r="BF50" s="285"/>
      <c r="BG50" s="285"/>
      <c r="BH50" s="285"/>
      <c r="BI50" s="285"/>
      <c r="BJ50" s="285"/>
      <c r="BK50" s="285"/>
      <c r="BL50" s="285"/>
      <c r="BM50" s="285"/>
      <c r="BN50" s="285"/>
      <c r="BO50" s="285"/>
      <c r="BP50" s="285"/>
      <c r="BQ50" s="285"/>
      <c r="BR50" s="288">
        <f t="shared" ref="BR50:BR78" si="15">+D50+K50+S50+AD50+AU50+AX50+BD50+BH50+BL50+BP50+BQ50+BI50</f>
        <v>0</v>
      </c>
    </row>
    <row r="51" spans="1:78" x14ac:dyDescent="0.2">
      <c r="A51" s="275">
        <v>36732</v>
      </c>
      <c r="D51" s="285"/>
      <c r="F51" s="285"/>
      <c r="I51" s="285"/>
      <c r="J51" s="285"/>
      <c r="K51" s="285"/>
      <c r="N51" s="285"/>
      <c r="O51" s="285"/>
      <c r="P51" s="285"/>
      <c r="Q51" s="285"/>
      <c r="R51" s="285"/>
      <c r="S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5"/>
      <c r="BF51" s="285"/>
      <c r="BG51" s="285"/>
      <c r="BH51" s="285"/>
      <c r="BI51" s="285"/>
      <c r="BJ51" s="285"/>
      <c r="BK51" s="285"/>
      <c r="BL51" s="285"/>
      <c r="BM51" s="285"/>
      <c r="BN51" s="285"/>
      <c r="BO51" s="285"/>
      <c r="BP51" s="285"/>
      <c r="BQ51" s="285"/>
      <c r="BR51" s="288">
        <f t="shared" si="15"/>
        <v>0</v>
      </c>
    </row>
    <row r="52" spans="1:78" x14ac:dyDescent="0.2">
      <c r="A52" s="275">
        <v>36733</v>
      </c>
      <c r="D52" s="285"/>
      <c r="F52" s="285"/>
      <c r="I52" s="285"/>
      <c r="J52" s="285"/>
      <c r="K52" s="285"/>
      <c r="N52" s="285"/>
      <c r="O52" s="285">
        <v>5</v>
      </c>
      <c r="P52" s="285"/>
      <c r="Q52" s="285"/>
      <c r="R52" s="285"/>
      <c r="S52" s="288">
        <f>SUM(M52:R52)</f>
        <v>5</v>
      </c>
      <c r="V52" s="285">
        <v>3</v>
      </c>
      <c r="W52" s="285">
        <v>2.5</v>
      </c>
      <c r="X52" s="285">
        <v>3</v>
      </c>
      <c r="Y52" s="285"/>
      <c r="Z52" s="285"/>
      <c r="AA52" s="285"/>
      <c r="AB52" s="285"/>
      <c r="AC52" s="285">
        <v>10</v>
      </c>
      <c r="AD52" s="288">
        <f>SUM(T52:AC52)</f>
        <v>18.5</v>
      </c>
      <c r="AE52" s="285"/>
      <c r="AF52" s="285"/>
      <c r="AG52" s="285">
        <v>10</v>
      </c>
      <c r="AH52" s="285">
        <v>10</v>
      </c>
      <c r="AI52" s="285">
        <v>5</v>
      </c>
      <c r="AJ52" s="285"/>
      <c r="AK52" s="285">
        <v>5</v>
      </c>
      <c r="AL52" s="285">
        <v>5</v>
      </c>
      <c r="AM52" s="285">
        <v>5</v>
      </c>
      <c r="AN52" s="285">
        <v>5</v>
      </c>
      <c r="AO52" s="285"/>
      <c r="AP52" s="285"/>
      <c r="AQ52" s="285">
        <v>10</v>
      </c>
      <c r="AR52" s="285">
        <v>5</v>
      </c>
      <c r="AS52" s="285" t="s">
        <v>745</v>
      </c>
      <c r="AT52" s="285"/>
      <c r="AU52" s="288">
        <f t="shared" ref="AU52:AU63" si="16">SUM(AE52:AT52)</f>
        <v>60</v>
      </c>
      <c r="AV52" s="285">
        <v>10</v>
      </c>
      <c r="AW52" s="285"/>
      <c r="AX52" s="288">
        <f>+AW52+AV52</f>
        <v>10</v>
      </c>
      <c r="AY52" s="285">
        <v>0</v>
      </c>
      <c r="AZ52" s="285">
        <v>2</v>
      </c>
      <c r="BA52" s="285"/>
      <c r="BB52" s="285"/>
      <c r="BC52" s="285"/>
      <c r="BD52" s="288">
        <f t="shared" ref="BD52:BD63" si="17">SUM(AY52:BC52)</f>
        <v>2</v>
      </c>
      <c r="BE52" s="285">
        <v>4</v>
      </c>
      <c r="BF52" s="285">
        <v>4</v>
      </c>
      <c r="BG52" s="285">
        <v>4</v>
      </c>
      <c r="BH52" s="288">
        <f>+BE52+BF52+BG52</f>
        <v>12</v>
      </c>
      <c r="BI52" s="288">
        <v>4</v>
      </c>
      <c r="BJ52" s="285">
        <v>4</v>
      </c>
      <c r="BK52" s="285"/>
      <c r="BL52" s="288">
        <f>+BJ52+BK52</f>
        <v>4</v>
      </c>
      <c r="BM52" s="285"/>
      <c r="BN52" s="285"/>
      <c r="BO52" s="285"/>
      <c r="BP52" s="285"/>
      <c r="BQ52" s="288">
        <v>5</v>
      </c>
      <c r="BR52" s="288">
        <f t="shared" si="15"/>
        <v>120.5</v>
      </c>
    </row>
    <row r="53" spans="1:78" x14ac:dyDescent="0.2">
      <c r="A53" s="275">
        <v>36734</v>
      </c>
      <c r="D53" s="285"/>
      <c r="F53" s="285">
        <v>9</v>
      </c>
      <c r="I53" s="285">
        <v>9</v>
      </c>
      <c r="J53" s="285">
        <v>9</v>
      </c>
      <c r="K53" s="288">
        <f>SUM(E53:J53)</f>
        <v>27</v>
      </c>
      <c r="N53" s="285"/>
      <c r="O53" s="285"/>
      <c r="P53" s="285"/>
      <c r="Q53" s="285"/>
      <c r="R53" s="285"/>
      <c r="S53" s="288"/>
      <c r="V53" s="285"/>
      <c r="W53" s="285">
        <v>3</v>
      </c>
      <c r="X53" s="285"/>
      <c r="Y53" s="285"/>
      <c r="Z53" s="285"/>
      <c r="AA53" s="285"/>
      <c r="AB53" s="285"/>
      <c r="AC53" s="285">
        <v>9</v>
      </c>
      <c r="AD53" s="288">
        <f>SUM(T53:AC53)</f>
        <v>12</v>
      </c>
      <c r="AE53" s="285"/>
      <c r="AF53" s="285"/>
      <c r="AG53" s="285">
        <v>9</v>
      </c>
      <c r="AH53" s="285"/>
      <c r="AI53" s="285"/>
      <c r="AJ53" s="285"/>
      <c r="AK53" s="285"/>
      <c r="AL53" s="285"/>
      <c r="AM53" s="285"/>
      <c r="AN53" s="285"/>
      <c r="AO53" s="285"/>
      <c r="AP53" s="285"/>
      <c r="AQ53" s="285">
        <v>9</v>
      </c>
      <c r="AR53" s="285">
        <v>3</v>
      </c>
      <c r="AS53" s="285"/>
      <c r="AT53" s="285"/>
      <c r="AU53" s="288">
        <f t="shared" si="16"/>
        <v>21</v>
      </c>
      <c r="AV53" s="285">
        <v>9</v>
      </c>
      <c r="AW53" s="285"/>
      <c r="AX53" s="288">
        <f>+AW53+AV53</f>
        <v>9</v>
      </c>
      <c r="AY53" s="285"/>
      <c r="AZ53" s="285">
        <v>1</v>
      </c>
      <c r="BA53" s="285"/>
      <c r="BB53" s="285">
        <v>9</v>
      </c>
      <c r="BC53" s="285"/>
      <c r="BD53" s="288">
        <f t="shared" si="17"/>
        <v>10</v>
      </c>
      <c r="BE53" s="285"/>
      <c r="BF53" s="285"/>
      <c r="BG53" s="285"/>
      <c r="BH53" s="288"/>
      <c r="BI53" s="288">
        <v>4</v>
      </c>
      <c r="BJ53" s="285">
        <v>4</v>
      </c>
      <c r="BK53" s="285"/>
      <c r="BL53" s="288">
        <f>+BJ53+BK53</f>
        <v>4</v>
      </c>
      <c r="BM53" s="285"/>
      <c r="BN53" s="285"/>
      <c r="BO53" s="285"/>
      <c r="BP53" s="285"/>
      <c r="BQ53" s="288">
        <v>5</v>
      </c>
      <c r="BR53" s="288">
        <f t="shared" si="15"/>
        <v>92</v>
      </c>
    </row>
    <row r="54" spans="1:78" x14ac:dyDescent="0.2">
      <c r="A54" s="275">
        <v>36735</v>
      </c>
      <c r="D54" s="285"/>
      <c r="F54" s="285">
        <v>10</v>
      </c>
      <c r="I54" s="285">
        <v>9.5</v>
      </c>
      <c r="J54" s="285">
        <v>9.5</v>
      </c>
      <c r="K54" s="288">
        <f>SUM(E54:J54)</f>
        <v>29</v>
      </c>
      <c r="N54" s="285"/>
      <c r="O54" s="285">
        <v>5</v>
      </c>
      <c r="P54" s="285"/>
      <c r="Q54" s="285"/>
      <c r="R54" s="285"/>
      <c r="S54" s="288">
        <f>SUM(M54:R54)</f>
        <v>5</v>
      </c>
      <c r="V54" s="285"/>
      <c r="W54" s="285">
        <v>1</v>
      </c>
      <c r="X54" s="285"/>
      <c r="Y54" s="285"/>
      <c r="Z54" s="285"/>
      <c r="AA54" s="285"/>
      <c r="AB54" s="285"/>
      <c r="AC54" s="285">
        <v>10</v>
      </c>
      <c r="AD54" s="288">
        <f>SUM(T54:AC54)</f>
        <v>11</v>
      </c>
      <c r="AE54" s="285"/>
      <c r="AF54" s="285"/>
      <c r="AG54" s="285">
        <v>10</v>
      </c>
      <c r="AH54" s="285">
        <v>9</v>
      </c>
      <c r="AI54" s="285">
        <v>0</v>
      </c>
      <c r="AJ54" s="285"/>
      <c r="AK54" s="285"/>
      <c r="AL54" s="285"/>
      <c r="AM54" s="285">
        <v>9</v>
      </c>
      <c r="AN54" s="285"/>
      <c r="AO54" s="285"/>
      <c r="AP54" s="285"/>
      <c r="AQ54" s="285">
        <v>5</v>
      </c>
      <c r="AR54" s="285"/>
      <c r="AS54" s="285"/>
      <c r="AT54" s="285"/>
      <c r="AU54" s="288">
        <f t="shared" si="16"/>
        <v>33</v>
      </c>
      <c r="AV54" s="285"/>
      <c r="AW54" s="285"/>
      <c r="AX54" s="288"/>
      <c r="AY54" s="285">
        <v>2</v>
      </c>
      <c r="AZ54" s="285">
        <v>2</v>
      </c>
      <c r="BA54" s="285"/>
      <c r="BB54" s="285">
        <v>10</v>
      </c>
      <c r="BC54" s="285"/>
      <c r="BD54" s="288">
        <f t="shared" si="17"/>
        <v>14</v>
      </c>
      <c r="BE54" s="285"/>
      <c r="BF54" s="285">
        <v>4</v>
      </c>
      <c r="BG54" s="285">
        <v>4</v>
      </c>
      <c r="BH54" s="288">
        <f>+BE54+BF54+BG54</f>
        <v>8</v>
      </c>
      <c r="BI54" s="288"/>
      <c r="BJ54" s="285">
        <v>4</v>
      </c>
      <c r="BK54" s="285"/>
      <c r="BL54" s="288">
        <f>+BJ54+BK54</f>
        <v>4</v>
      </c>
      <c r="BM54" s="285"/>
      <c r="BN54" s="285"/>
      <c r="BO54" s="285"/>
      <c r="BP54" s="285"/>
      <c r="BQ54" s="288"/>
      <c r="BR54" s="288">
        <f t="shared" si="15"/>
        <v>104</v>
      </c>
    </row>
    <row r="55" spans="1:78" x14ac:dyDescent="0.2">
      <c r="A55" s="275">
        <v>36736</v>
      </c>
      <c r="D55" s="285"/>
      <c r="F55" s="285"/>
      <c r="I55" s="285"/>
      <c r="J55" s="285"/>
      <c r="K55" s="288"/>
      <c r="N55" s="285"/>
      <c r="O55" s="285">
        <v>6.5</v>
      </c>
      <c r="P55" s="285"/>
      <c r="Q55" s="285"/>
      <c r="R55" s="285"/>
      <c r="S55" s="288">
        <f>SUM(M55:R55)</f>
        <v>6.5</v>
      </c>
      <c r="V55" s="285"/>
      <c r="W55" s="285">
        <v>0</v>
      </c>
      <c r="X55" s="285"/>
      <c r="Y55" s="285">
        <v>5</v>
      </c>
      <c r="Z55" s="285">
        <v>5</v>
      </c>
      <c r="AA55" s="285">
        <v>5</v>
      </c>
      <c r="AB55" s="285">
        <v>5</v>
      </c>
      <c r="AC55" s="285">
        <v>10</v>
      </c>
      <c r="AD55" s="288">
        <f>SUM(T55:AC55)</f>
        <v>30</v>
      </c>
      <c r="AE55" s="285"/>
      <c r="AF55" s="285"/>
      <c r="AG55" s="285">
        <v>10</v>
      </c>
      <c r="AH55" s="285">
        <v>10</v>
      </c>
      <c r="AI55" s="285">
        <v>4</v>
      </c>
      <c r="AJ55" s="285"/>
      <c r="AK55" s="285">
        <v>6</v>
      </c>
      <c r="AL55" s="285">
        <v>6</v>
      </c>
      <c r="AM55" s="285">
        <v>4</v>
      </c>
      <c r="AN55" s="285">
        <v>4</v>
      </c>
      <c r="AO55" s="285"/>
      <c r="AP55" s="285"/>
      <c r="AQ55" s="285"/>
      <c r="AR55" s="285"/>
      <c r="AS55" s="285"/>
      <c r="AT55" s="285"/>
      <c r="AU55" s="288">
        <f t="shared" si="16"/>
        <v>44</v>
      </c>
      <c r="AV55" s="285"/>
      <c r="AW55" s="285"/>
      <c r="AX55" s="285"/>
      <c r="AY55" s="285">
        <v>10</v>
      </c>
      <c r="AZ55" s="285">
        <v>0</v>
      </c>
      <c r="BA55" s="285"/>
      <c r="BB55" s="285"/>
      <c r="BC55" s="285"/>
      <c r="BD55" s="288">
        <f t="shared" si="17"/>
        <v>10</v>
      </c>
      <c r="BE55" s="285">
        <v>4</v>
      </c>
      <c r="BF55" s="285">
        <v>0</v>
      </c>
      <c r="BG55" s="285">
        <v>4</v>
      </c>
      <c r="BH55" s="288">
        <f>+BE55+BF55+BG55</f>
        <v>8</v>
      </c>
      <c r="BI55" s="288"/>
      <c r="BJ55" s="285"/>
      <c r="BK55" s="285"/>
      <c r="BL55" s="288"/>
      <c r="BM55" s="285"/>
      <c r="BN55" s="285"/>
      <c r="BO55" s="285"/>
      <c r="BP55" s="285"/>
      <c r="BQ55" s="288"/>
      <c r="BR55" s="288">
        <f t="shared" si="15"/>
        <v>98.5</v>
      </c>
    </row>
    <row r="56" spans="1:78" x14ac:dyDescent="0.2">
      <c r="A56" s="275">
        <v>37101</v>
      </c>
      <c r="D56" s="285"/>
      <c r="F56" s="285"/>
      <c r="I56" s="285"/>
      <c r="J56" s="285"/>
      <c r="K56" s="288"/>
      <c r="N56" s="285"/>
      <c r="O56" s="285"/>
      <c r="P56" s="285"/>
      <c r="Q56" s="285"/>
      <c r="R56" s="285"/>
      <c r="S56" s="288"/>
      <c r="V56" s="285"/>
      <c r="W56" s="285"/>
      <c r="X56" s="285"/>
      <c r="Y56" s="285"/>
      <c r="Z56" s="285"/>
      <c r="AA56" s="285"/>
      <c r="AB56" s="285"/>
      <c r="AC56" s="285"/>
      <c r="AD56" s="288"/>
      <c r="AE56" s="285"/>
      <c r="AF56" s="285"/>
      <c r="AG56" s="285"/>
      <c r="AH56" s="285">
        <v>10</v>
      </c>
      <c r="AI56" s="285">
        <v>11</v>
      </c>
      <c r="AJ56" s="285"/>
      <c r="AK56" s="285">
        <v>11</v>
      </c>
      <c r="AL56" s="285">
        <v>11</v>
      </c>
      <c r="AM56" s="285">
        <v>11</v>
      </c>
      <c r="AN56" s="285">
        <v>11</v>
      </c>
      <c r="AO56" s="285"/>
      <c r="AP56" s="285"/>
      <c r="AQ56" s="285"/>
      <c r="AR56" s="285"/>
      <c r="AS56" s="285"/>
      <c r="AT56" s="285"/>
      <c r="AU56" s="288">
        <f t="shared" si="16"/>
        <v>65</v>
      </c>
      <c r="AV56" s="285"/>
      <c r="AW56" s="285"/>
      <c r="AX56" s="285"/>
      <c r="AY56" s="285"/>
      <c r="AZ56" s="285"/>
      <c r="BA56" s="285"/>
      <c r="BB56" s="285">
        <v>4</v>
      </c>
      <c r="BC56" s="285"/>
      <c r="BD56" s="288">
        <f t="shared" si="17"/>
        <v>4</v>
      </c>
      <c r="BE56" s="285"/>
      <c r="BF56" s="285"/>
      <c r="BG56" s="285"/>
      <c r="BH56" s="288"/>
      <c r="BI56" s="288"/>
      <c r="BJ56" s="285"/>
      <c r="BK56" s="285"/>
      <c r="BL56" s="288"/>
      <c r="BM56" s="285"/>
      <c r="BN56" s="285"/>
      <c r="BO56" s="285"/>
      <c r="BP56" s="285"/>
      <c r="BQ56" s="285"/>
      <c r="BR56" s="288">
        <f t="shared" si="15"/>
        <v>69</v>
      </c>
    </row>
    <row r="57" spans="1:78" x14ac:dyDescent="0.2">
      <c r="A57" s="275">
        <v>36737</v>
      </c>
      <c r="D57" s="285"/>
      <c r="F57" s="285">
        <v>4</v>
      </c>
      <c r="I57" s="285">
        <v>4</v>
      </c>
      <c r="J57" s="285">
        <v>4</v>
      </c>
      <c r="K57" s="288">
        <f t="shared" ref="K57:K62" si="18">SUM(E57:J57)</f>
        <v>12</v>
      </c>
      <c r="N57" s="285"/>
      <c r="O57" s="285"/>
      <c r="P57" s="285"/>
      <c r="Q57" s="285"/>
      <c r="R57" s="285"/>
      <c r="S57" s="288"/>
      <c r="V57" s="285"/>
      <c r="W57" s="285"/>
      <c r="X57" s="285"/>
      <c r="Y57" s="285"/>
      <c r="Z57" s="285"/>
      <c r="AA57" s="285"/>
      <c r="AB57" s="285"/>
      <c r="AC57" s="285">
        <v>5</v>
      </c>
      <c r="AD57" s="288">
        <f t="shared" ref="AD57:AD63" si="19">SUM(T57:AC57)</f>
        <v>5</v>
      </c>
      <c r="AE57" s="285"/>
      <c r="AF57" s="285"/>
      <c r="AG57" s="285">
        <v>9</v>
      </c>
      <c r="AH57" s="285"/>
      <c r="AI57" s="285"/>
      <c r="AJ57" s="285"/>
      <c r="AK57" s="285"/>
      <c r="AL57" s="285"/>
      <c r="AM57" s="285"/>
      <c r="AN57" s="285"/>
      <c r="AO57" s="285"/>
      <c r="AP57" s="285"/>
      <c r="AQ57" s="285"/>
      <c r="AR57" s="285"/>
      <c r="AS57" s="285"/>
      <c r="AT57" s="285"/>
      <c r="AU57" s="288">
        <f t="shared" si="16"/>
        <v>9</v>
      </c>
      <c r="AV57" s="285"/>
      <c r="AW57" s="285"/>
      <c r="AX57" s="285"/>
      <c r="AY57" s="285">
        <v>0</v>
      </c>
      <c r="AZ57" s="285">
        <v>6</v>
      </c>
      <c r="BA57" s="285"/>
      <c r="BB57" s="285"/>
      <c r="BC57" s="285"/>
      <c r="BD57" s="288">
        <f t="shared" si="17"/>
        <v>6</v>
      </c>
      <c r="BE57" s="285"/>
      <c r="BF57" s="285"/>
      <c r="BG57" s="285"/>
      <c r="BH57" s="288"/>
      <c r="BI57" s="288"/>
      <c r="BJ57" s="285"/>
      <c r="BK57" s="285"/>
      <c r="BL57" s="288"/>
      <c r="BM57" s="285"/>
      <c r="BN57" s="285"/>
      <c r="BO57" s="285"/>
      <c r="BP57" s="285"/>
      <c r="BQ57" s="285"/>
      <c r="BR57" s="288">
        <f t="shared" si="15"/>
        <v>32</v>
      </c>
    </row>
    <row r="58" spans="1:78" x14ac:dyDescent="0.2">
      <c r="A58" s="275">
        <v>36738</v>
      </c>
      <c r="D58" s="285"/>
      <c r="F58" s="285"/>
      <c r="I58" s="285">
        <v>5.5</v>
      </c>
      <c r="J58" s="285">
        <v>5.5</v>
      </c>
      <c r="K58" s="288">
        <f t="shared" si="18"/>
        <v>11</v>
      </c>
      <c r="N58" s="285"/>
      <c r="O58" s="285">
        <v>10</v>
      </c>
      <c r="P58" s="285"/>
      <c r="Q58" s="285"/>
      <c r="R58" s="285"/>
      <c r="S58" s="288">
        <f>SUM(M58:R58)</f>
        <v>10</v>
      </c>
      <c r="V58" s="285"/>
      <c r="W58" s="285">
        <v>6.5</v>
      </c>
      <c r="X58" s="285"/>
      <c r="Y58" s="285"/>
      <c r="Z58" s="285">
        <v>7</v>
      </c>
      <c r="AA58" s="285"/>
      <c r="AB58" s="285">
        <v>5</v>
      </c>
      <c r="AC58" s="285">
        <v>10</v>
      </c>
      <c r="AD58" s="288">
        <f t="shared" si="19"/>
        <v>28.5</v>
      </c>
      <c r="AE58" s="285"/>
      <c r="AF58" s="285"/>
      <c r="AG58" s="285">
        <v>10</v>
      </c>
      <c r="AH58" s="285">
        <v>10</v>
      </c>
      <c r="AI58" s="285">
        <v>10</v>
      </c>
      <c r="AJ58" s="285"/>
      <c r="AK58" s="285">
        <v>10</v>
      </c>
      <c r="AL58" s="285">
        <v>10</v>
      </c>
      <c r="AM58" s="285">
        <v>10</v>
      </c>
      <c r="AN58" s="285">
        <v>10</v>
      </c>
      <c r="AO58" s="285"/>
      <c r="AP58" s="285"/>
      <c r="AQ58" s="285"/>
      <c r="AR58" s="285"/>
      <c r="AS58" s="285"/>
      <c r="AT58" s="285"/>
      <c r="AU58" s="288">
        <f t="shared" si="16"/>
        <v>70</v>
      </c>
      <c r="AV58" s="285"/>
      <c r="AW58" s="285"/>
      <c r="AX58" s="285"/>
      <c r="AY58" s="285">
        <v>0</v>
      </c>
      <c r="AZ58" s="285">
        <v>0</v>
      </c>
      <c r="BA58" s="285"/>
      <c r="BB58" s="285">
        <v>10</v>
      </c>
      <c r="BC58" s="285"/>
      <c r="BD58" s="288">
        <f t="shared" si="17"/>
        <v>10</v>
      </c>
      <c r="BE58" s="285">
        <v>4</v>
      </c>
      <c r="BF58" s="285">
        <v>4</v>
      </c>
      <c r="BG58" s="285">
        <v>4</v>
      </c>
      <c r="BH58" s="288">
        <f t="shared" ref="BH58:BH63" si="20">+BE58+BF58+BG58</f>
        <v>12</v>
      </c>
      <c r="BI58" s="288">
        <v>4</v>
      </c>
      <c r="BJ58" s="285"/>
      <c r="BK58" s="285">
        <v>6</v>
      </c>
      <c r="BL58" s="288">
        <f>+BJ58+BK58</f>
        <v>6</v>
      </c>
      <c r="BM58" s="285">
        <v>6</v>
      </c>
      <c r="BN58" s="285"/>
      <c r="BO58" s="285"/>
      <c r="BP58" s="288">
        <f>+BM58+BN58+BO58</f>
        <v>6</v>
      </c>
      <c r="BQ58" s="285"/>
      <c r="BR58" s="288">
        <f t="shared" si="15"/>
        <v>157.5</v>
      </c>
    </row>
    <row r="59" spans="1:78" x14ac:dyDescent="0.2">
      <c r="A59" s="275">
        <v>36739</v>
      </c>
      <c r="D59" s="285"/>
      <c r="F59" s="285">
        <v>5.5</v>
      </c>
      <c r="I59" s="285">
        <v>6.5</v>
      </c>
      <c r="J59" s="285">
        <v>6.5</v>
      </c>
      <c r="K59" s="288">
        <f t="shared" si="18"/>
        <v>18.5</v>
      </c>
      <c r="N59" s="285"/>
      <c r="O59" s="285">
        <v>4</v>
      </c>
      <c r="P59" s="285"/>
      <c r="Q59" s="285"/>
      <c r="R59" s="285"/>
      <c r="S59" s="288">
        <f>SUM(M59:R59)</f>
        <v>4</v>
      </c>
      <c r="V59" s="285">
        <v>4</v>
      </c>
      <c r="W59" s="285">
        <v>4</v>
      </c>
      <c r="X59" s="285">
        <v>4</v>
      </c>
      <c r="Y59" s="285"/>
      <c r="Z59" s="285">
        <v>4</v>
      </c>
      <c r="AA59" s="285">
        <v>4</v>
      </c>
      <c r="AB59" s="285">
        <v>4</v>
      </c>
      <c r="AC59" s="285">
        <v>10</v>
      </c>
      <c r="AD59" s="288">
        <f t="shared" si="19"/>
        <v>34</v>
      </c>
      <c r="AE59" s="285"/>
      <c r="AF59" s="285"/>
      <c r="AG59" s="285">
        <v>10</v>
      </c>
      <c r="AH59" s="285">
        <v>10</v>
      </c>
      <c r="AI59" s="285">
        <v>4</v>
      </c>
      <c r="AJ59" s="285"/>
      <c r="AK59" s="285">
        <v>4</v>
      </c>
      <c r="AL59" s="285">
        <v>4</v>
      </c>
      <c r="AM59" s="285">
        <v>4</v>
      </c>
      <c r="AN59" s="285">
        <v>4</v>
      </c>
      <c r="AO59" s="285"/>
      <c r="AP59" s="285"/>
      <c r="AQ59" s="285"/>
      <c r="AR59" s="285"/>
      <c r="AS59" s="285"/>
      <c r="AT59" s="285"/>
      <c r="AU59" s="288">
        <f t="shared" si="16"/>
        <v>40</v>
      </c>
      <c r="AV59" s="285"/>
      <c r="AW59" s="285"/>
      <c r="AX59" s="285"/>
      <c r="AY59" s="285">
        <v>10</v>
      </c>
      <c r="AZ59" s="285">
        <v>0</v>
      </c>
      <c r="BA59" s="285"/>
      <c r="BB59" s="285">
        <v>6.5</v>
      </c>
      <c r="BC59" s="285"/>
      <c r="BD59" s="288">
        <f t="shared" si="17"/>
        <v>16.5</v>
      </c>
      <c r="BE59" s="285">
        <v>4</v>
      </c>
      <c r="BF59" s="285">
        <v>4</v>
      </c>
      <c r="BG59" s="285">
        <v>4</v>
      </c>
      <c r="BH59" s="288">
        <f t="shared" si="20"/>
        <v>12</v>
      </c>
      <c r="BI59" s="288">
        <v>4</v>
      </c>
      <c r="BJ59" s="285"/>
      <c r="BK59" s="286"/>
      <c r="BL59" s="288"/>
      <c r="BM59" s="286"/>
      <c r="BN59" s="285"/>
      <c r="BO59" s="285"/>
      <c r="BP59" s="285"/>
      <c r="BQ59" s="285"/>
      <c r="BR59" s="288">
        <f t="shared" si="15"/>
        <v>129</v>
      </c>
    </row>
    <row r="60" spans="1:78" x14ac:dyDescent="0.2">
      <c r="A60" s="275">
        <v>36740</v>
      </c>
      <c r="D60" s="285"/>
      <c r="F60" s="285">
        <v>10</v>
      </c>
      <c r="I60" s="285" t="s">
        <v>742</v>
      </c>
      <c r="J60" s="285" t="s">
        <v>742</v>
      </c>
      <c r="K60" s="288">
        <f t="shared" si="18"/>
        <v>10</v>
      </c>
      <c r="N60" s="285"/>
      <c r="O60" s="285">
        <v>2</v>
      </c>
      <c r="P60" s="285"/>
      <c r="Q60" s="285"/>
      <c r="R60" s="285"/>
      <c r="S60" s="288">
        <f>SUM(M60:R60)</f>
        <v>2</v>
      </c>
      <c r="V60" s="285"/>
      <c r="W60" s="285">
        <v>3</v>
      </c>
      <c r="X60" s="285"/>
      <c r="Y60" s="285"/>
      <c r="Z60" s="285"/>
      <c r="AA60" s="285"/>
      <c r="AB60" s="285"/>
      <c r="AC60" s="285">
        <v>10</v>
      </c>
      <c r="AD60" s="288">
        <f t="shared" si="19"/>
        <v>13</v>
      </c>
      <c r="AE60" s="285"/>
      <c r="AF60" s="285"/>
      <c r="AG60" s="285">
        <v>10</v>
      </c>
      <c r="AH60" s="285">
        <v>10</v>
      </c>
      <c r="AI60" s="285">
        <v>5</v>
      </c>
      <c r="AJ60" s="285"/>
      <c r="AK60" s="285">
        <v>5</v>
      </c>
      <c r="AL60" s="285">
        <v>5</v>
      </c>
      <c r="AM60" s="285">
        <v>5</v>
      </c>
      <c r="AN60" s="285">
        <v>5</v>
      </c>
      <c r="AO60" s="285"/>
      <c r="AP60" s="285"/>
      <c r="AQ60" s="285"/>
      <c r="AR60" s="285"/>
      <c r="AS60" s="285"/>
      <c r="AT60" s="285"/>
      <c r="AU60" s="288">
        <f t="shared" si="16"/>
        <v>45</v>
      </c>
      <c r="AV60" s="285"/>
      <c r="AW60" s="285"/>
      <c r="AX60" s="285"/>
      <c r="AY60" s="285">
        <v>10</v>
      </c>
      <c r="AZ60" s="285">
        <v>14</v>
      </c>
      <c r="BA60" s="285"/>
      <c r="BB60" s="285">
        <v>10</v>
      </c>
      <c r="BC60" s="285"/>
      <c r="BD60" s="288">
        <f t="shared" si="17"/>
        <v>34</v>
      </c>
      <c r="BE60" s="285">
        <v>4</v>
      </c>
      <c r="BF60" s="285">
        <v>4</v>
      </c>
      <c r="BG60" s="285"/>
      <c r="BH60" s="288">
        <f t="shared" si="20"/>
        <v>8</v>
      </c>
      <c r="BI60" s="288">
        <v>4</v>
      </c>
      <c r="BJ60" s="285"/>
      <c r="BK60" s="285">
        <v>10</v>
      </c>
      <c r="BL60" s="288">
        <f>+BJ60+BK60</f>
        <v>10</v>
      </c>
      <c r="BM60" s="285"/>
      <c r="BN60" s="285"/>
      <c r="BO60" s="285"/>
      <c r="BP60" s="285"/>
      <c r="BQ60" s="285"/>
      <c r="BR60" s="288">
        <f t="shared" si="15"/>
        <v>126</v>
      </c>
    </row>
    <row r="61" spans="1:78" x14ac:dyDescent="0.2">
      <c r="A61" s="275">
        <v>36741</v>
      </c>
      <c r="D61" s="285"/>
      <c r="F61" s="285">
        <v>9</v>
      </c>
      <c r="I61" s="285">
        <v>9</v>
      </c>
      <c r="J61" s="285">
        <v>9</v>
      </c>
      <c r="K61" s="288">
        <f t="shared" si="18"/>
        <v>27</v>
      </c>
      <c r="N61" s="285"/>
      <c r="O61" s="285"/>
      <c r="P61" s="285"/>
      <c r="Q61" s="285"/>
      <c r="R61" s="285"/>
      <c r="S61" s="288"/>
      <c r="V61" s="285"/>
      <c r="W61" s="285">
        <v>6</v>
      </c>
      <c r="X61" s="285">
        <v>9</v>
      </c>
      <c r="Y61" s="285"/>
      <c r="Z61" s="285">
        <v>5</v>
      </c>
      <c r="AA61" s="285">
        <v>9</v>
      </c>
      <c r="AB61" s="285"/>
      <c r="AC61" s="285">
        <v>9</v>
      </c>
      <c r="AD61" s="288">
        <f t="shared" si="19"/>
        <v>38</v>
      </c>
      <c r="AE61" s="285"/>
      <c r="AF61" s="285"/>
      <c r="AG61" s="285">
        <v>9</v>
      </c>
      <c r="AH61" s="285">
        <v>9</v>
      </c>
      <c r="AI61" s="285"/>
      <c r="AJ61" s="285"/>
      <c r="AK61" s="285"/>
      <c r="AL61" s="285"/>
      <c r="AM61" s="285"/>
      <c r="AN61" s="285"/>
      <c r="AO61" s="285"/>
      <c r="AP61" s="285"/>
      <c r="AQ61" s="285"/>
      <c r="AR61" s="285">
        <v>9</v>
      </c>
      <c r="AS61" s="285"/>
      <c r="AT61" s="285"/>
      <c r="AU61" s="288">
        <f t="shared" si="16"/>
        <v>27</v>
      </c>
      <c r="AV61" s="285"/>
      <c r="AW61" s="285"/>
      <c r="AX61" s="285"/>
      <c r="AY61" s="285">
        <v>9</v>
      </c>
      <c r="AZ61" s="285">
        <v>3</v>
      </c>
      <c r="BA61" s="285"/>
      <c r="BB61" s="285">
        <v>8</v>
      </c>
      <c r="BC61" s="285"/>
      <c r="BD61" s="288">
        <f t="shared" si="17"/>
        <v>20</v>
      </c>
      <c r="BE61" s="285">
        <v>4</v>
      </c>
      <c r="BF61" s="285">
        <v>4</v>
      </c>
      <c r="BG61" s="285">
        <v>4</v>
      </c>
      <c r="BH61" s="288">
        <f t="shared" si="20"/>
        <v>12</v>
      </c>
      <c r="BI61" s="288">
        <v>4</v>
      </c>
      <c r="BJ61" s="285"/>
      <c r="BK61" s="285"/>
      <c r="BL61" s="288"/>
      <c r="BM61" s="285"/>
      <c r="BN61" s="285"/>
      <c r="BO61" s="285"/>
      <c r="BP61" s="285"/>
      <c r="BQ61" s="285"/>
      <c r="BR61" s="288">
        <f t="shared" si="15"/>
        <v>128</v>
      </c>
    </row>
    <row r="62" spans="1:78" x14ac:dyDescent="0.2">
      <c r="A62" s="275">
        <v>36742</v>
      </c>
      <c r="D62" s="285"/>
      <c r="F62" s="285">
        <v>10</v>
      </c>
      <c r="I62" s="285">
        <v>7.5</v>
      </c>
      <c r="J62" s="285">
        <v>7.5</v>
      </c>
      <c r="K62" s="288">
        <f t="shared" si="18"/>
        <v>25</v>
      </c>
      <c r="N62" s="285"/>
      <c r="O62" s="285"/>
      <c r="P62" s="285"/>
      <c r="Q62" s="285"/>
      <c r="R62" s="285"/>
      <c r="S62" s="285"/>
      <c r="V62" s="285"/>
      <c r="W62" s="285">
        <v>3.5</v>
      </c>
      <c r="X62" s="285">
        <v>10</v>
      </c>
      <c r="Y62" s="285"/>
      <c r="Z62" s="285">
        <v>5</v>
      </c>
      <c r="AA62" s="285"/>
      <c r="AB62" s="285">
        <v>5.5</v>
      </c>
      <c r="AC62" s="285">
        <v>10</v>
      </c>
      <c r="AD62" s="288">
        <f t="shared" si="19"/>
        <v>34</v>
      </c>
      <c r="AE62" s="285"/>
      <c r="AF62" s="285"/>
      <c r="AG62" s="285">
        <v>10</v>
      </c>
      <c r="AH62" s="285">
        <v>10</v>
      </c>
      <c r="AI62" s="285">
        <v>10</v>
      </c>
      <c r="AJ62" s="285"/>
      <c r="AK62" s="285">
        <v>5</v>
      </c>
      <c r="AL62" s="285">
        <v>5</v>
      </c>
      <c r="AM62" s="285">
        <v>10</v>
      </c>
      <c r="AN62" s="285">
        <v>10</v>
      </c>
      <c r="AO62" s="286"/>
      <c r="AP62" s="286"/>
      <c r="AQ62" s="285"/>
      <c r="AR62" s="285">
        <v>10</v>
      </c>
      <c r="AS62" s="285"/>
      <c r="AT62" s="285"/>
      <c r="AU62" s="288">
        <f t="shared" si="16"/>
        <v>70</v>
      </c>
      <c r="AV62" s="285"/>
      <c r="AW62" s="285"/>
      <c r="AX62" s="285"/>
      <c r="AY62" s="285">
        <v>10</v>
      </c>
      <c r="AZ62" s="285">
        <v>3</v>
      </c>
      <c r="BA62" s="285"/>
      <c r="BB62" s="285" t="s">
        <v>745</v>
      </c>
      <c r="BC62" s="285"/>
      <c r="BD62" s="288">
        <f t="shared" si="17"/>
        <v>13</v>
      </c>
      <c r="BE62" s="285">
        <v>4</v>
      </c>
      <c r="BF62" s="285">
        <v>4</v>
      </c>
      <c r="BG62" s="285">
        <v>4</v>
      </c>
      <c r="BH62" s="288">
        <f t="shared" si="20"/>
        <v>12</v>
      </c>
      <c r="BI62" s="288"/>
      <c r="BJ62" s="285"/>
      <c r="BK62" s="285"/>
      <c r="BL62" s="288"/>
      <c r="BM62" s="285"/>
      <c r="BN62" s="285"/>
      <c r="BO62" s="285"/>
      <c r="BP62" s="285"/>
      <c r="BQ62" s="285"/>
      <c r="BR62" s="288">
        <f t="shared" si="15"/>
        <v>154</v>
      </c>
    </row>
    <row r="63" spans="1:78" x14ac:dyDescent="0.2">
      <c r="A63" s="275">
        <v>36743</v>
      </c>
      <c r="D63" s="285"/>
      <c r="F63" s="285"/>
      <c r="I63" s="285"/>
      <c r="J63" s="285"/>
      <c r="K63" s="288"/>
      <c r="N63" s="285"/>
      <c r="O63" s="285"/>
      <c r="P63" s="285"/>
      <c r="Q63" s="285"/>
      <c r="R63" s="285"/>
      <c r="S63" s="285"/>
      <c r="V63" s="285"/>
      <c r="W63" s="285">
        <v>2</v>
      </c>
      <c r="X63" s="285"/>
      <c r="Y63" s="285"/>
      <c r="Z63" s="285"/>
      <c r="AA63" s="285"/>
      <c r="AB63" s="285"/>
      <c r="AC63" s="285">
        <v>8.5</v>
      </c>
      <c r="AD63" s="288">
        <f t="shared" si="19"/>
        <v>10.5</v>
      </c>
      <c r="AE63" s="285"/>
      <c r="AF63" s="285"/>
      <c r="AG63" s="285">
        <v>8</v>
      </c>
      <c r="AH63" s="285">
        <v>10</v>
      </c>
      <c r="AI63" s="285">
        <v>7</v>
      </c>
      <c r="AJ63" s="285"/>
      <c r="AK63" s="285">
        <v>7.5</v>
      </c>
      <c r="AL63" s="285">
        <v>7</v>
      </c>
      <c r="AM63" s="285">
        <v>7</v>
      </c>
      <c r="AN63" s="285" t="s">
        <v>748</v>
      </c>
      <c r="AO63" s="285"/>
      <c r="AP63" s="285"/>
      <c r="AQ63" s="285"/>
      <c r="AR63" s="285">
        <v>8.5</v>
      </c>
      <c r="AS63" s="285"/>
      <c r="AT63" s="285"/>
      <c r="AU63" s="288">
        <f t="shared" si="16"/>
        <v>55</v>
      </c>
      <c r="AV63" s="285"/>
      <c r="AW63" s="285"/>
      <c r="AX63" s="285"/>
      <c r="AY63" s="285">
        <v>2.5</v>
      </c>
      <c r="AZ63" s="285">
        <v>2.5</v>
      </c>
      <c r="BA63" s="285"/>
      <c r="BB63" s="285"/>
      <c r="BC63" s="285"/>
      <c r="BD63" s="288">
        <f t="shared" si="17"/>
        <v>5</v>
      </c>
      <c r="BE63" s="285">
        <v>4</v>
      </c>
      <c r="BF63" s="285">
        <v>4</v>
      </c>
      <c r="BG63" s="285">
        <v>4</v>
      </c>
      <c r="BH63" s="288">
        <f t="shared" si="20"/>
        <v>12</v>
      </c>
      <c r="BI63" s="288">
        <v>4</v>
      </c>
      <c r="BJ63" s="285"/>
      <c r="BK63" s="285"/>
      <c r="BL63" s="288"/>
      <c r="BM63" s="285"/>
      <c r="BN63" s="285"/>
      <c r="BO63" s="285"/>
      <c r="BP63" s="285"/>
      <c r="BQ63" s="285"/>
      <c r="BR63" s="288">
        <f t="shared" si="15"/>
        <v>86.5</v>
      </c>
    </row>
    <row r="64" spans="1:78" x14ac:dyDescent="0.2">
      <c r="A64" s="275">
        <v>36744</v>
      </c>
      <c r="D64" s="285"/>
      <c r="F64" s="285"/>
      <c r="I64" s="285"/>
      <c r="J64" s="285"/>
      <c r="K64" s="285"/>
      <c r="N64" s="285"/>
      <c r="O64" s="285"/>
      <c r="P64" s="285"/>
      <c r="Q64" s="285"/>
      <c r="R64" s="285"/>
      <c r="S64" s="285"/>
      <c r="V64" s="285"/>
      <c r="W64" s="285"/>
      <c r="X64" s="285"/>
      <c r="Y64" s="285"/>
      <c r="Z64" s="285"/>
      <c r="AA64" s="285"/>
      <c r="AB64" s="285"/>
      <c r="AC64" s="285"/>
      <c r="AD64" s="288"/>
      <c r="AE64" s="285"/>
      <c r="AF64" s="285"/>
      <c r="AG64" s="285"/>
      <c r="AH64" s="285"/>
      <c r="AI64" s="285"/>
      <c r="AJ64" s="285"/>
      <c r="AK64" s="285"/>
      <c r="AL64" s="285"/>
      <c r="AM64" s="285"/>
      <c r="AN64" s="285"/>
      <c r="AO64" s="285"/>
      <c r="AP64" s="285"/>
      <c r="AQ64" s="285"/>
      <c r="AR64" s="285"/>
      <c r="AS64" s="285"/>
      <c r="AT64" s="285"/>
      <c r="AU64" s="288"/>
      <c r="AV64" s="285"/>
      <c r="AW64" s="285"/>
      <c r="AX64" s="285"/>
      <c r="AY64" s="285"/>
      <c r="AZ64" s="285"/>
      <c r="BA64" s="285"/>
      <c r="BB64" s="285"/>
      <c r="BC64" s="285"/>
      <c r="BD64" s="288"/>
      <c r="BE64" s="285"/>
      <c r="BF64" s="285"/>
      <c r="BG64" s="285"/>
      <c r="BH64" s="288"/>
      <c r="BI64" s="288"/>
      <c r="BJ64" s="285"/>
      <c r="BK64" s="285"/>
      <c r="BL64" s="285"/>
      <c r="BM64" s="285"/>
      <c r="BN64" s="285"/>
      <c r="BO64" s="285"/>
      <c r="BP64" s="285"/>
      <c r="BQ64" s="285"/>
      <c r="BR64" s="288">
        <f t="shared" si="15"/>
        <v>0</v>
      </c>
    </row>
    <row r="65" spans="1:78" x14ac:dyDescent="0.2">
      <c r="A65" s="275">
        <v>36745</v>
      </c>
      <c r="D65" s="285"/>
      <c r="F65" s="285"/>
      <c r="I65" s="285"/>
      <c r="J65" s="285"/>
      <c r="K65" s="285"/>
      <c r="N65" s="285"/>
      <c r="O65" s="285"/>
      <c r="P65" s="285"/>
      <c r="Q65" s="285"/>
      <c r="R65" s="285"/>
      <c r="S65" s="285"/>
      <c r="V65" s="285"/>
      <c r="W65" s="285">
        <v>1</v>
      </c>
      <c r="X65" s="285"/>
      <c r="Y65" s="285"/>
      <c r="Z65" s="285"/>
      <c r="AA65" s="285"/>
      <c r="AB65" s="285"/>
      <c r="AC65" s="285">
        <v>10</v>
      </c>
      <c r="AD65" s="288">
        <f>SUM(T65:AC65)</f>
        <v>11</v>
      </c>
      <c r="AE65" s="285"/>
      <c r="AF65" s="285"/>
      <c r="AG65" s="285">
        <v>10</v>
      </c>
      <c r="AH65" s="285"/>
      <c r="AI65" s="285"/>
      <c r="AJ65" s="285"/>
      <c r="AK65" s="285"/>
      <c r="AL65" s="285"/>
      <c r="AM65" s="285"/>
      <c r="AN65" s="285"/>
      <c r="AO65" s="285"/>
      <c r="AP65" s="285"/>
      <c r="AQ65" s="285"/>
      <c r="AR65" s="285">
        <v>10</v>
      </c>
      <c r="AS65" s="285"/>
      <c r="AT65" s="285"/>
      <c r="AU65" s="288">
        <f>SUM(AE65:AT65)</f>
        <v>20</v>
      </c>
      <c r="AV65" s="285"/>
      <c r="AW65" s="285"/>
      <c r="AX65" s="285"/>
      <c r="AY65" s="285">
        <v>0</v>
      </c>
      <c r="AZ65" s="285">
        <v>2</v>
      </c>
      <c r="BA65" s="285"/>
      <c r="BB65" s="285"/>
      <c r="BC65" s="285"/>
      <c r="BD65" s="288">
        <f>SUM(AY65:BC65)</f>
        <v>2</v>
      </c>
      <c r="BE65" s="285">
        <v>4</v>
      </c>
      <c r="BF65" s="285">
        <v>4</v>
      </c>
      <c r="BG65" s="285">
        <v>4</v>
      </c>
      <c r="BH65" s="288">
        <f>+BE65+BF65+BG65</f>
        <v>12</v>
      </c>
      <c r="BI65" s="288"/>
      <c r="BJ65" s="285"/>
      <c r="BK65" s="285"/>
      <c r="BL65" s="285"/>
      <c r="BM65" s="285"/>
      <c r="BN65" s="285"/>
      <c r="BO65" s="285"/>
      <c r="BP65" s="285"/>
      <c r="BQ65" s="285"/>
      <c r="BR65" s="288">
        <f t="shared" si="15"/>
        <v>45</v>
      </c>
    </row>
    <row r="66" spans="1:78" x14ac:dyDescent="0.2">
      <c r="A66" s="275">
        <v>36746</v>
      </c>
      <c r="D66" s="285"/>
      <c r="F66" s="285"/>
      <c r="I66" s="285"/>
      <c r="J66" s="285"/>
      <c r="K66" s="285"/>
      <c r="N66" s="285"/>
      <c r="O66" s="285"/>
      <c r="P66" s="285"/>
      <c r="Q66" s="285"/>
      <c r="R66" s="285"/>
      <c r="S66" s="285"/>
      <c r="V66" s="285"/>
      <c r="W66" s="285">
        <v>2</v>
      </c>
      <c r="X66" s="285"/>
      <c r="Y66" s="285"/>
      <c r="Z66" s="285"/>
      <c r="AA66" s="285"/>
      <c r="AB66" s="285"/>
      <c r="AC66" s="285">
        <v>5</v>
      </c>
      <c r="AD66" s="288">
        <f>SUM(T66:AC66)</f>
        <v>7</v>
      </c>
      <c r="AE66" s="285"/>
      <c r="AF66" s="285"/>
      <c r="AG66" s="285">
        <v>10</v>
      </c>
      <c r="AH66" s="285"/>
      <c r="AI66" s="285"/>
      <c r="AJ66" s="285"/>
      <c r="AK66" s="285"/>
      <c r="AL66" s="285"/>
      <c r="AM66" s="285"/>
      <c r="AN66" s="285"/>
      <c r="AO66" s="285"/>
      <c r="AP66" s="285"/>
      <c r="AQ66" s="285"/>
      <c r="AR66" s="285">
        <v>9.5</v>
      </c>
      <c r="AS66" s="285"/>
      <c r="AT66" s="285"/>
      <c r="AU66" s="288">
        <f>SUM(AE66:AT66)</f>
        <v>19.5</v>
      </c>
      <c r="AV66" s="285"/>
      <c r="AW66" s="285"/>
      <c r="AX66" s="285"/>
      <c r="AY66" s="285">
        <v>2</v>
      </c>
      <c r="AZ66" s="285">
        <v>1</v>
      </c>
      <c r="BA66" s="285"/>
      <c r="BB66" s="285"/>
      <c r="BC66" s="285"/>
      <c r="BD66" s="288">
        <f>SUM(AY66:BC66)</f>
        <v>3</v>
      </c>
      <c r="BE66" s="285">
        <v>4</v>
      </c>
      <c r="BF66" s="285">
        <v>4</v>
      </c>
      <c r="BG66" s="285">
        <v>4</v>
      </c>
      <c r="BH66" s="288">
        <f>+BE66+BF66+BG66</f>
        <v>12</v>
      </c>
      <c r="BI66" s="288">
        <v>4</v>
      </c>
      <c r="BJ66" s="285"/>
      <c r="BK66" s="285"/>
      <c r="BL66" s="285"/>
      <c r="BM66" s="285"/>
      <c r="BN66" s="285"/>
      <c r="BO66" s="285"/>
      <c r="BP66" s="285"/>
      <c r="BQ66" s="285"/>
      <c r="BR66" s="288">
        <f t="shared" si="15"/>
        <v>45.5</v>
      </c>
    </row>
    <row r="67" spans="1:78" x14ac:dyDescent="0.2">
      <c r="A67" s="275">
        <v>36747</v>
      </c>
      <c r="D67" s="285"/>
      <c r="F67" s="285"/>
      <c r="I67" s="285"/>
      <c r="J67" s="285"/>
      <c r="K67" s="285"/>
      <c r="N67" s="285"/>
      <c r="O67" s="285"/>
      <c r="P67" s="285"/>
      <c r="Q67" s="285"/>
      <c r="R67" s="285"/>
      <c r="S67" s="285"/>
      <c r="V67" s="285"/>
      <c r="W67" s="285">
        <v>2.5</v>
      </c>
      <c r="X67" s="285"/>
      <c r="Y67" s="285"/>
      <c r="Z67" s="285"/>
      <c r="AA67" s="285"/>
      <c r="AB67" s="285"/>
      <c r="AC67" s="285">
        <v>5</v>
      </c>
      <c r="AD67" s="288">
        <f>SUM(T67:AC67)</f>
        <v>7.5</v>
      </c>
      <c r="AE67" s="285"/>
      <c r="AF67" s="285"/>
      <c r="AG67" s="285">
        <v>5</v>
      </c>
      <c r="AH67" s="285"/>
      <c r="AI67" s="285"/>
      <c r="AJ67" s="285"/>
      <c r="AK67" s="285"/>
      <c r="AL67" s="285"/>
      <c r="AM67" s="285"/>
      <c r="AN67" s="285"/>
      <c r="AO67" s="285"/>
      <c r="AP67" s="285"/>
      <c r="AQ67" s="285"/>
      <c r="AR67" s="285">
        <v>0</v>
      </c>
      <c r="AS67" s="285"/>
      <c r="AT67" s="285"/>
      <c r="AU67" s="288">
        <f>SUM(AE67:AT67)</f>
        <v>5</v>
      </c>
      <c r="AV67" s="285"/>
      <c r="AW67" s="285"/>
      <c r="AX67" s="285"/>
      <c r="AY67" s="285"/>
      <c r="AZ67" s="285"/>
      <c r="BA67" s="285"/>
      <c r="BB67" s="285"/>
      <c r="BC67" s="285"/>
      <c r="BD67" s="288"/>
      <c r="BE67" s="285">
        <v>4</v>
      </c>
      <c r="BF67" s="285">
        <v>4</v>
      </c>
      <c r="BG67" s="285">
        <v>4</v>
      </c>
      <c r="BH67" s="288">
        <f>+BE67+BF67+BG67</f>
        <v>12</v>
      </c>
      <c r="BI67" s="288"/>
      <c r="BJ67" s="285"/>
      <c r="BK67" s="285"/>
      <c r="BL67" s="285"/>
      <c r="BM67" s="285"/>
      <c r="BN67" s="285"/>
      <c r="BO67" s="285"/>
      <c r="BP67" s="285"/>
      <c r="BQ67" s="285"/>
      <c r="BR67" s="288">
        <f t="shared" si="15"/>
        <v>24.5</v>
      </c>
    </row>
    <row r="68" spans="1:78" x14ac:dyDescent="0.2">
      <c r="A68" s="275">
        <v>36748</v>
      </c>
      <c r="D68" s="285"/>
      <c r="F68" s="285"/>
      <c r="I68" s="285"/>
      <c r="J68" s="285"/>
      <c r="K68" s="285"/>
      <c r="N68" s="285"/>
      <c r="O68" s="285"/>
      <c r="P68" s="285"/>
      <c r="Q68" s="285"/>
      <c r="R68" s="285"/>
      <c r="S68" s="285"/>
      <c r="V68" s="285"/>
      <c r="W68" s="285">
        <v>2</v>
      </c>
      <c r="X68" s="285"/>
      <c r="Y68" s="285"/>
      <c r="Z68" s="285"/>
      <c r="AA68" s="285"/>
      <c r="AB68" s="285"/>
      <c r="AC68" s="285">
        <v>0</v>
      </c>
      <c r="AD68" s="288">
        <f>SUM(T68:AC68)</f>
        <v>2</v>
      </c>
      <c r="AE68" s="285"/>
      <c r="AF68" s="285"/>
      <c r="AG68" s="285">
        <v>7</v>
      </c>
      <c r="AH68" s="285"/>
      <c r="AI68" s="285"/>
      <c r="AJ68" s="285"/>
      <c r="AK68" s="285"/>
      <c r="AL68" s="285"/>
      <c r="AM68" s="285"/>
      <c r="AN68" s="285"/>
      <c r="AO68" s="285"/>
      <c r="AP68" s="285"/>
      <c r="AQ68" s="285"/>
      <c r="AR68" s="285">
        <v>0</v>
      </c>
      <c r="AS68" s="285"/>
      <c r="AT68" s="285"/>
      <c r="AU68" s="288">
        <f>SUM(AE68:AT68)</f>
        <v>7</v>
      </c>
      <c r="AV68" s="285"/>
      <c r="AW68" s="285"/>
      <c r="AX68" s="285"/>
      <c r="AY68" s="285"/>
      <c r="AZ68" s="285"/>
      <c r="BA68" s="285"/>
      <c r="BB68" s="285"/>
      <c r="BC68" s="285"/>
      <c r="BD68" s="288"/>
      <c r="BE68" s="285">
        <v>4</v>
      </c>
      <c r="BF68" s="285">
        <v>4</v>
      </c>
      <c r="BG68" s="285">
        <v>4</v>
      </c>
      <c r="BH68" s="288">
        <f>+BE68+BF68+BG68</f>
        <v>12</v>
      </c>
      <c r="BI68" s="288">
        <v>2</v>
      </c>
      <c r="BJ68" s="285"/>
      <c r="BK68" s="285"/>
      <c r="BL68" s="285"/>
      <c r="BM68" s="285"/>
      <c r="BN68" s="285"/>
      <c r="BO68" s="285"/>
      <c r="BP68" s="285"/>
      <c r="BQ68" s="285"/>
      <c r="BR68" s="288">
        <f t="shared" si="15"/>
        <v>23</v>
      </c>
    </row>
    <row r="69" spans="1:78" x14ac:dyDescent="0.2">
      <c r="A69" s="275">
        <v>36749</v>
      </c>
      <c r="D69" s="285"/>
      <c r="F69" s="285"/>
      <c r="I69" s="285"/>
      <c r="J69" s="285"/>
      <c r="K69" s="285"/>
      <c r="N69" s="285"/>
      <c r="O69" s="285"/>
      <c r="P69" s="285"/>
      <c r="Q69" s="285"/>
      <c r="R69" s="285"/>
      <c r="S69" s="285"/>
      <c r="V69" s="285"/>
      <c r="W69" s="285"/>
      <c r="X69" s="285"/>
      <c r="Y69" s="285"/>
      <c r="Z69" s="285"/>
      <c r="AA69" s="285"/>
      <c r="AB69" s="285"/>
      <c r="AC69" s="285"/>
      <c r="AD69" s="288"/>
      <c r="AE69" s="285"/>
      <c r="AF69" s="285"/>
      <c r="AG69" s="285"/>
      <c r="AH69" s="285"/>
      <c r="AI69" s="285"/>
      <c r="AJ69" s="285"/>
      <c r="AK69" s="285"/>
      <c r="AL69" s="285"/>
      <c r="AM69" s="285"/>
      <c r="AN69" s="285"/>
      <c r="AO69" s="285"/>
      <c r="AP69" s="285"/>
      <c r="AQ69" s="285"/>
      <c r="AR69" s="285"/>
      <c r="AS69" s="285"/>
      <c r="AT69" s="285"/>
      <c r="AU69" s="288"/>
      <c r="AV69" s="285"/>
      <c r="AW69" s="285"/>
      <c r="AX69" s="285"/>
      <c r="AY69" s="285"/>
      <c r="AZ69" s="285"/>
      <c r="BA69" s="285"/>
      <c r="BB69" s="285"/>
      <c r="BC69" s="285"/>
      <c r="BD69" s="288"/>
      <c r="BE69" s="285"/>
      <c r="BF69" s="285"/>
      <c r="BG69" s="285"/>
      <c r="BH69" s="288"/>
      <c r="BI69" s="288"/>
      <c r="BJ69" s="285"/>
      <c r="BK69" s="285"/>
      <c r="BL69" s="285"/>
      <c r="BM69" s="285"/>
      <c r="BN69" s="285"/>
      <c r="BO69" s="285"/>
      <c r="BP69" s="285"/>
      <c r="BQ69" s="285"/>
      <c r="BR69" s="288">
        <f t="shared" si="15"/>
        <v>0</v>
      </c>
    </row>
    <row r="70" spans="1:78" x14ac:dyDescent="0.2">
      <c r="A70" s="275">
        <v>36750</v>
      </c>
      <c r="D70" s="285"/>
      <c r="F70" s="285"/>
      <c r="I70" s="285"/>
      <c r="J70" s="285"/>
      <c r="K70" s="285"/>
      <c r="N70" s="285"/>
      <c r="O70" s="285"/>
      <c r="P70" s="285"/>
      <c r="Q70" s="285"/>
      <c r="R70" s="285"/>
      <c r="S70" s="285"/>
      <c r="V70" s="285"/>
      <c r="W70" s="285"/>
      <c r="X70" s="285"/>
      <c r="Y70" s="285"/>
      <c r="Z70" s="285"/>
      <c r="AA70" s="285"/>
      <c r="AB70" s="285"/>
      <c r="AC70" s="285"/>
      <c r="AD70" s="288"/>
      <c r="AE70" s="285"/>
      <c r="AF70" s="285"/>
      <c r="AG70" s="285"/>
      <c r="AH70" s="285"/>
      <c r="AI70" s="285"/>
      <c r="AJ70" s="285"/>
      <c r="AK70" s="285"/>
      <c r="AL70" s="285"/>
      <c r="AM70" s="285"/>
      <c r="AN70" s="285"/>
      <c r="AO70" s="285"/>
      <c r="AP70" s="285"/>
      <c r="AQ70" s="285"/>
      <c r="AR70" s="285"/>
      <c r="AS70" s="285"/>
      <c r="AT70" s="285"/>
      <c r="AU70" s="288"/>
      <c r="AV70" s="285"/>
      <c r="AW70" s="285"/>
      <c r="AX70" s="285"/>
      <c r="AY70" s="285"/>
      <c r="AZ70" s="285"/>
      <c r="BA70" s="285"/>
      <c r="BB70" s="285"/>
      <c r="BC70" s="285"/>
      <c r="BD70" s="288"/>
      <c r="BE70" s="285">
        <v>0</v>
      </c>
      <c r="BF70" s="285">
        <v>5.5</v>
      </c>
      <c r="BG70" s="285">
        <v>4.5</v>
      </c>
      <c r="BH70" s="288">
        <f>+BE70+BF70+BG70</f>
        <v>10</v>
      </c>
      <c r="BI70" s="288">
        <v>3</v>
      </c>
      <c r="BJ70" s="285"/>
      <c r="BK70" s="285"/>
      <c r="BL70" s="285"/>
      <c r="BM70" s="285"/>
      <c r="BN70" s="285"/>
      <c r="BO70" s="285"/>
      <c r="BP70" s="285"/>
      <c r="BQ70" s="285"/>
      <c r="BR70" s="288">
        <f t="shared" si="15"/>
        <v>13</v>
      </c>
    </row>
    <row r="71" spans="1:78" x14ac:dyDescent="0.2">
      <c r="A71" s="275">
        <v>36751</v>
      </c>
      <c r="D71" s="285"/>
      <c r="F71" s="285"/>
      <c r="I71" s="285"/>
      <c r="J71" s="285"/>
      <c r="K71" s="285"/>
      <c r="N71" s="285"/>
      <c r="O71" s="285"/>
      <c r="P71" s="285"/>
      <c r="Q71" s="285"/>
      <c r="R71" s="285"/>
      <c r="S71" s="285"/>
      <c r="V71" s="285"/>
      <c r="W71" s="285"/>
      <c r="X71" s="285"/>
      <c r="Y71" s="285"/>
      <c r="Z71" s="285"/>
      <c r="AA71" s="285"/>
      <c r="AB71" s="285"/>
      <c r="AC71" s="285"/>
      <c r="AD71" s="285"/>
      <c r="AE71" s="285"/>
      <c r="AF71" s="285"/>
      <c r="AG71" s="285"/>
      <c r="AH71" s="285"/>
      <c r="AI71" s="285"/>
      <c r="AJ71" s="285"/>
      <c r="AK71" s="285"/>
      <c r="AL71" s="285"/>
      <c r="AM71" s="285"/>
      <c r="AN71" s="285"/>
      <c r="AO71" s="285"/>
      <c r="AP71" s="285"/>
      <c r="AQ71" s="285"/>
      <c r="AR71" s="285"/>
      <c r="AS71" s="285"/>
      <c r="AT71" s="285"/>
      <c r="AU71" s="288"/>
      <c r="AV71" s="285"/>
      <c r="AW71" s="285"/>
      <c r="AX71" s="285"/>
      <c r="AY71" s="285"/>
      <c r="AZ71" s="285"/>
      <c r="BA71" s="285"/>
      <c r="BB71" s="285"/>
      <c r="BC71" s="285"/>
      <c r="BD71" s="288"/>
      <c r="BE71" s="285"/>
      <c r="BF71" s="285"/>
      <c r="BG71" s="285"/>
      <c r="BH71" s="288"/>
      <c r="BI71" s="288">
        <v>4</v>
      </c>
      <c r="BJ71" s="285"/>
      <c r="BK71" s="285"/>
      <c r="BL71" s="285"/>
      <c r="BM71" s="285"/>
      <c r="BN71" s="285"/>
      <c r="BO71" s="285"/>
      <c r="BP71" s="285"/>
      <c r="BQ71" s="285"/>
      <c r="BR71" s="288">
        <f t="shared" si="15"/>
        <v>4</v>
      </c>
    </row>
    <row r="72" spans="1:78" x14ac:dyDescent="0.2">
      <c r="A72" s="275">
        <v>37117</v>
      </c>
      <c r="D72" s="285"/>
      <c r="F72" s="285"/>
      <c r="I72" s="285"/>
      <c r="J72" s="285"/>
      <c r="K72" s="285"/>
      <c r="N72" s="285"/>
      <c r="O72" s="285"/>
      <c r="P72" s="285"/>
      <c r="Q72" s="285"/>
      <c r="R72" s="285"/>
      <c r="S72" s="285"/>
      <c r="V72" s="285"/>
      <c r="W72" s="285"/>
      <c r="X72" s="285"/>
      <c r="Y72" s="285"/>
      <c r="Z72" s="285"/>
      <c r="AA72" s="285"/>
      <c r="AB72" s="285"/>
      <c r="AC72" s="285"/>
      <c r="AD72" s="285"/>
      <c r="AE72" s="285"/>
      <c r="AF72" s="285"/>
      <c r="AG72" s="285">
        <v>4</v>
      </c>
      <c r="AH72" s="285"/>
      <c r="AI72" s="285"/>
      <c r="AJ72" s="285"/>
      <c r="AK72" s="285"/>
      <c r="AL72" s="285"/>
      <c r="AM72" s="285"/>
      <c r="AN72" s="285"/>
      <c r="AO72" s="285"/>
      <c r="AP72" s="285"/>
      <c r="AQ72" s="285"/>
      <c r="AR72" s="285">
        <v>1.5</v>
      </c>
      <c r="AS72" s="285"/>
      <c r="AT72" s="285"/>
      <c r="AU72" s="288">
        <f>SUM(AE72:AT72)</f>
        <v>5.5</v>
      </c>
      <c r="AV72" s="285"/>
      <c r="AW72" s="285"/>
      <c r="AX72" s="285"/>
      <c r="AY72" s="285"/>
      <c r="AZ72" s="285"/>
      <c r="BA72" s="285"/>
      <c r="BB72" s="285"/>
      <c r="BC72" s="285"/>
      <c r="BD72" s="288"/>
      <c r="BE72" s="285"/>
      <c r="BF72" s="285"/>
      <c r="BG72" s="285"/>
      <c r="BH72" s="288"/>
      <c r="BI72" s="288">
        <v>4</v>
      </c>
      <c r="BJ72" s="285"/>
      <c r="BK72" s="285"/>
      <c r="BL72" s="285"/>
      <c r="BM72" s="285"/>
      <c r="BN72" s="285"/>
      <c r="BO72" s="285"/>
      <c r="BP72" s="285"/>
      <c r="BQ72" s="285"/>
      <c r="BR72" s="288">
        <f t="shared" si="15"/>
        <v>9.5</v>
      </c>
    </row>
    <row r="73" spans="1:78" x14ac:dyDescent="0.2">
      <c r="A73" s="275">
        <v>37118</v>
      </c>
      <c r="D73" s="285"/>
      <c r="F73" s="285"/>
      <c r="I73" s="285"/>
      <c r="J73" s="285"/>
      <c r="K73" s="285"/>
      <c r="N73" s="285"/>
      <c r="O73" s="285"/>
      <c r="P73" s="285"/>
      <c r="Q73" s="285"/>
      <c r="R73" s="285"/>
      <c r="S73" s="285"/>
      <c r="V73" s="285"/>
      <c r="W73" s="285"/>
      <c r="X73" s="285"/>
      <c r="Y73" s="285"/>
      <c r="Z73" s="285"/>
      <c r="AA73" s="285"/>
      <c r="AB73" s="285"/>
      <c r="AC73" s="285"/>
      <c r="AD73" s="285"/>
      <c r="AE73" s="285"/>
      <c r="AF73" s="285"/>
      <c r="AG73" s="285"/>
      <c r="AH73" s="285"/>
      <c r="AI73" s="285"/>
      <c r="AJ73" s="285"/>
      <c r="AK73" s="285"/>
      <c r="AL73" s="285"/>
      <c r="AM73" s="285"/>
      <c r="AN73" s="285"/>
      <c r="AO73" s="285"/>
      <c r="AP73" s="285"/>
      <c r="AQ73" s="285"/>
      <c r="AR73" s="285"/>
      <c r="AS73" s="285"/>
      <c r="AT73" s="285"/>
      <c r="AU73" s="285"/>
      <c r="AV73" s="285"/>
      <c r="AW73" s="285"/>
      <c r="AX73" s="285"/>
      <c r="AY73" s="285">
        <v>0</v>
      </c>
      <c r="AZ73" s="285">
        <v>2.5</v>
      </c>
      <c r="BA73" s="285"/>
      <c r="BB73" s="285"/>
      <c r="BC73" s="285"/>
      <c r="BD73" s="288">
        <f>SUM(AY73:BC73)</f>
        <v>2.5</v>
      </c>
      <c r="BE73" s="285">
        <v>4</v>
      </c>
      <c r="BF73" s="285">
        <v>4</v>
      </c>
      <c r="BG73" s="285">
        <v>4.5</v>
      </c>
      <c r="BH73" s="288">
        <f t="shared" ref="BH73:BH78" si="21">+BE73+BF73+BG73</f>
        <v>12.5</v>
      </c>
      <c r="BI73" s="288">
        <v>4</v>
      </c>
      <c r="BJ73" s="285"/>
      <c r="BK73" s="285"/>
      <c r="BL73" s="285"/>
      <c r="BM73" s="285"/>
      <c r="BN73" s="285"/>
      <c r="BO73" s="285"/>
      <c r="BP73" s="285"/>
      <c r="BQ73" s="285"/>
      <c r="BR73" s="288">
        <f t="shared" si="15"/>
        <v>19</v>
      </c>
    </row>
    <row r="74" spans="1:78" x14ac:dyDescent="0.2">
      <c r="A74" s="275">
        <v>37119</v>
      </c>
      <c r="D74" s="285"/>
      <c r="F74" s="285"/>
      <c r="I74" s="285"/>
      <c r="J74" s="285"/>
      <c r="K74" s="285"/>
      <c r="N74" s="285"/>
      <c r="O74" s="285"/>
      <c r="P74" s="285"/>
      <c r="Q74" s="285"/>
      <c r="R74" s="285"/>
      <c r="S74" s="285"/>
      <c r="V74" s="285"/>
      <c r="W74" s="285"/>
      <c r="X74" s="285"/>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5"/>
      <c r="AZ74" s="285"/>
      <c r="BA74" s="285"/>
      <c r="BB74" s="285"/>
      <c r="BC74" s="285"/>
      <c r="BD74" s="288"/>
      <c r="BE74" s="285">
        <v>4</v>
      </c>
      <c r="BF74" s="285">
        <v>4</v>
      </c>
      <c r="BG74" s="285">
        <v>4</v>
      </c>
      <c r="BH74" s="288">
        <f t="shared" si="21"/>
        <v>12</v>
      </c>
      <c r="BI74" s="288">
        <v>4</v>
      </c>
      <c r="BJ74" s="285"/>
      <c r="BK74" s="285"/>
      <c r="BL74" s="285"/>
      <c r="BM74" s="285"/>
      <c r="BN74" s="285"/>
      <c r="BO74" s="285"/>
      <c r="BP74" s="285"/>
      <c r="BQ74" s="285"/>
      <c r="BR74" s="288">
        <f t="shared" si="15"/>
        <v>16</v>
      </c>
    </row>
    <row r="75" spans="1:78" x14ac:dyDescent="0.2">
      <c r="A75" s="275">
        <v>37120</v>
      </c>
      <c r="D75" s="285"/>
      <c r="F75" s="285"/>
      <c r="I75" s="285"/>
      <c r="J75" s="285"/>
      <c r="K75" s="285"/>
      <c r="N75" s="285"/>
      <c r="O75" s="285"/>
      <c r="P75" s="285"/>
      <c r="Q75" s="285"/>
      <c r="R75" s="285"/>
      <c r="S75" s="285"/>
      <c r="V75" s="285"/>
      <c r="W75" s="285"/>
      <c r="X75" s="285"/>
      <c r="Y75" s="285"/>
      <c r="Z75" s="285"/>
      <c r="AA75" s="285"/>
      <c r="AB75" s="285"/>
      <c r="AC75" s="285"/>
      <c r="AD75" s="285"/>
      <c r="AE75" s="285"/>
      <c r="AF75" s="285"/>
      <c r="AG75" s="285"/>
      <c r="AH75" s="285"/>
      <c r="AI75" s="285"/>
      <c r="AJ75" s="285"/>
      <c r="AK75" s="285"/>
      <c r="AL75" s="285"/>
      <c r="AM75" s="285"/>
      <c r="AN75" s="285"/>
      <c r="AO75" s="285"/>
      <c r="AP75" s="285"/>
      <c r="AQ75" s="285"/>
      <c r="AR75" s="285"/>
      <c r="AS75" s="285"/>
      <c r="AT75" s="285"/>
      <c r="AU75" s="285"/>
      <c r="AV75" s="285"/>
      <c r="AW75" s="285"/>
      <c r="AX75" s="285"/>
      <c r="AY75" s="285"/>
      <c r="AZ75" s="285"/>
      <c r="BA75" s="285"/>
      <c r="BB75" s="285"/>
      <c r="BC75" s="285"/>
      <c r="BD75" s="285"/>
      <c r="BE75" s="285">
        <v>4</v>
      </c>
      <c r="BF75" s="285">
        <v>4</v>
      </c>
      <c r="BG75" s="285">
        <v>4</v>
      </c>
      <c r="BH75" s="288">
        <f t="shared" si="21"/>
        <v>12</v>
      </c>
      <c r="BI75" s="288">
        <v>4</v>
      </c>
      <c r="BJ75" s="285"/>
      <c r="BK75" s="285"/>
      <c r="BL75" s="285"/>
      <c r="BM75" s="285"/>
      <c r="BN75" s="285"/>
      <c r="BO75" s="285"/>
      <c r="BP75" s="285"/>
      <c r="BQ75" s="285"/>
      <c r="BR75" s="288">
        <f t="shared" si="15"/>
        <v>16</v>
      </c>
    </row>
    <row r="76" spans="1:78" x14ac:dyDescent="0.2">
      <c r="A76" s="275">
        <v>37121</v>
      </c>
      <c r="D76" s="285"/>
      <c r="F76" s="285"/>
      <c r="I76" s="285"/>
      <c r="J76" s="285"/>
      <c r="K76" s="285"/>
      <c r="N76" s="285"/>
      <c r="O76" s="285"/>
      <c r="P76" s="285"/>
      <c r="Q76" s="285"/>
      <c r="R76" s="285"/>
      <c r="S76" s="285"/>
      <c r="V76" s="285"/>
      <c r="W76" s="285"/>
      <c r="X76" s="285"/>
      <c r="Y76" s="285"/>
      <c r="Z76" s="285"/>
      <c r="AA76" s="285"/>
      <c r="AB76" s="285"/>
      <c r="AC76" s="285"/>
      <c r="AD76" s="285"/>
      <c r="AE76" s="285"/>
      <c r="AF76" s="285"/>
      <c r="AG76" s="285"/>
      <c r="AH76" s="285"/>
      <c r="AI76" s="285"/>
      <c r="AJ76" s="285"/>
      <c r="AK76" s="285"/>
      <c r="AL76" s="285"/>
      <c r="AM76" s="285"/>
      <c r="AN76" s="285"/>
      <c r="AO76" s="285"/>
      <c r="AP76" s="285"/>
      <c r="AQ76" s="285"/>
      <c r="AR76" s="285"/>
      <c r="AS76" s="285"/>
      <c r="AT76" s="285"/>
      <c r="AU76" s="285"/>
      <c r="AV76" s="285"/>
      <c r="AW76" s="285"/>
      <c r="AX76" s="285"/>
      <c r="AY76" s="285"/>
      <c r="AZ76" s="285"/>
      <c r="BA76" s="285"/>
      <c r="BB76" s="285"/>
      <c r="BC76" s="285"/>
      <c r="BD76" s="285"/>
      <c r="BE76" s="285">
        <v>0</v>
      </c>
      <c r="BF76" s="285">
        <v>4</v>
      </c>
      <c r="BG76" s="285">
        <v>4</v>
      </c>
      <c r="BH76" s="288">
        <f t="shared" si="21"/>
        <v>8</v>
      </c>
      <c r="BI76" s="288">
        <v>3</v>
      </c>
      <c r="BJ76" s="285"/>
      <c r="BK76" s="285"/>
      <c r="BL76" s="285"/>
      <c r="BM76" s="285"/>
      <c r="BN76" s="285"/>
      <c r="BO76" s="285"/>
      <c r="BP76" s="285"/>
      <c r="BQ76" s="285"/>
      <c r="BR76" s="288">
        <f t="shared" si="15"/>
        <v>11</v>
      </c>
    </row>
    <row r="77" spans="1:78" x14ac:dyDescent="0.2">
      <c r="A77" s="275">
        <v>37122</v>
      </c>
      <c r="D77" s="285"/>
      <c r="F77" s="285"/>
      <c r="I77" s="285"/>
      <c r="J77" s="285"/>
      <c r="K77" s="285"/>
      <c r="N77" s="285"/>
      <c r="O77" s="285"/>
      <c r="P77" s="285"/>
      <c r="Q77" s="285"/>
      <c r="R77" s="285"/>
      <c r="S77" s="285"/>
      <c r="V77" s="285"/>
      <c r="W77" s="285"/>
      <c r="X77" s="285"/>
      <c r="Y77" s="285"/>
      <c r="Z77" s="285"/>
      <c r="AA77" s="285"/>
      <c r="AB77" s="285"/>
      <c r="AC77" s="285"/>
      <c r="AD77" s="285"/>
      <c r="AE77" s="285"/>
      <c r="AF77" s="285"/>
      <c r="AG77" s="285"/>
      <c r="AH77" s="285"/>
      <c r="AI77" s="285"/>
      <c r="AJ77" s="285"/>
      <c r="AK77" s="285"/>
      <c r="AL77" s="285"/>
      <c r="AM77" s="285"/>
      <c r="AN77" s="285"/>
      <c r="AO77" s="285"/>
      <c r="AP77" s="285"/>
      <c r="AQ77" s="285"/>
      <c r="AR77" s="285"/>
      <c r="AS77" s="285"/>
      <c r="AT77" s="285"/>
      <c r="AU77" s="285"/>
      <c r="AV77" s="285"/>
      <c r="AW77" s="285"/>
      <c r="AX77" s="285"/>
      <c r="AY77" s="285"/>
      <c r="AZ77" s="285"/>
      <c r="BA77" s="285"/>
      <c r="BB77" s="285"/>
      <c r="BC77" s="285"/>
      <c r="BD77" s="285"/>
      <c r="BE77" s="285">
        <v>4</v>
      </c>
      <c r="BF77" s="285">
        <v>4</v>
      </c>
      <c r="BG77" s="285">
        <v>4</v>
      </c>
      <c r="BH77" s="288">
        <f t="shared" si="21"/>
        <v>12</v>
      </c>
      <c r="BI77" s="288">
        <v>4</v>
      </c>
      <c r="BJ77" s="285"/>
      <c r="BK77" s="285"/>
      <c r="BL77" s="285"/>
      <c r="BM77" s="285"/>
      <c r="BN77" s="285"/>
      <c r="BO77" s="285"/>
      <c r="BP77" s="285"/>
      <c r="BQ77" s="285"/>
      <c r="BR77" s="288">
        <f t="shared" si="15"/>
        <v>16</v>
      </c>
    </row>
    <row r="78" spans="1:78" x14ac:dyDescent="0.2">
      <c r="A78" s="275">
        <v>37123</v>
      </c>
      <c r="D78" s="285"/>
      <c r="F78" s="285"/>
      <c r="I78" s="285"/>
      <c r="J78" s="285"/>
      <c r="K78" s="285"/>
      <c r="N78" s="285"/>
      <c r="O78" s="285"/>
      <c r="P78" s="285"/>
      <c r="Q78" s="285"/>
      <c r="R78" s="285"/>
      <c r="S78" s="285"/>
      <c r="V78" s="285"/>
      <c r="W78" s="285"/>
      <c r="X78" s="285"/>
      <c r="Y78" s="285"/>
      <c r="Z78" s="285"/>
      <c r="AA78" s="285"/>
      <c r="AB78" s="285"/>
      <c r="AC78" s="285"/>
      <c r="AD78" s="285"/>
      <c r="AE78" s="285"/>
      <c r="AF78" s="285"/>
      <c r="AG78" s="285"/>
      <c r="AH78" s="285"/>
      <c r="AI78" s="285"/>
      <c r="AJ78" s="285"/>
      <c r="AK78" s="285"/>
      <c r="AL78" s="285"/>
      <c r="AM78" s="285"/>
      <c r="AN78" s="285"/>
      <c r="AO78" s="285"/>
      <c r="AP78" s="285"/>
      <c r="AQ78" s="285"/>
      <c r="AR78" s="285"/>
      <c r="AS78" s="285"/>
      <c r="AT78" s="285"/>
      <c r="AU78" s="285"/>
      <c r="AV78" s="285"/>
      <c r="AW78" s="285"/>
      <c r="AX78" s="285"/>
      <c r="AY78" s="285"/>
      <c r="AZ78" s="285"/>
      <c r="BA78" s="285"/>
      <c r="BB78" s="285"/>
      <c r="BC78" s="285"/>
      <c r="BD78" s="285"/>
      <c r="BE78" s="285">
        <v>4</v>
      </c>
      <c r="BF78" s="285">
        <v>4</v>
      </c>
      <c r="BG78" s="285">
        <v>4</v>
      </c>
      <c r="BH78" s="288">
        <f t="shared" si="21"/>
        <v>12</v>
      </c>
      <c r="BI78" s="288"/>
      <c r="BJ78" s="285"/>
      <c r="BK78" s="285"/>
      <c r="BL78" s="285"/>
      <c r="BM78" s="285"/>
      <c r="BN78" s="285"/>
      <c r="BO78" s="285"/>
      <c r="BP78" s="285"/>
      <c r="BQ78" s="285"/>
      <c r="BR78" s="288">
        <f t="shared" si="15"/>
        <v>12</v>
      </c>
    </row>
    <row r="79" spans="1:78" ht="9.6" customHeight="1" x14ac:dyDescent="0.2">
      <c r="B79" s="290"/>
      <c r="C79" s="290"/>
      <c r="D79" s="290"/>
      <c r="E79" s="290"/>
      <c r="F79" s="289"/>
      <c r="G79" s="290"/>
      <c r="H79" s="290"/>
      <c r="I79" s="289"/>
      <c r="J79" s="289"/>
      <c r="K79" s="289"/>
      <c r="L79" s="290"/>
      <c r="M79" s="290"/>
      <c r="N79" s="289"/>
      <c r="O79" s="289"/>
      <c r="P79" s="289"/>
      <c r="Q79" s="289"/>
      <c r="R79" s="289"/>
      <c r="S79" s="289"/>
      <c r="T79" s="290"/>
      <c r="U79" s="290"/>
      <c r="V79" s="289"/>
      <c r="W79" s="289"/>
      <c r="X79" s="289"/>
      <c r="Y79" s="289"/>
      <c r="Z79" s="289"/>
      <c r="AA79" s="289"/>
      <c r="AB79" s="289"/>
      <c r="AC79" s="289"/>
      <c r="AD79" s="289"/>
      <c r="AE79" s="289"/>
      <c r="AF79" s="289"/>
      <c r="AG79" s="289"/>
      <c r="AH79" s="289"/>
      <c r="AI79" s="289"/>
      <c r="AJ79" s="289"/>
      <c r="AK79" s="289"/>
      <c r="AL79" s="289"/>
      <c r="AM79" s="289"/>
      <c r="AN79" s="289"/>
      <c r="AO79" s="289"/>
      <c r="AP79" s="289"/>
      <c r="AQ79" s="289"/>
      <c r="AR79" s="289"/>
      <c r="AS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row>
    <row r="80" spans="1:78" s="303" customFormat="1" ht="36" customHeight="1" x14ac:dyDescent="0.2">
      <c r="A80" s="275" t="s">
        <v>431</v>
      </c>
      <c r="B80" s="301"/>
      <c r="C80" s="301"/>
      <c r="D80" s="302">
        <f>SUM(D50:D79)</f>
        <v>0</v>
      </c>
      <c r="E80" s="301"/>
      <c r="F80" s="301"/>
      <c r="G80" s="301"/>
      <c r="H80" s="301"/>
      <c r="I80" s="301"/>
      <c r="J80" s="301"/>
      <c r="K80" s="302">
        <f>SUM(K50:K79)</f>
        <v>159.5</v>
      </c>
      <c r="L80" s="301"/>
      <c r="M80" s="301"/>
      <c r="N80" s="301"/>
      <c r="O80" s="301"/>
      <c r="P80" s="301"/>
      <c r="Q80" s="301"/>
      <c r="R80" s="301"/>
      <c r="S80" s="302">
        <f>SUM(S50:S79)</f>
        <v>32.5</v>
      </c>
      <c r="T80" s="301"/>
      <c r="U80" s="301"/>
      <c r="V80" s="301"/>
      <c r="W80" s="301"/>
      <c r="X80" s="301"/>
      <c r="Y80" s="301"/>
      <c r="Z80" s="301"/>
      <c r="AA80" s="301"/>
      <c r="AB80" s="301"/>
      <c r="AC80" s="301"/>
      <c r="AD80" s="302">
        <f>SUM(AD50:AD79)</f>
        <v>262</v>
      </c>
      <c r="AE80" s="301"/>
      <c r="AF80" s="301"/>
      <c r="AG80" s="301"/>
      <c r="AH80" s="301"/>
      <c r="AI80" s="301"/>
      <c r="AJ80" s="301"/>
      <c r="AK80" s="301"/>
      <c r="AL80" s="301"/>
      <c r="AM80" s="301"/>
      <c r="AN80" s="301"/>
      <c r="AO80" s="301"/>
      <c r="AP80" s="301"/>
      <c r="AQ80" s="301"/>
      <c r="AR80" s="301"/>
      <c r="AS80" s="301"/>
      <c r="AT80" s="301"/>
      <c r="AU80" s="302">
        <f>SUM(AU50:AU79)</f>
        <v>596</v>
      </c>
      <c r="AV80" s="301"/>
      <c r="AW80" s="301"/>
      <c r="AX80" s="302">
        <f>SUM(AX50:AX79)</f>
        <v>19</v>
      </c>
      <c r="AY80" s="301"/>
      <c r="AZ80" s="301"/>
      <c r="BA80" s="301"/>
      <c r="BB80" s="301"/>
      <c r="BC80" s="301"/>
      <c r="BD80" s="302">
        <f>SUM(BD50:BD79)</f>
        <v>152</v>
      </c>
      <c r="BE80" s="301"/>
      <c r="BF80" s="301"/>
      <c r="BG80" s="301"/>
      <c r="BH80" s="302">
        <f>SUM(BH50:BH79)</f>
        <v>222.5</v>
      </c>
      <c r="BI80" s="302">
        <f>SUM(BI50:BI79)</f>
        <v>64</v>
      </c>
      <c r="BJ80" s="301"/>
      <c r="BK80" s="301"/>
      <c r="BL80" s="302">
        <f>SUM(BL50:BL79)</f>
        <v>28</v>
      </c>
      <c r="BM80" s="301"/>
      <c r="BN80" s="301"/>
      <c r="BO80" s="301"/>
      <c r="BP80" s="302">
        <f>SUM(BP50:BP79)</f>
        <v>6</v>
      </c>
      <c r="BQ80" s="302">
        <f>SUM(BQ50:BQ79)</f>
        <v>10</v>
      </c>
      <c r="BR80" s="288">
        <f>SUM(BR50:BR79)</f>
        <v>1551.5</v>
      </c>
      <c r="BS80" s="277"/>
      <c r="BT80"/>
      <c r="BU80"/>
      <c r="BV80"/>
      <c r="BW80"/>
      <c r="BX80"/>
      <c r="BY80"/>
      <c r="BZ80"/>
    </row>
    <row r="81" spans="6:70" ht="28.9" customHeight="1" x14ac:dyDescent="0.2">
      <c r="F81" s="285"/>
      <c r="I81" s="285"/>
      <c r="J81" s="285"/>
      <c r="K81" s="285"/>
      <c r="N81" s="285"/>
      <c r="O81" s="285"/>
      <c r="P81" s="285"/>
      <c r="Q81" s="285"/>
      <c r="R81" s="285"/>
      <c r="S81" s="285"/>
      <c r="V81" s="285"/>
      <c r="W81" s="285"/>
      <c r="X81" s="285"/>
      <c r="Y81" s="285"/>
      <c r="Z81" s="285"/>
      <c r="AA81" s="285"/>
      <c r="AB81" s="285"/>
      <c r="AC81" s="285"/>
      <c r="AD81" s="285"/>
      <c r="AE81" s="285"/>
      <c r="AF81" s="285"/>
      <c r="AG81" s="285"/>
      <c r="AH81" s="285"/>
      <c r="AI81" s="285"/>
      <c r="AJ81" s="285"/>
      <c r="AK81" s="285"/>
      <c r="AL81" s="285"/>
      <c r="AM81" s="285"/>
      <c r="AN81" s="285"/>
      <c r="AO81" s="285"/>
      <c r="AP81" s="285"/>
      <c r="AQ81" s="285"/>
      <c r="AR81" s="285"/>
      <c r="AS81" s="285"/>
      <c r="AT81" s="285"/>
      <c r="AU81" s="285"/>
      <c r="AV81" s="285"/>
      <c r="AW81" s="285"/>
      <c r="AX81" s="285"/>
      <c r="AY81" s="285"/>
      <c r="AZ81" s="285"/>
      <c r="BA81" s="285"/>
      <c r="BB81" s="285"/>
      <c r="BC81" s="285"/>
      <c r="BD81" s="285"/>
      <c r="BE81" s="285"/>
      <c r="BF81" s="285"/>
      <c r="BG81" s="285"/>
      <c r="BH81" s="285"/>
      <c r="BI81" s="285"/>
      <c r="BJ81" s="285"/>
      <c r="BK81" s="285"/>
      <c r="BL81" s="285"/>
      <c r="BM81" s="285"/>
      <c r="BN81" s="285" t="s">
        <v>599</v>
      </c>
      <c r="BO81" s="285"/>
      <c r="BP81" s="285"/>
      <c r="BQ81" s="285"/>
      <c r="BR81" s="285">
        <f>+BR45</f>
        <v>4936.5</v>
      </c>
    </row>
    <row r="82" spans="6:70" x14ac:dyDescent="0.2">
      <c r="F82" s="285"/>
      <c r="I82" s="285"/>
      <c r="J82" s="285"/>
      <c r="K82" s="285"/>
      <c r="N82" s="285"/>
      <c r="O82" s="285"/>
      <c r="P82" s="285"/>
      <c r="Q82" s="285"/>
      <c r="R82" s="285"/>
      <c r="S82" s="285"/>
      <c r="V82" s="285"/>
      <c r="W82" s="285"/>
      <c r="X82" s="285"/>
      <c r="Y82" s="285"/>
      <c r="Z82" s="285"/>
      <c r="AA82" s="285"/>
      <c r="AB82" s="285"/>
      <c r="AC82" s="285"/>
      <c r="AD82" s="285"/>
      <c r="AE82" s="285"/>
      <c r="AF82" s="285"/>
      <c r="AG82" s="285"/>
      <c r="AH82" s="285"/>
      <c r="AI82" s="285"/>
      <c r="AJ82" s="285"/>
      <c r="AK82" s="285"/>
      <c r="AL82" s="285"/>
      <c r="AM82" s="285"/>
      <c r="AN82" s="285"/>
      <c r="AO82" s="285"/>
      <c r="AP82" s="285"/>
      <c r="AQ82" s="285"/>
      <c r="AR82" s="285"/>
      <c r="AS82" s="285"/>
      <c r="AT82" s="285"/>
      <c r="AU82" s="285"/>
      <c r="AV82" s="285"/>
      <c r="AW82" s="285"/>
      <c r="AX82" s="285"/>
      <c r="AY82" s="285"/>
      <c r="AZ82" s="285"/>
      <c r="BA82" s="285"/>
      <c r="BB82" s="285"/>
      <c r="BC82" s="285"/>
      <c r="BD82" s="285"/>
      <c r="BE82" s="285"/>
      <c r="BF82" s="285"/>
      <c r="BG82" s="285"/>
      <c r="BH82" s="285"/>
      <c r="BI82" s="285"/>
      <c r="BJ82" s="285"/>
      <c r="BK82" s="285"/>
      <c r="BL82" s="285"/>
      <c r="BM82" s="285"/>
      <c r="BN82" s="285" t="s">
        <v>600</v>
      </c>
      <c r="BO82" s="285"/>
      <c r="BP82" s="285"/>
      <c r="BQ82" s="285"/>
      <c r="BR82" s="289">
        <f>+BR80</f>
        <v>1551.5</v>
      </c>
    </row>
    <row r="83" spans="6:70" x14ac:dyDescent="0.2">
      <c r="F83" s="304"/>
      <c r="I83" s="304"/>
      <c r="J83" s="304"/>
      <c r="K83" s="304"/>
      <c r="N83" s="304"/>
      <c r="O83" s="304"/>
      <c r="P83" s="304"/>
      <c r="Q83" s="304"/>
      <c r="R83" s="304"/>
      <c r="S83" s="304"/>
      <c r="V83" s="304"/>
      <c r="W83" s="304"/>
      <c r="X83" s="304"/>
      <c r="Y83" s="304"/>
      <c r="Z83" s="304"/>
      <c r="AA83" s="304"/>
      <c r="AB83" s="304"/>
      <c r="AC83" s="304"/>
      <c r="AD83" s="304"/>
      <c r="AE83" s="304"/>
      <c r="AF83" s="304"/>
      <c r="AG83" s="304"/>
      <c r="AH83" s="304"/>
      <c r="AI83" s="304"/>
      <c r="AJ83" s="304"/>
      <c r="AK83" s="304"/>
      <c r="AL83" s="304"/>
      <c r="AM83" s="304"/>
      <c r="AN83" s="304"/>
      <c r="AO83" s="304"/>
      <c r="AP83" s="304"/>
      <c r="AQ83" s="304"/>
      <c r="AR83" s="304"/>
      <c r="AS83" s="304"/>
      <c r="AT83" s="304"/>
      <c r="AU83" s="304"/>
      <c r="AV83" s="304"/>
      <c r="AW83" s="304"/>
      <c r="AX83" s="304"/>
      <c r="AY83" s="304"/>
      <c r="AZ83" s="304"/>
      <c r="BA83" s="304"/>
      <c r="BB83" s="304"/>
      <c r="BC83" s="304"/>
      <c r="BD83" s="304"/>
      <c r="BE83" s="304"/>
      <c r="BF83" s="304"/>
      <c r="BG83" s="304"/>
      <c r="BH83" s="304"/>
      <c r="BI83" s="304"/>
      <c r="BJ83" s="304"/>
      <c r="BK83" s="304"/>
      <c r="BL83" s="304"/>
      <c r="BM83" s="304"/>
      <c r="BN83" s="304" t="s">
        <v>431</v>
      </c>
      <c r="BO83" s="304"/>
      <c r="BP83" s="304"/>
      <c r="BQ83" s="304"/>
      <c r="BR83" s="285">
        <f>+BR81+BR82</f>
        <v>6488</v>
      </c>
    </row>
    <row r="84" spans="6:70" ht="7.15" customHeight="1" x14ac:dyDescent="0.2">
      <c r="F84" s="304"/>
      <c r="I84" s="304"/>
      <c r="J84" s="304"/>
      <c r="K84" s="304"/>
      <c r="N84" s="304"/>
      <c r="O84" s="304"/>
      <c r="P84" s="304"/>
      <c r="Q84" s="304"/>
      <c r="R84" s="304"/>
      <c r="S84" s="304"/>
      <c r="V84" s="304"/>
      <c r="W84" s="304"/>
      <c r="X84" s="304"/>
      <c r="Y84" s="304"/>
      <c r="Z84" s="304"/>
      <c r="AA84" s="304"/>
      <c r="AB84" s="304"/>
      <c r="AC84" s="304"/>
      <c r="AD84" s="304"/>
      <c r="AE84" s="304"/>
      <c r="AF84" s="304"/>
      <c r="AG84" s="304"/>
      <c r="AH84" s="304"/>
      <c r="AI84" s="304"/>
      <c r="AJ84" s="304"/>
      <c r="AK84" s="304"/>
      <c r="AL84" s="304"/>
      <c r="AM84" s="304"/>
      <c r="AN84" s="304"/>
      <c r="AO84" s="304"/>
      <c r="AP84" s="304"/>
      <c r="AQ84" s="304"/>
      <c r="AR84" s="304"/>
      <c r="AS84" s="304"/>
      <c r="AT84" s="304"/>
      <c r="AU84" s="304"/>
      <c r="AV84" s="304"/>
      <c r="AW84" s="304"/>
      <c r="AX84" s="304"/>
      <c r="AY84" s="304"/>
      <c r="AZ84" s="304"/>
      <c r="BA84" s="304"/>
      <c r="BB84" s="304"/>
      <c r="BC84" s="304"/>
      <c r="BD84" s="304"/>
      <c r="BE84" s="304"/>
      <c r="BF84" s="304"/>
      <c r="BG84" s="304"/>
      <c r="BH84" s="304"/>
      <c r="BI84" s="304"/>
      <c r="BJ84" s="304"/>
      <c r="BK84" s="304"/>
      <c r="BL84" s="304"/>
      <c r="BM84" s="304"/>
      <c r="BN84" s="304"/>
      <c r="BO84" s="304"/>
      <c r="BP84" s="304"/>
      <c r="BQ84" s="304"/>
      <c r="BR84" s="304"/>
    </row>
    <row r="85" spans="6:70" x14ac:dyDescent="0.2">
      <c r="F85" s="304"/>
      <c r="I85" s="304"/>
      <c r="J85" s="304"/>
      <c r="K85" s="304"/>
      <c r="N85" s="304"/>
      <c r="O85" s="304"/>
      <c r="P85" s="304"/>
      <c r="Q85" s="304"/>
      <c r="R85" s="304"/>
      <c r="S85" s="304"/>
      <c r="V85" s="304"/>
      <c r="W85" s="304"/>
      <c r="X85" s="304"/>
      <c r="Y85" s="304"/>
      <c r="Z85" s="304"/>
      <c r="AA85" s="304"/>
      <c r="AB85" s="304"/>
      <c r="AC85" s="304"/>
      <c r="AD85" s="304"/>
      <c r="AE85" s="304"/>
      <c r="AF85" s="304"/>
      <c r="AG85" s="304"/>
      <c r="AH85" s="304"/>
      <c r="AI85" s="304"/>
      <c r="AJ85" s="304"/>
      <c r="AK85" s="304"/>
      <c r="AL85" s="304"/>
      <c r="AM85" s="304"/>
      <c r="AN85" s="304"/>
      <c r="AO85" s="304"/>
      <c r="AP85" s="304"/>
      <c r="AQ85" s="304"/>
      <c r="AR85" s="304"/>
      <c r="AS85" s="304"/>
      <c r="AT85" s="304"/>
      <c r="AU85" s="304"/>
      <c r="AV85" s="304"/>
      <c r="AW85" s="304"/>
      <c r="AX85" s="304"/>
      <c r="AY85" s="304"/>
      <c r="AZ85" s="304"/>
      <c r="BA85" s="304"/>
      <c r="BB85" s="304"/>
      <c r="BC85" s="304"/>
      <c r="BD85" s="304"/>
      <c r="BE85" s="304"/>
      <c r="BF85" s="304"/>
      <c r="BG85" s="304"/>
      <c r="BH85" s="304"/>
      <c r="BI85" s="304"/>
      <c r="BJ85" s="304"/>
      <c r="BK85" s="304"/>
      <c r="BL85" s="304"/>
      <c r="BM85" s="304"/>
      <c r="BN85" s="285" t="s">
        <v>599</v>
      </c>
      <c r="BO85" s="304"/>
      <c r="BP85" s="304"/>
      <c r="BQ85" s="304"/>
      <c r="BR85" s="336">
        <v>5120.5</v>
      </c>
    </row>
    <row r="86" spans="6:70" x14ac:dyDescent="0.2">
      <c r="F86" s="304"/>
      <c r="I86" s="304"/>
      <c r="J86" s="304"/>
      <c r="K86" s="304"/>
      <c r="N86" s="304"/>
      <c r="O86" s="304"/>
      <c r="P86" s="304"/>
      <c r="Q86" s="304"/>
      <c r="R86" s="304"/>
      <c r="S86" s="304"/>
      <c r="V86" s="304"/>
      <c r="W86" s="304"/>
      <c r="X86" s="304"/>
      <c r="Y86" s="304"/>
      <c r="Z86" s="304"/>
      <c r="AA86" s="304"/>
      <c r="AB86" s="304"/>
      <c r="AC86" s="304"/>
      <c r="AD86" s="304"/>
      <c r="AE86" s="304"/>
      <c r="AF86" s="304"/>
      <c r="AG86" s="304"/>
      <c r="AH86" s="304"/>
      <c r="AI86" s="304"/>
      <c r="AJ86" s="304"/>
      <c r="AK86" s="304"/>
      <c r="AL86" s="304"/>
      <c r="AM86" s="304"/>
      <c r="AN86" s="304"/>
      <c r="AO86" s="304"/>
      <c r="AP86" s="304"/>
      <c r="AQ86" s="304"/>
      <c r="AR86" s="304"/>
      <c r="AS86" s="304"/>
      <c r="AT86" s="304"/>
      <c r="AU86" s="304"/>
      <c r="AV86" s="304"/>
      <c r="AW86" s="304"/>
      <c r="AX86" s="304"/>
      <c r="AY86" s="304"/>
      <c r="AZ86" s="304"/>
      <c r="BA86" s="304"/>
      <c r="BB86" s="304"/>
      <c r="BC86" s="304"/>
      <c r="BD86" s="304"/>
      <c r="BE86" s="304"/>
      <c r="BF86" s="304"/>
      <c r="BG86" s="304"/>
      <c r="BH86" s="304"/>
      <c r="BI86" s="304"/>
      <c r="BJ86" s="304"/>
      <c r="BK86" s="304"/>
      <c r="BL86" s="304"/>
      <c r="BM86" s="304"/>
      <c r="BN86" s="285" t="s">
        <v>600</v>
      </c>
      <c r="BO86" s="304"/>
      <c r="BP86" s="304"/>
      <c r="BQ86" s="304"/>
      <c r="BR86" s="337">
        <v>1999</v>
      </c>
    </row>
    <row r="87" spans="6:70" x14ac:dyDescent="0.2">
      <c r="F87" s="304"/>
      <c r="I87" s="304"/>
      <c r="J87" s="304"/>
      <c r="K87" s="304"/>
      <c r="N87" s="304"/>
      <c r="O87" s="304"/>
      <c r="P87" s="304"/>
      <c r="Q87" s="304"/>
      <c r="R87" s="304"/>
      <c r="S87" s="304"/>
      <c r="V87" s="304"/>
      <c r="W87" s="304"/>
      <c r="X87" s="304"/>
      <c r="Y87" s="304"/>
      <c r="Z87" s="304"/>
      <c r="AA87" s="304"/>
      <c r="AB87" s="304"/>
      <c r="AC87" s="304"/>
      <c r="AD87" s="304"/>
      <c r="AE87" s="304"/>
      <c r="AF87" s="304"/>
      <c r="AG87" s="304"/>
      <c r="AH87" s="304"/>
      <c r="AI87" s="304"/>
      <c r="AJ87" s="304"/>
      <c r="AK87" s="304"/>
      <c r="AL87" s="304"/>
      <c r="AM87" s="304"/>
      <c r="AN87" s="304"/>
      <c r="AO87" s="304"/>
      <c r="AP87" s="304"/>
      <c r="AQ87" s="304"/>
      <c r="AR87" s="304"/>
      <c r="AS87" s="304"/>
      <c r="AT87" s="304"/>
      <c r="AU87" s="304"/>
      <c r="AV87" s="304"/>
      <c r="AW87" s="304"/>
      <c r="AX87" s="304"/>
      <c r="AY87" s="304"/>
      <c r="AZ87" s="304"/>
      <c r="BA87" s="304"/>
      <c r="BB87" s="304"/>
      <c r="BC87" s="304"/>
      <c r="BD87" s="304"/>
      <c r="BE87" s="304"/>
      <c r="BF87" s="304"/>
      <c r="BG87" s="304"/>
      <c r="BH87" s="304"/>
      <c r="BI87" s="304"/>
      <c r="BJ87" s="304"/>
      <c r="BK87" s="304"/>
      <c r="BL87" s="304"/>
      <c r="BM87" s="304"/>
      <c r="BO87" s="304"/>
      <c r="BP87" s="304"/>
      <c r="BQ87" s="306" t="s">
        <v>749</v>
      </c>
      <c r="BR87" s="307">
        <f>+BR85+BR86</f>
        <v>7119.5</v>
      </c>
    </row>
    <row r="88" spans="6:70" ht="4.9000000000000004" customHeight="1" x14ac:dyDescent="0.2">
      <c r="F88" s="304"/>
      <c r="I88" s="304"/>
      <c r="J88" s="304"/>
      <c r="K88" s="304"/>
      <c r="N88" s="304"/>
      <c r="O88" s="304"/>
      <c r="P88" s="304"/>
      <c r="Q88" s="304"/>
      <c r="R88" s="304"/>
      <c r="S88" s="304"/>
      <c r="V88" s="304"/>
      <c r="W88" s="304"/>
      <c r="X88" s="304"/>
      <c r="Y88" s="304"/>
      <c r="Z88" s="304"/>
      <c r="AA88" s="304"/>
      <c r="AB88" s="304"/>
      <c r="AC88" s="304"/>
      <c r="AD88" s="304"/>
      <c r="AE88" s="304"/>
      <c r="AF88" s="304"/>
      <c r="AG88" s="304"/>
      <c r="AH88" s="304"/>
      <c r="AI88" s="304"/>
      <c r="AJ88" s="304"/>
      <c r="AK88" s="304"/>
      <c r="AL88" s="304"/>
      <c r="AM88" s="304"/>
      <c r="AN88" s="304"/>
      <c r="AO88" s="304"/>
      <c r="AP88" s="304"/>
      <c r="AQ88" s="304"/>
      <c r="AR88" s="304"/>
      <c r="AS88" s="304"/>
      <c r="AT88" s="304"/>
      <c r="AU88" s="304"/>
      <c r="AV88" s="304"/>
      <c r="AW88" s="304"/>
      <c r="AX88" s="304"/>
      <c r="AY88" s="304"/>
      <c r="AZ88" s="304"/>
      <c r="BA88" s="304"/>
      <c r="BB88" s="304"/>
      <c r="BC88" s="304"/>
      <c r="BD88" s="304"/>
      <c r="BE88" s="304"/>
      <c r="BF88" s="304"/>
      <c r="BG88" s="304"/>
      <c r="BH88" s="304"/>
      <c r="BI88" s="304"/>
      <c r="BJ88" s="304"/>
      <c r="BK88" s="304"/>
      <c r="BL88" s="304"/>
      <c r="BM88" s="304"/>
      <c r="BN88" s="304"/>
      <c r="BO88" s="304"/>
      <c r="BP88" s="304"/>
      <c r="BQ88" s="304"/>
      <c r="BR88" s="304"/>
    </row>
    <row r="89" spans="6:70" x14ac:dyDescent="0.2">
      <c r="F89" s="304"/>
      <c r="I89" s="304"/>
      <c r="J89" s="304"/>
      <c r="K89" s="304"/>
      <c r="N89" s="304"/>
      <c r="O89" s="304"/>
      <c r="P89" s="304"/>
      <c r="Q89" s="304"/>
      <c r="R89" s="304"/>
      <c r="S89" s="304"/>
      <c r="V89" s="304"/>
      <c r="W89" s="304"/>
      <c r="X89" s="304"/>
      <c r="Y89" s="304"/>
      <c r="Z89" s="304"/>
      <c r="AA89" s="304"/>
      <c r="AB89" s="304"/>
      <c r="AC89" s="304"/>
      <c r="AD89" s="304"/>
      <c r="AE89" s="304"/>
      <c r="AF89" s="304"/>
      <c r="AG89" s="304"/>
      <c r="AH89" s="304"/>
      <c r="AI89" s="304"/>
      <c r="AJ89" s="304"/>
      <c r="AK89" s="304"/>
      <c r="AL89" s="304"/>
      <c r="AM89" s="304"/>
      <c r="AN89" s="304"/>
      <c r="AO89" s="304"/>
      <c r="AP89" s="304"/>
      <c r="AQ89" s="304"/>
      <c r="AR89" s="304"/>
      <c r="AS89" s="304"/>
      <c r="AU89" s="306"/>
      <c r="AV89" s="304"/>
      <c r="AW89" s="304"/>
      <c r="AX89" s="304"/>
      <c r="AY89" s="304"/>
      <c r="AZ89" s="304"/>
      <c r="BA89" s="304"/>
      <c r="BB89" s="304"/>
      <c r="BC89" s="304"/>
      <c r="BD89" s="304"/>
      <c r="BE89" s="304"/>
      <c r="BF89" s="304"/>
      <c r="BG89" s="304"/>
      <c r="BH89" s="306" t="s">
        <v>750</v>
      </c>
      <c r="BI89" s="304"/>
      <c r="BJ89" s="304"/>
      <c r="BK89" s="304"/>
      <c r="BL89" s="304"/>
      <c r="BM89" s="304"/>
      <c r="BN89" s="285" t="s">
        <v>599</v>
      </c>
      <c r="BO89" s="304"/>
      <c r="BP89" s="304"/>
      <c r="BQ89" s="304"/>
      <c r="BR89" s="285">
        <f>+BR85-BR81</f>
        <v>184</v>
      </c>
    </row>
    <row r="90" spans="6:70" x14ac:dyDescent="0.2">
      <c r="F90" s="304"/>
      <c r="I90" s="304"/>
      <c r="J90" s="304"/>
      <c r="K90" s="304"/>
      <c r="N90" s="304"/>
      <c r="O90" s="304"/>
      <c r="P90" s="304"/>
      <c r="Q90" s="304"/>
      <c r="R90" s="304"/>
      <c r="S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c r="AR90" s="304"/>
      <c r="AS90" s="304"/>
      <c r="AU90" s="306"/>
      <c r="AV90" s="304"/>
      <c r="AW90" s="304"/>
      <c r="AX90" s="304"/>
      <c r="AY90" s="304"/>
      <c r="AZ90" s="304"/>
      <c r="BA90" s="304"/>
      <c r="BB90" s="304"/>
      <c r="BC90" s="304"/>
      <c r="BD90" s="304"/>
      <c r="BE90" s="304"/>
      <c r="BF90" s="304"/>
      <c r="BG90" s="304"/>
      <c r="BH90" s="306" t="s">
        <v>750</v>
      </c>
      <c r="BI90" s="304"/>
      <c r="BJ90" s="304"/>
      <c r="BK90" s="304"/>
      <c r="BL90" s="304"/>
      <c r="BM90" s="304"/>
      <c r="BN90" s="285" t="s">
        <v>600</v>
      </c>
      <c r="BO90" s="304"/>
      <c r="BP90" s="304"/>
      <c r="BQ90" s="304"/>
      <c r="BR90" s="305">
        <f>+BR86-BR82</f>
        <v>447.5</v>
      </c>
    </row>
    <row r="91" spans="6:70" x14ac:dyDescent="0.2">
      <c r="F91" s="304"/>
      <c r="I91" s="304"/>
      <c r="J91" s="304"/>
      <c r="K91" s="304"/>
      <c r="N91" s="304"/>
      <c r="O91" s="304"/>
      <c r="P91" s="304"/>
      <c r="Q91" s="304"/>
      <c r="R91" s="304"/>
      <c r="S91" s="304"/>
      <c r="V91" s="304"/>
      <c r="W91" s="304"/>
      <c r="X91" s="304"/>
      <c r="Y91" s="304"/>
      <c r="Z91" s="304"/>
      <c r="AA91" s="304"/>
      <c r="AB91" s="304"/>
      <c r="AC91" s="304"/>
      <c r="AD91" s="304"/>
      <c r="AE91" s="304"/>
      <c r="AF91" s="304"/>
      <c r="AG91" s="304"/>
      <c r="AH91" s="304"/>
      <c r="AI91" s="304"/>
      <c r="AJ91" s="304"/>
      <c r="AK91" s="304"/>
      <c r="AL91" s="304"/>
      <c r="AM91" s="304"/>
      <c r="AN91" s="304"/>
      <c r="AO91" s="304"/>
      <c r="AP91" s="304"/>
      <c r="AQ91" s="304"/>
      <c r="AR91" s="304"/>
      <c r="AS91" s="304"/>
      <c r="AT91" s="304"/>
      <c r="AU91" s="304"/>
      <c r="AV91" s="304"/>
      <c r="AW91" s="304"/>
      <c r="AX91" s="304"/>
      <c r="AY91" s="304"/>
      <c r="AZ91" s="304"/>
      <c r="BA91" s="304"/>
      <c r="BB91" s="304"/>
      <c r="BC91" s="304"/>
      <c r="BD91" s="304"/>
      <c r="BE91" s="304"/>
      <c r="BF91" s="304"/>
      <c r="BG91" s="304"/>
      <c r="BH91" s="304"/>
      <c r="BI91" s="304"/>
      <c r="BJ91" s="304"/>
      <c r="BK91" s="304"/>
      <c r="BL91" s="304"/>
      <c r="BM91" s="304"/>
      <c r="BN91" s="304"/>
      <c r="BO91" s="304"/>
      <c r="BP91" s="304"/>
      <c r="BQ91" s="306" t="s">
        <v>750</v>
      </c>
      <c r="BR91" s="307">
        <f>+BR89+BR90</f>
        <v>631.5</v>
      </c>
    </row>
    <row r="92" spans="6:70" x14ac:dyDescent="0.2">
      <c r="F92" s="304"/>
      <c r="I92" s="304"/>
      <c r="J92" s="304"/>
      <c r="K92" s="304"/>
      <c r="N92" s="304"/>
      <c r="O92" s="304"/>
      <c r="P92" s="304"/>
      <c r="Q92" s="304"/>
      <c r="R92" s="304"/>
      <c r="S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R92" s="304"/>
      <c r="AS92" s="304"/>
      <c r="AT92" s="304"/>
      <c r="AU92" s="304"/>
      <c r="AV92" s="304"/>
      <c r="AW92" s="304"/>
      <c r="AX92" s="304"/>
      <c r="AY92" s="304"/>
      <c r="AZ92" s="304"/>
      <c r="BA92" s="304"/>
      <c r="BB92" s="304"/>
      <c r="BC92" s="304"/>
      <c r="BD92" s="304"/>
      <c r="BE92" s="304"/>
      <c r="BF92" s="304"/>
      <c r="BG92" s="304"/>
      <c r="BH92" s="304"/>
      <c r="BI92" s="304"/>
      <c r="BJ92" s="304"/>
      <c r="BK92" s="304"/>
      <c r="BL92" s="304"/>
      <c r="BM92" s="304"/>
      <c r="BN92" s="304"/>
      <c r="BO92" s="304"/>
      <c r="BP92" s="304"/>
      <c r="BQ92" s="304"/>
      <c r="BR92" s="304"/>
    </row>
    <row r="93" spans="6:70" x14ac:dyDescent="0.2">
      <c r="F93" s="304"/>
      <c r="I93" s="304"/>
      <c r="J93" s="304"/>
      <c r="K93" s="304"/>
      <c r="N93" s="304"/>
      <c r="O93" s="304"/>
      <c r="P93" s="304"/>
      <c r="Q93" s="304"/>
      <c r="R93" s="304"/>
      <c r="S93" s="304"/>
      <c r="V93" s="304"/>
      <c r="W93" s="304"/>
      <c r="X93" s="304"/>
      <c r="Y93" s="304"/>
      <c r="Z93" s="304"/>
      <c r="AA93" s="304"/>
      <c r="AB93" s="304"/>
      <c r="AC93" s="304"/>
      <c r="AD93" s="304"/>
      <c r="AE93" s="304"/>
      <c r="AF93" s="304"/>
      <c r="AG93" s="304"/>
      <c r="AH93" s="304"/>
      <c r="AI93" s="304"/>
      <c r="AJ93" s="304"/>
      <c r="AK93" s="304"/>
      <c r="AL93" s="304"/>
      <c r="AM93" s="304"/>
      <c r="AN93" s="304"/>
      <c r="AO93" s="304"/>
      <c r="AP93" s="304"/>
      <c r="AQ93" s="304"/>
      <c r="AR93" s="304"/>
      <c r="AS93" s="304"/>
      <c r="AT93" s="304"/>
      <c r="AU93" s="304"/>
      <c r="AV93" s="304"/>
      <c r="AW93" s="304"/>
      <c r="AX93" s="304"/>
      <c r="AY93" s="304"/>
      <c r="AZ93" s="304"/>
      <c r="BA93" s="304"/>
      <c r="BB93" s="304"/>
      <c r="BC93" s="304"/>
      <c r="BD93" s="304"/>
      <c r="BE93" s="304"/>
      <c r="BF93" s="304"/>
      <c r="BG93" s="304"/>
      <c r="BH93" s="304"/>
      <c r="BI93" s="304"/>
      <c r="BJ93" s="304"/>
      <c r="BK93" s="304"/>
      <c r="BL93" s="304"/>
      <c r="BM93" s="304"/>
      <c r="BN93" s="304"/>
      <c r="BO93" s="304"/>
      <c r="BP93" s="304"/>
      <c r="BQ93" s="304"/>
      <c r="BR93" s="304"/>
    </row>
    <row r="94" spans="6:70" x14ac:dyDescent="0.2">
      <c r="F94" s="304"/>
      <c r="I94" s="304"/>
      <c r="J94" s="304"/>
      <c r="K94" s="304"/>
      <c r="N94" s="304"/>
      <c r="O94" s="304"/>
      <c r="P94" s="304"/>
      <c r="Q94" s="304"/>
      <c r="R94" s="304"/>
      <c r="S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R94" s="304"/>
      <c r="AS94" s="304"/>
      <c r="AT94" s="304"/>
      <c r="AU94" s="304"/>
      <c r="AV94" s="304"/>
      <c r="AW94" s="304"/>
      <c r="AX94" s="304"/>
      <c r="AY94" s="304"/>
      <c r="AZ94" s="304"/>
      <c r="BA94" s="304"/>
      <c r="BB94" s="304"/>
      <c r="BC94" s="304"/>
      <c r="BD94" s="304"/>
      <c r="BE94" s="304"/>
      <c r="BF94" s="304"/>
      <c r="BG94" s="304"/>
      <c r="BH94" s="304" t="s">
        <v>751</v>
      </c>
      <c r="BI94" s="304"/>
      <c r="BJ94" s="304"/>
      <c r="BK94" s="304"/>
      <c r="BL94" s="304"/>
      <c r="BM94" s="304"/>
      <c r="BN94" s="304"/>
      <c r="BO94" s="304"/>
      <c r="BP94" s="304"/>
      <c r="BQ94" s="304"/>
      <c r="BR94" s="304"/>
    </row>
    <row r="95" spans="6:70" x14ac:dyDescent="0.2">
      <c r="F95" s="304"/>
      <c r="I95" s="304"/>
      <c r="J95" s="304"/>
      <c r="K95" s="304"/>
      <c r="N95" s="304"/>
      <c r="O95" s="304"/>
      <c r="P95" s="304"/>
      <c r="Q95" s="304"/>
      <c r="R95" s="304"/>
      <c r="S95" s="304"/>
      <c r="V95" s="304"/>
      <c r="W95" s="304"/>
      <c r="X95" s="304"/>
      <c r="Y95" s="304"/>
      <c r="Z95" s="304"/>
      <c r="AA95" s="304"/>
      <c r="AB95" s="304"/>
      <c r="AC95" s="304"/>
      <c r="AD95" s="304"/>
      <c r="AE95" s="304"/>
      <c r="AF95" s="304"/>
      <c r="AG95" s="304"/>
      <c r="AH95" s="304"/>
      <c r="AI95" s="304"/>
      <c r="AJ95" s="304"/>
      <c r="AK95" s="304"/>
      <c r="AL95" s="304"/>
      <c r="AM95" s="304"/>
      <c r="AN95" s="304"/>
      <c r="AO95" s="304"/>
      <c r="AP95" s="304"/>
      <c r="AQ95" s="304"/>
      <c r="AR95" s="304"/>
      <c r="AS95" s="304"/>
      <c r="AT95" s="304"/>
      <c r="AU95" s="304"/>
      <c r="AV95" s="304"/>
      <c r="AW95" s="304"/>
      <c r="AX95" s="304"/>
      <c r="AY95" s="304"/>
      <c r="AZ95" s="304"/>
      <c r="BA95" s="304"/>
      <c r="BB95" s="304"/>
      <c r="BC95" s="304"/>
      <c r="BD95" s="304"/>
      <c r="BE95" s="304"/>
      <c r="BF95" s="304"/>
      <c r="BG95" s="304"/>
      <c r="BH95" s="304"/>
      <c r="BI95" s="304"/>
      <c r="BJ95" s="304"/>
      <c r="BK95" s="304"/>
      <c r="BL95" s="304"/>
      <c r="BM95" s="304"/>
      <c r="BN95" s="304"/>
      <c r="BO95" s="304"/>
      <c r="BP95" s="304"/>
      <c r="BQ95" s="308" t="s">
        <v>599</v>
      </c>
      <c r="BR95" s="285">
        <f>+BR81</f>
        <v>4936.5</v>
      </c>
    </row>
    <row r="96" spans="6:70" x14ac:dyDescent="0.2">
      <c r="F96" s="304"/>
      <c r="I96" s="304"/>
      <c r="J96" s="304"/>
      <c r="K96" s="304"/>
      <c r="N96" s="304"/>
      <c r="O96" s="304"/>
      <c r="P96" s="304"/>
      <c r="Q96" s="304"/>
      <c r="R96" s="304"/>
      <c r="S96" s="304"/>
      <c r="V96" s="304"/>
      <c r="W96" s="304"/>
      <c r="X96" s="304"/>
      <c r="Y96" s="304"/>
      <c r="Z96" s="304"/>
      <c r="AA96" s="304"/>
      <c r="AB96" s="304"/>
      <c r="AC96" s="304"/>
      <c r="AD96" s="304"/>
      <c r="AE96" s="304"/>
      <c r="AF96" s="304"/>
      <c r="AG96" s="304"/>
      <c r="AH96" s="304"/>
      <c r="AI96" s="304"/>
      <c r="AJ96" s="304"/>
      <c r="AK96" s="304"/>
      <c r="AL96" s="304"/>
      <c r="AM96" s="304"/>
      <c r="AN96" s="304"/>
      <c r="AO96" s="304"/>
      <c r="AP96" s="304"/>
      <c r="AQ96" s="304"/>
      <c r="AR96" s="304"/>
      <c r="AS96" s="304"/>
      <c r="AT96" s="304"/>
      <c r="AU96" s="304"/>
      <c r="AV96" s="304"/>
      <c r="AW96" s="304"/>
      <c r="AX96" s="304"/>
      <c r="AY96" s="304"/>
      <c r="AZ96" s="304"/>
      <c r="BA96" s="304"/>
      <c r="BB96" s="304"/>
      <c r="BC96" s="304"/>
      <c r="BD96" s="304"/>
      <c r="BE96" s="304"/>
      <c r="BF96" s="304"/>
      <c r="BG96" s="304"/>
      <c r="BH96" s="304"/>
      <c r="BI96" s="304"/>
      <c r="BJ96" s="304"/>
      <c r="BK96" s="304"/>
      <c r="BL96" s="304"/>
      <c r="BM96" s="304"/>
      <c r="BN96" s="304"/>
      <c r="BO96" s="304"/>
      <c r="BP96" s="304"/>
      <c r="BQ96" s="308" t="s">
        <v>600</v>
      </c>
      <c r="BR96" s="289">
        <f>+BR82</f>
        <v>1551.5</v>
      </c>
    </row>
    <row r="97" spans="6:70" x14ac:dyDescent="0.2">
      <c r="F97" s="304"/>
      <c r="I97" s="304"/>
      <c r="J97" s="304"/>
      <c r="K97" s="304"/>
      <c r="N97" s="304"/>
      <c r="O97" s="304"/>
      <c r="P97" s="304"/>
      <c r="Q97" s="304"/>
      <c r="R97" s="304"/>
      <c r="S97" s="304"/>
      <c r="V97" s="304"/>
      <c r="W97" s="304"/>
      <c r="X97" s="304"/>
      <c r="Y97" s="304"/>
      <c r="Z97" s="304"/>
      <c r="AA97" s="304"/>
      <c r="AB97" s="304"/>
      <c r="AC97" s="304"/>
      <c r="AD97" s="304"/>
      <c r="AE97" s="304"/>
      <c r="AF97" s="304"/>
      <c r="AG97" s="304"/>
      <c r="AH97" s="304"/>
      <c r="AI97" s="304"/>
      <c r="AJ97" s="304"/>
      <c r="AK97" s="304"/>
      <c r="AL97" s="304"/>
      <c r="AM97" s="304"/>
      <c r="AN97" s="304"/>
      <c r="AO97" s="304"/>
      <c r="AP97" s="304"/>
      <c r="AQ97" s="304"/>
      <c r="AR97" s="304"/>
      <c r="AS97" s="304"/>
      <c r="AT97" s="304"/>
      <c r="AU97" s="304"/>
      <c r="AV97" s="304"/>
      <c r="AW97" s="304"/>
      <c r="AX97" s="304"/>
      <c r="AY97" s="304"/>
      <c r="AZ97" s="304"/>
      <c r="BA97" s="304"/>
      <c r="BB97" s="304"/>
      <c r="BC97" s="304"/>
      <c r="BD97" s="304"/>
      <c r="BE97" s="304"/>
      <c r="BF97" s="304"/>
      <c r="BG97" s="304"/>
      <c r="BH97" s="304"/>
      <c r="BI97" s="304"/>
      <c r="BJ97" s="304"/>
      <c r="BK97" s="304"/>
      <c r="BL97" s="304"/>
      <c r="BM97" s="304"/>
      <c r="BO97" s="304"/>
      <c r="BP97" s="304"/>
      <c r="BR97" s="285">
        <f>+BR95+BR96</f>
        <v>6488</v>
      </c>
    </row>
    <row r="98" spans="6:70" x14ac:dyDescent="0.2">
      <c r="F98" s="304"/>
      <c r="I98" s="304"/>
      <c r="J98" s="304"/>
      <c r="K98" s="304"/>
      <c r="N98" s="304"/>
      <c r="O98" s="304"/>
      <c r="P98" s="304"/>
      <c r="Q98" s="304"/>
      <c r="R98" s="304"/>
      <c r="S98" s="304"/>
      <c r="V98" s="304"/>
      <c r="W98" s="304"/>
      <c r="X98" s="304"/>
      <c r="Y98" s="304"/>
      <c r="Z98" s="304"/>
      <c r="AA98" s="304"/>
      <c r="AB98" s="304"/>
      <c r="AC98" s="304"/>
      <c r="AD98" s="304"/>
      <c r="AE98" s="304"/>
      <c r="AF98" s="304"/>
      <c r="AG98" s="304"/>
      <c r="AH98" s="304"/>
      <c r="AI98" s="304"/>
      <c r="AJ98" s="304"/>
      <c r="AK98" s="304"/>
      <c r="AL98" s="304"/>
      <c r="AM98" s="304"/>
      <c r="AN98" s="304"/>
      <c r="AO98" s="304"/>
      <c r="AP98" s="304"/>
      <c r="AQ98" s="304"/>
      <c r="AR98" s="304"/>
      <c r="AS98" s="304"/>
      <c r="AT98" s="304"/>
      <c r="AU98" s="304"/>
      <c r="AV98" s="304"/>
      <c r="AW98" s="304"/>
      <c r="AX98" s="304"/>
      <c r="AY98" s="304"/>
      <c r="AZ98" s="304"/>
      <c r="BA98" s="304"/>
      <c r="BB98" s="304"/>
      <c r="BC98" s="304"/>
      <c r="BD98" s="304"/>
      <c r="BE98" s="304"/>
      <c r="BF98" s="304"/>
      <c r="BG98" s="304"/>
      <c r="BH98" s="304"/>
      <c r="BI98" s="304"/>
      <c r="BJ98" s="304"/>
      <c r="BK98" s="304"/>
      <c r="BL98" s="304"/>
      <c r="BM98" s="304"/>
      <c r="BN98" s="304"/>
      <c r="BO98" s="304"/>
      <c r="BP98" s="306" t="s">
        <v>245</v>
      </c>
      <c r="BR98" s="304"/>
    </row>
    <row r="99" spans="6:70" x14ac:dyDescent="0.2">
      <c r="F99" s="304"/>
      <c r="I99" s="304"/>
      <c r="J99" s="304"/>
      <c r="K99" s="304"/>
      <c r="N99" s="304"/>
      <c r="O99" s="304"/>
      <c r="P99" s="304"/>
      <c r="Q99" s="304"/>
      <c r="R99" s="304"/>
      <c r="S99" s="304"/>
      <c r="V99" s="304"/>
      <c r="W99" s="304"/>
      <c r="X99" s="304"/>
      <c r="Y99" s="304"/>
      <c r="Z99" s="304"/>
      <c r="AA99" s="304"/>
      <c r="AB99" s="304"/>
      <c r="AC99" s="304"/>
      <c r="AD99" s="304"/>
      <c r="AE99" s="304"/>
      <c r="AF99" s="304"/>
      <c r="AG99" s="304"/>
      <c r="AH99" s="304"/>
      <c r="AI99" s="304"/>
      <c r="AJ99" s="304"/>
      <c r="AK99" s="304"/>
      <c r="AL99" s="304"/>
      <c r="AM99" s="304"/>
      <c r="AN99" s="304"/>
      <c r="AO99" s="304"/>
      <c r="AP99" s="304"/>
      <c r="AQ99" s="304"/>
      <c r="AR99" s="304"/>
      <c r="AS99" s="304"/>
      <c r="AT99" s="304"/>
      <c r="AU99" s="304"/>
      <c r="AV99" s="304"/>
      <c r="AW99" s="304"/>
      <c r="AX99" s="304"/>
      <c r="AY99" s="304"/>
      <c r="AZ99" s="304"/>
      <c r="BA99" s="304"/>
      <c r="BB99" s="304"/>
      <c r="BC99" s="304"/>
      <c r="BD99" s="304"/>
      <c r="BE99" s="304"/>
      <c r="BF99" s="304"/>
      <c r="BG99" s="304"/>
      <c r="BH99" s="304"/>
      <c r="BI99" s="304"/>
      <c r="BJ99" s="304"/>
      <c r="BK99" s="304"/>
      <c r="BL99" s="304"/>
      <c r="BM99" s="304"/>
      <c r="BN99" s="304"/>
      <c r="BO99" s="304"/>
      <c r="BP99" s="309" t="s">
        <v>756</v>
      </c>
      <c r="BR99" s="304"/>
    </row>
    <row r="100" spans="6:70" x14ac:dyDescent="0.2">
      <c r="F100" s="304"/>
      <c r="I100" s="304"/>
      <c r="J100" s="304"/>
      <c r="K100" s="304"/>
      <c r="N100" s="304"/>
      <c r="O100" s="304"/>
      <c r="P100" s="304"/>
      <c r="Q100" s="304"/>
      <c r="R100" s="304"/>
      <c r="S100" s="304"/>
      <c r="V100" s="304"/>
      <c r="W100" s="304"/>
      <c r="X100" s="304"/>
      <c r="Y100" s="304"/>
      <c r="Z100" s="304"/>
      <c r="AA100" s="304"/>
      <c r="AB100" s="304"/>
      <c r="AC100" s="304"/>
      <c r="AD100" s="304"/>
      <c r="AE100" s="304"/>
      <c r="AF100" s="304"/>
      <c r="AG100" s="304"/>
      <c r="AH100" s="304"/>
      <c r="AI100" s="304"/>
      <c r="AJ100" s="304"/>
      <c r="AK100" s="304"/>
      <c r="AL100" s="304"/>
      <c r="AM100" s="304"/>
      <c r="AN100" s="304"/>
      <c r="AO100" s="304"/>
      <c r="AP100" s="304"/>
      <c r="AQ100" s="304"/>
      <c r="AR100" s="304"/>
      <c r="AS100" s="304"/>
      <c r="AT100" s="304"/>
      <c r="AU100" s="304"/>
      <c r="AV100" s="304"/>
      <c r="AW100" s="304"/>
      <c r="AX100" s="304"/>
      <c r="AY100" s="304"/>
      <c r="AZ100" s="304"/>
      <c r="BA100" s="304"/>
      <c r="BB100" s="304"/>
      <c r="BC100" s="304"/>
      <c r="BD100" s="304"/>
      <c r="BE100" s="304"/>
      <c r="BF100" s="304"/>
      <c r="BG100" s="304"/>
      <c r="BH100" s="304"/>
      <c r="BI100" s="304"/>
      <c r="BJ100" s="304"/>
      <c r="BK100" s="304"/>
      <c r="BL100" s="304"/>
      <c r="BM100" s="304"/>
      <c r="BN100" s="304"/>
      <c r="BO100" s="304"/>
      <c r="BP100" s="306"/>
      <c r="BQ100" s="310" t="s">
        <v>599</v>
      </c>
      <c r="BR100" s="307">
        <f>-BH46-BI46-BL46</f>
        <v>-214</v>
      </c>
    </row>
    <row r="101" spans="6:70" x14ac:dyDescent="0.2">
      <c r="F101" s="304"/>
      <c r="I101" s="304"/>
      <c r="J101" s="304"/>
      <c r="K101" s="304"/>
      <c r="N101" s="304"/>
      <c r="O101" s="304"/>
      <c r="P101" s="304"/>
      <c r="Q101" s="304"/>
      <c r="R101" s="304"/>
      <c r="S101" s="304"/>
      <c r="V101" s="304"/>
      <c r="W101" s="304"/>
      <c r="X101" s="304"/>
      <c r="Y101" s="304"/>
      <c r="Z101" s="304"/>
      <c r="AA101" s="304"/>
      <c r="AB101" s="304"/>
      <c r="AC101" s="304"/>
      <c r="AD101" s="304"/>
      <c r="AE101" s="304"/>
      <c r="AF101" s="304"/>
      <c r="AG101" s="304"/>
      <c r="AH101" s="304"/>
      <c r="AI101" s="304"/>
      <c r="AJ101" s="304"/>
      <c r="AK101" s="304"/>
      <c r="AL101" s="304"/>
      <c r="AM101" s="304"/>
      <c r="AN101" s="304"/>
      <c r="AO101" s="304"/>
      <c r="AP101" s="304"/>
      <c r="AQ101" s="304"/>
      <c r="AR101" s="304"/>
      <c r="AS101" s="304"/>
      <c r="AT101" s="304"/>
      <c r="AU101" s="304"/>
      <c r="AV101" s="304"/>
      <c r="AW101" s="304"/>
      <c r="AX101" s="304"/>
      <c r="AY101" s="304"/>
      <c r="AZ101" s="304"/>
      <c r="BA101" s="304"/>
      <c r="BB101" s="304"/>
      <c r="BC101" s="304"/>
      <c r="BD101" s="304"/>
      <c r="BE101" s="304"/>
      <c r="BF101" s="304"/>
      <c r="BG101" s="304"/>
      <c r="BH101" s="304"/>
      <c r="BI101" s="304"/>
      <c r="BJ101" s="304"/>
      <c r="BK101" s="304"/>
      <c r="BL101" s="304"/>
      <c r="BM101" s="304"/>
      <c r="BN101" s="304"/>
      <c r="BO101" s="304"/>
      <c r="BQ101" s="310" t="s">
        <v>600</v>
      </c>
      <c r="BR101" s="285">
        <f>-BR80</f>
        <v>-1551.5</v>
      </c>
    </row>
    <row r="102" spans="6:70" ht="14.25" x14ac:dyDescent="0.2">
      <c r="F102" s="304"/>
      <c r="I102" s="304"/>
      <c r="J102" s="304"/>
      <c r="K102" s="304"/>
      <c r="N102" s="304"/>
      <c r="O102" s="304"/>
      <c r="P102" s="304"/>
      <c r="Q102" s="304"/>
      <c r="R102" s="304"/>
      <c r="S102" s="304"/>
      <c r="V102" s="304"/>
      <c r="W102" s="304"/>
      <c r="X102" s="304"/>
      <c r="Y102" s="304"/>
      <c r="Z102" s="304"/>
      <c r="AA102" s="304"/>
      <c r="AB102" s="304"/>
      <c r="AC102" s="304"/>
      <c r="AD102" s="304"/>
      <c r="AE102" s="304"/>
      <c r="AF102" s="304"/>
      <c r="AG102" s="304"/>
      <c r="AH102" s="304"/>
      <c r="AI102" s="304"/>
      <c r="AJ102" s="304"/>
      <c r="AK102" s="304"/>
      <c r="AL102" s="304"/>
      <c r="AM102" s="304"/>
      <c r="AN102" s="304"/>
      <c r="AO102" s="304"/>
      <c r="AP102" s="304"/>
      <c r="AQ102" s="304"/>
      <c r="AR102" s="304"/>
      <c r="AS102" s="304"/>
      <c r="AT102" s="304"/>
      <c r="AU102" s="304"/>
      <c r="AV102" s="304"/>
      <c r="AW102" s="304"/>
      <c r="AX102" s="304"/>
      <c r="AY102" s="304"/>
      <c r="AZ102" s="304"/>
      <c r="BA102" s="304"/>
      <c r="BB102" s="304"/>
      <c r="BC102" s="304"/>
      <c r="BD102" s="304"/>
      <c r="BE102" s="304"/>
      <c r="BF102" s="304"/>
      <c r="BG102" s="304"/>
      <c r="BH102" s="304"/>
      <c r="BI102" s="304"/>
      <c r="BJ102" s="304"/>
      <c r="BK102" s="304"/>
      <c r="BL102" s="304"/>
      <c r="BM102" s="304"/>
      <c r="BN102" s="304"/>
      <c r="BO102" s="304"/>
      <c r="BP102" s="341" t="s">
        <v>757</v>
      </c>
      <c r="BQ102" s="310"/>
      <c r="BR102" s="285"/>
    </row>
    <row r="103" spans="6:70" ht="14.25" x14ac:dyDescent="0.2">
      <c r="F103" s="304"/>
      <c r="I103" s="304"/>
      <c r="J103" s="304"/>
      <c r="K103" s="304"/>
      <c r="N103" s="304"/>
      <c r="O103" s="304"/>
      <c r="P103" s="304"/>
      <c r="Q103" s="304"/>
      <c r="R103" s="304"/>
      <c r="S103" s="304"/>
      <c r="V103" s="304"/>
      <c r="W103" s="304"/>
      <c r="X103" s="304"/>
      <c r="Y103" s="304"/>
      <c r="Z103" s="304"/>
      <c r="AA103" s="304"/>
      <c r="AB103" s="304"/>
      <c r="AC103" s="304"/>
      <c r="AD103" s="304"/>
      <c r="AE103" s="304"/>
      <c r="AF103" s="304"/>
      <c r="AG103" s="304"/>
      <c r="AH103" s="304"/>
      <c r="AI103" s="304"/>
      <c r="AJ103" s="304"/>
      <c r="AK103" s="304"/>
      <c r="AL103" s="304"/>
      <c r="AM103" s="304"/>
      <c r="AN103" s="304"/>
      <c r="AO103" s="304"/>
      <c r="AP103" s="304"/>
      <c r="AQ103" s="304"/>
      <c r="AR103" s="304"/>
      <c r="AS103" s="304"/>
      <c r="AT103" s="304"/>
      <c r="AU103" s="304"/>
      <c r="AV103" s="304"/>
      <c r="AW103" s="304"/>
      <c r="AX103" s="304"/>
      <c r="AY103" s="304"/>
      <c r="AZ103" s="304"/>
      <c r="BA103" s="304"/>
      <c r="BB103" s="304"/>
      <c r="BC103" s="304"/>
      <c r="BD103" s="304"/>
      <c r="BE103" s="304"/>
      <c r="BF103" s="304"/>
      <c r="BG103" s="304"/>
      <c r="BH103" s="304"/>
      <c r="BI103" s="304"/>
      <c r="BJ103" s="304"/>
      <c r="BK103" s="304"/>
      <c r="BL103" s="304"/>
      <c r="BM103" s="304"/>
      <c r="BN103" s="304"/>
      <c r="BO103" s="304"/>
      <c r="BP103" s="304"/>
      <c r="BQ103" s="340" t="s">
        <v>759</v>
      </c>
    </row>
    <row r="104" spans="6:70" ht="14.25" x14ac:dyDescent="0.2">
      <c r="F104" s="304"/>
      <c r="I104" s="304"/>
      <c r="J104" s="304"/>
      <c r="K104" s="304"/>
      <c r="N104" s="304"/>
      <c r="O104" s="304"/>
      <c r="P104" s="304"/>
      <c r="Q104" s="304"/>
      <c r="R104" s="304"/>
      <c r="S104" s="304"/>
      <c r="V104" s="304"/>
      <c r="W104" s="304"/>
      <c r="X104" s="304"/>
      <c r="Y104" s="304"/>
      <c r="Z104" s="304"/>
      <c r="AA104" s="304"/>
      <c r="AB104" s="304"/>
      <c r="AC104" s="304"/>
      <c r="AD104" s="304"/>
      <c r="AE104" s="304"/>
      <c r="AF104" s="304"/>
      <c r="AG104" s="304"/>
      <c r="AH104" s="304"/>
      <c r="AI104" s="304"/>
      <c r="AJ104" s="304"/>
      <c r="AK104" s="304"/>
      <c r="AL104" s="304"/>
      <c r="AM104" s="304"/>
      <c r="AN104" s="304"/>
      <c r="AO104" s="304"/>
      <c r="AP104" s="304"/>
      <c r="AQ104" s="304"/>
      <c r="AR104" s="304"/>
      <c r="AS104" s="304"/>
      <c r="AT104" s="304"/>
      <c r="AU104" s="304"/>
      <c r="AV104" s="304"/>
      <c r="AW104" s="304"/>
      <c r="AX104" s="304"/>
      <c r="AY104" s="304"/>
      <c r="AZ104" s="304"/>
      <c r="BA104" s="304"/>
      <c r="BB104" s="304"/>
      <c r="BC104" s="304"/>
      <c r="BD104" s="304"/>
      <c r="BE104" s="304"/>
      <c r="BF104" s="304"/>
      <c r="BG104" s="304"/>
      <c r="BH104" s="304"/>
      <c r="BI104" s="304"/>
      <c r="BJ104" s="304"/>
      <c r="BK104" s="304"/>
      <c r="BL104" s="304"/>
      <c r="BM104" s="304"/>
      <c r="BN104" s="304"/>
      <c r="BO104" s="304"/>
      <c r="BP104" s="304"/>
      <c r="BQ104" s="342" t="s">
        <v>599</v>
      </c>
      <c r="BR104" s="305">
        <f>+BR49</f>
        <v>-2160.5</v>
      </c>
    </row>
    <row r="105" spans="6:70" x14ac:dyDescent="0.2">
      <c r="F105" s="304"/>
      <c r="I105" s="304"/>
      <c r="J105" s="304"/>
      <c r="K105" s="304"/>
      <c r="N105" s="304"/>
      <c r="O105" s="304"/>
      <c r="P105" s="304"/>
      <c r="Q105" s="304"/>
      <c r="R105" s="304"/>
      <c r="S105" s="304"/>
      <c r="V105" s="304"/>
      <c r="W105" s="304"/>
      <c r="X105" s="304"/>
      <c r="Y105" s="304"/>
      <c r="Z105" s="304"/>
      <c r="AA105" s="304"/>
      <c r="AB105" s="304"/>
      <c r="AC105" s="304"/>
      <c r="AD105" s="304"/>
      <c r="AE105" s="304"/>
      <c r="AF105" s="304"/>
      <c r="AG105" s="304"/>
      <c r="AH105" s="304"/>
      <c r="AI105" s="304"/>
      <c r="AJ105" s="304"/>
      <c r="AK105" s="304"/>
      <c r="AL105" s="304"/>
      <c r="AM105" s="304"/>
      <c r="AN105" s="304"/>
      <c r="AO105" s="304"/>
      <c r="AP105" s="304"/>
      <c r="AQ105" s="304"/>
      <c r="AR105" s="304"/>
      <c r="AS105" s="304"/>
      <c r="AT105" s="304"/>
      <c r="AU105" s="304"/>
      <c r="AV105" s="304"/>
      <c r="AW105" s="304"/>
      <c r="AX105" s="304"/>
      <c r="AY105" s="304"/>
      <c r="AZ105" s="304"/>
      <c r="BA105" s="304"/>
      <c r="BB105" s="304"/>
      <c r="BC105" s="304"/>
      <c r="BD105" s="304"/>
      <c r="BE105" s="304"/>
      <c r="BF105" s="304"/>
      <c r="BG105" s="304"/>
      <c r="BH105" s="304"/>
      <c r="BI105" s="304"/>
      <c r="BJ105" s="304"/>
      <c r="BK105" s="304"/>
      <c r="BL105" s="304"/>
      <c r="BM105" s="304"/>
      <c r="BN105" s="304"/>
      <c r="BO105" s="304"/>
      <c r="BP105" s="304"/>
      <c r="BQ105" s="304"/>
      <c r="BR105" s="285">
        <f>+BR97+BR100+BR101+BR104</f>
        <v>2562</v>
      </c>
    </row>
    <row r="106" spans="6:70" x14ac:dyDescent="0.2">
      <c r="F106" s="304"/>
      <c r="I106" s="304"/>
      <c r="J106" s="304"/>
      <c r="K106" s="304"/>
      <c r="N106" s="304"/>
      <c r="O106" s="304"/>
      <c r="P106" s="304"/>
      <c r="Q106" s="304"/>
      <c r="R106" s="304"/>
      <c r="S106" s="304"/>
      <c r="V106" s="304"/>
      <c r="W106" s="304"/>
      <c r="X106" s="304"/>
      <c r="Y106" s="304"/>
      <c r="Z106" s="304"/>
      <c r="AA106" s="304"/>
      <c r="AB106" s="304"/>
      <c r="AC106" s="304"/>
      <c r="AD106" s="304"/>
      <c r="AE106" s="304"/>
      <c r="AF106" s="304"/>
      <c r="AG106" s="304"/>
      <c r="AH106" s="304"/>
      <c r="AI106" s="304"/>
      <c r="AJ106" s="304"/>
      <c r="AK106" s="304"/>
      <c r="AL106" s="304"/>
      <c r="AM106" s="304"/>
      <c r="AN106" s="304"/>
      <c r="AO106" s="304"/>
      <c r="AP106" s="304"/>
      <c r="AQ106" s="304"/>
      <c r="AR106" s="304"/>
      <c r="AS106" s="304"/>
      <c r="AT106" s="304"/>
      <c r="AU106" s="304"/>
      <c r="AV106" s="304"/>
      <c r="AW106" s="304"/>
      <c r="AX106" s="304"/>
      <c r="AY106" s="304"/>
      <c r="AZ106" s="304"/>
      <c r="BA106" s="304"/>
      <c r="BB106" s="304"/>
      <c r="BC106" s="304"/>
      <c r="BD106" s="304"/>
      <c r="BE106" s="304"/>
      <c r="BF106" s="304"/>
      <c r="BG106" s="304"/>
      <c r="BH106" s="304"/>
      <c r="BI106" s="304"/>
      <c r="BJ106" s="304"/>
      <c r="BK106" s="304"/>
      <c r="BL106" s="304"/>
      <c r="BM106" s="304"/>
      <c r="BN106" s="304"/>
      <c r="BO106" s="304"/>
      <c r="BP106" s="304"/>
      <c r="BQ106" s="306" t="s">
        <v>760</v>
      </c>
      <c r="BR106" s="304"/>
    </row>
    <row r="107" spans="6:70" x14ac:dyDescent="0.2">
      <c r="F107" s="304"/>
      <c r="I107" s="304"/>
      <c r="J107" s="304"/>
      <c r="K107" s="304"/>
      <c r="N107" s="304"/>
      <c r="O107" s="304"/>
      <c r="P107" s="304"/>
      <c r="Q107" s="304"/>
      <c r="R107" s="304"/>
      <c r="S107" s="304"/>
      <c r="V107" s="304"/>
      <c r="W107" s="304"/>
      <c r="X107" s="304"/>
      <c r="Y107" s="304"/>
      <c r="Z107" s="304"/>
      <c r="AA107" s="304"/>
      <c r="AB107" s="304"/>
      <c r="AC107" s="304"/>
      <c r="AD107" s="304"/>
      <c r="AE107" s="304"/>
      <c r="AF107" s="304"/>
      <c r="AG107" s="304"/>
      <c r="AH107" s="304"/>
      <c r="AI107" s="304"/>
      <c r="AJ107" s="304"/>
      <c r="AK107" s="304"/>
      <c r="AL107" s="304"/>
      <c r="AM107" s="304"/>
      <c r="AN107" s="304"/>
      <c r="AO107" s="304"/>
      <c r="AP107" s="304"/>
      <c r="AQ107" s="304"/>
      <c r="AR107" s="304"/>
      <c r="AS107" s="304"/>
      <c r="AT107" s="304"/>
      <c r="AU107" s="304"/>
      <c r="AV107" s="304"/>
      <c r="AW107" s="304"/>
      <c r="AX107" s="304"/>
      <c r="AY107" s="304"/>
      <c r="AZ107" s="304"/>
      <c r="BA107" s="304"/>
      <c r="BB107" s="304"/>
      <c r="BC107" s="304"/>
      <c r="BD107" s="304"/>
      <c r="BE107" s="304"/>
      <c r="BF107" s="304"/>
      <c r="BG107" s="304"/>
      <c r="BH107" s="304"/>
      <c r="BI107" s="304"/>
      <c r="BJ107" s="304"/>
      <c r="BK107" s="304"/>
      <c r="BL107" s="304"/>
      <c r="BM107" s="304"/>
      <c r="BN107" s="304"/>
      <c r="BO107" s="304"/>
      <c r="BP107" s="304"/>
      <c r="BQ107" s="308" t="s">
        <v>599</v>
      </c>
      <c r="BR107" s="307">
        <f>+BR100+BR104</f>
        <v>-2374.5</v>
      </c>
    </row>
    <row r="108" spans="6:70" x14ac:dyDescent="0.2">
      <c r="F108" s="304"/>
      <c r="I108" s="304"/>
      <c r="J108" s="304"/>
      <c r="K108" s="304"/>
      <c r="N108" s="304"/>
      <c r="O108" s="304"/>
      <c r="P108" s="304"/>
      <c r="Q108" s="304"/>
      <c r="R108" s="304"/>
      <c r="S108" s="304"/>
      <c r="V108" s="304"/>
      <c r="W108" s="304"/>
      <c r="X108" s="304"/>
      <c r="Y108" s="304"/>
      <c r="Z108" s="304"/>
      <c r="AA108" s="304"/>
      <c r="AB108" s="304"/>
      <c r="AC108" s="304"/>
      <c r="AD108" s="304"/>
      <c r="AE108" s="304"/>
      <c r="AF108" s="304"/>
      <c r="AG108" s="304"/>
      <c r="AH108" s="304"/>
      <c r="AI108" s="304"/>
      <c r="AJ108" s="304"/>
      <c r="AK108" s="304"/>
      <c r="AL108" s="304"/>
      <c r="AM108" s="304"/>
      <c r="AN108" s="304"/>
      <c r="AO108" s="304"/>
      <c r="AP108" s="304"/>
      <c r="AQ108" s="304"/>
      <c r="AR108" s="304"/>
      <c r="AS108" s="304"/>
      <c r="AT108" s="304"/>
      <c r="AU108" s="304"/>
      <c r="AV108" s="304"/>
      <c r="AW108" s="304"/>
      <c r="AX108" s="304"/>
      <c r="AY108" s="304"/>
      <c r="AZ108" s="304"/>
      <c r="BA108" s="304"/>
      <c r="BB108" s="304"/>
      <c r="BC108" s="304"/>
      <c r="BD108" s="304"/>
      <c r="BE108" s="304"/>
      <c r="BF108" s="304"/>
      <c r="BG108" s="304"/>
      <c r="BH108" s="304"/>
      <c r="BI108" s="304"/>
      <c r="BJ108" s="304"/>
      <c r="BK108" s="304"/>
      <c r="BL108" s="304"/>
      <c r="BM108" s="304"/>
      <c r="BN108" s="304"/>
      <c r="BO108" s="304"/>
      <c r="BP108" s="304"/>
      <c r="BQ108" s="308" t="s">
        <v>600</v>
      </c>
      <c r="BR108" s="289">
        <f>+BR101</f>
        <v>-1551.5</v>
      </c>
    </row>
    <row r="109" spans="6:70" x14ac:dyDescent="0.2">
      <c r="F109" s="304"/>
      <c r="I109" s="304"/>
      <c r="J109" s="304"/>
      <c r="K109" s="304"/>
      <c r="N109" s="304"/>
      <c r="O109" s="304"/>
      <c r="P109" s="304"/>
      <c r="Q109" s="304"/>
      <c r="R109" s="304"/>
      <c r="S109" s="304"/>
      <c r="V109" s="304"/>
      <c r="W109" s="304"/>
      <c r="X109" s="304"/>
      <c r="Y109" s="304"/>
      <c r="Z109" s="304"/>
      <c r="AA109" s="304"/>
      <c r="AB109" s="304"/>
      <c r="AC109" s="304"/>
      <c r="AD109" s="304"/>
      <c r="AE109" s="304"/>
      <c r="AF109" s="304"/>
      <c r="AG109" s="304"/>
      <c r="AH109" s="304"/>
      <c r="AI109" s="304"/>
      <c r="AJ109" s="304"/>
      <c r="AK109" s="304"/>
      <c r="AL109" s="304"/>
      <c r="AM109" s="304"/>
      <c r="AN109" s="304"/>
      <c r="AO109" s="304"/>
      <c r="AP109" s="304"/>
      <c r="AQ109" s="304"/>
      <c r="AR109" s="304"/>
      <c r="AS109" s="304"/>
      <c r="AT109" s="304"/>
      <c r="AU109" s="304"/>
      <c r="AV109" s="304"/>
      <c r="AW109" s="304"/>
      <c r="AX109" s="304"/>
      <c r="AY109" s="304"/>
      <c r="AZ109" s="304"/>
      <c r="BA109" s="304"/>
      <c r="BB109" s="304"/>
      <c r="BC109" s="304"/>
      <c r="BD109" s="304"/>
      <c r="BE109" s="304"/>
      <c r="BF109" s="304"/>
      <c r="BG109" s="304"/>
      <c r="BH109" s="304"/>
      <c r="BI109" s="304" t="b">
        <f>+BR97+BR109=BR105</f>
        <v>1</v>
      </c>
      <c r="BJ109" s="304"/>
      <c r="BK109" s="304"/>
      <c r="BL109" s="304"/>
      <c r="BM109" s="304"/>
      <c r="BN109" s="304"/>
      <c r="BO109" s="304"/>
      <c r="BP109" s="304"/>
      <c r="BQ109" s="304"/>
      <c r="BR109" s="285">
        <f>+BR107+BR108</f>
        <v>-3926</v>
      </c>
    </row>
    <row r="110" spans="6:70" x14ac:dyDescent="0.2">
      <c r="F110" s="304"/>
      <c r="I110" s="304"/>
      <c r="J110" s="304"/>
      <c r="K110" s="304"/>
      <c r="N110" s="304"/>
      <c r="O110" s="304"/>
      <c r="P110" s="304"/>
      <c r="Q110" s="304"/>
      <c r="R110" s="304"/>
      <c r="S110" s="304"/>
      <c r="V110" s="304"/>
      <c r="W110" s="304"/>
      <c r="X110" s="304"/>
      <c r="Y110" s="304"/>
      <c r="Z110" s="304"/>
      <c r="AA110" s="304"/>
      <c r="AB110" s="304"/>
      <c r="AC110" s="304"/>
      <c r="AD110" s="304"/>
      <c r="AE110" s="304"/>
      <c r="AF110" s="304"/>
      <c r="AG110" s="304"/>
      <c r="AH110" s="304"/>
      <c r="AI110" s="304"/>
      <c r="AJ110" s="304"/>
      <c r="AK110" s="304"/>
      <c r="AL110" s="304"/>
      <c r="AM110" s="304"/>
      <c r="AN110" s="304"/>
      <c r="AO110" s="304"/>
      <c r="AP110" s="304"/>
      <c r="AQ110" s="304"/>
      <c r="AR110" s="304"/>
      <c r="AS110" s="304"/>
      <c r="AT110" s="304"/>
      <c r="AU110" s="304"/>
      <c r="AV110" s="304"/>
      <c r="AW110" s="304"/>
      <c r="AX110" s="304"/>
      <c r="AY110" s="304"/>
      <c r="AZ110" s="304"/>
      <c r="BA110" s="304"/>
      <c r="BB110" s="304"/>
      <c r="BC110" s="304"/>
      <c r="BD110" s="304"/>
      <c r="BE110" s="304"/>
      <c r="BF110" s="304"/>
      <c r="BG110" s="304"/>
      <c r="BH110" s="304"/>
      <c r="BI110" s="304"/>
      <c r="BJ110" s="304"/>
      <c r="BK110" s="304"/>
      <c r="BL110" s="304"/>
      <c r="BM110" s="304"/>
      <c r="BN110" s="304"/>
      <c r="BO110" s="304"/>
      <c r="BP110" s="304"/>
      <c r="BQ110" s="304"/>
      <c r="BR110" s="304"/>
    </row>
    <row r="111" spans="6:70" x14ac:dyDescent="0.2">
      <c r="F111" s="304"/>
      <c r="I111" s="304"/>
      <c r="J111" s="304"/>
      <c r="K111" s="304"/>
      <c r="N111" s="304"/>
      <c r="O111" s="304"/>
      <c r="P111" s="304"/>
      <c r="Q111" s="304"/>
      <c r="R111" s="304"/>
      <c r="S111" s="304"/>
      <c r="V111" s="304"/>
      <c r="W111" s="304"/>
      <c r="X111" s="304"/>
      <c r="Y111" s="304"/>
      <c r="Z111" s="304"/>
      <c r="AA111" s="304"/>
      <c r="AB111" s="304"/>
      <c r="AC111" s="304"/>
      <c r="AD111" s="304"/>
      <c r="AE111" s="304"/>
      <c r="AF111" s="304"/>
      <c r="AG111" s="304"/>
      <c r="AH111" s="304"/>
      <c r="AI111" s="304"/>
      <c r="AJ111" s="304"/>
      <c r="AK111" s="304"/>
      <c r="AL111" s="304"/>
      <c r="AM111" s="304"/>
      <c r="AN111" s="304"/>
      <c r="AO111" s="304"/>
      <c r="AP111" s="304"/>
      <c r="AQ111" s="304"/>
      <c r="AR111" s="304"/>
      <c r="AS111" s="304"/>
      <c r="AT111" s="304"/>
      <c r="AU111" s="304"/>
      <c r="AV111" s="304"/>
      <c r="AW111" s="304"/>
      <c r="AX111" s="304"/>
      <c r="AY111" s="304"/>
      <c r="AZ111" s="304"/>
      <c r="BA111" s="304"/>
      <c r="BB111" s="304"/>
      <c r="BC111" s="304"/>
      <c r="BD111" s="304"/>
      <c r="BE111" s="304"/>
      <c r="BF111" s="304"/>
      <c r="BG111" s="304"/>
      <c r="BH111" s="304"/>
      <c r="BI111" s="304"/>
      <c r="BJ111" s="304"/>
      <c r="BK111" s="304"/>
      <c r="BL111" s="304"/>
      <c r="BM111" s="304"/>
      <c r="BN111" s="304"/>
      <c r="BO111" s="304"/>
      <c r="BP111" s="304"/>
      <c r="BQ111" s="304"/>
      <c r="BR111" s="304"/>
    </row>
    <row r="112" spans="6:70" x14ac:dyDescent="0.2">
      <c r="F112" s="304"/>
      <c r="I112" s="304"/>
      <c r="J112" s="304"/>
      <c r="K112" s="304"/>
      <c r="N112" s="304"/>
      <c r="O112" s="304"/>
      <c r="P112" s="304"/>
      <c r="Q112" s="304"/>
      <c r="R112" s="304"/>
      <c r="S112" s="304"/>
      <c r="V112" s="304"/>
      <c r="W112" s="304"/>
      <c r="X112" s="304"/>
      <c r="Y112" s="304"/>
      <c r="Z112" s="304"/>
      <c r="AA112" s="304"/>
      <c r="AB112" s="304"/>
      <c r="AC112" s="304"/>
      <c r="AD112" s="304"/>
      <c r="AE112" s="304"/>
      <c r="AF112" s="304"/>
      <c r="AG112" s="304"/>
      <c r="AH112" s="304"/>
      <c r="AI112" s="304"/>
      <c r="AJ112" s="304"/>
      <c r="AK112" s="304"/>
      <c r="AL112" s="304"/>
      <c r="AM112" s="304"/>
      <c r="AN112" s="304"/>
      <c r="AO112" s="304"/>
      <c r="AP112" s="304"/>
      <c r="AQ112" s="304"/>
      <c r="AR112" s="304"/>
      <c r="AS112" s="304"/>
      <c r="AT112" s="304"/>
      <c r="AU112" s="304"/>
      <c r="AV112" s="304"/>
      <c r="AW112" s="304"/>
      <c r="AX112" s="304"/>
      <c r="AY112" s="304"/>
      <c r="AZ112" s="304"/>
      <c r="BA112" s="304"/>
      <c r="BB112" s="304"/>
      <c r="BC112" s="304"/>
      <c r="BD112" s="304"/>
      <c r="BE112" s="304"/>
      <c r="BF112" s="304"/>
      <c r="BG112" s="304"/>
      <c r="BH112" s="304"/>
      <c r="BI112" s="304"/>
      <c r="BJ112" s="304"/>
      <c r="BK112" s="304"/>
      <c r="BL112" s="304"/>
      <c r="BM112" s="304"/>
      <c r="BN112" s="304"/>
      <c r="BO112" s="304"/>
      <c r="BP112" s="304"/>
      <c r="BQ112" s="304"/>
      <c r="BR112" s="304"/>
    </row>
    <row r="113" spans="6:70" x14ac:dyDescent="0.2">
      <c r="F113" s="304"/>
      <c r="I113" s="304"/>
      <c r="J113" s="304"/>
      <c r="K113" s="304"/>
      <c r="N113" s="304"/>
      <c r="O113" s="304"/>
      <c r="P113" s="304"/>
      <c r="Q113" s="304"/>
      <c r="R113" s="304"/>
      <c r="S113" s="304"/>
      <c r="V113" s="304"/>
      <c r="W113" s="304"/>
      <c r="X113" s="304"/>
      <c r="Y113" s="304"/>
      <c r="Z113" s="304"/>
      <c r="AA113" s="304"/>
      <c r="AB113" s="304"/>
      <c r="AC113" s="304"/>
      <c r="AD113" s="304"/>
      <c r="AE113" s="304"/>
      <c r="AF113" s="304"/>
      <c r="AG113" s="304"/>
      <c r="AH113" s="304"/>
      <c r="AI113" s="304"/>
      <c r="AJ113" s="304"/>
      <c r="AK113" s="304"/>
      <c r="AL113" s="304"/>
      <c r="AM113" s="304"/>
      <c r="AN113" s="304"/>
      <c r="AO113" s="304"/>
      <c r="AP113" s="304"/>
      <c r="AQ113" s="304"/>
      <c r="AR113" s="304"/>
      <c r="AS113" s="304"/>
      <c r="AT113" s="304"/>
      <c r="AU113" s="304"/>
      <c r="AV113" s="304"/>
      <c r="AW113" s="304"/>
      <c r="AX113" s="304"/>
      <c r="AY113" s="304"/>
      <c r="AZ113" s="304"/>
      <c r="BA113" s="304"/>
      <c r="BB113" s="304"/>
      <c r="BC113" s="304"/>
      <c r="BD113" s="304"/>
      <c r="BE113" s="304"/>
      <c r="BF113" s="304"/>
      <c r="BG113" s="304"/>
      <c r="BH113" s="304"/>
      <c r="BI113" s="304"/>
      <c r="BJ113" s="304"/>
      <c r="BK113" s="304"/>
      <c r="BL113" s="304"/>
      <c r="BM113" s="304"/>
      <c r="BN113" s="304"/>
      <c r="BO113" s="304"/>
      <c r="BP113" s="304"/>
      <c r="BQ113" s="304"/>
      <c r="BR113" s="304"/>
    </row>
    <row r="114" spans="6:70" x14ac:dyDescent="0.2">
      <c r="F114" s="304"/>
      <c r="I114" s="304"/>
      <c r="J114" s="304"/>
      <c r="K114" s="304"/>
      <c r="N114" s="304"/>
      <c r="O114" s="304"/>
      <c r="P114" s="304"/>
      <c r="Q114" s="304"/>
      <c r="R114" s="304"/>
      <c r="S114" s="304"/>
      <c r="V114" s="304"/>
      <c r="W114" s="304"/>
      <c r="X114" s="304"/>
      <c r="Y114" s="304"/>
      <c r="Z114" s="304"/>
      <c r="AA114" s="304"/>
      <c r="AB114" s="304"/>
      <c r="AC114" s="304"/>
      <c r="AD114" s="304"/>
      <c r="AE114" s="304"/>
      <c r="AF114" s="304"/>
      <c r="AG114" s="304"/>
      <c r="AH114" s="304"/>
      <c r="AI114" s="304"/>
      <c r="AJ114" s="304"/>
      <c r="AK114" s="304"/>
      <c r="AL114" s="304"/>
      <c r="AM114" s="304"/>
      <c r="AN114" s="304"/>
      <c r="AO114" s="304"/>
      <c r="AP114" s="304"/>
      <c r="AQ114" s="304"/>
      <c r="AR114" s="304"/>
      <c r="AS114" s="304"/>
      <c r="AT114" s="304"/>
      <c r="AU114" s="304"/>
      <c r="AV114" s="304"/>
      <c r="AW114" s="304"/>
      <c r="AX114" s="304"/>
      <c r="AY114" s="304"/>
      <c r="AZ114" s="304"/>
      <c r="BA114" s="304"/>
      <c r="BB114" s="304"/>
      <c r="BC114" s="304"/>
      <c r="BD114" s="304"/>
      <c r="BE114" s="304"/>
      <c r="BF114" s="304"/>
      <c r="BG114" s="304"/>
      <c r="BH114" s="304"/>
      <c r="BI114" s="304"/>
      <c r="BJ114" s="304"/>
      <c r="BK114" s="304"/>
      <c r="BL114" s="304"/>
      <c r="BM114" s="304"/>
      <c r="BN114" s="304"/>
      <c r="BO114" s="304"/>
      <c r="BP114" s="304"/>
      <c r="BQ114" s="304"/>
      <c r="BR114" s="304"/>
    </row>
    <row r="115" spans="6:70" x14ac:dyDescent="0.2">
      <c r="F115" s="304"/>
      <c r="I115" s="304"/>
      <c r="J115" s="304"/>
      <c r="K115" s="304"/>
      <c r="N115" s="304"/>
      <c r="O115" s="304"/>
      <c r="P115" s="304"/>
      <c r="Q115" s="304"/>
      <c r="R115" s="304"/>
      <c r="S115" s="304"/>
      <c r="V115" s="304"/>
      <c r="W115" s="304"/>
      <c r="X115" s="304"/>
      <c r="Y115" s="304"/>
      <c r="Z115" s="304"/>
      <c r="AA115" s="304"/>
      <c r="AB115" s="304"/>
      <c r="AC115" s="304"/>
      <c r="AD115" s="304"/>
      <c r="AE115" s="304"/>
      <c r="AF115" s="304"/>
      <c r="AG115" s="304"/>
      <c r="AH115" s="304"/>
      <c r="AI115" s="304"/>
      <c r="AJ115" s="304"/>
      <c r="AK115" s="304"/>
      <c r="AL115" s="304"/>
      <c r="AM115" s="304"/>
      <c r="AN115" s="304"/>
      <c r="AO115" s="304"/>
      <c r="AP115" s="304"/>
      <c r="AQ115" s="304"/>
      <c r="AR115" s="304"/>
      <c r="AS115" s="304"/>
      <c r="AT115" s="304"/>
      <c r="AU115" s="304"/>
      <c r="AV115" s="304"/>
      <c r="AW115" s="304"/>
      <c r="AX115" s="304"/>
      <c r="AY115" s="304"/>
      <c r="AZ115" s="304"/>
      <c r="BA115" s="304"/>
      <c r="BB115" s="304"/>
      <c r="BC115" s="304"/>
      <c r="BD115" s="304"/>
      <c r="BE115" s="304"/>
      <c r="BF115" s="304"/>
      <c r="BG115" s="304"/>
      <c r="BH115" s="304"/>
      <c r="BI115" s="304"/>
      <c r="BJ115" s="304"/>
      <c r="BK115" s="304"/>
      <c r="BL115" s="304"/>
      <c r="BM115" s="304"/>
      <c r="BN115" s="304"/>
      <c r="BO115" s="304"/>
      <c r="BP115" s="304"/>
      <c r="BQ115" s="304"/>
      <c r="BR115" s="304"/>
    </row>
    <row r="116" spans="6:70" x14ac:dyDescent="0.2">
      <c r="F116" s="304"/>
      <c r="I116" s="304"/>
      <c r="J116" s="304"/>
      <c r="K116" s="304"/>
      <c r="N116" s="304"/>
      <c r="O116" s="304"/>
      <c r="P116" s="304"/>
      <c r="Q116" s="304"/>
      <c r="R116" s="304"/>
      <c r="S116" s="304"/>
      <c r="V116" s="304"/>
      <c r="W116" s="304"/>
      <c r="X116" s="304"/>
      <c r="Y116" s="304"/>
      <c r="Z116" s="304"/>
      <c r="AA116" s="304"/>
      <c r="AB116" s="304"/>
      <c r="AC116" s="304"/>
      <c r="AD116" s="304"/>
      <c r="AE116" s="304"/>
      <c r="AF116" s="304"/>
      <c r="AG116" s="304"/>
      <c r="AH116" s="304"/>
      <c r="AI116" s="304"/>
      <c r="AJ116" s="304"/>
      <c r="AK116" s="304"/>
      <c r="AL116" s="304"/>
      <c r="AM116" s="304"/>
      <c r="AN116" s="304"/>
      <c r="AO116" s="304"/>
      <c r="AP116" s="304"/>
      <c r="AQ116" s="304"/>
      <c r="AR116" s="304"/>
      <c r="AS116" s="304"/>
      <c r="AT116" s="304"/>
      <c r="AU116" s="304"/>
      <c r="AV116" s="304"/>
      <c r="AW116" s="304"/>
      <c r="AX116" s="304"/>
      <c r="AY116" s="304"/>
      <c r="AZ116" s="304"/>
      <c r="BA116" s="304"/>
      <c r="BB116" s="304"/>
      <c r="BC116" s="304"/>
      <c r="BD116" s="304"/>
      <c r="BE116" s="304"/>
      <c r="BF116" s="304"/>
      <c r="BG116" s="304"/>
      <c r="BH116" s="304"/>
      <c r="BI116" s="304"/>
      <c r="BJ116" s="304"/>
      <c r="BK116" s="304"/>
      <c r="BL116" s="304"/>
      <c r="BM116" s="304"/>
      <c r="BN116" s="304"/>
      <c r="BO116" s="304"/>
      <c r="BP116" s="304"/>
      <c r="BQ116" s="304"/>
      <c r="BR116" s="304"/>
    </row>
    <row r="117" spans="6:70" x14ac:dyDescent="0.2">
      <c r="F117" s="304"/>
      <c r="I117" s="304"/>
      <c r="J117" s="304"/>
      <c r="K117" s="304"/>
      <c r="N117" s="304"/>
      <c r="O117" s="304"/>
      <c r="P117" s="304"/>
      <c r="Q117" s="304"/>
      <c r="R117" s="304"/>
      <c r="S117" s="304"/>
      <c r="V117" s="304"/>
      <c r="W117" s="304"/>
      <c r="X117" s="304"/>
      <c r="Y117" s="304"/>
      <c r="Z117" s="304"/>
      <c r="AA117" s="304"/>
      <c r="AB117" s="304"/>
      <c r="AC117" s="304"/>
      <c r="AD117" s="304"/>
      <c r="AE117" s="304"/>
      <c r="AF117" s="304"/>
      <c r="AG117" s="304"/>
      <c r="AH117" s="304"/>
      <c r="AI117" s="304"/>
      <c r="AJ117" s="304"/>
      <c r="AK117" s="304"/>
      <c r="AL117" s="304"/>
      <c r="AM117" s="304"/>
      <c r="AN117" s="304"/>
      <c r="AO117" s="304"/>
      <c r="AP117" s="304"/>
      <c r="AQ117" s="304"/>
      <c r="AR117" s="304"/>
      <c r="AS117" s="304"/>
      <c r="AT117" s="304"/>
      <c r="AU117" s="304"/>
      <c r="AV117" s="304"/>
      <c r="AW117" s="304"/>
      <c r="AX117" s="304"/>
      <c r="AY117" s="304"/>
      <c r="AZ117" s="304"/>
      <c r="BA117" s="304"/>
      <c r="BB117" s="304"/>
      <c r="BC117" s="304"/>
      <c r="BD117" s="304"/>
      <c r="BE117" s="304"/>
      <c r="BF117" s="304"/>
      <c r="BG117" s="304"/>
      <c r="BH117" s="304"/>
      <c r="BI117" s="304"/>
      <c r="BJ117" s="304"/>
      <c r="BK117" s="304"/>
      <c r="BL117" s="304"/>
      <c r="BM117" s="304"/>
      <c r="BN117" s="304"/>
      <c r="BO117" s="304"/>
      <c r="BP117" s="304"/>
      <c r="BQ117" s="304"/>
      <c r="BR117" s="304"/>
    </row>
    <row r="118" spans="6:70" x14ac:dyDescent="0.2">
      <c r="F118" s="304"/>
      <c r="I118" s="304"/>
      <c r="J118" s="304"/>
      <c r="K118" s="304"/>
      <c r="N118" s="304"/>
      <c r="O118" s="304"/>
      <c r="P118" s="304"/>
      <c r="Q118" s="304"/>
      <c r="R118" s="304"/>
      <c r="S118" s="304"/>
      <c r="V118" s="304"/>
      <c r="W118" s="304"/>
      <c r="X118" s="304"/>
      <c r="Y118" s="304"/>
      <c r="Z118" s="304"/>
      <c r="AA118" s="304"/>
      <c r="AB118" s="304"/>
      <c r="AC118" s="304"/>
      <c r="AD118" s="304"/>
      <c r="AE118" s="304"/>
      <c r="AF118" s="304"/>
      <c r="AG118" s="304"/>
      <c r="AH118" s="304"/>
      <c r="AI118" s="304"/>
      <c r="AJ118" s="304"/>
      <c r="AK118" s="304"/>
      <c r="AL118" s="304"/>
      <c r="AM118" s="304"/>
      <c r="AN118" s="304"/>
      <c r="AO118" s="304"/>
      <c r="AP118" s="304"/>
      <c r="AQ118" s="304"/>
      <c r="AR118" s="304"/>
      <c r="AS118" s="304"/>
      <c r="AT118" s="304"/>
      <c r="AU118" s="304"/>
      <c r="AV118" s="304"/>
      <c r="AW118" s="304"/>
      <c r="AX118" s="304"/>
      <c r="AY118" s="304"/>
      <c r="AZ118" s="304"/>
      <c r="BA118" s="304"/>
      <c r="BB118" s="304"/>
      <c r="BC118" s="304"/>
      <c r="BD118" s="304"/>
      <c r="BE118" s="304"/>
      <c r="BF118" s="304"/>
      <c r="BG118" s="304"/>
      <c r="BH118" s="304"/>
      <c r="BI118" s="304"/>
      <c r="BJ118" s="304"/>
      <c r="BK118" s="304"/>
      <c r="BL118" s="304"/>
      <c r="BM118" s="304"/>
      <c r="BN118" s="304"/>
      <c r="BO118" s="304"/>
      <c r="BP118" s="304"/>
      <c r="BQ118" s="304"/>
      <c r="BR118" s="304"/>
    </row>
    <row r="119" spans="6:70" x14ac:dyDescent="0.2">
      <c r="F119" s="304"/>
      <c r="I119" s="304"/>
      <c r="J119" s="304"/>
      <c r="K119" s="304"/>
      <c r="N119" s="304"/>
      <c r="O119" s="304"/>
      <c r="P119" s="304"/>
      <c r="Q119" s="304"/>
      <c r="R119" s="304"/>
      <c r="S119" s="304"/>
      <c r="V119" s="304"/>
      <c r="W119" s="304"/>
      <c r="X119" s="304"/>
      <c r="Y119" s="304"/>
      <c r="Z119" s="304"/>
      <c r="AA119" s="304"/>
      <c r="AB119" s="304"/>
      <c r="AC119" s="304"/>
      <c r="AD119" s="304"/>
      <c r="AE119" s="304"/>
      <c r="AF119" s="304"/>
      <c r="AG119" s="304"/>
      <c r="AH119" s="304"/>
      <c r="AI119" s="304"/>
      <c r="AJ119" s="304"/>
      <c r="AK119" s="304"/>
      <c r="AL119" s="304"/>
      <c r="AM119" s="304"/>
      <c r="AN119" s="304"/>
      <c r="AO119" s="304"/>
      <c r="AP119" s="304"/>
      <c r="AQ119" s="304"/>
      <c r="AR119" s="304"/>
      <c r="AS119" s="304"/>
      <c r="AT119" s="304"/>
      <c r="AU119" s="304"/>
      <c r="AV119" s="304"/>
      <c r="AW119" s="304"/>
      <c r="AX119" s="304"/>
      <c r="AY119" s="304"/>
      <c r="AZ119" s="304"/>
      <c r="BA119" s="304"/>
      <c r="BB119" s="304"/>
      <c r="BC119" s="304"/>
      <c r="BD119" s="304"/>
      <c r="BE119" s="304"/>
      <c r="BF119" s="304"/>
      <c r="BG119" s="304"/>
      <c r="BH119" s="304"/>
      <c r="BI119" s="304"/>
      <c r="BJ119" s="304"/>
      <c r="BK119" s="304"/>
      <c r="BL119" s="304"/>
      <c r="BM119" s="304"/>
      <c r="BN119" s="304"/>
      <c r="BO119" s="304"/>
      <c r="BP119" s="304"/>
      <c r="BQ119" s="304"/>
      <c r="BR119" s="304"/>
    </row>
    <row r="120" spans="6:70" x14ac:dyDescent="0.2">
      <c r="F120" s="304"/>
      <c r="I120" s="304"/>
      <c r="J120" s="304"/>
      <c r="K120" s="304"/>
      <c r="N120" s="304"/>
      <c r="O120" s="304"/>
      <c r="P120" s="304"/>
      <c r="Q120" s="304"/>
      <c r="R120" s="304"/>
      <c r="S120" s="304"/>
      <c r="V120" s="304"/>
      <c r="W120" s="304"/>
      <c r="X120" s="304"/>
      <c r="Y120" s="304"/>
      <c r="Z120" s="304"/>
      <c r="AA120" s="304"/>
      <c r="AB120" s="304"/>
      <c r="AC120" s="304"/>
      <c r="AD120" s="304"/>
      <c r="AE120" s="304"/>
      <c r="AF120" s="304"/>
      <c r="AG120" s="304"/>
      <c r="AH120" s="304"/>
      <c r="AI120" s="304"/>
      <c r="AJ120" s="304"/>
      <c r="AK120" s="304"/>
      <c r="AL120" s="304"/>
      <c r="AM120" s="304"/>
      <c r="AN120" s="304"/>
      <c r="AO120" s="304"/>
      <c r="AP120" s="304"/>
      <c r="AQ120" s="304"/>
      <c r="AR120" s="304"/>
      <c r="AS120" s="304"/>
      <c r="AT120" s="304"/>
      <c r="AU120" s="304"/>
      <c r="AV120" s="304"/>
      <c r="AW120" s="304"/>
      <c r="AX120" s="304"/>
      <c r="AY120" s="304"/>
      <c r="AZ120" s="304"/>
      <c r="BA120" s="304"/>
      <c r="BB120" s="304"/>
      <c r="BC120" s="304"/>
      <c r="BD120" s="304"/>
      <c r="BE120" s="304"/>
      <c r="BF120" s="304"/>
      <c r="BG120" s="304"/>
      <c r="BH120" s="304"/>
      <c r="BI120" s="304"/>
      <c r="BJ120" s="304"/>
      <c r="BK120" s="304"/>
      <c r="BL120" s="304"/>
      <c r="BM120" s="304"/>
      <c r="BN120" s="304"/>
      <c r="BO120" s="304"/>
      <c r="BP120" s="304"/>
      <c r="BQ120" s="304"/>
      <c r="BR120" s="304"/>
    </row>
    <row r="121" spans="6:70" x14ac:dyDescent="0.2">
      <c r="F121" s="304"/>
      <c r="I121" s="304"/>
      <c r="J121" s="304"/>
      <c r="K121" s="304"/>
      <c r="N121" s="304"/>
      <c r="O121" s="304"/>
      <c r="P121" s="304"/>
      <c r="Q121" s="304"/>
      <c r="R121" s="304"/>
      <c r="S121" s="304"/>
      <c r="V121" s="304"/>
      <c r="W121" s="304"/>
      <c r="X121" s="304"/>
      <c r="Y121" s="304"/>
      <c r="Z121" s="304"/>
      <c r="AA121" s="304"/>
      <c r="AB121" s="304"/>
      <c r="AC121" s="304"/>
      <c r="AD121" s="304"/>
      <c r="AE121" s="304"/>
      <c r="AF121" s="304"/>
      <c r="AG121" s="304"/>
      <c r="AH121" s="304"/>
      <c r="AI121" s="304"/>
      <c r="AJ121" s="304"/>
      <c r="AK121" s="304"/>
      <c r="AL121" s="304"/>
      <c r="AM121" s="304"/>
      <c r="AN121" s="304"/>
      <c r="AO121" s="304"/>
      <c r="AP121" s="304"/>
      <c r="AQ121" s="304"/>
      <c r="AR121" s="304"/>
      <c r="AS121" s="304"/>
      <c r="AT121" s="304"/>
      <c r="AU121" s="304"/>
      <c r="AV121" s="304"/>
      <c r="AW121" s="304"/>
      <c r="AX121" s="304"/>
      <c r="AY121" s="304"/>
      <c r="AZ121" s="304"/>
      <c r="BA121" s="304"/>
      <c r="BB121" s="304"/>
      <c r="BC121" s="304"/>
      <c r="BD121" s="304"/>
      <c r="BE121" s="304"/>
      <c r="BF121" s="304"/>
      <c r="BG121" s="304"/>
      <c r="BH121" s="304"/>
      <c r="BI121" s="304"/>
      <c r="BJ121" s="304"/>
      <c r="BK121" s="304"/>
      <c r="BL121" s="304"/>
      <c r="BM121" s="304"/>
      <c r="BN121" s="304"/>
      <c r="BO121" s="304"/>
      <c r="BP121" s="304"/>
      <c r="BQ121" s="304"/>
      <c r="BR121" s="304"/>
    </row>
    <row r="122" spans="6:70" x14ac:dyDescent="0.2">
      <c r="F122" s="304"/>
      <c r="I122" s="304"/>
      <c r="J122" s="304"/>
      <c r="K122" s="304"/>
      <c r="N122" s="304"/>
      <c r="O122" s="304"/>
      <c r="P122" s="304"/>
      <c r="Q122" s="304"/>
      <c r="R122" s="304"/>
      <c r="S122" s="304"/>
      <c r="V122" s="304"/>
      <c r="W122" s="304"/>
      <c r="X122" s="304"/>
      <c r="Y122" s="304"/>
      <c r="Z122" s="304"/>
      <c r="AA122" s="304"/>
      <c r="AB122" s="304"/>
      <c r="AC122" s="304"/>
      <c r="AD122" s="304"/>
      <c r="AE122" s="304"/>
      <c r="AF122" s="304"/>
      <c r="AG122" s="304"/>
      <c r="AH122" s="304"/>
      <c r="AI122" s="304"/>
      <c r="AJ122" s="304"/>
      <c r="AK122" s="304"/>
      <c r="AL122" s="304"/>
      <c r="AM122" s="304"/>
      <c r="AN122" s="304"/>
      <c r="AO122" s="304"/>
      <c r="AP122" s="304"/>
      <c r="AQ122" s="304"/>
      <c r="AR122" s="304"/>
      <c r="AS122" s="304"/>
      <c r="AT122" s="304"/>
      <c r="AU122" s="304"/>
      <c r="AV122" s="304"/>
      <c r="AW122" s="304"/>
      <c r="AX122" s="304"/>
      <c r="AY122" s="304"/>
      <c r="AZ122" s="304"/>
      <c r="BA122" s="304"/>
      <c r="BB122" s="304"/>
      <c r="BC122" s="304"/>
      <c r="BD122" s="304"/>
      <c r="BE122" s="304"/>
      <c r="BF122" s="304"/>
      <c r="BG122" s="304"/>
      <c r="BH122" s="304"/>
      <c r="BI122" s="304"/>
      <c r="BJ122" s="304"/>
      <c r="BK122" s="304"/>
      <c r="BL122" s="304"/>
      <c r="BM122" s="304"/>
      <c r="BN122" s="304"/>
      <c r="BO122" s="304"/>
      <c r="BP122" s="304"/>
      <c r="BQ122" s="304"/>
      <c r="BR122" s="304"/>
    </row>
    <row r="123" spans="6:70" x14ac:dyDescent="0.2">
      <c r="F123" s="304"/>
      <c r="I123" s="304"/>
      <c r="J123" s="304"/>
      <c r="K123" s="304"/>
      <c r="N123" s="304"/>
      <c r="O123" s="304"/>
      <c r="P123" s="304"/>
      <c r="Q123" s="304"/>
      <c r="R123" s="304"/>
      <c r="S123" s="304"/>
      <c r="V123" s="304"/>
      <c r="W123" s="304"/>
      <c r="X123" s="304"/>
      <c r="Y123" s="304"/>
      <c r="Z123" s="304"/>
      <c r="AA123" s="304"/>
      <c r="AB123" s="304"/>
      <c r="AC123" s="304"/>
      <c r="AD123" s="304"/>
      <c r="AE123" s="304"/>
      <c r="AF123" s="304"/>
      <c r="AG123" s="304"/>
      <c r="AH123" s="304"/>
      <c r="AI123" s="304"/>
      <c r="AJ123" s="304"/>
      <c r="AK123" s="304"/>
      <c r="AL123" s="304"/>
      <c r="AM123" s="304"/>
      <c r="AN123" s="304"/>
      <c r="AO123" s="304"/>
      <c r="AP123" s="304"/>
      <c r="AQ123" s="304"/>
      <c r="AR123" s="304"/>
      <c r="AS123" s="304"/>
      <c r="AT123" s="304"/>
      <c r="AU123" s="304"/>
      <c r="AV123" s="304"/>
      <c r="AW123" s="304"/>
      <c r="AX123" s="304"/>
      <c r="AY123" s="304"/>
      <c r="AZ123" s="304"/>
      <c r="BA123" s="304"/>
      <c r="BB123" s="304"/>
      <c r="BC123" s="304"/>
      <c r="BD123" s="304"/>
      <c r="BE123" s="304"/>
      <c r="BF123" s="304"/>
      <c r="BG123" s="304"/>
      <c r="BH123" s="304"/>
      <c r="BI123" s="304"/>
      <c r="BJ123" s="304"/>
      <c r="BK123" s="304"/>
      <c r="BL123" s="304"/>
      <c r="BM123" s="304"/>
      <c r="BN123" s="304"/>
      <c r="BO123" s="304"/>
      <c r="BP123" s="304"/>
      <c r="BQ123" s="304"/>
      <c r="BR123" s="304"/>
    </row>
    <row r="124" spans="6:70" x14ac:dyDescent="0.2">
      <c r="F124" s="304"/>
      <c r="I124" s="304"/>
      <c r="J124" s="304"/>
      <c r="K124" s="304"/>
      <c r="N124" s="304"/>
      <c r="O124" s="304"/>
      <c r="P124" s="304"/>
      <c r="Q124" s="304"/>
      <c r="R124" s="304"/>
      <c r="S124" s="304"/>
      <c r="V124" s="304"/>
      <c r="W124" s="304"/>
      <c r="X124" s="304"/>
      <c r="Y124" s="304"/>
      <c r="Z124" s="304"/>
      <c r="AA124" s="304"/>
      <c r="AB124" s="304"/>
      <c r="AC124" s="304"/>
      <c r="AD124" s="304"/>
      <c r="AE124" s="304"/>
      <c r="AF124" s="304"/>
      <c r="AG124" s="304"/>
      <c r="AH124" s="304"/>
      <c r="AI124" s="304"/>
      <c r="AJ124" s="304"/>
      <c r="AK124" s="304"/>
      <c r="AL124" s="304"/>
      <c r="AM124" s="304"/>
      <c r="AN124" s="304"/>
      <c r="AO124" s="304"/>
      <c r="AP124" s="304"/>
      <c r="AQ124" s="304"/>
      <c r="AR124" s="304"/>
      <c r="AS124" s="304"/>
      <c r="AT124" s="304"/>
      <c r="AU124" s="304"/>
      <c r="AV124" s="304"/>
      <c r="AW124" s="304"/>
      <c r="AX124" s="304"/>
      <c r="AY124" s="304"/>
      <c r="AZ124" s="304"/>
      <c r="BA124" s="304"/>
      <c r="BB124" s="304"/>
      <c r="BC124" s="304"/>
      <c r="BD124" s="304"/>
      <c r="BE124" s="304"/>
      <c r="BF124" s="304"/>
      <c r="BG124" s="304"/>
      <c r="BH124" s="304"/>
      <c r="BI124" s="304"/>
      <c r="BJ124" s="304"/>
      <c r="BK124" s="304"/>
      <c r="BL124" s="304"/>
      <c r="BM124" s="304"/>
      <c r="BN124" s="304"/>
      <c r="BO124" s="304"/>
      <c r="BP124" s="304"/>
      <c r="BQ124" s="304"/>
      <c r="BR124" s="304"/>
    </row>
    <row r="125" spans="6:70" x14ac:dyDescent="0.2">
      <c r="F125" s="304"/>
      <c r="I125" s="304"/>
      <c r="J125" s="304"/>
      <c r="K125" s="304"/>
      <c r="N125" s="304"/>
      <c r="O125" s="304"/>
      <c r="P125" s="304"/>
      <c r="Q125" s="304"/>
      <c r="R125" s="304"/>
      <c r="S125" s="304"/>
      <c r="V125" s="304"/>
      <c r="W125" s="304"/>
      <c r="X125" s="304"/>
      <c r="Y125" s="304"/>
      <c r="Z125" s="304"/>
      <c r="AA125" s="304"/>
      <c r="AB125" s="304"/>
      <c r="AC125" s="304"/>
      <c r="AD125" s="304"/>
      <c r="AE125" s="304"/>
      <c r="AF125" s="304"/>
      <c r="AG125" s="304"/>
      <c r="AH125" s="304"/>
      <c r="AI125" s="304"/>
      <c r="AJ125" s="304"/>
      <c r="AK125" s="304"/>
      <c r="AL125" s="304"/>
      <c r="AM125" s="304"/>
      <c r="AN125" s="304"/>
      <c r="AO125" s="304"/>
      <c r="AP125" s="304"/>
      <c r="AQ125" s="304"/>
      <c r="AR125" s="304"/>
      <c r="AS125" s="304"/>
      <c r="AT125" s="304"/>
      <c r="AU125" s="304"/>
      <c r="AV125" s="304"/>
      <c r="AW125" s="304"/>
      <c r="AX125" s="304"/>
      <c r="AY125" s="304"/>
      <c r="AZ125" s="304"/>
      <c r="BA125" s="304"/>
      <c r="BB125" s="304"/>
      <c r="BC125" s="304"/>
      <c r="BD125" s="304"/>
      <c r="BE125" s="304"/>
      <c r="BF125" s="304"/>
      <c r="BG125" s="304"/>
      <c r="BH125" s="304"/>
      <c r="BI125" s="304"/>
      <c r="BJ125" s="304"/>
      <c r="BK125" s="304"/>
      <c r="BL125" s="304"/>
      <c r="BM125" s="304"/>
      <c r="BN125" s="304"/>
      <c r="BO125" s="304"/>
      <c r="BP125" s="304"/>
      <c r="BQ125" s="304"/>
      <c r="BR125" s="304"/>
    </row>
    <row r="126" spans="6:70" x14ac:dyDescent="0.2">
      <c r="F126" s="304"/>
      <c r="I126" s="304"/>
      <c r="J126" s="304"/>
      <c r="K126" s="304"/>
      <c r="N126" s="304"/>
      <c r="O126" s="304"/>
      <c r="P126" s="304"/>
      <c r="Q126" s="304"/>
      <c r="R126" s="304"/>
      <c r="S126" s="304"/>
      <c r="V126" s="304"/>
      <c r="W126" s="304"/>
      <c r="X126" s="304"/>
      <c r="Y126" s="304"/>
      <c r="Z126" s="304"/>
      <c r="AA126" s="304"/>
      <c r="AB126" s="304"/>
      <c r="AC126" s="304"/>
      <c r="AD126" s="304"/>
      <c r="AE126" s="304"/>
      <c r="AF126" s="304"/>
      <c r="AG126" s="304"/>
      <c r="AH126" s="304"/>
      <c r="AI126" s="304"/>
      <c r="AJ126" s="304"/>
      <c r="AK126" s="304"/>
      <c r="AL126" s="304"/>
      <c r="AM126" s="304"/>
      <c r="AN126" s="304"/>
      <c r="AO126" s="304"/>
      <c r="AP126" s="304"/>
      <c r="AQ126" s="304"/>
      <c r="AR126" s="304"/>
      <c r="AS126" s="304"/>
      <c r="AT126" s="304"/>
      <c r="AU126" s="304"/>
      <c r="AV126" s="304"/>
      <c r="AW126" s="304"/>
      <c r="AX126" s="304"/>
      <c r="AY126" s="304"/>
      <c r="AZ126" s="304"/>
      <c r="BA126" s="304"/>
      <c r="BB126" s="304"/>
      <c r="BC126" s="304"/>
      <c r="BD126" s="304"/>
      <c r="BE126" s="304"/>
      <c r="BF126" s="304"/>
      <c r="BG126" s="304"/>
      <c r="BH126" s="304"/>
      <c r="BI126" s="304"/>
      <c r="BJ126" s="304"/>
      <c r="BK126" s="304"/>
      <c r="BL126" s="304"/>
      <c r="BM126" s="304"/>
      <c r="BN126" s="304"/>
      <c r="BO126" s="304"/>
      <c r="BP126" s="304"/>
      <c r="BQ126" s="304"/>
      <c r="BR126" s="304"/>
    </row>
    <row r="127" spans="6:70" x14ac:dyDescent="0.2">
      <c r="F127" s="304"/>
      <c r="I127" s="304"/>
      <c r="J127" s="304"/>
      <c r="K127" s="304"/>
      <c r="N127" s="304"/>
      <c r="O127" s="304"/>
      <c r="P127" s="304"/>
      <c r="Q127" s="304"/>
      <c r="R127" s="304"/>
      <c r="S127" s="304"/>
      <c r="V127" s="304"/>
      <c r="W127" s="304"/>
      <c r="X127" s="304"/>
      <c r="Y127" s="304"/>
      <c r="Z127" s="304"/>
      <c r="AA127" s="304"/>
      <c r="AB127" s="304"/>
      <c r="AC127" s="304"/>
      <c r="AD127" s="304"/>
      <c r="AE127" s="304"/>
      <c r="AF127" s="304"/>
      <c r="AG127" s="304"/>
      <c r="AH127" s="304"/>
      <c r="AI127" s="304"/>
      <c r="AJ127" s="304"/>
      <c r="AK127" s="304"/>
      <c r="AL127" s="304"/>
      <c r="AM127" s="304"/>
      <c r="AN127" s="304"/>
      <c r="AO127" s="304"/>
      <c r="AP127" s="304"/>
      <c r="AQ127" s="304"/>
      <c r="AR127" s="304"/>
      <c r="AS127" s="304"/>
      <c r="AT127" s="304"/>
      <c r="AU127" s="304"/>
      <c r="AV127" s="304"/>
      <c r="AW127" s="304"/>
      <c r="AX127" s="304"/>
      <c r="AY127" s="304"/>
      <c r="AZ127" s="304"/>
      <c r="BA127" s="304"/>
      <c r="BB127" s="304"/>
      <c r="BC127" s="304"/>
      <c r="BD127" s="304"/>
      <c r="BE127" s="304"/>
      <c r="BF127" s="304"/>
      <c r="BG127" s="304"/>
      <c r="BH127" s="304"/>
      <c r="BI127" s="304"/>
      <c r="BJ127" s="304"/>
      <c r="BK127" s="304"/>
      <c r="BL127" s="304"/>
      <c r="BM127" s="304"/>
      <c r="BN127" s="304"/>
      <c r="BO127" s="304"/>
      <c r="BP127" s="304"/>
      <c r="BQ127" s="304"/>
      <c r="BR127" s="304"/>
    </row>
    <row r="128" spans="6:70" x14ac:dyDescent="0.2">
      <c r="F128" s="304"/>
      <c r="I128" s="304"/>
      <c r="J128" s="304"/>
      <c r="K128" s="304"/>
      <c r="N128" s="304"/>
      <c r="O128" s="304"/>
      <c r="P128" s="304"/>
      <c r="Q128" s="304"/>
      <c r="R128" s="304"/>
      <c r="S128" s="304"/>
      <c r="V128" s="304"/>
      <c r="W128" s="304"/>
      <c r="X128" s="304"/>
      <c r="Y128" s="304"/>
      <c r="Z128" s="304"/>
      <c r="AA128" s="304"/>
      <c r="AB128" s="304"/>
      <c r="AC128" s="304"/>
      <c r="AD128" s="304"/>
      <c r="AE128" s="304"/>
      <c r="AF128" s="304"/>
      <c r="AG128" s="304"/>
      <c r="AH128" s="304"/>
      <c r="AI128" s="304"/>
      <c r="AJ128" s="304"/>
      <c r="AK128" s="304"/>
      <c r="AL128" s="304"/>
      <c r="AM128" s="304"/>
      <c r="AN128" s="304"/>
      <c r="AO128" s="304"/>
      <c r="AP128" s="304"/>
      <c r="AQ128" s="304"/>
      <c r="AR128" s="304"/>
      <c r="AS128" s="304"/>
      <c r="AT128" s="304"/>
      <c r="AU128" s="304"/>
      <c r="AV128" s="304"/>
      <c r="AW128" s="304"/>
      <c r="AX128" s="304"/>
      <c r="AY128" s="304"/>
      <c r="AZ128" s="304"/>
      <c r="BA128" s="304"/>
      <c r="BB128" s="304"/>
      <c r="BC128" s="304"/>
      <c r="BD128" s="304"/>
      <c r="BE128" s="304"/>
      <c r="BF128" s="304"/>
      <c r="BG128" s="304"/>
      <c r="BH128" s="304"/>
      <c r="BI128" s="304"/>
      <c r="BJ128" s="304"/>
      <c r="BK128" s="304"/>
      <c r="BL128" s="304"/>
      <c r="BM128" s="304"/>
      <c r="BN128" s="304"/>
      <c r="BO128" s="304"/>
      <c r="BP128" s="304"/>
      <c r="BQ128" s="304"/>
      <c r="BR128" s="304"/>
    </row>
    <row r="129" spans="6:70" x14ac:dyDescent="0.2">
      <c r="F129" s="304"/>
      <c r="I129" s="304"/>
      <c r="J129" s="304"/>
      <c r="K129" s="304"/>
      <c r="N129" s="304"/>
      <c r="O129" s="304"/>
      <c r="P129" s="304"/>
      <c r="Q129" s="304"/>
      <c r="R129" s="304"/>
      <c r="S129" s="304"/>
      <c r="V129" s="304"/>
      <c r="W129" s="304"/>
      <c r="X129" s="304"/>
      <c r="Y129" s="304"/>
      <c r="Z129" s="304"/>
      <c r="AA129" s="304"/>
      <c r="AB129" s="304"/>
      <c r="AC129" s="304"/>
      <c r="AD129" s="304"/>
      <c r="AE129" s="304"/>
      <c r="AF129" s="304"/>
      <c r="AG129" s="304"/>
      <c r="AH129" s="304"/>
      <c r="AI129" s="304"/>
      <c r="AJ129" s="304"/>
      <c r="AK129" s="304"/>
      <c r="AL129" s="304"/>
      <c r="AM129" s="304"/>
      <c r="AN129" s="304"/>
      <c r="AO129" s="304"/>
      <c r="AP129" s="304"/>
      <c r="AQ129" s="304"/>
      <c r="AR129" s="304"/>
      <c r="AS129" s="304"/>
      <c r="AT129" s="304"/>
      <c r="AU129" s="304"/>
      <c r="AV129" s="304"/>
      <c r="AW129" s="304"/>
      <c r="AX129" s="304"/>
      <c r="AY129" s="304"/>
      <c r="AZ129" s="304"/>
      <c r="BA129" s="304"/>
      <c r="BB129" s="304"/>
      <c r="BC129" s="304"/>
      <c r="BD129" s="304"/>
      <c r="BE129" s="304"/>
      <c r="BF129" s="304"/>
      <c r="BG129" s="304"/>
      <c r="BH129" s="304"/>
      <c r="BI129" s="304"/>
      <c r="BJ129" s="304"/>
      <c r="BK129" s="304"/>
      <c r="BL129" s="304"/>
      <c r="BM129" s="304"/>
      <c r="BN129" s="304"/>
      <c r="BO129" s="304"/>
      <c r="BP129" s="304"/>
      <c r="BQ129" s="304"/>
      <c r="BR129" s="304"/>
    </row>
    <row r="130" spans="6:70" x14ac:dyDescent="0.2">
      <c r="F130" s="304"/>
      <c r="I130" s="304"/>
      <c r="J130" s="304"/>
      <c r="K130" s="304"/>
      <c r="N130" s="304"/>
      <c r="O130" s="304"/>
      <c r="P130" s="304"/>
      <c r="Q130" s="304"/>
      <c r="R130" s="304"/>
      <c r="S130" s="304"/>
      <c r="V130" s="304"/>
      <c r="W130" s="304"/>
      <c r="X130" s="304"/>
      <c r="Y130" s="304"/>
      <c r="Z130" s="304"/>
      <c r="AA130" s="304"/>
      <c r="AB130" s="304"/>
      <c r="AC130" s="304"/>
      <c r="AD130" s="304"/>
      <c r="AE130" s="304"/>
      <c r="AF130" s="304"/>
      <c r="AG130" s="304"/>
      <c r="AH130" s="304"/>
      <c r="AI130" s="304"/>
      <c r="AJ130" s="304"/>
      <c r="AK130" s="304"/>
      <c r="AL130" s="304"/>
      <c r="AM130" s="304"/>
      <c r="AN130" s="304"/>
      <c r="AO130" s="304"/>
      <c r="AP130" s="304"/>
      <c r="AQ130" s="304"/>
      <c r="AR130" s="304"/>
      <c r="AS130" s="304"/>
      <c r="AT130" s="304"/>
      <c r="AU130" s="304"/>
      <c r="AV130" s="304"/>
      <c r="AW130" s="304"/>
      <c r="AX130" s="304"/>
      <c r="AY130" s="304"/>
      <c r="AZ130" s="304"/>
      <c r="BA130" s="304"/>
      <c r="BB130" s="304"/>
      <c r="BC130" s="304"/>
      <c r="BD130" s="304"/>
      <c r="BE130" s="304"/>
      <c r="BF130" s="304"/>
      <c r="BG130" s="304"/>
      <c r="BH130" s="304"/>
      <c r="BI130" s="304"/>
      <c r="BJ130" s="304"/>
      <c r="BK130" s="304"/>
      <c r="BL130" s="304"/>
      <c r="BM130" s="304"/>
      <c r="BN130" s="304"/>
      <c r="BO130" s="304"/>
      <c r="BP130" s="304"/>
      <c r="BQ130" s="304"/>
      <c r="BR130" s="304"/>
    </row>
    <row r="131" spans="6:70" x14ac:dyDescent="0.2">
      <c r="F131" s="304"/>
      <c r="I131" s="304"/>
      <c r="J131" s="304"/>
      <c r="K131" s="304"/>
      <c r="N131" s="304"/>
      <c r="O131" s="304"/>
      <c r="P131" s="304"/>
      <c r="Q131" s="304"/>
      <c r="R131" s="304"/>
      <c r="S131" s="304"/>
      <c r="V131" s="304"/>
      <c r="W131" s="304"/>
      <c r="X131" s="304"/>
      <c r="Y131" s="304"/>
      <c r="Z131" s="304"/>
      <c r="AA131" s="304"/>
      <c r="AB131" s="304"/>
      <c r="AC131" s="304"/>
      <c r="AD131" s="304"/>
      <c r="AE131" s="304"/>
      <c r="AF131" s="304"/>
      <c r="AG131" s="304"/>
      <c r="AH131" s="304"/>
      <c r="AI131" s="304"/>
      <c r="AJ131" s="304"/>
      <c r="AK131" s="304"/>
      <c r="AL131" s="304"/>
      <c r="AM131" s="304"/>
      <c r="AN131" s="304"/>
      <c r="AO131" s="304"/>
      <c r="AP131" s="304"/>
      <c r="AQ131" s="304"/>
      <c r="AR131" s="304"/>
      <c r="AS131" s="304"/>
      <c r="AT131" s="304"/>
      <c r="AU131" s="304"/>
      <c r="AV131" s="304"/>
      <c r="AW131" s="304"/>
      <c r="AX131" s="304"/>
      <c r="AY131" s="304"/>
      <c r="AZ131" s="304"/>
      <c r="BA131" s="304"/>
      <c r="BB131" s="304"/>
      <c r="BC131" s="304"/>
      <c r="BD131" s="304"/>
      <c r="BE131" s="304"/>
      <c r="BF131" s="304"/>
      <c r="BG131" s="304"/>
      <c r="BH131" s="304"/>
      <c r="BI131" s="304"/>
      <c r="BJ131" s="304"/>
      <c r="BK131" s="304"/>
      <c r="BL131" s="304"/>
      <c r="BM131" s="304"/>
      <c r="BN131" s="304"/>
      <c r="BO131" s="304"/>
      <c r="BP131" s="304"/>
      <c r="BQ131" s="304"/>
      <c r="BR131" s="304"/>
    </row>
    <row r="132" spans="6:70" x14ac:dyDescent="0.2">
      <c r="F132" s="304"/>
      <c r="I132" s="304"/>
      <c r="J132" s="304"/>
      <c r="K132" s="304"/>
      <c r="N132" s="304"/>
      <c r="O132" s="304"/>
      <c r="P132" s="304"/>
      <c r="Q132" s="304"/>
      <c r="R132" s="304"/>
      <c r="S132" s="304"/>
      <c r="V132" s="304"/>
      <c r="W132" s="304"/>
      <c r="X132" s="304"/>
      <c r="Y132" s="304"/>
      <c r="Z132" s="304"/>
      <c r="AA132" s="304"/>
      <c r="AB132" s="304"/>
      <c r="AC132" s="304"/>
      <c r="AD132" s="304"/>
      <c r="AE132" s="304"/>
      <c r="AF132" s="304"/>
      <c r="AG132" s="304"/>
      <c r="AH132" s="304"/>
      <c r="AI132" s="304"/>
      <c r="AJ132" s="304"/>
      <c r="AK132" s="304"/>
      <c r="AL132" s="304"/>
      <c r="AM132" s="304"/>
      <c r="AN132" s="304"/>
      <c r="AO132" s="304"/>
      <c r="AP132" s="304"/>
      <c r="AQ132" s="304"/>
      <c r="AR132" s="304"/>
      <c r="AS132" s="304"/>
      <c r="AT132" s="304"/>
      <c r="AU132" s="304"/>
      <c r="AV132" s="304"/>
      <c r="AW132" s="304"/>
      <c r="AX132" s="304"/>
      <c r="AY132" s="304"/>
      <c r="AZ132" s="304"/>
      <c r="BA132" s="304"/>
      <c r="BB132" s="304"/>
      <c r="BC132" s="304"/>
      <c r="BD132" s="304"/>
      <c r="BE132" s="304"/>
      <c r="BF132" s="304"/>
      <c r="BG132" s="304"/>
      <c r="BH132" s="304"/>
      <c r="BI132" s="304"/>
      <c r="BJ132" s="304"/>
      <c r="BK132" s="304"/>
      <c r="BL132" s="304"/>
      <c r="BM132" s="304"/>
      <c r="BN132" s="304"/>
      <c r="BO132" s="304"/>
      <c r="BP132" s="304"/>
      <c r="BQ132" s="304"/>
      <c r="BR132" s="304"/>
    </row>
    <row r="133" spans="6:70" x14ac:dyDescent="0.2">
      <c r="F133" s="304"/>
      <c r="I133" s="304"/>
      <c r="J133" s="304"/>
      <c r="K133" s="304"/>
      <c r="N133" s="304"/>
      <c r="O133" s="304"/>
      <c r="P133" s="304"/>
      <c r="Q133" s="304"/>
      <c r="R133" s="304"/>
      <c r="S133" s="304"/>
      <c r="V133" s="304"/>
      <c r="W133" s="304"/>
      <c r="X133" s="304"/>
      <c r="Y133" s="304"/>
      <c r="Z133" s="304"/>
      <c r="AA133" s="304"/>
      <c r="AB133" s="304"/>
      <c r="AC133" s="304"/>
      <c r="AD133" s="304"/>
      <c r="AE133" s="304"/>
      <c r="AF133" s="304"/>
      <c r="AG133" s="304"/>
      <c r="AH133" s="304"/>
      <c r="AI133" s="304"/>
      <c r="AJ133" s="304"/>
      <c r="AK133" s="304"/>
      <c r="AL133" s="304"/>
      <c r="AM133" s="304"/>
      <c r="AN133" s="304"/>
      <c r="AO133" s="304"/>
      <c r="AP133" s="304"/>
      <c r="AQ133" s="304"/>
      <c r="AR133" s="304"/>
      <c r="AS133" s="304"/>
      <c r="AT133" s="304"/>
      <c r="AU133" s="304"/>
      <c r="AV133" s="304"/>
      <c r="AW133" s="304"/>
      <c r="AX133" s="304"/>
      <c r="AY133" s="304"/>
      <c r="AZ133" s="304"/>
      <c r="BA133" s="304"/>
      <c r="BB133" s="304"/>
      <c r="BC133" s="304"/>
      <c r="BD133" s="304"/>
      <c r="BE133" s="304"/>
      <c r="BF133" s="304"/>
      <c r="BG133" s="304"/>
      <c r="BH133" s="304"/>
      <c r="BI133" s="304"/>
      <c r="BJ133" s="304"/>
      <c r="BK133" s="304"/>
      <c r="BL133" s="304"/>
      <c r="BM133" s="304"/>
      <c r="BN133" s="304"/>
      <c r="BO133" s="304"/>
      <c r="BP133" s="304"/>
      <c r="BQ133" s="304"/>
      <c r="BR133" s="304"/>
    </row>
    <row r="134" spans="6:70" x14ac:dyDescent="0.2">
      <c r="F134" s="304"/>
      <c r="I134" s="304"/>
      <c r="J134" s="304"/>
      <c r="K134" s="304"/>
      <c r="N134" s="304"/>
      <c r="O134" s="304"/>
      <c r="P134" s="304"/>
      <c r="Q134" s="304"/>
      <c r="R134" s="304"/>
      <c r="S134" s="304"/>
      <c r="V134" s="304"/>
      <c r="W134" s="304"/>
      <c r="X134" s="304"/>
      <c r="Y134" s="304"/>
      <c r="Z134" s="304"/>
      <c r="AA134" s="304"/>
      <c r="AB134" s="304"/>
      <c r="AC134" s="304"/>
      <c r="AD134" s="304"/>
      <c r="AE134" s="304"/>
      <c r="AF134" s="304"/>
      <c r="AG134" s="304"/>
      <c r="AH134" s="304"/>
      <c r="AI134" s="304"/>
      <c r="AJ134" s="304"/>
      <c r="AK134" s="304"/>
      <c r="AL134" s="304"/>
      <c r="AM134" s="304"/>
      <c r="AN134" s="304"/>
      <c r="AO134" s="304"/>
      <c r="AP134" s="304"/>
      <c r="AQ134" s="304"/>
      <c r="AR134" s="304"/>
      <c r="AS134" s="304"/>
      <c r="AT134" s="304"/>
      <c r="AU134" s="304"/>
      <c r="AV134" s="304"/>
      <c r="AW134" s="304"/>
      <c r="AX134" s="304"/>
      <c r="AY134" s="304"/>
      <c r="AZ134" s="304"/>
      <c r="BA134" s="304"/>
      <c r="BB134" s="304"/>
      <c r="BC134" s="304"/>
      <c r="BD134" s="304"/>
      <c r="BE134" s="304"/>
      <c r="BF134" s="304"/>
      <c r="BG134" s="304"/>
      <c r="BH134" s="304"/>
      <c r="BI134" s="304"/>
      <c r="BJ134" s="304"/>
      <c r="BK134" s="304"/>
      <c r="BL134" s="304"/>
      <c r="BM134" s="304"/>
      <c r="BN134" s="304"/>
      <c r="BO134" s="304"/>
      <c r="BP134" s="304"/>
      <c r="BQ134" s="304"/>
      <c r="BR134" s="304"/>
    </row>
    <row r="135" spans="6:70" x14ac:dyDescent="0.2">
      <c r="F135" s="304"/>
      <c r="I135" s="304"/>
      <c r="J135" s="304"/>
      <c r="K135" s="304"/>
      <c r="N135" s="304"/>
      <c r="O135" s="304"/>
      <c r="P135" s="304"/>
      <c r="Q135" s="304"/>
      <c r="R135" s="304"/>
      <c r="S135" s="304"/>
      <c r="V135" s="304"/>
      <c r="W135" s="304"/>
      <c r="X135" s="304"/>
      <c r="Y135" s="304"/>
      <c r="Z135" s="304"/>
      <c r="AA135" s="304"/>
      <c r="AB135" s="304"/>
      <c r="AC135" s="304"/>
      <c r="AD135" s="304"/>
      <c r="AE135" s="304"/>
      <c r="AF135" s="304"/>
      <c r="AG135" s="304"/>
      <c r="AH135" s="304"/>
      <c r="AI135" s="304"/>
      <c r="AJ135" s="304"/>
      <c r="AK135" s="304"/>
      <c r="AL135" s="304"/>
      <c r="AM135" s="304"/>
      <c r="AN135" s="304"/>
      <c r="AO135" s="304"/>
      <c r="AP135" s="304"/>
      <c r="AQ135" s="304"/>
      <c r="AR135" s="304"/>
      <c r="AS135" s="304"/>
      <c r="AT135" s="304"/>
      <c r="AU135" s="304"/>
      <c r="AV135" s="304"/>
      <c r="AW135" s="304"/>
      <c r="AX135" s="304"/>
      <c r="AY135" s="304"/>
      <c r="AZ135" s="304"/>
      <c r="BA135" s="304"/>
      <c r="BB135" s="304"/>
      <c r="BC135" s="304"/>
      <c r="BD135" s="304"/>
      <c r="BE135" s="304"/>
      <c r="BF135" s="304"/>
      <c r="BG135" s="304"/>
      <c r="BH135" s="304"/>
      <c r="BI135" s="304"/>
      <c r="BJ135" s="304"/>
      <c r="BK135" s="304"/>
      <c r="BL135" s="304"/>
      <c r="BM135" s="304"/>
      <c r="BN135" s="304"/>
      <c r="BO135" s="304"/>
      <c r="BP135" s="304"/>
      <c r="BQ135" s="304"/>
      <c r="BR135" s="304"/>
    </row>
    <row r="136" spans="6:70" x14ac:dyDescent="0.2">
      <c r="F136" s="304"/>
      <c r="I136" s="304"/>
      <c r="J136" s="304"/>
      <c r="K136" s="304"/>
      <c r="N136" s="304"/>
      <c r="O136" s="304"/>
      <c r="P136" s="304"/>
      <c r="Q136" s="304"/>
      <c r="R136" s="304"/>
      <c r="S136" s="304"/>
      <c r="V136" s="304"/>
      <c r="W136" s="304"/>
      <c r="X136" s="304"/>
      <c r="Y136" s="304"/>
      <c r="Z136" s="304"/>
      <c r="AA136" s="304"/>
      <c r="AB136" s="304"/>
      <c r="AC136" s="304"/>
      <c r="AD136" s="304"/>
      <c r="AE136" s="304"/>
      <c r="AF136" s="304"/>
      <c r="AG136" s="304"/>
      <c r="AH136" s="304"/>
      <c r="AI136" s="304"/>
      <c r="AJ136" s="304"/>
      <c r="AK136" s="304"/>
      <c r="AL136" s="304"/>
      <c r="AM136" s="304"/>
      <c r="AN136" s="304"/>
      <c r="AO136" s="304"/>
      <c r="AP136" s="304"/>
      <c r="AQ136" s="304"/>
      <c r="AR136" s="304"/>
      <c r="AS136" s="304"/>
      <c r="AT136" s="304"/>
      <c r="AU136" s="304"/>
      <c r="AV136" s="304"/>
      <c r="AW136" s="304"/>
      <c r="AX136" s="304"/>
      <c r="AY136" s="304"/>
      <c r="AZ136" s="304"/>
      <c r="BA136" s="304"/>
      <c r="BB136" s="304"/>
      <c r="BC136" s="304"/>
      <c r="BD136" s="304"/>
      <c r="BE136" s="304"/>
      <c r="BF136" s="304"/>
      <c r="BG136" s="304"/>
      <c r="BH136" s="304"/>
      <c r="BI136" s="304"/>
      <c r="BJ136" s="304"/>
      <c r="BK136" s="304"/>
      <c r="BL136" s="304"/>
      <c r="BM136" s="304"/>
      <c r="BN136" s="304"/>
      <c r="BO136" s="304"/>
      <c r="BP136" s="304"/>
      <c r="BQ136" s="304"/>
      <c r="BR136" s="304"/>
    </row>
    <row r="137" spans="6:70" x14ac:dyDescent="0.2">
      <c r="F137" s="304"/>
      <c r="I137" s="304"/>
      <c r="J137" s="304"/>
      <c r="K137" s="304"/>
      <c r="N137" s="304"/>
      <c r="O137" s="304"/>
      <c r="P137" s="304"/>
      <c r="Q137" s="304"/>
      <c r="R137" s="304"/>
      <c r="S137" s="304"/>
      <c r="V137" s="304"/>
      <c r="W137" s="304"/>
      <c r="X137" s="304"/>
      <c r="Y137" s="304"/>
      <c r="Z137" s="304"/>
      <c r="AA137" s="304"/>
      <c r="AB137" s="304"/>
      <c r="AC137" s="304"/>
      <c r="AD137" s="304"/>
      <c r="AE137" s="304"/>
      <c r="AF137" s="304"/>
      <c r="AG137" s="304"/>
      <c r="AH137" s="304"/>
      <c r="AI137" s="304"/>
      <c r="AJ137" s="304"/>
      <c r="AK137" s="304"/>
      <c r="AL137" s="304"/>
      <c r="AM137" s="304"/>
      <c r="AN137" s="304"/>
      <c r="AO137" s="304"/>
      <c r="AP137" s="304"/>
      <c r="AQ137" s="304"/>
      <c r="AR137" s="304"/>
      <c r="AS137" s="304"/>
      <c r="AT137" s="304"/>
      <c r="AU137" s="304"/>
      <c r="AV137" s="304"/>
      <c r="AW137" s="304"/>
      <c r="AX137" s="304"/>
      <c r="AY137" s="304"/>
      <c r="AZ137" s="304"/>
      <c r="BA137" s="304"/>
      <c r="BB137" s="304"/>
      <c r="BC137" s="304"/>
      <c r="BD137" s="304"/>
      <c r="BE137" s="304"/>
      <c r="BF137" s="304"/>
      <c r="BG137" s="304"/>
      <c r="BH137" s="304"/>
      <c r="BI137" s="304"/>
      <c r="BJ137" s="304"/>
      <c r="BK137" s="304"/>
      <c r="BL137" s="304"/>
      <c r="BM137" s="304"/>
      <c r="BN137" s="304"/>
      <c r="BO137" s="304"/>
      <c r="BP137" s="304"/>
      <c r="BQ137" s="304"/>
      <c r="BR137" s="304"/>
    </row>
    <row r="138" spans="6:70" x14ac:dyDescent="0.2">
      <c r="F138" s="304"/>
      <c r="I138" s="304"/>
      <c r="J138" s="304"/>
      <c r="K138" s="304"/>
      <c r="N138" s="304"/>
      <c r="O138" s="304"/>
      <c r="P138" s="304"/>
      <c r="Q138" s="304"/>
      <c r="R138" s="304"/>
      <c r="S138" s="304"/>
      <c r="V138" s="304"/>
      <c r="W138" s="304"/>
      <c r="X138" s="304"/>
      <c r="Y138" s="304"/>
      <c r="Z138" s="304"/>
      <c r="AA138" s="304"/>
      <c r="AB138" s="304"/>
      <c r="AC138" s="304"/>
      <c r="AD138" s="304"/>
      <c r="AE138" s="304"/>
      <c r="AF138" s="304"/>
      <c r="AG138" s="304"/>
      <c r="AH138" s="304"/>
      <c r="AI138" s="304"/>
      <c r="AJ138" s="304"/>
      <c r="AK138" s="304"/>
      <c r="AL138" s="304"/>
      <c r="AM138" s="304"/>
      <c r="AN138" s="304"/>
      <c r="AO138" s="304"/>
      <c r="AP138" s="304"/>
      <c r="AQ138" s="304"/>
      <c r="AR138" s="304"/>
      <c r="AS138" s="304"/>
      <c r="AT138" s="304"/>
      <c r="AU138" s="304"/>
      <c r="AV138" s="304"/>
      <c r="AW138" s="304"/>
      <c r="AX138" s="304"/>
      <c r="AY138" s="304"/>
      <c r="AZ138" s="304"/>
      <c r="BA138" s="304"/>
      <c r="BB138" s="304"/>
      <c r="BC138" s="304"/>
      <c r="BD138" s="304"/>
      <c r="BE138" s="304"/>
      <c r="BF138" s="304"/>
      <c r="BG138" s="304"/>
      <c r="BH138" s="304"/>
      <c r="BI138" s="304"/>
      <c r="BJ138" s="304"/>
      <c r="BK138" s="304"/>
      <c r="BL138" s="304"/>
      <c r="BM138" s="304"/>
      <c r="BN138" s="304"/>
      <c r="BO138" s="304"/>
      <c r="BP138" s="304"/>
      <c r="BQ138" s="304"/>
      <c r="BR138" s="304"/>
    </row>
    <row r="139" spans="6:70" x14ac:dyDescent="0.2">
      <c r="F139" s="304"/>
      <c r="I139" s="304"/>
      <c r="J139" s="304"/>
      <c r="K139" s="304"/>
      <c r="N139" s="304"/>
      <c r="O139" s="304"/>
      <c r="P139" s="304"/>
      <c r="Q139" s="304"/>
      <c r="R139" s="304"/>
      <c r="S139" s="304"/>
      <c r="V139" s="304"/>
      <c r="W139" s="304"/>
      <c r="X139" s="304"/>
      <c r="Y139" s="304"/>
      <c r="Z139" s="304"/>
      <c r="AA139" s="304"/>
      <c r="AB139" s="304"/>
      <c r="AC139" s="304"/>
      <c r="AD139" s="304"/>
      <c r="AE139" s="304"/>
      <c r="AF139" s="304"/>
      <c r="AG139" s="304"/>
      <c r="AH139" s="304"/>
      <c r="AI139" s="304"/>
      <c r="AJ139" s="304"/>
      <c r="AK139" s="304"/>
      <c r="AL139" s="304"/>
      <c r="AM139" s="304"/>
      <c r="AN139" s="304"/>
      <c r="AO139" s="304"/>
      <c r="AP139" s="304"/>
      <c r="AQ139" s="304"/>
      <c r="AR139" s="304"/>
      <c r="AS139" s="304"/>
      <c r="AT139" s="304"/>
      <c r="AU139" s="304"/>
      <c r="AV139" s="304"/>
      <c r="AW139" s="304"/>
      <c r="AX139" s="304"/>
      <c r="AY139" s="304"/>
      <c r="AZ139" s="304"/>
      <c r="BA139" s="304"/>
      <c r="BB139" s="304"/>
      <c r="BC139" s="304"/>
      <c r="BD139" s="304"/>
      <c r="BE139" s="304"/>
      <c r="BF139" s="304"/>
      <c r="BG139" s="304"/>
      <c r="BH139" s="304"/>
      <c r="BI139" s="304"/>
      <c r="BJ139" s="304"/>
      <c r="BK139" s="304"/>
      <c r="BL139" s="304"/>
      <c r="BM139" s="304"/>
      <c r="BN139" s="304"/>
      <c r="BO139" s="304"/>
      <c r="BP139" s="304"/>
      <c r="BQ139" s="304"/>
      <c r="BR139" s="304"/>
    </row>
  </sheetData>
  <mergeCells count="1">
    <mergeCell ref="A49:C49"/>
  </mergeCells>
  <printOptions gridLines="1"/>
  <pageMargins left="0.12" right="0.25" top="0.65" bottom="0.41" header="0.2" footer="0.18"/>
  <pageSetup scale="85" fitToHeight="3" pageOrder="overThenDown"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6"/>
  <sheetViews>
    <sheetView view="pageBreakPreview" zoomScale="75" zoomScaleNormal="75" zoomScaleSheetLayoutView="75" workbookViewId="0"/>
  </sheetViews>
  <sheetFormatPr defaultColWidth="10.28515625" defaultRowHeight="12.75" x14ac:dyDescent="0.2"/>
  <cols>
    <col min="1" max="1" width="4.28515625" style="7" customWidth="1"/>
    <col min="2" max="2" width="3.7109375" style="7" customWidth="1"/>
    <col min="3" max="3" width="6" style="7" customWidth="1"/>
    <col min="4" max="4" width="7.7109375" style="7" customWidth="1"/>
    <col min="5" max="5" width="8.5703125" style="7" customWidth="1"/>
    <col min="6" max="6" width="6" style="7" customWidth="1"/>
    <col min="7" max="7" width="7.7109375" style="7" customWidth="1"/>
    <col min="8" max="8" width="4.28515625" style="3" customWidth="1"/>
    <col min="9" max="9" width="7.5703125" style="3" customWidth="1"/>
    <col min="10" max="10" width="12.7109375" style="8" customWidth="1"/>
    <col min="11" max="11" width="20" style="8" customWidth="1"/>
    <col min="12" max="12" width="18.28515625" style="8" customWidth="1"/>
    <col min="13" max="13" width="17.7109375" style="8" customWidth="1"/>
    <col min="14" max="16384" width="10.28515625" style="3"/>
  </cols>
  <sheetData>
    <row r="1" spans="1:13" ht="15.75" x14ac:dyDescent="0.2">
      <c r="C1" s="2" t="s">
        <v>6</v>
      </c>
      <c r="D1" s="2"/>
      <c r="E1" s="2"/>
      <c r="F1" s="2"/>
      <c r="G1" s="2"/>
      <c r="H1" s="2"/>
      <c r="J1" s="6" t="s">
        <v>315</v>
      </c>
    </row>
    <row r="2" spans="1:13" x14ac:dyDescent="0.2">
      <c r="C2" s="3" t="s">
        <v>7</v>
      </c>
      <c r="D2" s="3"/>
      <c r="E2" s="3"/>
      <c r="F2" s="3"/>
      <c r="G2" s="3"/>
    </row>
    <row r="3" spans="1:13" ht="4.9000000000000004" customHeight="1" x14ac:dyDescent="0.2">
      <c r="C3" s="3"/>
      <c r="D3" s="3"/>
      <c r="E3" s="3"/>
      <c r="F3" s="3"/>
      <c r="G3" s="3"/>
    </row>
    <row r="4" spans="1:13" s="2" customFormat="1" ht="18.600000000000001" customHeight="1" x14ac:dyDescent="0.2">
      <c r="A4" s="4" t="s">
        <v>2</v>
      </c>
      <c r="B4" s="4"/>
      <c r="C4" s="4" t="s">
        <v>3</v>
      </c>
      <c r="D4" s="4"/>
      <c r="E4" s="4"/>
      <c r="F4" s="4"/>
      <c r="G4" s="5"/>
      <c r="H4" s="5"/>
      <c r="J4" s="35"/>
      <c r="K4" s="9" t="s">
        <v>8</v>
      </c>
      <c r="L4" s="9" t="s">
        <v>9</v>
      </c>
      <c r="M4" s="9" t="s">
        <v>536</v>
      </c>
    </row>
    <row r="5" spans="1:13" x14ac:dyDescent="0.2">
      <c r="A5" s="7">
        <v>10</v>
      </c>
      <c r="B5" s="7" t="s">
        <v>312</v>
      </c>
      <c r="I5" s="129" t="s">
        <v>674</v>
      </c>
      <c r="J5" s="273">
        <v>5</v>
      </c>
    </row>
    <row r="6" spans="1:13" x14ac:dyDescent="0.2">
      <c r="C6" s="7" t="s">
        <v>316</v>
      </c>
    </row>
    <row r="7" spans="1:13" x14ac:dyDescent="0.2">
      <c r="C7" s="7" t="s">
        <v>333</v>
      </c>
      <c r="H7" s="7"/>
      <c r="J7" s="3"/>
    </row>
    <row r="8" spans="1:13" x14ac:dyDescent="0.2">
      <c r="C8" s="7" t="s">
        <v>334</v>
      </c>
      <c r="H8" s="7"/>
      <c r="J8" s="3"/>
    </row>
    <row r="9" spans="1:13" ht="7.5" customHeight="1" x14ac:dyDescent="0.2">
      <c r="H9" s="7"/>
      <c r="J9" s="3"/>
    </row>
    <row r="10" spans="1:13" x14ac:dyDescent="0.2">
      <c r="C10" s="7" t="s">
        <v>335</v>
      </c>
      <c r="J10" s="3"/>
    </row>
    <row r="11" spans="1:13" x14ac:dyDescent="0.2">
      <c r="C11" s="7" t="s">
        <v>370</v>
      </c>
      <c r="F11" s="7" t="s">
        <v>371</v>
      </c>
      <c r="G11" s="7" t="s">
        <v>372</v>
      </c>
      <c r="I11" s="3" t="s">
        <v>373</v>
      </c>
      <c r="J11" s="26" t="s">
        <v>374</v>
      </c>
      <c r="K11" s="3"/>
    </row>
    <row r="12" spans="1:13" x14ac:dyDescent="0.2">
      <c r="C12" s="7" t="s">
        <v>379</v>
      </c>
      <c r="F12" s="133" t="s">
        <v>445</v>
      </c>
      <c r="G12" s="133"/>
      <c r="H12" s="7"/>
      <c r="J12" s="3"/>
      <c r="K12" s="26"/>
    </row>
    <row r="13" spans="1:13" x14ac:dyDescent="0.2">
      <c r="C13" s="106" t="s">
        <v>339</v>
      </c>
      <c r="E13" s="7" t="s">
        <v>336</v>
      </c>
      <c r="F13" s="117">
        <v>150</v>
      </c>
      <c r="G13" s="106" t="s">
        <v>377</v>
      </c>
      <c r="I13" s="7">
        <v>18</v>
      </c>
      <c r="J13" s="8">
        <f>+F13*I13</f>
        <v>2700</v>
      </c>
    </row>
    <row r="14" spans="1:13" x14ac:dyDescent="0.2">
      <c r="C14" s="106" t="s">
        <v>339</v>
      </c>
      <c r="E14" s="7" t="s">
        <v>336</v>
      </c>
      <c r="F14" s="117">
        <v>150</v>
      </c>
      <c r="G14" s="106" t="s">
        <v>376</v>
      </c>
      <c r="I14" s="7">
        <v>41</v>
      </c>
      <c r="J14" s="8">
        <f t="shared" ref="J14:J24" si="0">+F14*I14</f>
        <v>6150</v>
      </c>
    </row>
    <row r="15" spans="1:13" x14ac:dyDescent="0.2">
      <c r="C15" s="106" t="s">
        <v>343</v>
      </c>
      <c r="E15" s="7" t="s">
        <v>336</v>
      </c>
      <c r="F15" s="117">
        <v>150</v>
      </c>
      <c r="G15" s="106" t="s">
        <v>377</v>
      </c>
      <c r="I15" s="7">
        <v>38</v>
      </c>
      <c r="J15" s="8">
        <f t="shared" si="0"/>
        <v>5700</v>
      </c>
    </row>
    <row r="16" spans="1:13" x14ac:dyDescent="0.2">
      <c r="C16" s="106" t="s">
        <v>343</v>
      </c>
      <c r="E16" s="7" t="s">
        <v>336</v>
      </c>
      <c r="F16" s="117">
        <v>150</v>
      </c>
      <c r="G16" s="106" t="s">
        <v>376</v>
      </c>
      <c r="I16" s="7">
        <v>51.5</v>
      </c>
      <c r="J16" s="8">
        <f t="shared" si="0"/>
        <v>7725</v>
      </c>
    </row>
    <row r="17" spans="3:12" x14ac:dyDescent="0.2">
      <c r="C17" s="106" t="s">
        <v>344</v>
      </c>
      <c r="E17" s="7" t="s">
        <v>336</v>
      </c>
      <c r="F17" s="117">
        <v>150</v>
      </c>
      <c r="G17" s="106" t="s">
        <v>378</v>
      </c>
      <c r="I17" s="7">
        <v>24</v>
      </c>
      <c r="J17" s="8">
        <f t="shared" si="0"/>
        <v>3600</v>
      </c>
    </row>
    <row r="18" spans="3:12" x14ac:dyDescent="0.2">
      <c r="C18" s="106" t="s">
        <v>344</v>
      </c>
      <c r="E18" s="7" t="s">
        <v>336</v>
      </c>
      <c r="F18" s="117">
        <v>150</v>
      </c>
      <c r="G18" s="106" t="s">
        <v>377</v>
      </c>
      <c r="I18" s="7">
        <v>24</v>
      </c>
      <c r="J18" s="8">
        <f t="shared" si="0"/>
        <v>3600</v>
      </c>
    </row>
    <row r="19" spans="3:12" x14ac:dyDescent="0.2">
      <c r="C19" s="106" t="s">
        <v>353</v>
      </c>
      <c r="E19" s="7" t="s">
        <v>336</v>
      </c>
      <c r="F19" s="117">
        <v>150</v>
      </c>
      <c r="G19" s="106" t="s">
        <v>377</v>
      </c>
      <c r="I19" s="7">
        <v>43</v>
      </c>
      <c r="J19" s="8">
        <f t="shared" si="0"/>
        <v>6450</v>
      </c>
    </row>
    <row r="20" spans="3:12" x14ac:dyDescent="0.2">
      <c r="C20" s="106" t="s">
        <v>345</v>
      </c>
      <c r="E20" s="7" t="s">
        <v>336</v>
      </c>
      <c r="F20" s="117">
        <v>100</v>
      </c>
      <c r="G20" s="106" t="s">
        <v>378</v>
      </c>
      <c r="I20" s="7">
        <v>6</v>
      </c>
      <c r="J20" s="8">
        <f t="shared" si="0"/>
        <v>600</v>
      </c>
    </row>
    <row r="21" spans="3:12" x14ac:dyDescent="0.2">
      <c r="C21" s="106" t="s">
        <v>345</v>
      </c>
      <c r="E21" s="7" t="s">
        <v>336</v>
      </c>
      <c r="F21" s="117">
        <v>100</v>
      </c>
      <c r="G21" s="106" t="s">
        <v>377</v>
      </c>
      <c r="I21" s="7">
        <v>60</v>
      </c>
      <c r="J21" s="8">
        <f t="shared" si="0"/>
        <v>6000</v>
      </c>
      <c r="L21" s="8">
        <f>+J21*-0.5</f>
        <v>-3000</v>
      </c>
    </row>
    <row r="22" spans="3:12" x14ac:dyDescent="0.2">
      <c r="C22" s="106" t="s">
        <v>345</v>
      </c>
      <c r="E22" s="7" t="s">
        <v>336</v>
      </c>
      <c r="F22" s="117">
        <v>100</v>
      </c>
      <c r="G22" s="106" t="s">
        <v>376</v>
      </c>
      <c r="I22" s="7">
        <v>55</v>
      </c>
      <c r="J22" s="8">
        <f t="shared" si="0"/>
        <v>5500</v>
      </c>
      <c r="L22" s="8">
        <f>+J22*-0.5</f>
        <v>-2750</v>
      </c>
    </row>
    <row r="23" spans="3:12" x14ac:dyDescent="0.2">
      <c r="C23" s="106" t="s">
        <v>357</v>
      </c>
      <c r="E23" s="7" t="s">
        <v>336</v>
      </c>
      <c r="F23" s="117">
        <v>75</v>
      </c>
      <c r="G23" s="106" t="s">
        <v>376</v>
      </c>
      <c r="I23" s="7">
        <v>37.5</v>
      </c>
      <c r="J23" s="8">
        <f t="shared" si="0"/>
        <v>2812.5</v>
      </c>
    </row>
    <row r="24" spans="3:12" x14ac:dyDescent="0.2">
      <c r="C24" s="106" t="s">
        <v>348</v>
      </c>
      <c r="E24" s="7" t="s">
        <v>336</v>
      </c>
      <c r="F24" s="117">
        <v>75</v>
      </c>
      <c r="G24" s="106" t="s">
        <v>376</v>
      </c>
      <c r="I24" s="7">
        <v>6</v>
      </c>
      <c r="J24" s="8">
        <f t="shared" si="0"/>
        <v>450</v>
      </c>
    </row>
    <row r="25" spans="3:12" x14ac:dyDescent="0.2">
      <c r="C25" s="106" t="s">
        <v>349</v>
      </c>
      <c r="E25" s="7" t="s">
        <v>336</v>
      </c>
      <c r="F25" s="487">
        <v>25000</v>
      </c>
      <c r="G25" s="487"/>
      <c r="H25" s="7" t="s">
        <v>395</v>
      </c>
      <c r="J25" s="8">
        <f>+F25</f>
        <v>25000</v>
      </c>
      <c r="L25" s="8">
        <v>-12500</v>
      </c>
    </row>
    <row r="26" spans="3:12" x14ac:dyDescent="0.2">
      <c r="C26" s="106"/>
      <c r="D26" s="125" t="s">
        <v>396</v>
      </c>
      <c r="F26" s="116"/>
      <c r="G26" s="116"/>
      <c r="H26" s="7"/>
    </row>
    <row r="27" spans="3:12" x14ac:dyDescent="0.2">
      <c r="C27" s="7" t="s">
        <v>380</v>
      </c>
    </row>
    <row r="28" spans="3:12" x14ac:dyDescent="0.2">
      <c r="C28" s="134" t="s">
        <v>351</v>
      </c>
      <c r="E28" s="7" t="s">
        <v>336</v>
      </c>
      <c r="F28" s="117">
        <v>200</v>
      </c>
      <c r="G28" s="106" t="s">
        <v>378</v>
      </c>
      <c r="I28" s="7">
        <v>21</v>
      </c>
      <c r="J28" s="8">
        <f t="shared" ref="J28:J42" si="1">+F28*I28</f>
        <v>4200</v>
      </c>
    </row>
    <row r="29" spans="3:12" x14ac:dyDescent="0.2">
      <c r="C29" s="134" t="s">
        <v>351</v>
      </c>
      <c r="E29" s="7" t="s">
        <v>336</v>
      </c>
      <c r="F29" s="117">
        <v>200</v>
      </c>
      <c r="G29" s="106" t="s">
        <v>377</v>
      </c>
      <c r="I29" s="7">
        <v>19</v>
      </c>
      <c r="J29" s="8">
        <f t="shared" si="1"/>
        <v>3800</v>
      </c>
    </row>
    <row r="30" spans="3:12" x14ac:dyDescent="0.2">
      <c r="C30" s="134" t="s">
        <v>351</v>
      </c>
      <c r="E30" s="7" t="s">
        <v>336</v>
      </c>
      <c r="F30" s="117">
        <v>200</v>
      </c>
      <c r="G30" s="106" t="s">
        <v>376</v>
      </c>
      <c r="I30" s="7">
        <v>9</v>
      </c>
      <c r="J30" s="8">
        <f t="shared" si="1"/>
        <v>1800</v>
      </c>
    </row>
    <row r="31" spans="3:12" x14ac:dyDescent="0.2">
      <c r="C31" s="134" t="s">
        <v>381</v>
      </c>
      <c r="E31" s="7" t="s">
        <v>336</v>
      </c>
      <c r="F31" s="117">
        <v>175</v>
      </c>
      <c r="G31" s="106" t="s">
        <v>377</v>
      </c>
      <c r="I31" s="7">
        <v>15</v>
      </c>
      <c r="J31" s="8">
        <f t="shared" si="1"/>
        <v>2625</v>
      </c>
    </row>
    <row r="32" spans="3:12" x14ac:dyDescent="0.2">
      <c r="C32" s="134" t="s">
        <v>381</v>
      </c>
      <c r="E32" s="7" t="s">
        <v>336</v>
      </c>
      <c r="F32" s="117">
        <v>175</v>
      </c>
      <c r="G32" s="106" t="s">
        <v>376</v>
      </c>
      <c r="I32" s="7">
        <v>13</v>
      </c>
      <c r="J32" s="8">
        <f t="shared" si="1"/>
        <v>2275</v>
      </c>
    </row>
    <row r="33" spans="3:12" x14ac:dyDescent="0.2">
      <c r="C33" s="134" t="s">
        <v>360</v>
      </c>
      <c r="E33" s="7" t="s">
        <v>336</v>
      </c>
      <c r="F33" s="117">
        <v>175</v>
      </c>
      <c r="G33" s="106" t="s">
        <v>378</v>
      </c>
      <c r="I33" s="7">
        <v>2.5</v>
      </c>
      <c r="J33" s="8">
        <f t="shared" si="1"/>
        <v>437.5</v>
      </c>
    </row>
    <row r="34" spans="3:12" x14ac:dyDescent="0.2">
      <c r="C34" s="134" t="s">
        <v>360</v>
      </c>
      <c r="E34" s="7" t="s">
        <v>336</v>
      </c>
      <c r="F34" s="117">
        <v>175</v>
      </c>
      <c r="G34" s="106" t="s">
        <v>377</v>
      </c>
      <c r="I34" s="7">
        <v>7</v>
      </c>
      <c r="J34" s="8">
        <f t="shared" si="1"/>
        <v>1225</v>
      </c>
    </row>
    <row r="35" spans="3:12" x14ac:dyDescent="0.2">
      <c r="C35" s="134" t="s">
        <v>360</v>
      </c>
      <c r="E35" s="7" t="s">
        <v>336</v>
      </c>
      <c r="F35" s="117">
        <v>175</v>
      </c>
      <c r="G35" s="106" t="s">
        <v>376</v>
      </c>
      <c r="I35" s="7">
        <v>16</v>
      </c>
      <c r="J35" s="8">
        <f t="shared" si="1"/>
        <v>2800</v>
      </c>
    </row>
    <row r="36" spans="3:12" x14ac:dyDescent="0.2">
      <c r="C36" s="106" t="s">
        <v>353</v>
      </c>
      <c r="E36" s="7" t="s">
        <v>336</v>
      </c>
      <c r="F36" s="117">
        <v>150</v>
      </c>
      <c r="G36" s="106" t="s">
        <v>376</v>
      </c>
      <c r="I36" s="7">
        <v>49</v>
      </c>
      <c r="J36" s="8">
        <f t="shared" si="1"/>
        <v>7350</v>
      </c>
    </row>
    <row r="37" spans="3:12" x14ac:dyDescent="0.2">
      <c r="C37" s="106" t="s">
        <v>356</v>
      </c>
      <c r="E37" s="7" t="s">
        <v>336</v>
      </c>
      <c r="F37" s="117">
        <v>150</v>
      </c>
      <c r="G37" s="106" t="s">
        <v>377</v>
      </c>
      <c r="I37" s="7">
        <v>2</v>
      </c>
      <c r="J37" s="8">
        <f t="shared" si="1"/>
        <v>300</v>
      </c>
    </row>
    <row r="38" spans="3:12" x14ac:dyDescent="0.2">
      <c r="C38" s="106" t="s">
        <v>356</v>
      </c>
      <c r="E38" s="7" t="s">
        <v>336</v>
      </c>
      <c r="F38" s="117">
        <v>150</v>
      </c>
      <c r="G38" s="106" t="s">
        <v>376</v>
      </c>
      <c r="I38" s="7">
        <v>1.5</v>
      </c>
      <c r="J38" s="8">
        <f t="shared" si="1"/>
        <v>225</v>
      </c>
    </row>
    <row r="39" spans="3:12" x14ac:dyDescent="0.2">
      <c r="C39" s="134" t="s">
        <v>382</v>
      </c>
      <c r="E39" s="7" t="s">
        <v>336</v>
      </c>
      <c r="F39" s="117">
        <v>150</v>
      </c>
      <c r="G39" s="106" t="s">
        <v>383</v>
      </c>
      <c r="I39" s="7">
        <v>3.5</v>
      </c>
      <c r="J39" s="8">
        <f t="shared" si="1"/>
        <v>525</v>
      </c>
    </row>
    <row r="40" spans="3:12" x14ac:dyDescent="0.2">
      <c r="C40" s="106" t="s">
        <v>357</v>
      </c>
      <c r="E40" s="7" t="s">
        <v>336</v>
      </c>
      <c r="F40" s="117">
        <v>75</v>
      </c>
      <c r="G40" s="106" t="s">
        <v>376</v>
      </c>
      <c r="I40" s="7">
        <v>2</v>
      </c>
      <c r="J40" s="8">
        <f t="shared" si="1"/>
        <v>150</v>
      </c>
    </row>
    <row r="41" spans="3:12" x14ac:dyDescent="0.2">
      <c r="C41" s="106" t="s">
        <v>384</v>
      </c>
      <c r="E41" s="7" t="s">
        <v>336</v>
      </c>
      <c r="F41" s="117">
        <v>75</v>
      </c>
      <c r="G41" s="106" t="s">
        <v>377</v>
      </c>
      <c r="I41" s="7">
        <v>2</v>
      </c>
      <c r="J41" s="8">
        <f t="shared" si="1"/>
        <v>150</v>
      </c>
    </row>
    <row r="42" spans="3:12" x14ac:dyDescent="0.2">
      <c r="C42" s="106" t="s">
        <v>384</v>
      </c>
      <c r="E42" s="7" t="s">
        <v>336</v>
      </c>
      <c r="F42" s="117">
        <v>75</v>
      </c>
      <c r="G42" s="106" t="s">
        <v>376</v>
      </c>
      <c r="I42" s="7">
        <v>2</v>
      </c>
      <c r="J42" s="8">
        <f t="shared" si="1"/>
        <v>150</v>
      </c>
    </row>
    <row r="43" spans="3:12" x14ac:dyDescent="0.2">
      <c r="C43" s="106" t="s">
        <v>385</v>
      </c>
      <c r="E43" s="8">
        <f>+A43*D43</f>
        <v>0</v>
      </c>
      <c r="F43" s="231" t="s">
        <v>637</v>
      </c>
      <c r="G43" s="106"/>
      <c r="I43" s="7"/>
    </row>
    <row r="44" spans="3:12" x14ac:dyDescent="0.2">
      <c r="C44" s="3"/>
      <c r="E44" s="7" t="s">
        <v>336</v>
      </c>
      <c r="F44" s="117">
        <v>75</v>
      </c>
      <c r="G44" s="106" t="s">
        <v>376</v>
      </c>
      <c r="I44" s="7">
        <v>12</v>
      </c>
      <c r="J44" s="22">
        <v>0</v>
      </c>
    </row>
    <row r="45" spans="3:12" x14ac:dyDescent="0.2">
      <c r="C45" s="3"/>
      <c r="D45" s="7" t="s">
        <v>61</v>
      </c>
      <c r="J45" s="8">
        <f>SUM(J13:J44)</f>
        <v>104300</v>
      </c>
    </row>
    <row r="46" spans="3:12" ht="7.9" customHeight="1" x14ac:dyDescent="0.2">
      <c r="C46" s="3"/>
    </row>
    <row r="47" spans="3:12" x14ac:dyDescent="0.2">
      <c r="C47" s="104" t="s">
        <v>359</v>
      </c>
      <c r="D47"/>
    </row>
    <row r="48" spans="3:12" x14ac:dyDescent="0.2">
      <c r="C48" s="106" t="s">
        <v>339</v>
      </c>
      <c r="D48"/>
      <c r="E48" s="106" t="s">
        <v>376</v>
      </c>
      <c r="F48" s="456">
        <v>921.69</v>
      </c>
      <c r="G48" s="456"/>
      <c r="J48" s="8">
        <v>1414.07</v>
      </c>
      <c r="L48" s="8">
        <f>+F48-J48</f>
        <v>-492.37999999999988</v>
      </c>
    </row>
    <row r="49" spans="3:12" x14ac:dyDescent="0.2">
      <c r="C49" s="106"/>
      <c r="D49"/>
      <c r="E49" s="106" t="s">
        <v>377</v>
      </c>
      <c r="F49" s="137" t="s">
        <v>452</v>
      </c>
      <c r="G49" s="136" t="s">
        <v>453</v>
      </c>
    </row>
    <row r="50" spans="3:12" ht="6.6" customHeight="1" x14ac:dyDescent="0.2">
      <c r="C50" s="106"/>
      <c r="D50"/>
      <c r="F50" s="70"/>
      <c r="G50" s="70"/>
    </row>
    <row r="51" spans="3:12" x14ac:dyDescent="0.2">
      <c r="C51" s="106" t="s">
        <v>343</v>
      </c>
      <c r="D51"/>
      <c r="E51" s="106" t="s">
        <v>376</v>
      </c>
      <c r="F51" s="456">
        <v>1087.31</v>
      </c>
      <c r="G51" s="456"/>
      <c r="J51" s="8">
        <v>3142.61</v>
      </c>
      <c r="L51" s="8">
        <f>+F53-J51</f>
        <v>-1268.0000000000002</v>
      </c>
    </row>
    <row r="52" spans="3:12" x14ac:dyDescent="0.2">
      <c r="C52" s="106"/>
      <c r="D52"/>
      <c r="E52" s="106" t="s">
        <v>377</v>
      </c>
      <c r="F52" s="482">
        <f>1396.85-609.55</f>
        <v>787.3</v>
      </c>
      <c r="G52" s="482"/>
      <c r="H52" s="486" t="s">
        <v>454</v>
      </c>
      <c r="I52" s="486"/>
      <c r="J52" s="486"/>
    </row>
    <row r="53" spans="3:12" x14ac:dyDescent="0.2">
      <c r="C53" s="106"/>
      <c r="D53"/>
      <c r="F53" s="456">
        <f>SUM(F51:G52)</f>
        <v>1874.61</v>
      </c>
      <c r="G53" s="456"/>
    </row>
    <row r="54" spans="3:12" ht="7.9" customHeight="1" x14ac:dyDescent="0.2">
      <c r="C54" s="106"/>
      <c r="D54"/>
    </row>
    <row r="55" spans="3:12" x14ac:dyDescent="0.2">
      <c r="C55" s="106" t="s">
        <v>344</v>
      </c>
      <c r="D55"/>
      <c r="E55" s="7" t="s">
        <v>375</v>
      </c>
      <c r="J55" s="8">
        <v>1212.42</v>
      </c>
    </row>
    <row r="56" spans="3:12" ht="9" customHeight="1" x14ac:dyDescent="0.2">
      <c r="C56" s="106"/>
      <c r="D56"/>
    </row>
    <row r="57" spans="3:12" x14ac:dyDescent="0.2">
      <c r="C57" s="106" t="s">
        <v>386</v>
      </c>
      <c r="D57"/>
      <c r="E57" s="106" t="s">
        <v>377</v>
      </c>
      <c r="F57" s="456">
        <v>653.05999999999995</v>
      </c>
      <c r="G57" s="456"/>
      <c r="J57" s="8">
        <v>2522.0700000000002</v>
      </c>
    </row>
    <row r="58" spans="3:12" x14ac:dyDescent="0.2">
      <c r="C58" s="106"/>
      <c r="D58"/>
      <c r="E58" s="106" t="s">
        <v>376</v>
      </c>
      <c r="F58" s="482">
        <v>1869.01</v>
      </c>
      <c r="G58" s="482"/>
    </row>
    <row r="59" spans="3:12" x14ac:dyDescent="0.2">
      <c r="C59" s="106"/>
      <c r="D59"/>
      <c r="F59" s="456">
        <f>SUM(F57:G58)</f>
        <v>2522.0699999999997</v>
      </c>
      <c r="G59" s="456"/>
    </row>
    <row r="60" spans="3:12" ht="6" customHeight="1" x14ac:dyDescent="0.2">
      <c r="C60" s="106"/>
      <c r="D60"/>
    </row>
    <row r="61" spans="3:12" x14ac:dyDescent="0.2">
      <c r="C61" s="106" t="s">
        <v>345</v>
      </c>
      <c r="D61"/>
      <c r="F61" s="125" t="s">
        <v>446</v>
      </c>
      <c r="J61" s="8">
        <f>1431.38-969.15</f>
        <v>462.23000000000013</v>
      </c>
    </row>
    <row r="62" spans="3:12" x14ac:dyDescent="0.2">
      <c r="C62" s="106"/>
      <c r="D62"/>
      <c r="F62" s="125" t="s">
        <v>637</v>
      </c>
      <c r="H62" s="431">
        <v>1431.38</v>
      </c>
      <c r="I62" s="431"/>
    </row>
    <row r="63" spans="3:12" x14ac:dyDescent="0.2">
      <c r="C63" s="106"/>
      <c r="D63"/>
      <c r="E63" s="106" t="s">
        <v>378</v>
      </c>
      <c r="F63" s="456">
        <v>671.13</v>
      </c>
      <c r="G63" s="456"/>
    </row>
    <row r="64" spans="3:12" x14ac:dyDescent="0.2">
      <c r="C64" s="106"/>
      <c r="D64"/>
      <c r="E64" s="106" t="s">
        <v>377</v>
      </c>
      <c r="F64" s="456">
        <v>653.05999999999995</v>
      </c>
      <c r="G64" s="456"/>
    </row>
    <row r="65" spans="3:13" x14ac:dyDescent="0.2">
      <c r="C65" s="106"/>
      <c r="D65"/>
      <c r="E65" s="106" t="s">
        <v>376</v>
      </c>
      <c r="F65" s="482">
        <v>322.93</v>
      </c>
      <c r="G65" s="482"/>
    </row>
    <row r="66" spans="3:13" x14ac:dyDescent="0.2">
      <c r="C66" s="106"/>
      <c r="D66"/>
      <c r="F66" s="456">
        <f>SUM(F63:G65)</f>
        <v>1647.1200000000001</v>
      </c>
      <c r="G66" s="456"/>
    </row>
    <row r="67" spans="3:13" x14ac:dyDescent="0.2">
      <c r="C67" s="106" t="s">
        <v>387</v>
      </c>
      <c r="D67"/>
      <c r="E67" s="106" t="s">
        <v>376</v>
      </c>
      <c r="J67" s="8">
        <v>1278.8399999999999</v>
      </c>
    </row>
    <row r="68" spans="3:13" x14ac:dyDescent="0.2">
      <c r="C68" s="106" t="s">
        <v>348</v>
      </c>
      <c r="D68"/>
      <c r="E68" s="106" t="s">
        <v>376</v>
      </c>
      <c r="F68" s="3"/>
      <c r="J68" s="8">
        <v>822.62</v>
      </c>
    </row>
    <row r="69" spans="3:13" x14ac:dyDescent="0.2">
      <c r="C69" s="106" t="s">
        <v>385</v>
      </c>
      <c r="D69"/>
      <c r="E69" s="106" t="s">
        <v>376</v>
      </c>
      <c r="F69" s="456">
        <v>1153.5</v>
      </c>
      <c r="G69" s="456"/>
      <c r="J69" s="8">
        <v>0</v>
      </c>
    </row>
    <row r="70" spans="3:13" x14ac:dyDescent="0.2">
      <c r="C70" s="106"/>
      <c r="D70"/>
      <c r="E70" s="120" t="s">
        <v>447</v>
      </c>
      <c r="F70" s="482">
        <v>1156.52</v>
      </c>
      <c r="G70" s="482"/>
      <c r="H70" s="126" t="s">
        <v>448</v>
      </c>
    </row>
    <row r="71" spans="3:13" x14ac:dyDescent="0.2">
      <c r="C71" s="3"/>
      <c r="D71" s="3"/>
      <c r="F71" s="486">
        <f>SUM(F69:G70)</f>
        <v>2310.02</v>
      </c>
      <c r="G71" s="486"/>
      <c r="H71" s="126" t="s">
        <v>637</v>
      </c>
    </row>
    <row r="72" spans="3:13" x14ac:dyDescent="0.2">
      <c r="C72" s="485" t="s">
        <v>349</v>
      </c>
      <c r="D72" s="485"/>
      <c r="E72" s="120" t="s">
        <v>449</v>
      </c>
      <c r="F72" s="456">
        <v>1840.16</v>
      </c>
      <c r="G72" s="456"/>
      <c r="H72" s="126" t="s">
        <v>448</v>
      </c>
    </row>
    <row r="73" spans="3:13" x14ac:dyDescent="0.2">
      <c r="C73" s="456"/>
      <c r="D73" s="456"/>
      <c r="E73" s="120" t="s">
        <v>450</v>
      </c>
      <c r="F73" s="456">
        <v>1707.14</v>
      </c>
      <c r="G73" s="456"/>
      <c r="H73" s="126" t="s">
        <v>448</v>
      </c>
    </row>
    <row r="74" spans="3:13" x14ac:dyDescent="0.2">
      <c r="C74" s="456"/>
      <c r="D74" s="456"/>
      <c r="E74" s="106" t="s">
        <v>378</v>
      </c>
      <c r="F74" s="456">
        <v>3382.06</v>
      </c>
      <c r="G74" s="456"/>
      <c r="H74" s="126" t="s">
        <v>448</v>
      </c>
    </row>
    <row r="75" spans="3:13" x14ac:dyDescent="0.2">
      <c r="C75" s="3"/>
      <c r="D75" s="3"/>
      <c r="E75" s="106" t="s">
        <v>378</v>
      </c>
      <c r="F75" s="3" t="s">
        <v>451</v>
      </c>
      <c r="G75" s="3"/>
      <c r="H75" s="456">
        <f>-27.62-222.3-1841-40.47-222.3-20-20-19.21-31</f>
        <v>-2443.9</v>
      </c>
      <c r="I75" s="456"/>
    </row>
    <row r="76" spans="3:13" x14ac:dyDescent="0.2">
      <c r="C76" s="456"/>
      <c r="D76" s="456"/>
      <c r="E76" s="106" t="s">
        <v>377</v>
      </c>
      <c r="F76" s="456">
        <v>2406.0100000000002</v>
      </c>
      <c r="G76" s="456"/>
      <c r="H76" s="126"/>
    </row>
    <row r="77" spans="3:13" x14ac:dyDescent="0.2">
      <c r="C77" s="482"/>
      <c r="D77" s="482"/>
      <c r="E77" s="106" t="s">
        <v>376</v>
      </c>
      <c r="F77" s="482">
        <v>2071.69</v>
      </c>
      <c r="G77" s="482"/>
      <c r="H77" s="126"/>
    </row>
    <row r="78" spans="3:13" x14ac:dyDescent="0.2">
      <c r="C78" s="456"/>
      <c r="D78" s="456"/>
      <c r="E78" s="106"/>
      <c r="F78" s="456">
        <f>SUM(F72:G77)</f>
        <v>11407.060000000001</v>
      </c>
      <c r="G78" s="456"/>
      <c r="H78" s="126" t="s">
        <v>455</v>
      </c>
    </row>
    <row r="79" spans="3:13" x14ac:dyDescent="0.2">
      <c r="C79" s="3"/>
      <c r="D79" s="106"/>
      <c r="E79" s="125" t="s">
        <v>669</v>
      </c>
      <c r="J79" s="22">
        <f>10888.48-5991.2</f>
        <v>4897.28</v>
      </c>
    </row>
    <row r="80" spans="3:13" x14ac:dyDescent="0.2">
      <c r="D80" s="106" t="s">
        <v>388</v>
      </c>
      <c r="G80" s="3"/>
      <c r="J80" s="8">
        <f>SUM(J48:J79)</f>
        <v>15752.14</v>
      </c>
      <c r="L80" s="3"/>
      <c r="M80" s="3"/>
    </row>
    <row r="81" spans="2:12" x14ac:dyDescent="0.2">
      <c r="C81"/>
      <c r="D81"/>
      <c r="E81" s="129" t="s">
        <v>9</v>
      </c>
      <c r="F81" s="486">
        <f>SUM(L48:L79)</f>
        <v>-1760.38</v>
      </c>
      <c r="G81" s="486"/>
      <c r="H81" s="430">
        <f>+J80+F81</f>
        <v>13991.759999999998</v>
      </c>
      <c r="I81" s="431"/>
      <c r="J81" s="70" t="s">
        <v>456</v>
      </c>
    </row>
    <row r="82" spans="2:12" x14ac:dyDescent="0.2">
      <c r="C82" s="104" t="s">
        <v>361</v>
      </c>
      <c r="D82"/>
    </row>
    <row r="83" spans="2:12" x14ac:dyDescent="0.2">
      <c r="C83" s="106" t="s">
        <v>389</v>
      </c>
      <c r="D83"/>
      <c r="J83" s="8">
        <v>1530.97</v>
      </c>
    </row>
    <row r="84" spans="2:12" x14ac:dyDescent="0.2">
      <c r="C84" s="106" t="s">
        <v>390</v>
      </c>
      <c r="D84"/>
      <c r="F84" s="125" t="s">
        <v>397</v>
      </c>
      <c r="J84" s="8">
        <v>4320.96</v>
      </c>
      <c r="L84" s="8">
        <v>-4030</v>
      </c>
    </row>
    <row r="85" spans="2:12" x14ac:dyDescent="0.2">
      <c r="C85" s="106" t="s">
        <v>391</v>
      </c>
      <c r="D85"/>
      <c r="F85" s="7" t="s">
        <v>398</v>
      </c>
      <c r="J85" s="8">
        <v>5371.87</v>
      </c>
      <c r="L85" s="8">
        <f>-2886-1186</f>
        <v>-4072</v>
      </c>
    </row>
    <row r="86" spans="2:12" x14ac:dyDescent="0.2">
      <c r="C86" s="106" t="s">
        <v>368</v>
      </c>
      <c r="D86"/>
      <c r="J86" s="8">
        <v>487.12</v>
      </c>
    </row>
    <row r="87" spans="2:12" x14ac:dyDescent="0.2">
      <c r="C87" s="106" t="s">
        <v>392</v>
      </c>
      <c r="D87"/>
      <c r="J87" s="8">
        <v>26.85</v>
      </c>
    </row>
    <row r="88" spans="2:12" x14ac:dyDescent="0.2">
      <c r="C88" s="106" t="s">
        <v>393</v>
      </c>
      <c r="D88"/>
      <c r="J88" s="22">
        <v>3000</v>
      </c>
    </row>
    <row r="89" spans="2:12" x14ac:dyDescent="0.2">
      <c r="D89" s="106" t="s">
        <v>369</v>
      </c>
      <c r="J89" s="8">
        <f>SUM(J83:J88)</f>
        <v>14737.77</v>
      </c>
    </row>
    <row r="90" spans="2:12" x14ac:dyDescent="0.2">
      <c r="C90"/>
      <c r="D90"/>
    </row>
    <row r="91" spans="2:12" x14ac:dyDescent="0.2">
      <c r="C91"/>
      <c r="D91" s="118" t="s">
        <v>394</v>
      </c>
      <c r="J91" s="8">
        <f>+J45+J80+J89</f>
        <v>134789.91</v>
      </c>
      <c r="K91" s="8">
        <f>+J91</f>
        <v>134789.91</v>
      </c>
    </row>
    <row r="93" spans="2:12" x14ac:dyDescent="0.2">
      <c r="C93" s="7" t="s">
        <v>317</v>
      </c>
    </row>
    <row r="94" spans="2:12" x14ac:dyDescent="0.2">
      <c r="B94" s="7" t="s">
        <v>333</v>
      </c>
    </row>
    <row r="95" spans="2:12" x14ac:dyDescent="0.2">
      <c r="B95" s="7" t="s">
        <v>334</v>
      </c>
    </row>
    <row r="96" spans="2:12" x14ac:dyDescent="0.2">
      <c r="C96" s="3"/>
      <c r="I96" s="129" t="s">
        <v>674</v>
      </c>
      <c r="J96" s="273">
        <v>7</v>
      </c>
    </row>
    <row r="97" spans="2:12" x14ac:dyDescent="0.2">
      <c r="B97" s="7" t="s">
        <v>335</v>
      </c>
    </row>
    <row r="98" spans="2:12" x14ac:dyDescent="0.2">
      <c r="B98" s="7" t="s">
        <v>370</v>
      </c>
      <c r="F98" s="7" t="s">
        <v>371</v>
      </c>
      <c r="G98" s="7" t="s">
        <v>372</v>
      </c>
      <c r="I98" s="3" t="s">
        <v>373</v>
      </c>
      <c r="J98" s="26" t="s">
        <v>374</v>
      </c>
    </row>
    <row r="99" spans="2:12" x14ac:dyDescent="0.2">
      <c r="B99" s="7" t="s">
        <v>379</v>
      </c>
      <c r="J99" s="26"/>
    </row>
    <row r="100" spans="2:12" x14ac:dyDescent="0.2">
      <c r="B100" s="220" t="s">
        <v>352</v>
      </c>
      <c r="C100" s="3"/>
      <c r="D100" s="3"/>
      <c r="E100" s="7" t="s">
        <v>336</v>
      </c>
      <c r="F100" s="117">
        <v>175</v>
      </c>
      <c r="G100" s="7" t="s">
        <v>337</v>
      </c>
      <c r="I100" s="7">
        <v>46</v>
      </c>
      <c r="J100" s="8">
        <f>+F100*I100</f>
        <v>8050</v>
      </c>
    </row>
    <row r="101" spans="2:12" x14ac:dyDescent="0.2">
      <c r="B101" s="133" t="s">
        <v>352</v>
      </c>
      <c r="C101" s="3"/>
      <c r="D101" s="3"/>
      <c r="E101" s="7" t="s">
        <v>336</v>
      </c>
      <c r="F101" s="117">
        <v>175</v>
      </c>
      <c r="G101" s="7" t="s">
        <v>338</v>
      </c>
      <c r="I101" s="7">
        <v>15</v>
      </c>
      <c r="J101" s="8">
        <f t="shared" ref="J101:J136" si="2">+F101*I101</f>
        <v>2625</v>
      </c>
      <c r="L101" s="8">
        <f>-J101</f>
        <v>-2625</v>
      </c>
    </row>
    <row r="102" spans="2:12" x14ac:dyDescent="0.2">
      <c r="B102" s="7" t="s">
        <v>339</v>
      </c>
      <c r="C102" s="3"/>
      <c r="D102" s="3"/>
      <c r="E102" s="7" t="s">
        <v>336</v>
      </c>
      <c r="F102" s="117">
        <v>150</v>
      </c>
      <c r="G102" s="7" t="s">
        <v>340</v>
      </c>
      <c r="I102" s="7">
        <v>41</v>
      </c>
      <c r="J102" s="8">
        <f t="shared" si="2"/>
        <v>6150</v>
      </c>
    </row>
    <row r="103" spans="2:12" x14ac:dyDescent="0.2">
      <c r="B103" s="7" t="s">
        <v>339</v>
      </c>
      <c r="C103" s="3"/>
      <c r="D103" s="3"/>
      <c r="E103" s="7" t="s">
        <v>336</v>
      </c>
      <c r="F103" s="117">
        <v>150</v>
      </c>
      <c r="G103" s="7" t="s">
        <v>341</v>
      </c>
      <c r="I103" s="7">
        <v>56.5</v>
      </c>
      <c r="J103" s="8">
        <f t="shared" si="2"/>
        <v>8475</v>
      </c>
    </row>
    <row r="104" spans="2:12" x14ac:dyDescent="0.2">
      <c r="B104" s="7" t="s">
        <v>342</v>
      </c>
      <c r="C104" s="3"/>
      <c r="D104" s="3"/>
      <c r="E104" s="7" t="s">
        <v>336</v>
      </c>
      <c r="F104" s="117">
        <v>150</v>
      </c>
      <c r="G104" s="7" t="s">
        <v>337</v>
      </c>
      <c r="I104" s="7">
        <v>90</v>
      </c>
      <c r="J104" s="8">
        <f t="shared" si="2"/>
        <v>13500</v>
      </c>
    </row>
    <row r="105" spans="2:12" x14ac:dyDescent="0.2">
      <c r="B105" s="7" t="s">
        <v>343</v>
      </c>
      <c r="C105" s="3"/>
      <c r="D105" s="3"/>
      <c r="E105" s="7" t="s">
        <v>336</v>
      </c>
      <c r="F105" s="117">
        <v>150</v>
      </c>
      <c r="G105" s="7" t="s">
        <v>340</v>
      </c>
      <c r="I105" s="7">
        <v>31</v>
      </c>
      <c r="J105" s="8">
        <f t="shared" si="2"/>
        <v>4650</v>
      </c>
    </row>
    <row r="106" spans="2:12" x14ac:dyDescent="0.2">
      <c r="B106" s="7" t="s">
        <v>343</v>
      </c>
      <c r="C106" s="3"/>
      <c r="D106" s="3"/>
      <c r="E106" s="7" t="s">
        <v>336</v>
      </c>
      <c r="F106" s="117">
        <v>150</v>
      </c>
      <c r="G106" s="7" t="s">
        <v>341</v>
      </c>
      <c r="I106" s="7">
        <v>39</v>
      </c>
      <c r="J106" s="8">
        <f t="shared" si="2"/>
        <v>5850</v>
      </c>
    </row>
    <row r="107" spans="2:12" x14ac:dyDescent="0.2">
      <c r="B107" s="7" t="s">
        <v>343</v>
      </c>
      <c r="C107" s="3"/>
      <c r="D107" s="3"/>
      <c r="E107" s="7" t="s">
        <v>336</v>
      </c>
      <c r="F107" s="117">
        <v>150</v>
      </c>
      <c r="G107" s="7" t="s">
        <v>337</v>
      </c>
      <c r="I107" s="7">
        <v>28</v>
      </c>
      <c r="J107" s="8">
        <f t="shared" si="2"/>
        <v>4200</v>
      </c>
    </row>
    <row r="108" spans="2:12" x14ac:dyDescent="0.2">
      <c r="B108" s="7" t="s">
        <v>344</v>
      </c>
      <c r="C108" s="3"/>
      <c r="D108" s="3"/>
      <c r="E108" s="7" t="s">
        <v>336</v>
      </c>
      <c r="F108" s="117">
        <v>150</v>
      </c>
      <c r="G108" s="7" t="s">
        <v>341</v>
      </c>
      <c r="I108" s="7">
        <v>60</v>
      </c>
      <c r="J108" s="8">
        <f t="shared" si="2"/>
        <v>9000</v>
      </c>
    </row>
    <row r="109" spans="2:12" x14ac:dyDescent="0.2">
      <c r="B109" s="7" t="s">
        <v>344</v>
      </c>
      <c r="C109" s="3"/>
      <c r="D109" s="3"/>
      <c r="E109" s="7" t="s">
        <v>336</v>
      </c>
      <c r="F109" s="117">
        <v>150</v>
      </c>
      <c r="G109" s="7" t="s">
        <v>337</v>
      </c>
      <c r="I109" s="7">
        <v>60</v>
      </c>
      <c r="J109" s="8">
        <f t="shared" si="2"/>
        <v>9000</v>
      </c>
    </row>
    <row r="110" spans="2:12" x14ac:dyDescent="0.2">
      <c r="B110" s="133" t="s">
        <v>344</v>
      </c>
      <c r="C110" s="3"/>
      <c r="D110" s="3"/>
      <c r="E110" s="7" t="s">
        <v>336</v>
      </c>
      <c r="F110" s="117">
        <v>150</v>
      </c>
      <c r="G110" s="7" t="s">
        <v>338</v>
      </c>
      <c r="I110" s="7">
        <v>16</v>
      </c>
      <c r="J110" s="8">
        <f t="shared" si="2"/>
        <v>2400</v>
      </c>
      <c r="L110" s="8">
        <f>-J110</f>
        <v>-2400</v>
      </c>
    </row>
    <row r="111" spans="2:12" x14ac:dyDescent="0.2">
      <c r="B111" s="133" t="s">
        <v>345</v>
      </c>
      <c r="C111" s="3"/>
      <c r="D111" s="3"/>
      <c r="E111" s="7" t="s">
        <v>336</v>
      </c>
      <c r="F111" s="117">
        <v>100</v>
      </c>
      <c r="G111" s="7" t="s">
        <v>340</v>
      </c>
      <c r="I111" s="7">
        <v>60</v>
      </c>
      <c r="J111" s="8">
        <f t="shared" si="2"/>
        <v>6000</v>
      </c>
      <c r="L111" s="8">
        <f>+J111*-0.5</f>
        <v>-3000</v>
      </c>
    </row>
    <row r="112" spans="2:12" x14ac:dyDescent="0.2">
      <c r="B112" s="133" t="s">
        <v>345</v>
      </c>
      <c r="C112" s="3"/>
      <c r="D112" s="3"/>
      <c r="E112" s="7" t="s">
        <v>336</v>
      </c>
      <c r="F112" s="117">
        <v>100</v>
      </c>
      <c r="G112" s="7" t="s">
        <v>341</v>
      </c>
      <c r="I112" s="7">
        <v>67</v>
      </c>
      <c r="J112" s="8">
        <f t="shared" si="2"/>
        <v>6700</v>
      </c>
      <c r="L112" s="8">
        <f>+J112*-0.5</f>
        <v>-3350</v>
      </c>
    </row>
    <row r="113" spans="2:12" x14ac:dyDescent="0.2">
      <c r="B113" s="133" t="s">
        <v>345</v>
      </c>
      <c r="C113" s="3"/>
      <c r="D113" s="3"/>
      <c r="E113" s="7" t="s">
        <v>336</v>
      </c>
      <c r="F113" s="117">
        <v>100</v>
      </c>
      <c r="G113" s="7" t="s">
        <v>337</v>
      </c>
      <c r="I113" s="7">
        <v>57</v>
      </c>
      <c r="J113" s="8">
        <f t="shared" si="2"/>
        <v>5700</v>
      </c>
      <c r="L113" s="8">
        <f>+J113*-0.5</f>
        <v>-2850</v>
      </c>
    </row>
    <row r="114" spans="2:12" x14ac:dyDescent="0.2">
      <c r="B114" s="133" t="s">
        <v>345</v>
      </c>
      <c r="C114" s="3"/>
      <c r="D114" s="3"/>
      <c r="E114" s="7" t="s">
        <v>336</v>
      </c>
      <c r="F114" s="117">
        <v>100</v>
      </c>
      <c r="G114" s="7" t="s">
        <v>338</v>
      </c>
      <c r="I114" s="7">
        <v>55</v>
      </c>
      <c r="J114" s="8">
        <f t="shared" si="2"/>
        <v>5500</v>
      </c>
      <c r="L114" s="8">
        <f>-J114</f>
        <v>-5500</v>
      </c>
    </row>
    <row r="115" spans="2:12" x14ac:dyDescent="0.2">
      <c r="B115" s="133" t="s">
        <v>345</v>
      </c>
      <c r="C115" s="3"/>
      <c r="D115" s="3"/>
      <c r="E115" s="7" t="s">
        <v>336</v>
      </c>
      <c r="F115" s="117">
        <v>100</v>
      </c>
      <c r="G115" s="7" t="s">
        <v>346</v>
      </c>
      <c r="I115" s="7">
        <v>52</v>
      </c>
      <c r="J115" s="8">
        <f t="shared" si="2"/>
        <v>5200</v>
      </c>
      <c r="L115" s="8">
        <f>-J115</f>
        <v>-5200</v>
      </c>
    </row>
    <row r="116" spans="2:12" x14ac:dyDescent="0.2">
      <c r="B116" s="7" t="s">
        <v>347</v>
      </c>
      <c r="C116" s="3"/>
      <c r="D116" s="3"/>
      <c r="E116" s="7" t="s">
        <v>336</v>
      </c>
      <c r="F116" s="117">
        <v>75</v>
      </c>
      <c r="G116" s="7" t="s">
        <v>341</v>
      </c>
      <c r="I116" s="7">
        <v>61</v>
      </c>
      <c r="J116" s="8">
        <f t="shared" si="2"/>
        <v>4575</v>
      </c>
    </row>
    <row r="117" spans="2:12" x14ac:dyDescent="0.2">
      <c r="B117" s="7" t="s">
        <v>348</v>
      </c>
      <c r="C117" s="3"/>
      <c r="D117" s="3"/>
      <c r="E117" s="7" t="s">
        <v>336</v>
      </c>
      <c r="F117" s="117">
        <v>75</v>
      </c>
      <c r="G117" s="7" t="s">
        <v>337</v>
      </c>
      <c r="I117" s="7">
        <v>102</v>
      </c>
      <c r="J117" s="8">
        <f t="shared" si="2"/>
        <v>7650</v>
      </c>
    </row>
    <row r="118" spans="2:12" x14ac:dyDescent="0.2">
      <c r="B118" s="133" t="s">
        <v>348</v>
      </c>
      <c r="C118" s="3"/>
      <c r="D118" s="3"/>
      <c r="E118" s="7" t="s">
        <v>336</v>
      </c>
      <c r="F118" s="117">
        <v>75</v>
      </c>
      <c r="G118" s="7" t="s">
        <v>338</v>
      </c>
      <c r="I118" s="7">
        <v>18</v>
      </c>
      <c r="J118" s="8">
        <f t="shared" si="2"/>
        <v>1350</v>
      </c>
      <c r="L118" s="8">
        <f>-J118</f>
        <v>-1350</v>
      </c>
    </row>
    <row r="119" spans="2:12" x14ac:dyDescent="0.2">
      <c r="B119" s="7" t="s">
        <v>349</v>
      </c>
      <c r="C119" s="3"/>
      <c r="D119" s="3"/>
      <c r="E119" s="7" t="s">
        <v>336</v>
      </c>
      <c r="F119" s="487">
        <v>25000</v>
      </c>
      <c r="G119" s="487"/>
      <c r="H119" s="7" t="s">
        <v>350</v>
      </c>
      <c r="J119" s="8">
        <v>12500</v>
      </c>
    </row>
    <row r="120" spans="2:12" x14ac:dyDescent="0.2">
      <c r="C120" s="3"/>
      <c r="D120" s="3"/>
      <c r="F120" s="116"/>
      <c r="G120" s="230">
        <v>25000</v>
      </c>
      <c r="H120" s="125" t="s">
        <v>668</v>
      </c>
    </row>
    <row r="121" spans="2:12" x14ac:dyDescent="0.2">
      <c r="B121" s="7" t="s">
        <v>380</v>
      </c>
      <c r="C121" s="3"/>
      <c r="D121" s="3"/>
      <c r="F121" s="116"/>
      <c r="G121" s="116"/>
      <c r="H121" s="7"/>
    </row>
    <row r="122" spans="2:12" x14ac:dyDescent="0.2">
      <c r="B122" s="221" t="s">
        <v>351</v>
      </c>
      <c r="C122"/>
      <c r="E122" s="7" t="s">
        <v>336</v>
      </c>
      <c r="F122" s="117">
        <v>200</v>
      </c>
      <c r="G122" s="106" t="s">
        <v>340</v>
      </c>
      <c r="I122" s="3">
        <v>1</v>
      </c>
      <c r="J122" s="8">
        <f t="shared" si="2"/>
        <v>200</v>
      </c>
    </row>
    <row r="123" spans="2:12" x14ac:dyDescent="0.2">
      <c r="B123" s="221" t="s">
        <v>351</v>
      </c>
      <c r="C123"/>
      <c r="E123" s="7" t="s">
        <v>336</v>
      </c>
      <c r="F123" s="117">
        <v>200</v>
      </c>
      <c r="G123" s="106" t="s">
        <v>341</v>
      </c>
      <c r="I123" s="3">
        <v>8</v>
      </c>
      <c r="J123" s="8">
        <f t="shared" si="2"/>
        <v>1600</v>
      </c>
    </row>
    <row r="124" spans="2:12" x14ac:dyDescent="0.2">
      <c r="B124" s="221" t="s">
        <v>352</v>
      </c>
      <c r="C124"/>
      <c r="E124" s="7" t="s">
        <v>336</v>
      </c>
      <c r="F124" s="117">
        <v>175</v>
      </c>
      <c r="G124" s="106" t="s">
        <v>341</v>
      </c>
      <c r="I124" s="3">
        <v>1.5</v>
      </c>
      <c r="J124" s="8">
        <f t="shared" si="2"/>
        <v>262.5</v>
      </c>
    </row>
    <row r="125" spans="2:12" x14ac:dyDescent="0.2">
      <c r="B125" s="221" t="s">
        <v>352</v>
      </c>
      <c r="C125"/>
      <c r="E125" s="7" t="s">
        <v>336</v>
      </c>
      <c r="F125" s="117">
        <v>175</v>
      </c>
      <c r="G125" s="106" t="s">
        <v>338</v>
      </c>
      <c r="I125" s="3">
        <v>1</v>
      </c>
      <c r="J125" s="8">
        <f t="shared" si="2"/>
        <v>175</v>
      </c>
    </row>
    <row r="126" spans="2:12" x14ac:dyDescent="0.2">
      <c r="B126" s="106" t="s">
        <v>353</v>
      </c>
      <c r="C126"/>
      <c r="E126" s="7" t="s">
        <v>336</v>
      </c>
      <c r="F126" s="117">
        <v>150</v>
      </c>
      <c r="G126" s="106" t="s">
        <v>340</v>
      </c>
      <c r="I126" s="3">
        <v>8</v>
      </c>
      <c r="J126" s="8">
        <f t="shared" si="2"/>
        <v>1200</v>
      </c>
    </row>
    <row r="127" spans="2:12" x14ac:dyDescent="0.2">
      <c r="B127" s="106" t="s">
        <v>354</v>
      </c>
      <c r="C127"/>
      <c r="E127" s="7" t="s">
        <v>336</v>
      </c>
      <c r="F127" s="117">
        <v>150</v>
      </c>
      <c r="G127" s="106" t="s">
        <v>341</v>
      </c>
      <c r="I127" s="3">
        <v>27.5</v>
      </c>
      <c r="J127" s="8">
        <f t="shared" si="2"/>
        <v>4125</v>
      </c>
    </row>
    <row r="128" spans="2:12" x14ac:dyDescent="0.2">
      <c r="B128" s="106" t="s">
        <v>355</v>
      </c>
      <c r="C128"/>
      <c r="E128" s="7" t="s">
        <v>336</v>
      </c>
      <c r="F128" s="117">
        <v>150</v>
      </c>
      <c r="G128" s="106" t="s">
        <v>337</v>
      </c>
      <c r="I128" s="3">
        <v>42.5</v>
      </c>
      <c r="J128" s="8">
        <f t="shared" si="2"/>
        <v>6375</v>
      </c>
    </row>
    <row r="129" spans="2:12" x14ac:dyDescent="0.2">
      <c r="B129" s="106" t="s">
        <v>355</v>
      </c>
      <c r="C129"/>
      <c r="E129" s="7" t="s">
        <v>336</v>
      </c>
      <c r="F129" s="117">
        <v>150</v>
      </c>
      <c r="G129" s="106" t="s">
        <v>338</v>
      </c>
      <c r="I129" s="3">
        <v>10.5</v>
      </c>
      <c r="J129" s="8">
        <f t="shared" si="2"/>
        <v>1575</v>
      </c>
    </row>
    <row r="130" spans="2:12" x14ac:dyDescent="0.2">
      <c r="B130" s="106" t="s">
        <v>356</v>
      </c>
      <c r="C130"/>
      <c r="E130" s="7" t="s">
        <v>336</v>
      </c>
      <c r="F130" s="117">
        <v>150</v>
      </c>
      <c r="G130" s="106" t="s">
        <v>340</v>
      </c>
      <c r="I130" s="3">
        <v>1</v>
      </c>
      <c r="J130" s="8">
        <f t="shared" si="2"/>
        <v>150</v>
      </c>
    </row>
    <row r="131" spans="2:12" x14ac:dyDescent="0.2">
      <c r="B131" s="106" t="s">
        <v>356</v>
      </c>
      <c r="C131"/>
      <c r="E131" s="7" t="s">
        <v>336</v>
      </c>
      <c r="F131" s="117">
        <v>150</v>
      </c>
      <c r="G131" s="106" t="s">
        <v>341</v>
      </c>
      <c r="I131" s="3">
        <v>0.5</v>
      </c>
      <c r="J131" s="8">
        <f t="shared" si="2"/>
        <v>75</v>
      </c>
    </row>
    <row r="132" spans="2:12" x14ac:dyDescent="0.2">
      <c r="B132" s="106" t="s">
        <v>356</v>
      </c>
      <c r="C132"/>
      <c r="E132" s="7" t="s">
        <v>336</v>
      </c>
      <c r="F132" s="117">
        <v>150</v>
      </c>
      <c r="G132" s="106" t="s">
        <v>337</v>
      </c>
      <c r="I132" s="3">
        <v>8</v>
      </c>
      <c r="J132" s="8">
        <f t="shared" si="2"/>
        <v>1200</v>
      </c>
    </row>
    <row r="133" spans="2:12" x14ac:dyDescent="0.2">
      <c r="B133" s="106" t="s">
        <v>357</v>
      </c>
      <c r="C133"/>
      <c r="E133" s="7" t="s">
        <v>336</v>
      </c>
      <c r="F133" s="117">
        <v>75</v>
      </c>
      <c r="G133" s="106" t="s">
        <v>340</v>
      </c>
      <c r="I133" s="3">
        <v>3</v>
      </c>
      <c r="J133" s="8">
        <f t="shared" si="2"/>
        <v>225</v>
      </c>
    </row>
    <row r="134" spans="2:12" x14ac:dyDescent="0.2">
      <c r="B134" s="106" t="s">
        <v>358</v>
      </c>
      <c r="C134"/>
      <c r="E134" s="7" t="s">
        <v>336</v>
      </c>
      <c r="F134" s="117">
        <v>75</v>
      </c>
      <c r="G134" s="106" t="s">
        <v>340</v>
      </c>
      <c r="I134" s="3">
        <v>4</v>
      </c>
      <c r="J134" s="8">
        <f t="shared" si="2"/>
        <v>300</v>
      </c>
    </row>
    <row r="135" spans="2:12" x14ac:dyDescent="0.2">
      <c r="B135" s="106" t="s">
        <v>358</v>
      </c>
      <c r="C135"/>
      <c r="E135" s="7" t="s">
        <v>336</v>
      </c>
      <c r="F135" s="117">
        <v>75</v>
      </c>
      <c r="G135" s="106" t="s">
        <v>341</v>
      </c>
      <c r="I135" s="3">
        <v>21.5</v>
      </c>
      <c r="J135" s="8">
        <f t="shared" si="2"/>
        <v>1612.5</v>
      </c>
    </row>
    <row r="136" spans="2:12" x14ac:dyDescent="0.2">
      <c r="B136" s="106" t="s">
        <v>358</v>
      </c>
      <c r="C136"/>
      <c r="E136" s="7" t="s">
        <v>336</v>
      </c>
      <c r="F136" s="117">
        <v>75</v>
      </c>
      <c r="G136" s="106" t="s">
        <v>337</v>
      </c>
      <c r="I136" s="3">
        <v>2</v>
      </c>
      <c r="J136" s="22">
        <f t="shared" si="2"/>
        <v>150</v>
      </c>
    </row>
    <row r="137" spans="2:12" x14ac:dyDescent="0.2">
      <c r="D137" s="7" t="s">
        <v>61</v>
      </c>
      <c r="J137" s="8">
        <f>SUM(J100:J136)</f>
        <v>148300</v>
      </c>
    </row>
    <row r="138" spans="2:12" x14ac:dyDescent="0.2">
      <c r="B138" s="104" t="s">
        <v>359</v>
      </c>
    </row>
    <row r="139" spans="2:12" x14ac:dyDescent="0.2">
      <c r="B139" s="106" t="s">
        <v>360</v>
      </c>
      <c r="E139" s="106" t="s">
        <v>337</v>
      </c>
      <c r="F139" s="456">
        <f>368+51.46+190.59+118.69+107.69</f>
        <v>836.43000000000006</v>
      </c>
      <c r="G139" s="456"/>
      <c r="J139" s="8">
        <v>1420.44</v>
      </c>
    </row>
    <row r="140" spans="2:12" x14ac:dyDescent="0.2">
      <c r="B140" s="106"/>
      <c r="E140" s="134" t="s">
        <v>338</v>
      </c>
      <c r="F140" s="482">
        <v>583.99</v>
      </c>
      <c r="G140" s="482"/>
      <c r="L140" s="8">
        <f>-F140</f>
        <v>-583.99</v>
      </c>
    </row>
    <row r="141" spans="2:12" x14ac:dyDescent="0.2">
      <c r="B141" s="106"/>
      <c r="E141" s="106"/>
      <c r="F141" s="456">
        <f>SUM(F139:G140)</f>
        <v>1420.42</v>
      </c>
      <c r="G141" s="456"/>
    </row>
    <row r="142" spans="2:12" x14ac:dyDescent="0.2">
      <c r="B142" s="106" t="s">
        <v>339</v>
      </c>
      <c r="E142" s="106" t="s">
        <v>340</v>
      </c>
      <c r="F142" s="456">
        <v>1433.86</v>
      </c>
      <c r="G142" s="456"/>
      <c r="H142" s="126"/>
      <c r="J142" s="8">
        <v>5791.75</v>
      </c>
    </row>
    <row r="143" spans="2:12" x14ac:dyDescent="0.2">
      <c r="B143" s="106"/>
      <c r="E143" s="106" t="s">
        <v>341</v>
      </c>
      <c r="F143" s="456">
        <v>1275.1199999999999</v>
      </c>
      <c r="G143" s="456"/>
      <c r="H143" s="126"/>
    </row>
    <row r="144" spans="2:12" x14ac:dyDescent="0.2">
      <c r="B144" s="106"/>
      <c r="E144" s="106" t="s">
        <v>337</v>
      </c>
      <c r="F144" s="456">
        <v>2645.13</v>
      </c>
      <c r="G144" s="456"/>
    </row>
    <row r="145" spans="2:12" x14ac:dyDescent="0.2">
      <c r="B145" s="106"/>
      <c r="E145" s="134" t="s">
        <v>338</v>
      </c>
      <c r="F145" s="484">
        <v>437.64</v>
      </c>
      <c r="G145" s="484"/>
      <c r="L145" s="8">
        <f>-F145</f>
        <v>-437.64</v>
      </c>
    </row>
    <row r="146" spans="2:12" x14ac:dyDescent="0.2">
      <c r="B146" s="106"/>
      <c r="E146" s="106"/>
      <c r="F146" s="456">
        <f>SUM(F142:G145)</f>
        <v>5791.75</v>
      </c>
      <c r="G146" s="456"/>
    </row>
    <row r="147" spans="2:12" ht="7.9" customHeight="1" x14ac:dyDescent="0.2">
      <c r="B147" s="106"/>
      <c r="E147" s="106"/>
      <c r="F147" s="456"/>
      <c r="G147" s="456"/>
    </row>
    <row r="148" spans="2:12" x14ac:dyDescent="0.2">
      <c r="B148" s="106" t="s">
        <v>343</v>
      </c>
      <c r="E148" s="106" t="s">
        <v>340</v>
      </c>
      <c r="F148" s="456">
        <v>1357.82</v>
      </c>
      <c r="G148" s="456"/>
      <c r="J148" s="8">
        <v>3254.93</v>
      </c>
    </row>
    <row r="149" spans="2:12" x14ac:dyDescent="0.2">
      <c r="B149" s="106"/>
      <c r="E149" s="106" t="s">
        <v>341</v>
      </c>
      <c r="F149" s="456">
        <v>901.1</v>
      </c>
      <c r="G149" s="456"/>
    </row>
    <row r="150" spans="2:12" x14ac:dyDescent="0.2">
      <c r="B150" s="106"/>
      <c r="E150" s="106" t="s">
        <v>337</v>
      </c>
      <c r="F150" s="456">
        <v>38.85</v>
      </c>
      <c r="G150" s="456"/>
      <c r="H150" s="3" t="s">
        <v>458</v>
      </c>
    </row>
    <row r="151" spans="2:12" x14ac:dyDescent="0.2">
      <c r="B151" s="106"/>
      <c r="E151" s="106" t="s">
        <v>337</v>
      </c>
      <c r="F151" s="482">
        <v>957.16</v>
      </c>
      <c r="G151" s="482"/>
      <c r="H151" s="483" t="s">
        <v>459</v>
      </c>
      <c r="I151" s="483"/>
      <c r="J151" s="483"/>
      <c r="K151" s="483"/>
      <c r="L151" s="8">
        <v>-68.3</v>
      </c>
    </row>
    <row r="152" spans="2:12" x14ac:dyDescent="0.2">
      <c r="B152" s="106"/>
      <c r="F152" s="456">
        <f>SUM(F148:G151)</f>
        <v>3254.93</v>
      </c>
      <c r="G152" s="456"/>
      <c r="H152" s="483"/>
      <c r="I152" s="483"/>
      <c r="J152" s="483"/>
      <c r="K152" s="483"/>
    </row>
    <row r="153" spans="2:12" x14ac:dyDescent="0.2">
      <c r="B153" s="106"/>
      <c r="F153" s="456"/>
      <c r="G153" s="456"/>
    </row>
    <row r="154" spans="2:12" x14ac:dyDescent="0.2">
      <c r="B154" s="106" t="s">
        <v>344</v>
      </c>
      <c r="E154" s="7" t="s">
        <v>375</v>
      </c>
      <c r="J154" s="8">
        <v>0</v>
      </c>
    </row>
    <row r="155" spans="2:12" x14ac:dyDescent="0.2">
      <c r="B155" s="106"/>
      <c r="C155" s="125"/>
      <c r="H155" s="431">
        <v>3854.51</v>
      </c>
      <c r="I155" s="431"/>
      <c r="J155" s="102" t="s">
        <v>637</v>
      </c>
    </row>
    <row r="156" spans="2:12" x14ac:dyDescent="0.2">
      <c r="B156" s="106"/>
      <c r="C156" s="125"/>
    </row>
    <row r="157" spans="2:12" x14ac:dyDescent="0.2">
      <c r="B157" s="106" t="s">
        <v>345</v>
      </c>
      <c r="C157" s="125"/>
      <c r="E157" s="3"/>
      <c r="J157" s="8">
        <f>+F166</f>
        <v>4784.99</v>
      </c>
    </row>
    <row r="158" spans="2:12" x14ac:dyDescent="0.2">
      <c r="B158" s="3"/>
      <c r="E158" s="134" t="s">
        <v>460</v>
      </c>
      <c r="F158" s="456">
        <v>335.27</v>
      </c>
      <c r="G158" s="456"/>
      <c r="H158" s="3" t="s">
        <v>463</v>
      </c>
      <c r="J158" s="3"/>
      <c r="L158" s="8">
        <f>-F158</f>
        <v>-335.27</v>
      </c>
    </row>
    <row r="159" spans="2:12" x14ac:dyDescent="0.2">
      <c r="B159" s="106"/>
      <c r="E159" s="134" t="s">
        <v>461</v>
      </c>
      <c r="F159" s="456">
        <v>499.43</v>
      </c>
      <c r="G159" s="456"/>
      <c r="H159" s="3" t="s">
        <v>464</v>
      </c>
      <c r="L159" s="8">
        <f>-F160</f>
        <v>-426.79</v>
      </c>
    </row>
    <row r="160" spans="2:12" x14ac:dyDescent="0.2">
      <c r="B160" s="106"/>
      <c r="E160" s="134" t="s">
        <v>462</v>
      </c>
      <c r="F160" s="456">
        <v>426.79</v>
      </c>
      <c r="G160" s="456"/>
      <c r="L160" s="8">
        <f>-F160</f>
        <v>-426.79</v>
      </c>
    </row>
    <row r="161" spans="2:12" x14ac:dyDescent="0.2">
      <c r="B161" s="106"/>
      <c r="E161" s="134" t="s">
        <v>465</v>
      </c>
      <c r="F161" s="456">
        <v>503.76</v>
      </c>
      <c r="G161" s="456"/>
      <c r="H161" s="3" t="s">
        <v>466</v>
      </c>
      <c r="L161" s="8">
        <f>-F161</f>
        <v>-503.76</v>
      </c>
    </row>
    <row r="162" spans="2:12" x14ac:dyDescent="0.2">
      <c r="B162" s="106"/>
      <c r="E162" s="134" t="s">
        <v>467</v>
      </c>
      <c r="F162" s="456">
        <v>359.74</v>
      </c>
      <c r="G162" s="456"/>
      <c r="H162" s="3" t="s">
        <v>468</v>
      </c>
      <c r="L162" s="8">
        <f>-F162</f>
        <v>-359.74</v>
      </c>
    </row>
    <row r="163" spans="2:12" x14ac:dyDescent="0.2">
      <c r="B163" s="106"/>
      <c r="E163" s="222" t="s">
        <v>469</v>
      </c>
      <c r="F163" s="456">
        <v>1140</v>
      </c>
      <c r="G163" s="456"/>
      <c r="H163" s="3" t="s">
        <v>471</v>
      </c>
      <c r="L163" s="8">
        <f>-F163</f>
        <v>-1140</v>
      </c>
    </row>
    <row r="164" spans="2:12" x14ac:dyDescent="0.2">
      <c r="B164" s="106"/>
      <c r="E164" s="222" t="s">
        <v>470</v>
      </c>
      <c r="F164" s="456">
        <v>1520</v>
      </c>
      <c r="G164" s="456"/>
      <c r="L164" s="8">
        <f>-F164</f>
        <v>-1520</v>
      </c>
    </row>
    <row r="165" spans="2:12" x14ac:dyDescent="0.2">
      <c r="B165" s="106"/>
      <c r="E165" s="222" t="s">
        <v>472</v>
      </c>
      <c r="F165" s="482">
        <v>0</v>
      </c>
      <c r="G165" s="482"/>
      <c r="H165" s="126" t="s">
        <v>670</v>
      </c>
    </row>
    <row r="166" spans="2:12" x14ac:dyDescent="0.2">
      <c r="B166" s="106"/>
      <c r="E166" s="106"/>
      <c r="F166" s="456">
        <f>SUM(F158:G165)</f>
        <v>4784.99</v>
      </c>
      <c r="G166" s="456"/>
    </row>
    <row r="167" spans="2:12" ht="5.45" customHeight="1" x14ac:dyDescent="0.2">
      <c r="B167" s="106"/>
      <c r="E167" s="3"/>
      <c r="F167" s="456"/>
      <c r="G167" s="456"/>
    </row>
    <row r="168" spans="2:12" x14ac:dyDescent="0.2">
      <c r="B168" s="106" t="s">
        <v>348</v>
      </c>
      <c r="E168" s="106" t="s">
        <v>341</v>
      </c>
      <c r="F168" s="456">
        <v>539.85</v>
      </c>
      <c r="G168" s="456"/>
      <c r="J168" s="8">
        <v>1440.65</v>
      </c>
    </row>
    <row r="169" spans="2:12" x14ac:dyDescent="0.2">
      <c r="B169" s="106"/>
      <c r="E169" s="106" t="s">
        <v>341</v>
      </c>
      <c r="F169" s="456">
        <v>106.15</v>
      </c>
      <c r="G169" s="456"/>
      <c r="H169" s="3" t="s">
        <v>473</v>
      </c>
    </row>
    <row r="170" spans="2:12" x14ac:dyDescent="0.2">
      <c r="B170" s="106"/>
      <c r="E170" s="106" t="s">
        <v>337</v>
      </c>
      <c r="F170" s="456">
        <v>151.93</v>
      </c>
      <c r="G170" s="456"/>
      <c r="H170" s="3" t="s">
        <v>473</v>
      </c>
    </row>
    <row r="171" spans="2:12" x14ac:dyDescent="0.2">
      <c r="B171" s="106"/>
      <c r="E171" s="134" t="s">
        <v>338</v>
      </c>
      <c r="F171" s="482">
        <v>642.72</v>
      </c>
      <c r="G171" s="482"/>
      <c r="L171" s="8">
        <f>-F171</f>
        <v>-642.72</v>
      </c>
    </row>
    <row r="172" spans="2:12" x14ac:dyDescent="0.2">
      <c r="B172" s="106"/>
      <c r="E172" s="106"/>
      <c r="F172" s="456">
        <f>SUM(F168:G171)</f>
        <v>1440.65</v>
      </c>
      <c r="G172" s="456"/>
    </row>
    <row r="173" spans="2:12" ht="7.9" customHeight="1" x14ac:dyDescent="0.2">
      <c r="B173" s="106"/>
      <c r="E173" s="106"/>
      <c r="F173" s="135"/>
      <c r="G173" s="135"/>
    </row>
    <row r="174" spans="2:12" x14ac:dyDescent="0.2">
      <c r="B174" s="106" t="s">
        <v>349</v>
      </c>
      <c r="E174" s="134" t="s">
        <v>377</v>
      </c>
      <c r="F174" s="481" t="s">
        <v>474</v>
      </c>
      <c r="G174" s="481"/>
      <c r="H174" s="481"/>
      <c r="J174" s="8">
        <v>5913.63</v>
      </c>
      <c r="L174" s="8">
        <f>-J174+F181</f>
        <v>-518.5699999999988</v>
      </c>
    </row>
    <row r="175" spans="2:12" x14ac:dyDescent="0.2">
      <c r="B175" s="106"/>
      <c r="E175" s="134" t="s">
        <v>378</v>
      </c>
      <c r="F175" s="481" t="s">
        <v>474</v>
      </c>
      <c r="G175" s="481"/>
      <c r="H175" s="481"/>
    </row>
    <row r="176" spans="2:12" x14ac:dyDescent="0.2">
      <c r="B176" s="106"/>
      <c r="E176" s="134" t="s">
        <v>376</v>
      </c>
      <c r="F176" s="481" t="s">
        <v>474</v>
      </c>
      <c r="G176" s="481"/>
      <c r="H176" s="481"/>
    </row>
    <row r="177" spans="2:12" x14ac:dyDescent="0.2">
      <c r="B177" s="106"/>
      <c r="E177" s="106" t="s">
        <v>340</v>
      </c>
      <c r="F177" s="456">
        <f>133.97+124.2+147.23+225.99</f>
        <v>631.39</v>
      </c>
      <c r="G177" s="456"/>
    </row>
    <row r="178" spans="2:12" x14ac:dyDescent="0.2">
      <c r="B178" s="106"/>
      <c r="E178" s="106" t="s">
        <v>341</v>
      </c>
      <c r="F178" s="456">
        <v>1263.43</v>
      </c>
      <c r="G178" s="456"/>
    </row>
    <row r="179" spans="2:12" x14ac:dyDescent="0.2">
      <c r="B179" s="106"/>
      <c r="E179" s="106" t="s">
        <v>337</v>
      </c>
      <c r="F179" s="456">
        <f>16710.63-14419.56</f>
        <v>2291.0700000000015</v>
      </c>
      <c r="G179" s="456"/>
    </row>
    <row r="180" spans="2:12" x14ac:dyDescent="0.2">
      <c r="B180" s="106"/>
      <c r="E180" s="134" t="s">
        <v>338</v>
      </c>
      <c r="F180" s="482">
        <f>35.22+41.22+33.98+61.29+1009.62+27.84</f>
        <v>1209.1699999999998</v>
      </c>
      <c r="G180" s="482"/>
      <c r="L180" s="8">
        <f>-F180</f>
        <v>-1209.1699999999998</v>
      </c>
    </row>
    <row r="181" spans="2:12" x14ac:dyDescent="0.2">
      <c r="B181" s="106"/>
      <c r="F181" s="456">
        <f>SUM(F174:G180)</f>
        <v>5395.0600000000013</v>
      </c>
      <c r="G181" s="456"/>
    </row>
    <row r="182" spans="2:12" x14ac:dyDescent="0.2">
      <c r="B182" s="106"/>
      <c r="F182" s="70"/>
      <c r="G182" s="70"/>
      <c r="J182" s="16"/>
    </row>
    <row r="183" spans="2:12" x14ac:dyDescent="0.2">
      <c r="B183"/>
      <c r="D183" s="106" t="s">
        <v>388</v>
      </c>
      <c r="J183" s="8">
        <f>SUM(J139:J174)</f>
        <v>22606.390000000003</v>
      </c>
    </row>
    <row r="184" spans="2:12" x14ac:dyDescent="0.2">
      <c r="B184" s="104" t="s">
        <v>361</v>
      </c>
    </row>
    <row r="185" spans="2:12" x14ac:dyDescent="0.2">
      <c r="B185"/>
    </row>
    <row r="186" spans="2:12" x14ac:dyDescent="0.2">
      <c r="B186" s="106" t="s">
        <v>362</v>
      </c>
      <c r="J186" s="8">
        <v>232</v>
      </c>
    </row>
    <row r="187" spans="2:12" x14ac:dyDescent="0.2">
      <c r="B187" s="106" t="s">
        <v>363</v>
      </c>
      <c r="J187" s="223">
        <v>356.09</v>
      </c>
      <c r="L187" s="8">
        <f>-J187</f>
        <v>-356.09</v>
      </c>
    </row>
    <row r="188" spans="2:12" x14ac:dyDescent="0.2">
      <c r="B188" s="106" t="s">
        <v>364</v>
      </c>
      <c r="J188" s="8">
        <v>1100</v>
      </c>
    </row>
    <row r="189" spans="2:12" x14ac:dyDescent="0.2">
      <c r="B189" s="106" t="s">
        <v>365</v>
      </c>
      <c r="J189" s="8">
        <v>605</v>
      </c>
    </row>
    <row r="190" spans="2:12" x14ac:dyDescent="0.2">
      <c r="B190" s="106" t="s">
        <v>366</v>
      </c>
      <c r="J190" s="8">
        <v>100.9</v>
      </c>
    </row>
    <row r="191" spans="2:12" x14ac:dyDescent="0.2">
      <c r="B191" s="106" t="s">
        <v>367</v>
      </c>
      <c r="J191" s="8">
        <v>2500</v>
      </c>
    </row>
    <row r="192" spans="2:12" x14ac:dyDescent="0.2">
      <c r="B192" s="106" t="s">
        <v>368</v>
      </c>
      <c r="J192" s="16">
        <v>1358.83</v>
      </c>
    </row>
    <row r="193" spans="2:12" x14ac:dyDescent="0.2">
      <c r="B193" s="106" t="s">
        <v>369</v>
      </c>
      <c r="J193" s="8">
        <f>SUM(J186:J192)</f>
        <v>6252.82</v>
      </c>
    </row>
    <row r="194" spans="2:12" x14ac:dyDescent="0.2">
      <c r="B194"/>
    </row>
    <row r="195" spans="2:12" x14ac:dyDescent="0.2">
      <c r="D195" s="118" t="s">
        <v>394</v>
      </c>
      <c r="J195" s="8">
        <f>+J137+J183+J193</f>
        <v>177159.21000000002</v>
      </c>
      <c r="K195" s="8">
        <f>+J195</f>
        <v>177159.21000000002</v>
      </c>
    </row>
    <row r="197" spans="2:12" x14ac:dyDescent="0.2">
      <c r="C197" s="7" t="s">
        <v>318</v>
      </c>
    </row>
    <row r="198" spans="2:12" x14ac:dyDescent="0.2">
      <c r="D198" s="7" t="s">
        <v>326</v>
      </c>
      <c r="H198" s="430">
        <v>13912.5</v>
      </c>
      <c r="I198" s="430"/>
    </row>
    <row r="199" spans="2:12" x14ac:dyDescent="0.2">
      <c r="D199" s="3"/>
      <c r="E199" s="7" t="s">
        <v>330</v>
      </c>
      <c r="H199" s="446">
        <f>16000-H198</f>
        <v>2087.5</v>
      </c>
      <c r="I199" s="446"/>
      <c r="L199" s="8">
        <f>-H199</f>
        <v>-2087.5</v>
      </c>
    </row>
    <row r="200" spans="2:12" x14ac:dyDescent="0.2">
      <c r="D200" s="125"/>
      <c r="H200" s="430">
        <f>+H198+H199</f>
        <v>16000</v>
      </c>
      <c r="I200" s="430"/>
    </row>
    <row r="201" spans="2:12" x14ac:dyDescent="0.2">
      <c r="D201" s="7" t="s">
        <v>329</v>
      </c>
      <c r="H201" s="8"/>
      <c r="I201" s="8"/>
    </row>
    <row r="202" spans="2:12" x14ac:dyDescent="0.2">
      <c r="D202" s="7" t="s">
        <v>327</v>
      </c>
      <c r="H202" s="430">
        <v>1092.23</v>
      </c>
      <c r="I202" s="430"/>
    </row>
    <row r="203" spans="2:12" x14ac:dyDescent="0.2">
      <c r="E203" s="125" t="s">
        <v>457</v>
      </c>
      <c r="H203" s="8"/>
      <c r="I203" s="8"/>
      <c r="L203" s="8">
        <f>-H202*0.5</f>
        <v>-546.11500000000001</v>
      </c>
    </row>
    <row r="204" spans="2:12" x14ac:dyDescent="0.2">
      <c r="D204" s="7" t="s">
        <v>328</v>
      </c>
      <c r="H204" s="430">
        <v>808.79</v>
      </c>
      <c r="I204" s="430"/>
      <c r="J204" s="8">
        <f>+H204+H202+H200</f>
        <v>17901.02</v>
      </c>
      <c r="K204" s="8">
        <f>+J204</f>
        <v>17901.02</v>
      </c>
      <c r="L204" s="8">
        <f>-H204</f>
        <v>-808.79</v>
      </c>
    </row>
    <row r="205" spans="2:12" x14ac:dyDescent="0.2">
      <c r="D205" s="125" t="s">
        <v>331</v>
      </c>
      <c r="H205" s="8"/>
      <c r="I205" s="8"/>
    </row>
    <row r="206" spans="2:12" x14ac:dyDescent="0.2">
      <c r="D206" s="125" t="s">
        <v>332</v>
      </c>
      <c r="H206" s="8"/>
      <c r="I206" s="8"/>
    </row>
    <row r="207" spans="2:12" x14ac:dyDescent="0.2">
      <c r="C207" s="7" t="s">
        <v>319</v>
      </c>
    </row>
    <row r="208" spans="2:12" x14ac:dyDescent="0.2">
      <c r="D208" s="7" t="s">
        <v>320</v>
      </c>
      <c r="G208" s="7" t="s">
        <v>321</v>
      </c>
      <c r="H208" s="430">
        <v>1781.1</v>
      </c>
      <c r="I208" s="430"/>
      <c r="L208" s="8">
        <f>-H208</f>
        <v>-1781.1</v>
      </c>
    </row>
    <row r="209" spans="4:13" x14ac:dyDescent="0.2">
      <c r="D209" s="125" t="s">
        <v>325</v>
      </c>
    </row>
    <row r="210" spans="4:13" x14ac:dyDescent="0.2">
      <c r="D210" s="125" t="s">
        <v>322</v>
      </c>
    </row>
    <row r="211" spans="4:13" x14ac:dyDescent="0.2">
      <c r="D211" s="7" t="s">
        <v>320</v>
      </c>
      <c r="G211" s="7" t="s">
        <v>323</v>
      </c>
      <c r="H211" s="430">
        <v>2655.55</v>
      </c>
      <c r="I211" s="430"/>
      <c r="L211" s="8">
        <f>-H211</f>
        <v>-2655.55</v>
      </c>
    </row>
    <row r="212" spans="4:13" x14ac:dyDescent="0.2">
      <c r="D212" s="125" t="s">
        <v>325</v>
      </c>
    </row>
    <row r="213" spans="4:13" x14ac:dyDescent="0.2">
      <c r="D213" s="125" t="s">
        <v>324</v>
      </c>
      <c r="J213" s="8">
        <v>4436.6499999999996</v>
      </c>
      <c r="K213" s="8">
        <f>+J213</f>
        <v>4436.6499999999996</v>
      </c>
    </row>
    <row r="214" spans="4:13" ht="7.5" customHeight="1" x14ac:dyDescent="0.2">
      <c r="K214" s="16"/>
      <c r="L214" s="16"/>
      <c r="M214" s="16"/>
    </row>
    <row r="215" spans="4:13" x14ac:dyDescent="0.2">
      <c r="K215" s="8">
        <f>SUM(K5:K214)</f>
        <v>334286.79000000004</v>
      </c>
      <c r="L215" s="8">
        <f>SUM(L5:L214)</f>
        <v>-70795.264999999999</v>
      </c>
      <c r="M215" s="8">
        <f>+K215+L215</f>
        <v>263491.52500000002</v>
      </c>
    </row>
    <row r="216" spans="4:13" x14ac:dyDescent="0.2">
      <c r="M216" s="8" t="b">
        <f>+M215-L215=K215</f>
        <v>1</v>
      </c>
    </row>
  </sheetData>
  <mergeCells count="80">
    <mergeCell ref="F141:G141"/>
    <mergeCell ref="F51:G51"/>
    <mergeCell ref="H75:I75"/>
    <mergeCell ref="F81:G81"/>
    <mergeCell ref="H81:I81"/>
    <mergeCell ref="F139:G139"/>
    <mergeCell ref="F140:G140"/>
    <mergeCell ref="F119:G119"/>
    <mergeCell ref="F25:G25"/>
    <mergeCell ref="H208:I208"/>
    <mergeCell ref="F48:G48"/>
    <mergeCell ref="F71:G71"/>
    <mergeCell ref="F72:G72"/>
    <mergeCell ref="F52:G52"/>
    <mergeCell ref="F57:G57"/>
    <mergeCell ref="F58:G58"/>
    <mergeCell ref="F77:G77"/>
    <mergeCell ref="F78:G78"/>
    <mergeCell ref="H211:I211"/>
    <mergeCell ref="H198:I198"/>
    <mergeCell ref="H202:I202"/>
    <mergeCell ref="H204:I204"/>
    <mergeCell ref="H199:I199"/>
    <mergeCell ref="H200:I200"/>
    <mergeCell ref="F74:G74"/>
    <mergeCell ref="F76:G76"/>
    <mergeCell ref="C73:D73"/>
    <mergeCell ref="C74:D74"/>
    <mergeCell ref="C76:D76"/>
    <mergeCell ref="C77:D77"/>
    <mergeCell ref="H52:J52"/>
    <mergeCell ref="F59:G59"/>
    <mergeCell ref="F63:G63"/>
    <mergeCell ref="F64:G64"/>
    <mergeCell ref="F65:G65"/>
    <mergeCell ref="F66:G66"/>
    <mergeCell ref="H62:I62"/>
    <mergeCell ref="F142:G142"/>
    <mergeCell ref="F143:G143"/>
    <mergeCell ref="F144:G144"/>
    <mergeCell ref="F145:G145"/>
    <mergeCell ref="C72:D72"/>
    <mergeCell ref="F53:G53"/>
    <mergeCell ref="F69:G69"/>
    <mergeCell ref="F70:G70"/>
    <mergeCell ref="C78:D78"/>
    <mergeCell ref="F73:G73"/>
    <mergeCell ref="F150:G150"/>
    <mergeCell ref="F151:G151"/>
    <mergeCell ref="F152:G152"/>
    <mergeCell ref="F153:G153"/>
    <mergeCell ref="F146:G146"/>
    <mergeCell ref="F147:G147"/>
    <mergeCell ref="F148:G148"/>
    <mergeCell ref="F149:G149"/>
    <mergeCell ref="F166:G166"/>
    <mergeCell ref="F167:G167"/>
    <mergeCell ref="H151:K152"/>
    <mergeCell ref="F158:G158"/>
    <mergeCell ref="F159:G159"/>
    <mergeCell ref="F160:G160"/>
    <mergeCell ref="H155:I155"/>
    <mergeCell ref="F171:G171"/>
    <mergeCell ref="F169:G169"/>
    <mergeCell ref="F172:G172"/>
    <mergeCell ref="F168:G168"/>
    <mergeCell ref="F161:G161"/>
    <mergeCell ref="F162:G162"/>
    <mergeCell ref="F163:G163"/>
    <mergeCell ref="F170:G170"/>
    <mergeCell ref="F164:G164"/>
    <mergeCell ref="F165:G165"/>
    <mergeCell ref="F174:H174"/>
    <mergeCell ref="F175:H175"/>
    <mergeCell ref="F176:H176"/>
    <mergeCell ref="F177:G177"/>
    <mergeCell ref="F181:G181"/>
    <mergeCell ref="F178:G178"/>
    <mergeCell ref="F179:G179"/>
    <mergeCell ref="F180:G180"/>
  </mergeCells>
  <pageMargins left="0.17" right="0.2"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view="pageBreakPreview" zoomScale="75" zoomScaleNormal="75" zoomScaleSheetLayoutView="75" workbookViewId="0"/>
  </sheetViews>
  <sheetFormatPr defaultColWidth="10.28515625" defaultRowHeight="12.75" x14ac:dyDescent="0.2"/>
  <cols>
    <col min="1" max="1" width="6" style="7" customWidth="1"/>
    <col min="2" max="2" width="6.42578125" style="7" customWidth="1"/>
    <col min="3" max="4" width="6" style="7" customWidth="1"/>
    <col min="5" max="5" width="9.5703125" style="7" customWidth="1"/>
    <col min="6" max="6" width="9.42578125" style="7" customWidth="1"/>
    <col min="7" max="7" width="11" style="7" customWidth="1"/>
    <col min="8" max="8" width="11.7109375" style="8" customWidth="1"/>
    <col min="9" max="9" width="13.42578125" style="3" customWidth="1"/>
    <col min="10" max="10" width="14.7109375" style="8" customWidth="1"/>
    <col min="11" max="11" width="18.28515625" style="8" customWidth="1"/>
    <col min="12" max="12" width="15.140625" style="8" customWidth="1"/>
    <col min="13" max="16384" width="10.28515625" style="3"/>
  </cols>
  <sheetData>
    <row r="1" spans="1:12" ht="15.75" x14ac:dyDescent="0.2">
      <c r="C1" s="2" t="s">
        <v>6</v>
      </c>
      <c r="D1" s="2"/>
      <c r="E1" s="2"/>
      <c r="F1" s="2"/>
      <c r="G1" s="2"/>
      <c r="I1" s="6" t="s">
        <v>313</v>
      </c>
    </row>
    <row r="2" spans="1:12" x14ac:dyDescent="0.2">
      <c r="C2" s="3" t="s">
        <v>7</v>
      </c>
      <c r="D2" s="3"/>
      <c r="E2" s="3"/>
      <c r="F2" s="3"/>
      <c r="G2" s="3"/>
    </row>
    <row r="3" spans="1:12" s="2" customFormat="1" ht="18.600000000000001" customHeight="1" x14ac:dyDescent="0.2">
      <c r="A3" s="4" t="s">
        <v>2</v>
      </c>
      <c r="B3" s="4"/>
      <c r="C3" s="4" t="s">
        <v>3</v>
      </c>
      <c r="D3" s="4"/>
      <c r="E3" s="4"/>
      <c r="F3" s="4"/>
      <c r="G3" s="7"/>
      <c r="H3" s="35"/>
      <c r="J3" s="9" t="s">
        <v>8</v>
      </c>
      <c r="K3" s="9" t="s">
        <v>9</v>
      </c>
      <c r="L3" s="9" t="s">
        <v>536</v>
      </c>
    </row>
    <row r="4" spans="1:12" ht="5.45" customHeight="1" x14ac:dyDescent="0.2"/>
    <row r="5" spans="1:12" x14ac:dyDescent="0.2">
      <c r="A5" s="10">
        <v>11</v>
      </c>
      <c r="B5" s="7" t="s">
        <v>20</v>
      </c>
    </row>
    <row r="6" spans="1:12" x14ac:dyDescent="0.2">
      <c r="A6" s="10"/>
      <c r="C6" s="11" t="s">
        <v>37</v>
      </c>
    </row>
    <row r="7" spans="1:12" x14ac:dyDescent="0.2">
      <c r="A7" s="10"/>
      <c r="C7" s="7" t="s">
        <v>399</v>
      </c>
      <c r="D7" s="3"/>
      <c r="E7" s="7" t="s">
        <v>312</v>
      </c>
      <c r="H7" s="8">
        <v>15000</v>
      </c>
      <c r="K7" s="8">
        <f>+H7*-0.5</f>
        <v>-7500</v>
      </c>
    </row>
    <row r="8" spans="1:12" x14ac:dyDescent="0.2">
      <c r="A8" s="10"/>
      <c r="D8" s="7" t="s">
        <v>401</v>
      </c>
      <c r="E8" s="3"/>
      <c r="H8" s="22">
        <v>4096.68</v>
      </c>
      <c r="K8" s="8">
        <v>0</v>
      </c>
    </row>
    <row r="9" spans="1:12" x14ac:dyDescent="0.2">
      <c r="A9" s="10"/>
      <c r="D9" s="3" t="s">
        <v>403</v>
      </c>
      <c r="H9" s="8">
        <f>+H7+H8</f>
        <v>19096.68</v>
      </c>
      <c r="J9" s="8">
        <f>+H9</f>
        <v>19096.68</v>
      </c>
      <c r="L9" s="8">
        <f>+J9+K7+K8</f>
        <v>11596.68</v>
      </c>
    </row>
    <row r="10" spans="1:12" x14ac:dyDescent="0.2">
      <c r="A10" s="10"/>
      <c r="D10" s="3"/>
    </row>
    <row r="11" spans="1:12" x14ac:dyDescent="0.2">
      <c r="A11" s="10"/>
      <c r="C11" s="7" t="s">
        <v>400</v>
      </c>
      <c r="D11" s="3"/>
      <c r="E11" s="7" t="s">
        <v>312</v>
      </c>
      <c r="H11" s="8">
        <v>30000</v>
      </c>
      <c r="K11" s="8">
        <f>+H11*-0.5</f>
        <v>-15000</v>
      </c>
    </row>
    <row r="12" spans="1:12" x14ac:dyDescent="0.2">
      <c r="A12" s="10"/>
      <c r="D12" s="7" t="s">
        <v>402</v>
      </c>
      <c r="H12" s="22">
        <v>3056.42</v>
      </c>
      <c r="K12" s="8">
        <v>0</v>
      </c>
    </row>
    <row r="13" spans="1:12" x14ac:dyDescent="0.2">
      <c r="A13" s="10"/>
      <c r="D13" s="3" t="s">
        <v>403</v>
      </c>
      <c r="H13" s="8">
        <f>+H11+H12</f>
        <v>33056.42</v>
      </c>
      <c r="J13" s="16">
        <f>H13</f>
        <v>33056.42</v>
      </c>
      <c r="K13" s="16"/>
      <c r="L13" s="16">
        <f>+J13+K11+K12</f>
        <v>18056.419999999998</v>
      </c>
    </row>
    <row r="14" spans="1:12" x14ac:dyDescent="0.2">
      <c r="A14" s="10"/>
      <c r="B14" s="483" t="s">
        <v>675</v>
      </c>
      <c r="C14" s="483"/>
      <c r="D14" s="483"/>
      <c r="E14" s="483"/>
      <c r="F14" s="483"/>
      <c r="G14" s="483"/>
      <c r="H14" s="483"/>
      <c r="I14" s="483"/>
      <c r="J14" s="8">
        <f>SUM(J6:J13)</f>
        <v>52153.1</v>
      </c>
      <c r="K14" s="8">
        <f>SUM(K6:K13)</f>
        <v>-22500</v>
      </c>
      <c r="L14" s="8">
        <f>SUM(L6:L13)</f>
        <v>29653.1</v>
      </c>
    </row>
    <row r="15" spans="1:12" ht="14.45" customHeight="1" x14ac:dyDescent="0.2">
      <c r="A15" s="10"/>
      <c r="B15" s="483"/>
      <c r="C15" s="483"/>
      <c r="D15" s="483"/>
      <c r="E15" s="483"/>
      <c r="F15" s="483"/>
      <c r="G15" s="483"/>
      <c r="H15" s="483"/>
      <c r="I15" s="483"/>
    </row>
    <row r="16" spans="1:12" x14ac:dyDescent="0.2">
      <c r="A16" s="10">
        <v>12</v>
      </c>
      <c r="B16" s="7" t="s">
        <v>21</v>
      </c>
      <c r="C16" s="11"/>
      <c r="J16" s="16"/>
      <c r="K16" s="16"/>
      <c r="L16" s="16"/>
    </row>
    <row r="17" spans="1:12" x14ac:dyDescent="0.2">
      <c r="A17" s="10"/>
      <c r="C17" s="14" t="s">
        <v>41</v>
      </c>
      <c r="J17" s="8">
        <v>1028</v>
      </c>
      <c r="K17" s="8">
        <v>0</v>
      </c>
      <c r="L17" s="8">
        <f>+J17+K17</f>
        <v>1028</v>
      </c>
    </row>
    <row r="18" spans="1:12" x14ac:dyDescent="0.2">
      <c r="A18" s="10">
        <v>13</v>
      </c>
      <c r="B18" s="7" t="s">
        <v>22</v>
      </c>
      <c r="E18" s="14" t="s">
        <v>42</v>
      </c>
    </row>
    <row r="19" spans="1:12" x14ac:dyDescent="0.2">
      <c r="A19" s="10"/>
      <c r="B19" s="237" t="s">
        <v>407</v>
      </c>
      <c r="C19" s="19"/>
      <c r="E19" s="19"/>
      <c r="F19" s="19" t="s">
        <v>408</v>
      </c>
      <c r="G19" s="23"/>
      <c r="H19" s="23"/>
      <c r="I19" s="19"/>
    </row>
    <row r="20" spans="1:12" x14ac:dyDescent="0.2">
      <c r="A20" s="10"/>
      <c r="B20" s="238" t="s">
        <v>409</v>
      </c>
      <c r="C20" s="238" t="s">
        <v>102</v>
      </c>
      <c r="D20" s="238" t="s">
        <v>103</v>
      </c>
      <c r="E20" s="239" t="s">
        <v>410</v>
      </c>
      <c r="F20" s="239" t="s">
        <v>411</v>
      </c>
      <c r="G20" s="21" t="s">
        <v>412</v>
      </c>
      <c r="H20" s="21" t="s">
        <v>413</v>
      </c>
      <c r="I20" s="239" t="s">
        <v>414</v>
      </c>
    </row>
    <row r="21" spans="1:12" x14ac:dyDescent="0.2">
      <c r="A21" s="10"/>
      <c r="B21" s="18" t="s">
        <v>415</v>
      </c>
      <c r="C21" s="18">
        <v>40</v>
      </c>
      <c r="D21" s="18">
        <v>30</v>
      </c>
      <c r="E21" s="23">
        <f>85*C21</f>
        <v>3400</v>
      </c>
      <c r="F21" s="23">
        <f>+D21*103</f>
        <v>3090</v>
      </c>
      <c r="G21" s="20">
        <v>6490</v>
      </c>
      <c r="H21" s="20">
        <v>1687.33</v>
      </c>
      <c r="I21" s="23">
        <f>+G21+H21</f>
        <v>8177.33</v>
      </c>
      <c r="K21" s="8">
        <f t="shared" ref="K21:K26" si="0">+(G21+H21)*-0.5</f>
        <v>-4088.665</v>
      </c>
    </row>
    <row r="22" spans="1:12" x14ac:dyDescent="0.2">
      <c r="A22" s="10"/>
      <c r="B22" s="18" t="s">
        <v>416</v>
      </c>
      <c r="C22" s="18">
        <v>40</v>
      </c>
      <c r="D22" s="18">
        <v>34</v>
      </c>
      <c r="E22" s="23">
        <f t="shared" ref="E22:E36" si="1">85*C22</f>
        <v>3400</v>
      </c>
      <c r="F22" s="23">
        <f t="shared" ref="F22:F36" si="2">+D22*103</f>
        <v>3502</v>
      </c>
      <c r="G22" s="20">
        <v>6902</v>
      </c>
      <c r="H22" s="20">
        <v>576.13</v>
      </c>
      <c r="I22" s="23">
        <f t="shared" ref="I22:I36" si="3">+G22+H22</f>
        <v>7478.13</v>
      </c>
      <c r="K22" s="8">
        <f t="shared" si="0"/>
        <v>-3739.0650000000001</v>
      </c>
    </row>
    <row r="23" spans="1:12" x14ac:dyDescent="0.2">
      <c r="A23" s="10"/>
      <c r="B23" s="237" t="s">
        <v>417</v>
      </c>
      <c r="C23" s="18">
        <v>40</v>
      </c>
      <c r="D23" s="18">
        <v>30</v>
      </c>
      <c r="E23" s="23">
        <f t="shared" si="1"/>
        <v>3400</v>
      </c>
      <c r="F23" s="23">
        <f t="shared" si="2"/>
        <v>3090</v>
      </c>
      <c r="G23" s="20">
        <v>6490</v>
      </c>
      <c r="H23" s="20">
        <v>519.79</v>
      </c>
      <c r="I23" s="23">
        <f t="shared" si="3"/>
        <v>7009.79</v>
      </c>
      <c r="K23" s="8">
        <f t="shared" si="0"/>
        <v>-3504.895</v>
      </c>
    </row>
    <row r="24" spans="1:12" x14ac:dyDescent="0.2">
      <c r="A24" s="10"/>
      <c r="B24" s="18" t="s">
        <v>418</v>
      </c>
      <c r="C24" s="18">
        <v>40</v>
      </c>
      <c r="D24" s="18">
        <v>31</v>
      </c>
      <c r="E24" s="23">
        <f t="shared" si="1"/>
        <v>3400</v>
      </c>
      <c r="F24" s="23">
        <f t="shared" si="2"/>
        <v>3193</v>
      </c>
      <c r="G24" s="20">
        <v>6593</v>
      </c>
      <c r="H24" s="20">
        <v>2899.72</v>
      </c>
      <c r="I24" s="23">
        <f t="shared" si="3"/>
        <v>9492.7199999999993</v>
      </c>
      <c r="K24" s="8">
        <f t="shared" si="0"/>
        <v>-4746.3599999999997</v>
      </c>
    </row>
    <row r="25" spans="1:12" x14ac:dyDescent="0.2">
      <c r="A25" s="10"/>
      <c r="B25" s="18" t="s">
        <v>419</v>
      </c>
      <c r="C25" s="18">
        <v>40</v>
      </c>
      <c r="D25" s="18">
        <v>46</v>
      </c>
      <c r="E25" s="23">
        <f t="shared" si="1"/>
        <v>3400</v>
      </c>
      <c r="F25" s="23">
        <f t="shared" si="2"/>
        <v>4738</v>
      </c>
      <c r="G25" s="20">
        <v>8138</v>
      </c>
      <c r="H25" s="20">
        <v>373.33</v>
      </c>
      <c r="I25" s="23">
        <f t="shared" si="3"/>
        <v>8511.33</v>
      </c>
      <c r="K25" s="8">
        <f t="shared" si="0"/>
        <v>-4255.665</v>
      </c>
    </row>
    <row r="26" spans="1:12" x14ac:dyDescent="0.2">
      <c r="A26" s="10"/>
      <c r="B26" s="18" t="s">
        <v>420</v>
      </c>
      <c r="C26" s="18">
        <v>40</v>
      </c>
      <c r="D26" s="18">
        <v>14</v>
      </c>
      <c r="E26" s="23">
        <f t="shared" si="1"/>
        <v>3400</v>
      </c>
      <c r="F26" s="23">
        <f t="shared" si="2"/>
        <v>1442</v>
      </c>
      <c r="G26" s="20">
        <v>4842</v>
      </c>
      <c r="H26" s="20">
        <v>5591.12</v>
      </c>
      <c r="I26" s="23">
        <f t="shared" si="3"/>
        <v>10433.119999999999</v>
      </c>
      <c r="K26" s="8">
        <f t="shared" si="0"/>
        <v>-5216.5599999999995</v>
      </c>
    </row>
    <row r="27" spans="1:12" x14ac:dyDescent="0.2">
      <c r="A27" s="10"/>
      <c r="B27" s="18" t="s">
        <v>421</v>
      </c>
      <c r="C27" s="18">
        <v>40</v>
      </c>
      <c r="D27" s="18">
        <v>0</v>
      </c>
      <c r="E27" s="23">
        <f t="shared" si="1"/>
        <v>3400</v>
      </c>
      <c r="F27" s="23">
        <f t="shared" si="2"/>
        <v>0</v>
      </c>
      <c r="G27" s="20">
        <v>3920</v>
      </c>
      <c r="H27" s="20">
        <v>223.91</v>
      </c>
      <c r="I27" s="23">
        <f t="shared" si="3"/>
        <v>4143.91</v>
      </c>
      <c r="J27" s="8" t="s">
        <v>76</v>
      </c>
      <c r="K27" s="8">
        <f>+H27*-0.5</f>
        <v>-111.955</v>
      </c>
    </row>
    <row r="28" spans="1:12" x14ac:dyDescent="0.2">
      <c r="A28" s="10"/>
      <c r="B28" s="18" t="s">
        <v>422</v>
      </c>
      <c r="C28" s="18">
        <v>40</v>
      </c>
      <c r="D28" s="18">
        <v>0</v>
      </c>
      <c r="E28" s="23">
        <f t="shared" si="1"/>
        <v>3400</v>
      </c>
      <c r="F28" s="23">
        <f t="shared" si="2"/>
        <v>0</v>
      </c>
      <c r="G28" s="20">
        <v>3920</v>
      </c>
      <c r="H28" s="20">
        <v>297.3</v>
      </c>
      <c r="I28" s="23">
        <f t="shared" si="3"/>
        <v>4217.3</v>
      </c>
      <c r="K28" s="8">
        <f t="shared" ref="K28:K36" si="4">+H28*-0.5</f>
        <v>-148.65</v>
      </c>
    </row>
    <row r="29" spans="1:12" x14ac:dyDescent="0.2">
      <c r="A29" s="10"/>
      <c r="B29" s="18" t="s">
        <v>423</v>
      </c>
      <c r="C29" s="18">
        <v>40</v>
      </c>
      <c r="D29" s="18">
        <v>0</v>
      </c>
      <c r="E29" s="23">
        <f t="shared" si="1"/>
        <v>3400</v>
      </c>
      <c r="F29" s="23">
        <f t="shared" si="2"/>
        <v>0</v>
      </c>
      <c r="G29" s="20">
        <v>3920</v>
      </c>
      <c r="H29" s="20">
        <v>287.60000000000002</v>
      </c>
      <c r="I29" s="23">
        <f t="shared" si="3"/>
        <v>4207.6000000000004</v>
      </c>
      <c r="K29" s="8">
        <f t="shared" si="4"/>
        <v>-143.80000000000001</v>
      </c>
    </row>
    <row r="30" spans="1:12" x14ac:dyDescent="0.2">
      <c r="A30" s="10"/>
      <c r="B30" s="18" t="s">
        <v>424</v>
      </c>
      <c r="C30" s="18">
        <v>40</v>
      </c>
      <c r="D30" s="18">
        <v>0</v>
      </c>
      <c r="E30" s="23">
        <f t="shared" si="1"/>
        <v>3400</v>
      </c>
      <c r="F30" s="23">
        <f t="shared" si="2"/>
        <v>0</v>
      </c>
      <c r="G30" s="20">
        <v>3920</v>
      </c>
      <c r="H30" s="20">
        <v>1319.09</v>
      </c>
      <c r="I30" s="23">
        <f t="shared" si="3"/>
        <v>5239.09</v>
      </c>
      <c r="K30" s="8">
        <f t="shared" si="4"/>
        <v>-659.54499999999996</v>
      </c>
    </row>
    <row r="31" spans="1:12" x14ac:dyDescent="0.2">
      <c r="A31" s="10"/>
      <c r="B31" s="18" t="s">
        <v>425</v>
      </c>
      <c r="C31" s="18">
        <v>40</v>
      </c>
      <c r="D31" s="18">
        <v>0</v>
      </c>
      <c r="E31" s="23">
        <f t="shared" si="1"/>
        <v>3400</v>
      </c>
      <c r="F31" s="23">
        <f t="shared" si="2"/>
        <v>0</v>
      </c>
      <c r="G31" s="20">
        <v>3920</v>
      </c>
      <c r="H31" s="20">
        <v>3907.84</v>
      </c>
      <c r="I31" s="23">
        <f t="shared" si="3"/>
        <v>7827.84</v>
      </c>
      <c r="K31" s="8">
        <f t="shared" si="4"/>
        <v>-1953.92</v>
      </c>
    </row>
    <row r="32" spans="1:12" x14ac:dyDescent="0.2">
      <c r="A32" s="10"/>
      <c r="B32" s="18" t="s">
        <v>426</v>
      </c>
      <c r="C32" s="18">
        <v>40</v>
      </c>
      <c r="D32" s="18">
        <v>0</v>
      </c>
      <c r="E32" s="23">
        <f t="shared" si="1"/>
        <v>3400</v>
      </c>
      <c r="F32" s="23">
        <f t="shared" si="2"/>
        <v>0</v>
      </c>
      <c r="G32" s="20">
        <v>3920</v>
      </c>
      <c r="H32" s="20">
        <v>363</v>
      </c>
      <c r="I32" s="23">
        <f t="shared" si="3"/>
        <v>4283</v>
      </c>
      <c r="K32" s="8">
        <f t="shared" si="4"/>
        <v>-181.5</v>
      </c>
    </row>
    <row r="33" spans="1:11" x14ac:dyDescent="0.2">
      <c r="A33" s="10"/>
      <c r="B33" s="18" t="s">
        <v>427</v>
      </c>
      <c r="C33" s="18">
        <v>40</v>
      </c>
      <c r="D33" s="18">
        <v>0</v>
      </c>
      <c r="E33" s="23">
        <f t="shared" si="1"/>
        <v>3400</v>
      </c>
      <c r="F33" s="23">
        <f t="shared" si="2"/>
        <v>0</v>
      </c>
      <c r="G33" s="20">
        <v>3920</v>
      </c>
      <c r="H33" s="20">
        <v>95.09</v>
      </c>
      <c r="I33" s="23">
        <f t="shared" si="3"/>
        <v>4015.09</v>
      </c>
      <c r="K33" s="8">
        <f t="shared" si="4"/>
        <v>-47.545000000000002</v>
      </c>
    </row>
    <row r="34" spans="1:11" x14ac:dyDescent="0.2">
      <c r="A34" s="10"/>
      <c r="B34" s="18" t="s">
        <v>428</v>
      </c>
      <c r="C34" s="18">
        <v>40</v>
      </c>
      <c r="D34" s="18">
        <v>0</v>
      </c>
      <c r="E34" s="23">
        <f t="shared" si="1"/>
        <v>3400</v>
      </c>
      <c r="F34" s="23">
        <f t="shared" si="2"/>
        <v>0</v>
      </c>
      <c r="G34" s="20">
        <v>3920</v>
      </c>
      <c r="H34" s="20">
        <v>1056.05</v>
      </c>
      <c r="I34" s="23">
        <f t="shared" si="3"/>
        <v>4976.05</v>
      </c>
      <c r="K34" s="8">
        <f t="shared" si="4"/>
        <v>-528.02499999999998</v>
      </c>
    </row>
    <row r="35" spans="1:11" x14ac:dyDescent="0.2">
      <c r="A35" s="10"/>
      <c r="B35" s="18" t="s">
        <v>429</v>
      </c>
      <c r="C35" s="18">
        <v>40</v>
      </c>
      <c r="D35" s="18">
        <v>0</v>
      </c>
      <c r="E35" s="23">
        <f t="shared" si="1"/>
        <v>3400</v>
      </c>
      <c r="F35" s="23">
        <f t="shared" si="2"/>
        <v>0</v>
      </c>
      <c r="G35" s="20">
        <v>3920</v>
      </c>
      <c r="H35" s="20">
        <v>1052.97</v>
      </c>
      <c r="I35" s="23">
        <f t="shared" si="3"/>
        <v>4972.97</v>
      </c>
      <c r="K35" s="8">
        <f t="shared" si="4"/>
        <v>-526.48500000000001</v>
      </c>
    </row>
    <row r="36" spans="1:11" x14ac:dyDescent="0.2">
      <c r="A36" s="10"/>
      <c r="B36" s="18" t="s">
        <v>430</v>
      </c>
      <c r="C36" s="238">
        <v>40</v>
      </c>
      <c r="D36" s="238">
        <v>0</v>
      </c>
      <c r="E36" s="68">
        <f t="shared" si="1"/>
        <v>3400</v>
      </c>
      <c r="F36" s="68">
        <f t="shared" si="2"/>
        <v>0</v>
      </c>
      <c r="G36" s="21">
        <v>3920</v>
      </c>
      <c r="H36" s="21">
        <v>890.29</v>
      </c>
      <c r="I36" s="68">
        <f t="shared" si="3"/>
        <v>4810.29</v>
      </c>
      <c r="K36" s="8">
        <f t="shared" si="4"/>
        <v>-445.14499999999998</v>
      </c>
    </row>
    <row r="37" spans="1:11" ht="25.5" x14ac:dyDescent="0.2">
      <c r="A37" s="10"/>
      <c r="B37" s="240" t="s">
        <v>633</v>
      </c>
      <c r="C37" s="241">
        <f t="shared" ref="C37:I37" si="5">SUM(C21:C36)</f>
        <v>640</v>
      </c>
      <c r="D37" s="241">
        <f t="shared" si="5"/>
        <v>185</v>
      </c>
      <c r="E37" s="23">
        <f t="shared" si="5"/>
        <v>54400</v>
      </c>
      <c r="F37" s="23">
        <f t="shared" si="5"/>
        <v>19055</v>
      </c>
      <c r="G37" s="20">
        <f t="shared" si="5"/>
        <v>78655</v>
      </c>
      <c r="H37" s="23">
        <f t="shared" si="5"/>
        <v>21140.559999999998</v>
      </c>
      <c r="I37" s="23">
        <f t="shared" si="5"/>
        <v>99795.56</v>
      </c>
    </row>
    <row r="38" spans="1:11" x14ac:dyDescent="0.2">
      <c r="A38" s="10"/>
      <c r="B38" s="123" t="s">
        <v>634</v>
      </c>
      <c r="C38" s="241"/>
      <c r="D38" s="241"/>
      <c r="E38" s="23"/>
      <c r="F38" s="23"/>
      <c r="G38" s="20"/>
      <c r="H38" s="23"/>
      <c r="I38" s="23"/>
    </row>
    <row r="39" spans="1:11" x14ac:dyDescent="0.2">
      <c r="A39" s="10"/>
      <c r="B39" s="18"/>
      <c r="C39" s="241"/>
      <c r="D39" s="241"/>
      <c r="E39" s="23"/>
      <c r="F39" s="23"/>
      <c r="G39" s="20"/>
      <c r="H39" s="23"/>
      <c r="I39" s="23"/>
    </row>
    <row r="40" spans="1:11" x14ac:dyDescent="0.2">
      <c r="A40" s="10"/>
      <c r="B40" s="18"/>
      <c r="C40" s="241"/>
      <c r="D40" s="241"/>
      <c r="E40" s="23"/>
      <c r="F40" s="23"/>
      <c r="G40" s="20"/>
      <c r="H40" s="23"/>
      <c r="I40" s="23"/>
    </row>
    <row r="41" spans="1:11" x14ac:dyDescent="0.2">
      <c r="A41" s="10"/>
      <c r="B41" s="19"/>
      <c r="C41" s="19"/>
      <c r="D41" s="19"/>
      <c r="E41" s="19"/>
      <c r="F41" s="19"/>
      <c r="G41" s="23"/>
      <c r="H41" s="23"/>
      <c r="I41" s="19"/>
    </row>
    <row r="42" spans="1:11" x14ac:dyDescent="0.2">
      <c r="A42" s="10"/>
      <c r="B42" s="237" t="s">
        <v>432</v>
      </c>
      <c r="C42" s="19"/>
      <c r="E42" s="19"/>
      <c r="F42" s="19"/>
      <c r="G42" s="19" t="s">
        <v>433</v>
      </c>
      <c r="H42" s="23"/>
      <c r="I42" s="19"/>
    </row>
    <row r="43" spans="1:11" x14ac:dyDescent="0.2">
      <c r="A43" s="10"/>
      <c r="B43" s="238" t="s">
        <v>409</v>
      </c>
      <c r="C43" s="238" t="s">
        <v>102</v>
      </c>
      <c r="D43" s="238" t="s">
        <v>103</v>
      </c>
      <c r="E43" s="239" t="s">
        <v>410</v>
      </c>
      <c r="F43" s="239" t="s">
        <v>411</v>
      </c>
      <c r="G43" s="238" t="s">
        <v>412</v>
      </c>
      <c r="H43" s="21" t="s">
        <v>413</v>
      </c>
      <c r="I43" s="239" t="s">
        <v>414</v>
      </c>
    </row>
    <row r="44" spans="1:11" x14ac:dyDescent="0.2">
      <c r="A44" s="10"/>
      <c r="B44" s="18" t="s">
        <v>415</v>
      </c>
      <c r="C44" s="18">
        <v>40</v>
      </c>
      <c r="D44" s="18">
        <v>15</v>
      </c>
      <c r="E44" s="23">
        <f t="shared" ref="E44:E49" si="6">80*C44</f>
        <v>3200</v>
      </c>
      <c r="F44" s="23">
        <f t="shared" ref="F44:F49" si="7">98*D44</f>
        <v>1470</v>
      </c>
      <c r="G44" s="23">
        <f t="shared" ref="G44:G49" si="8">+E44+F44</f>
        <v>4670</v>
      </c>
      <c r="H44" s="20">
        <v>790.38</v>
      </c>
      <c r="I44" s="20">
        <f t="shared" ref="I44:I49" si="9">+G44+H44</f>
        <v>5460.38</v>
      </c>
      <c r="K44" s="8">
        <f t="shared" ref="K44:K49" si="10">+(G44+H44)*-0.5</f>
        <v>-2730.19</v>
      </c>
    </row>
    <row r="45" spans="1:11" x14ac:dyDescent="0.2">
      <c r="A45" s="10"/>
      <c r="B45" s="18" t="s">
        <v>416</v>
      </c>
      <c r="C45" s="18">
        <v>40</v>
      </c>
      <c r="D45" s="18">
        <v>41</v>
      </c>
      <c r="E45" s="23">
        <f t="shared" si="6"/>
        <v>3200</v>
      </c>
      <c r="F45" s="23">
        <f t="shared" si="7"/>
        <v>4018</v>
      </c>
      <c r="G45" s="23">
        <f t="shared" si="8"/>
        <v>7218</v>
      </c>
      <c r="H45" s="20">
        <v>350</v>
      </c>
      <c r="I45" s="20">
        <f t="shared" si="9"/>
        <v>7568</v>
      </c>
      <c r="K45" s="8">
        <f t="shared" si="10"/>
        <v>-3784</v>
      </c>
    </row>
    <row r="46" spans="1:11" x14ac:dyDescent="0.2">
      <c r="A46" s="10"/>
      <c r="B46" s="237" t="s">
        <v>417</v>
      </c>
      <c r="C46" s="18">
        <v>40</v>
      </c>
      <c r="D46" s="18">
        <v>19</v>
      </c>
      <c r="E46" s="23">
        <f t="shared" si="6"/>
        <v>3200</v>
      </c>
      <c r="F46" s="23">
        <f t="shared" si="7"/>
        <v>1862</v>
      </c>
      <c r="G46" s="23">
        <f t="shared" si="8"/>
        <v>5062</v>
      </c>
      <c r="H46" s="20">
        <v>350</v>
      </c>
      <c r="I46" s="20">
        <f t="shared" si="9"/>
        <v>5412</v>
      </c>
      <c r="K46" s="8">
        <f t="shared" si="10"/>
        <v>-2706</v>
      </c>
    </row>
    <row r="47" spans="1:11" x14ac:dyDescent="0.2">
      <c r="A47" s="10"/>
      <c r="B47" s="18" t="s">
        <v>418</v>
      </c>
      <c r="C47" s="18">
        <v>40</v>
      </c>
      <c r="D47" s="18">
        <v>28</v>
      </c>
      <c r="E47" s="23">
        <f t="shared" si="6"/>
        <v>3200</v>
      </c>
      <c r="F47" s="23">
        <f t="shared" si="7"/>
        <v>2744</v>
      </c>
      <c r="G47" s="23">
        <f t="shared" si="8"/>
        <v>5944</v>
      </c>
      <c r="H47" s="20">
        <v>350</v>
      </c>
      <c r="I47" s="20">
        <f t="shared" si="9"/>
        <v>6294</v>
      </c>
      <c r="K47" s="8">
        <f t="shared" si="10"/>
        <v>-3147</v>
      </c>
    </row>
    <row r="48" spans="1:11" x14ac:dyDescent="0.2">
      <c r="A48" s="10"/>
      <c r="B48" s="18" t="s">
        <v>419</v>
      </c>
      <c r="C48" s="18">
        <v>40</v>
      </c>
      <c r="D48" s="18">
        <v>6</v>
      </c>
      <c r="E48" s="23">
        <f t="shared" si="6"/>
        <v>3200</v>
      </c>
      <c r="F48" s="23">
        <f t="shared" si="7"/>
        <v>588</v>
      </c>
      <c r="G48" s="23">
        <f t="shared" si="8"/>
        <v>3788</v>
      </c>
      <c r="H48" s="20">
        <v>300</v>
      </c>
      <c r="I48" s="20">
        <f t="shared" si="9"/>
        <v>4088</v>
      </c>
      <c r="K48" s="8">
        <f t="shared" si="10"/>
        <v>-2044</v>
      </c>
    </row>
    <row r="49" spans="1:12" x14ac:dyDescent="0.2">
      <c r="A49" s="10"/>
      <c r="B49" s="18" t="s">
        <v>420</v>
      </c>
      <c r="C49" s="238">
        <v>40</v>
      </c>
      <c r="D49" s="238">
        <v>0</v>
      </c>
      <c r="E49" s="68">
        <f t="shared" si="6"/>
        <v>3200</v>
      </c>
      <c r="F49" s="68">
        <f t="shared" si="7"/>
        <v>0</v>
      </c>
      <c r="G49" s="68">
        <f t="shared" si="8"/>
        <v>3200</v>
      </c>
      <c r="H49" s="21">
        <v>587.30999999999995</v>
      </c>
      <c r="I49" s="21">
        <f t="shared" si="9"/>
        <v>3787.31</v>
      </c>
      <c r="K49" s="8">
        <f t="shared" si="10"/>
        <v>-1893.655</v>
      </c>
    </row>
    <row r="50" spans="1:12" x14ac:dyDescent="0.2">
      <c r="A50" s="10"/>
      <c r="B50" s="18" t="s">
        <v>431</v>
      </c>
      <c r="C50" s="241">
        <f t="shared" ref="C50:I50" si="11">SUM(C44:C49)</f>
        <v>240</v>
      </c>
      <c r="D50" s="241">
        <f t="shared" si="11"/>
        <v>109</v>
      </c>
      <c r="E50" s="23">
        <f t="shared" si="11"/>
        <v>19200</v>
      </c>
      <c r="F50" s="23">
        <f t="shared" si="11"/>
        <v>10682</v>
      </c>
      <c r="G50" s="23">
        <f t="shared" si="11"/>
        <v>29882</v>
      </c>
      <c r="H50" s="23">
        <f t="shared" si="11"/>
        <v>2727.69</v>
      </c>
      <c r="I50" s="20">
        <f t="shared" si="11"/>
        <v>32609.690000000002</v>
      </c>
    </row>
    <row r="51" spans="1:12" x14ac:dyDescent="0.2">
      <c r="A51" s="10"/>
      <c r="B51" s="242" t="s">
        <v>634</v>
      </c>
      <c r="C51" s="98"/>
      <c r="D51" s="208"/>
      <c r="E51" s="208"/>
      <c r="F51" s="208"/>
      <c r="G51" s="152"/>
      <c r="H51" s="152"/>
      <c r="I51" s="208"/>
    </row>
    <row r="52" spans="1:12" ht="25.5" x14ac:dyDescent="0.2">
      <c r="A52" s="10"/>
      <c r="B52" s="240" t="s">
        <v>633</v>
      </c>
      <c r="C52" s="241">
        <f t="shared" ref="C52:I52" si="12">+C37+C50</f>
        <v>880</v>
      </c>
      <c r="D52" s="241">
        <f t="shared" si="12"/>
        <v>294</v>
      </c>
      <c r="E52" s="23">
        <f t="shared" si="12"/>
        <v>73600</v>
      </c>
      <c r="F52" s="23">
        <f t="shared" si="12"/>
        <v>29737</v>
      </c>
      <c r="G52" s="23">
        <f t="shared" si="12"/>
        <v>108537</v>
      </c>
      <c r="H52" s="23">
        <f t="shared" si="12"/>
        <v>23868.249999999996</v>
      </c>
      <c r="I52" s="23">
        <f t="shared" si="12"/>
        <v>132405.25</v>
      </c>
      <c r="J52" s="3"/>
      <c r="K52" s="3"/>
      <c r="L52" s="3"/>
    </row>
    <row r="53" spans="1:12" x14ac:dyDescent="0.2">
      <c r="A53" s="10"/>
      <c r="B53" s="3"/>
      <c r="C53" s="241"/>
      <c r="D53" s="7" t="s">
        <v>404</v>
      </c>
      <c r="H53" s="7"/>
      <c r="I53" s="8">
        <v>56892.35</v>
      </c>
      <c r="J53" s="84"/>
      <c r="K53" s="84"/>
      <c r="L53" s="84"/>
    </row>
    <row r="54" spans="1:12" x14ac:dyDescent="0.2">
      <c r="A54" s="10"/>
      <c r="B54" s="3"/>
      <c r="C54" s="241"/>
      <c r="D54" s="7" t="s">
        <v>405</v>
      </c>
      <c r="H54" s="7"/>
      <c r="I54" s="8">
        <v>44627.66</v>
      </c>
      <c r="J54" s="84"/>
      <c r="K54" s="84"/>
      <c r="L54" s="84"/>
    </row>
    <row r="55" spans="1:12" x14ac:dyDescent="0.2">
      <c r="A55" s="10"/>
      <c r="B55" s="3"/>
      <c r="C55" s="241"/>
      <c r="D55" s="7" t="s">
        <v>406</v>
      </c>
      <c r="H55" s="7"/>
      <c r="I55" s="8">
        <v>30885.24</v>
      </c>
      <c r="J55" s="84"/>
      <c r="K55" s="84"/>
      <c r="L55" s="84"/>
    </row>
    <row r="56" spans="1:12" x14ac:dyDescent="0.2">
      <c r="A56" s="10"/>
      <c r="B56" s="3"/>
      <c r="C56" s="241"/>
      <c r="G56" s="229" t="s">
        <v>671</v>
      </c>
      <c r="H56" s="7"/>
      <c r="I56" s="8">
        <v>-24346.57</v>
      </c>
      <c r="J56" s="84"/>
      <c r="K56" s="84"/>
      <c r="L56" s="84"/>
    </row>
    <row r="57" spans="1:12" x14ac:dyDescent="0.2">
      <c r="A57" s="10"/>
      <c r="B57" s="3"/>
      <c r="C57" s="241"/>
      <c r="D57" s="241"/>
      <c r="E57" s="23"/>
      <c r="F57" s="23"/>
      <c r="G57" s="23"/>
      <c r="H57" s="23"/>
      <c r="I57" s="23"/>
      <c r="J57" s="16">
        <f>+I52+I56</f>
        <v>108058.68</v>
      </c>
      <c r="K57" s="16"/>
      <c r="L57" s="16"/>
    </row>
    <row r="58" spans="1:12" x14ac:dyDescent="0.2">
      <c r="A58" s="10"/>
      <c r="B58" s="19"/>
      <c r="C58" s="19"/>
      <c r="D58" s="19"/>
      <c r="E58" s="19"/>
      <c r="F58" s="19"/>
      <c r="G58" s="23"/>
      <c r="H58" s="23"/>
      <c r="I58" s="19"/>
      <c r="J58" s="8">
        <f>SUM(J21:J57)</f>
        <v>108058.68</v>
      </c>
      <c r="K58" s="8">
        <f>SUM(K21:K57)</f>
        <v>-46602.625</v>
      </c>
      <c r="L58" s="8">
        <f>+J58+K58</f>
        <v>61456.054999999993</v>
      </c>
    </row>
    <row r="59" spans="1:12" x14ac:dyDescent="0.2">
      <c r="A59" s="10"/>
      <c r="B59" s="19"/>
      <c r="C59" s="19"/>
      <c r="D59" s="19"/>
      <c r="E59" s="19"/>
      <c r="F59" s="19"/>
      <c r="G59" s="23"/>
      <c r="H59" s="23"/>
      <c r="I59" s="19"/>
    </row>
    <row r="60" spans="1:12" ht="4.1500000000000004" customHeight="1" x14ac:dyDescent="0.2">
      <c r="A60" s="10"/>
      <c r="C60" s="14"/>
      <c r="J60" s="16"/>
      <c r="K60" s="16"/>
      <c r="L60" s="16"/>
    </row>
    <row r="61" spans="1:12" x14ac:dyDescent="0.2">
      <c r="A61" s="10">
        <v>14</v>
      </c>
      <c r="B61" s="7" t="s">
        <v>535</v>
      </c>
      <c r="C61" s="126"/>
      <c r="H61" s="102" t="s">
        <v>637</v>
      </c>
      <c r="I61" s="8">
        <v>18001</v>
      </c>
      <c r="J61" s="8">
        <v>0</v>
      </c>
      <c r="K61" s="8">
        <f>-J61</f>
        <v>0</v>
      </c>
      <c r="L61" s="8">
        <f>+J61+K61</f>
        <v>0</v>
      </c>
    </row>
    <row r="62" spans="1:12" x14ac:dyDescent="0.2">
      <c r="A62" s="10"/>
      <c r="C62" s="14" t="s">
        <v>41</v>
      </c>
      <c r="J62" s="16"/>
      <c r="K62" s="16"/>
      <c r="L62" s="16"/>
    </row>
    <row r="63" spans="1:12" x14ac:dyDescent="0.2">
      <c r="A63" s="10">
        <v>15</v>
      </c>
      <c r="B63" s="7" t="s">
        <v>24</v>
      </c>
      <c r="J63" s="8">
        <v>3900.88</v>
      </c>
      <c r="K63" s="8">
        <v>0</v>
      </c>
      <c r="L63" s="8">
        <f>+J63</f>
        <v>3900.88</v>
      </c>
    </row>
    <row r="64" spans="1:12" x14ac:dyDescent="0.2">
      <c r="A64" s="10"/>
      <c r="C64" s="11" t="s">
        <v>5</v>
      </c>
      <c r="J64" s="16"/>
      <c r="K64" s="16"/>
      <c r="L64" s="16"/>
    </row>
    <row r="65" spans="1:12" x14ac:dyDescent="0.2">
      <c r="A65" s="10">
        <v>16</v>
      </c>
      <c r="B65" s="12" t="s">
        <v>4</v>
      </c>
      <c r="J65" s="8">
        <v>30069.75</v>
      </c>
      <c r="K65" s="8">
        <v>0</v>
      </c>
      <c r="L65" s="8">
        <f>+J65+K65</f>
        <v>30069.75</v>
      </c>
    </row>
    <row r="66" spans="1:12" x14ac:dyDescent="0.2">
      <c r="A66" s="10"/>
      <c r="C66" s="11" t="s">
        <v>50</v>
      </c>
      <c r="J66" s="16"/>
      <c r="K66" s="16"/>
      <c r="L66" s="16"/>
    </row>
    <row r="67" spans="1:12" x14ac:dyDescent="0.2">
      <c r="A67" s="10">
        <v>17</v>
      </c>
      <c r="B67" s="7" t="s">
        <v>25</v>
      </c>
      <c r="H67" s="102" t="s">
        <v>637</v>
      </c>
      <c r="I67" s="8">
        <v>10967.7</v>
      </c>
      <c r="J67" s="8">
        <v>0</v>
      </c>
      <c r="K67" s="8">
        <f>-J67</f>
        <v>0</v>
      </c>
      <c r="L67" s="8">
        <f>+J67+K67</f>
        <v>0</v>
      </c>
    </row>
    <row r="68" spans="1:12" x14ac:dyDescent="0.2">
      <c r="A68" s="10"/>
      <c r="C68" s="11" t="s">
        <v>435</v>
      </c>
      <c r="J68" s="16"/>
      <c r="K68" s="16"/>
      <c r="L68" s="16"/>
    </row>
    <row r="69" spans="1:12" x14ac:dyDescent="0.2">
      <c r="A69" s="10">
        <v>18</v>
      </c>
      <c r="B69" s="7" t="s">
        <v>26</v>
      </c>
      <c r="D69" s="7" t="s">
        <v>436</v>
      </c>
      <c r="H69" s="102" t="s">
        <v>637</v>
      </c>
      <c r="I69" s="8">
        <v>10703.77</v>
      </c>
      <c r="J69" s="8">
        <v>0</v>
      </c>
      <c r="K69" s="8">
        <v>0</v>
      </c>
      <c r="L69" s="8">
        <f>+J69+K69</f>
        <v>0</v>
      </c>
    </row>
    <row r="70" spans="1:12" x14ac:dyDescent="0.2">
      <c r="A70" s="10"/>
      <c r="C70" s="11" t="s">
        <v>51</v>
      </c>
      <c r="H70" s="102"/>
      <c r="J70" s="100"/>
      <c r="K70" s="16"/>
      <c r="L70" s="16"/>
    </row>
    <row r="71" spans="1:12" x14ac:dyDescent="0.2">
      <c r="A71" s="10">
        <v>19</v>
      </c>
      <c r="B71" s="7" t="s">
        <v>27</v>
      </c>
      <c r="J71" s="8">
        <v>680</v>
      </c>
      <c r="K71" s="8">
        <v>0</v>
      </c>
      <c r="L71" s="8">
        <f>+J71+K71</f>
        <v>680</v>
      </c>
    </row>
    <row r="72" spans="1:12" x14ac:dyDescent="0.2">
      <c r="A72" s="10"/>
      <c r="C72" s="13" t="s">
        <v>39</v>
      </c>
      <c r="J72" s="16"/>
      <c r="K72" s="16"/>
      <c r="L72" s="16"/>
    </row>
    <row r="73" spans="1:12" x14ac:dyDescent="0.2">
      <c r="A73" s="10">
        <v>20</v>
      </c>
      <c r="B73" s="7" t="s">
        <v>33</v>
      </c>
      <c r="G73" s="3"/>
      <c r="J73" s="8">
        <v>3817</v>
      </c>
      <c r="K73" s="8">
        <f>-J73</f>
        <v>-3817</v>
      </c>
      <c r="L73" s="8">
        <f>+J73+K73</f>
        <v>0</v>
      </c>
    </row>
    <row r="74" spans="1:12" x14ac:dyDescent="0.2">
      <c r="C74" s="11" t="s">
        <v>38</v>
      </c>
      <c r="G74" s="125" t="s">
        <v>434</v>
      </c>
      <c r="J74" s="3"/>
      <c r="K74" s="3"/>
      <c r="L74" s="3"/>
    </row>
    <row r="75" spans="1:12" x14ac:dyDescent="0.2">
      <c r="J75" s="3"/>
      <c r="K75" s="3"/>
      <c r="L75" s="3"/>
    </row>
  </sheetData>
  <mergeCells count="1">
    <mergeCell ref="B14:I15"/>
  </mergeCells>
  <pageMargins left="0.17" right="0.56000000000000005"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9"/>
  <sheetViews>
    <sheetView view="pageBreakPreview" zoomScale="50" zoomScaleNormal="50" zoomScaleSheetLayoutView="50" workbookViewId="0">
      <selection activeCell="B1" sqref="B1"/>
    </sheetView>
  </sheetViews>
  <sheetFormatPr defaultColWidth="10.28515625" defaultRowHeight="12.75" x14ac:dyDescent="0.2"/>
  <cols>
    <col min="1" max="1" width="4.85546875" style="10" customWidth="1"/>
    <col min="2" max="2" width="7.5703125" style="7" customWidth="1"/>
    <col min="3" max="3" width="6.140625" style="7" customWidth="1"/>
    <col min="4" max="4" width="5.28515625" style="7" customWidth="1"/>
    <col min="5" max="5" width="8.5703125" style="40" customWidth="1"/>
    <col min="6" max="6" width="9" style="40" customWidth="1"/>
    <col min="7" max="8" width="8.5703125" style="40" customWidth="1"/>
    <col min="9" max="13" width="8.5703125" style="37" customWidth="1"/>
    <col min="14" max="15" width="9.42578125" style="37" customWidth="1"/>
    <col min="16" max="16" width="8.5703125" style="37" customWidth="1"/>
    <col min="17" max="17" width="9.5703125" style="37" customWidth="1"/>
    <col min="18" max="18" width="11.42578125" style="8" customWidth="1"/>
    <col min="19" max="19" width="9.7109375" style="3" customWidth="1"/>
    <col min="20" max="20" width="10.42578125" style="3" customWidth="1"/>
    <col min="21" max="21" width="10.85546875" style="3" customWidth="1"/>
    <col min="22" max="22" width="1" style="3" customWidth="1"/>
    <col min="23" max="16384" width="10.28515625" style="3"/>
  </cols>
  <sheetData>
    <row r="1" spans="1:21" ht="15.75" x14ac:dyDescent="0.2">
      <c r="D1" s="2" t="s">
        <v>6</v>
      </c>
      <c r="E1" s="36"/>
      <c r="F1" s="36"/>
      <c r="G1" s="36"/>
      <c r="H1" s="36"/>
      <c r="I1" s="36"/>
      <c r="J1" s="6" t="s">
        <v>564</v>
      </c>
      <c r="K1" s="38"/>
    </row>
    <row r="2" spans="1:21" x14ac:dyDescent="0.2">
      <c r="D2" s="3" t="s">
        <v>7</v>
      </c>
      <c r="E2" s="37"/>
      <c r="F2" s="37"/>
      <c r="G2" s="37"/>
      <c r="H2" s="37"/>
      <c r="J2" s="37" t="s">
        <v>580</v>
      </c>
    </row>
    <row r="3" spans="1:21" ht="4.9000000000000004" customHeight="1" x14ac:dyDescent="0.2">
      <c r="D3" s="3"/>
      <c r="E3" s="37"/>
      <c r="F3" s="37"/>
      <c r="G3" s="37"/>
      <c r="H3" s="37"/>
    </row>
    <row r="4" spans="1:21" s="2" customFormat="1" ht="18.600000000000001" customHeight="1" x14ac:dyDescent="0.2">
      <c r="A4" s="69"/>
      <c r="C4" s="4" t="s">
        <v>2</v>
      </c>
      <c r="E4" s="39" t="s">
        <v>3</v>
      </c>
      <c r="F4" s="39"/>
      <c r="G4" s="39"/>
      <c r="H4" s="40"/>
      <c r="I4" s="40"/>
      <c r="J4" s="36"/>
      <c r="K4" s="36"/>
      <c r="L4" s="36"/>
      <c r="M4" s="41"/>
      <c r="N4" s="41"/>
      <c r="O4" s="41"/>
      <c r="P4" s="36"/>
      <c r="Q4" s="36"/>
      <c r="R4" s="35"/>
    </row>
    <row r="5" spans="1:21" ht="14.25" x14ac:dyDescent="0.2">
      <c r="C5" s="417" t="s">
        <v>53</v>
      </c>
    </row>
    <row r="6" spans="1:21" x14ac:dyDescent="0.2">
      <c r="C6" s="7" t="s">
        <v>54</v>
      </c>
      <c r="J6" s="460"/>
      <c r="K6" s="460"/>
      <c r="S6" s="391">
        <f>+T11+T12+T13+T33+T34+15+15+T37+T38+T39+T40+T41+15</f>
        <v>195</v>
      </c>
    </row>
    <row r="7" spans="1:21" x14ac:dyDescent="0.2">
      <c r="C7" s="18" t="s">
        <v>85</v>
      </c>
      <c r="D7" s="23"/>
      <c r="E7" s="42"/>
      <c r="F7" s="43"/>
    </row>
    <row r="9" spans="1:21" x14ac:dyDescent="0.2">
      <c r="B9" s="186" t="s">
        <v>86</v>
      </c>
      <c r="C9" s="19"/>
      <c r="D9" s="187" t="s">
        <v>116</v>
      </c>
      <c r="E9" s="43"/>
      <c r="F9" s="67" t="s">
        <v>567</v>
      </c>
      <c r="G9" s="43"/>
      <c r="H9" s="43"/>
      <c r="I9" s="67" t="s">
        <v>568</v>
      </c>
      <c r="J9" s="43"/>
      <c r="K9" s="42"/>
      <c r="L9" s="67" t="s">
        <v>569</v>
      </c>
      <c r="M9" s="43"/>
      <c r="N9" s="43"/>
      <c r="O9" s="67" t="s">
        <v>570</v>
      </c>
      <c r="P9" s="43"/>
      <c r="Q9" s="43"/>
      <c r="R9" s="67" t="s">
        <v>571</v>
      </c>
      <c r="S9" s="43"/>
      <c r="T9" s="45" t="s">
        <v>572</v>
      </c>
      <c r="U9" s="20" t="s">
        <v>88</v>
      </c>
    </row>
    <row r="10" spans="1:21" x14ac:dyDescent="0.2">
      <c r="B10" s="18" t="s">
        <v>99</v>
      </c>
      <c r="C10" s="32" t="s">
        <v>100</v>
      </c>
      <c r="D10" s="32" t="s">
        <v>101</v>
      </c>
      <c r="E10" s="45" t="s">
        <v>102</v>
      </c>
      <c r="F10" s="45" t="s">
        <v>103</v>
      </c>
      <c r="G10" s="45" t="s">
        <v>104</v>
      </c>
      <c r="H10" s="45" t="s">
        <v>102</v>
      </c>
      <c r="I10" s="45" t="s">
        <v>103</v>
      </c>
      <c r="J10" s="45" t="s">
        <v>104</v>
      </c>
      <c r="K10" s="45" t="s">
        <v>102</v>
      </c>
      <c r="L10" s="45" t="s">
        <v>103</v>
      </c>
      <c r="M10" s="45" t="s">
        <v>104</v>
      </c>
      <c r="N10" s="45" t="s">
        <v>102</v>
      </c>
      <c r="O10" s="45" t="s">
        <v>105</v>
      </c>
      <c r="P10" s="45" t="s">
        <v>104</v>
      </c>
      <c r="Q10" s="45" t="s">
        <v>102</v>
      </c>
      <c r="R10" s="45" t="s">
        <v>106</v>
      </c>
      <c r="S10" s="45" t="s">
        <v>107</v>
      </c>
      <c r="T10" s="45" t="s">
        <v>565</v>
      </c>
      <c r="U10" s="45" t="s">
        <v>566</v>
      </c>
    </row>
    <row r="11" spans="1:21" x14ac:dyDescent="0.2">
      <c r="A11" s="10">
        <v>1</v>
      </c>
      <c r="B11" s="33">
        <v>36698</v>
      </c>
      <c r="C11" s="32">
        <v>1</v>
      </c>
      <c r="D11" s="32">
        <v>1</v>
      </c>
      <c r="E11" s="162">
        <f>+'Schedule 1 (L)'!E59/8</f>
        <v>1</v>
      </c>
      <c r="F11" s="162">
        <f>+'Schedule 1 (L)'!F59/8</f>
        <v>0</v>
      </c>
      <c r="G11" s="162">
        <f>+'Schedule 1 (L)'!G59/8</f>
        <v>0</v>
      </c>
      <c r="H11" s="162">
        <f>+'Schedule 1 (L)'!H59/8</f>
        <v>0</v>
      </c>
      <c r="I11" s="162">
        <f>+'Schedule 1 (L)'!I59/8</f>
        <v>0</v>
      </c>
      <c r="J11" s="162">
        <f>+'Schedule 1 (L)'!J59/8</f>
        <v>0</v>
      </c>
      <c r="K11" s="162">
        <f>+'Schedule 1 (L)'!K59/8</f>
        <v>1</v>
      </c>
      <c r="L11" s="162">
        <f>+'Schedule 1 (L)'!L59/8</f>
        <v>0</v>
      </c>
      <c r="M11" s="162">
        <f>+'Schedule 1 (L)'!M59/8</f>
        <v>0</v>
      </c>
      <c r="N11" s="162">
        <f>+'Schedule 1 (L)'!N59/8</f>
        <v>2</v>
      </c>
      <c r="O11" s="162">
        <f>+'Schedule 1 (L)'!O59/8</f>
        <v>0</v>
      </c>
      <c r="P11" s="162">
        <f>+'Schedule 1 (L)'!P59/8</f>
        <v>0</v>
      </c>
      <c r="Q11" s="162">
        <f>+'Schedule 1 (L)'!Q59/8</f>
        <v>9</v>
      </c>
      <c r="R11" s="162">
        <f>+'Schedule 1 (L)'!R59/8</f>
        <v>0</v>
      </c>
      <c r="S11" s="162">
        <f>+'Schedule 1 (L)'!S59/8</f>
        <v>0</v>
      </c>
      <c r="T11" s="394">
        <f>+E11+K11+N11+Q11</f>
        <v>13</v>
      </c>
      <c r="U11" s="23">
        <f>+F11+G11+I11+J11+L11+M11+O11+P11+R11+S11</f>
        <v>0</v>
      </c>
    </row>
    <row r="12" spans="1:21" x14ac:dyDescent="0.2">
      <c r="A12" s="10">
        <v>2</v>
      </c>
      <c r="B12" s="33">
        <v>36699</v>
      </c>
      <c r="C12" s="32">
        <v>1</v>
      </c>
      <c r="D12" s="32">
        <v>1</v>
      </c>
      <c r="E12" s="162">
        <f>+'Schedule 1 (L)'!E60/8</f>
        <v>1</v>
      </c>
      <c r="F12" s="162">
        <f>+'Schedule 1 (L)'!F60/8</f>
        <v>0</v>
      </c>
      <c r="G12" s="162">
        <f>+'Schedule 1 (L)'!G60/8</f>
        <v>0</v>
      </c>
      <c r="H12" s="162">
        <f>+'Schedule 1 (L)'!H60/8</f>
        <v>0</v>
      </c>
      <c r="I12" s="162">
        <f>+'Schedule 1 (L)'!I60/8</f>
        <v>0</v>
      </c>
      <c r="J12" s="162">
        <f>+'Schedule 1 (L)'!J60/8</f>
        <v>0</v>
      </c>
      <c r="K12" s="162">
        <f>+'Schedule 1 (L)'!K60/8</f>
        <v>1</v>
      </c>
      <c r="L12" s="162">
        <f>+'Schedule 1 (L)'!L60/8</f>
        <v>0.625</v>
      </c>
      <c r="M12" s="162">
        <f>+'Schedule 1 (L)'!M60/8</f>
        <v>0</v>
      </c>
      <c r="N12" s="162">
        <f>+'Schedule 1 (L)'!N60/8</f>
        <v>2</v>
      </c>
      <c r="O12" s="162">
        <f>+'Schedule 1 (L)'!O60/8</f>
        <v>1.25</v>
      </c>
      <c r="P12" s="162">
        <f>+'Schedule 1 (L)'!P60/8</f>
        <v>0</v>
      </c>
      <c r="Q12" s="162">
        <f>+'Schedule 1 (L)'!Q60/8</f>
        <v>13</v>
      </c>
      <c r="R12" s="162">
        <f>+'Schedule 1 (L)'!R60/8</f>
        <v>4.5</v>
      </c>
      <c r="S12" s="162">
        <f>+'Schedule 1 (L)'!S60/8</f>
        <v>0</v>
      </c>
      <c r="T12" s="394">
        <f t="shared" ref="T12:T50" si="0">+E12+K12+N12+Q12</f>
        <v>17</v>
      </c>
      <c r="U12" s="23">
        <f t="shared" ref="U12:U50" si="1">+F12+G12+I12+J12+L12+M12+O12+P12+R12+S12</f>
        <v>6.375</v>
      </c>
    </row>
    <row r="13" spans="1:21" x14ac:dyDescent="0.2">
      <c r="A13" s="10">
        <v>3</v>
      </c>
      <c r="B13" s="33">
        <v>36700</v>
      </c>
      <c r="C13" s="32">
        <v>1</v>
      </c>
      <c r="D13" s="32">
        <v>1</v>
      </c>
      <c r="E13" s="162">
        <f>+'Schedule 1 (L)'!E61/8</f>
        <v>1</v>
      </c>
      <c r="F13" s="162">
        <f>+'Schedule 1 (L)'!F61/8</f>
        <v>0.625</v>
      </c>
      <c r="G13" s="162">
        <f>+'Schedule 1 (L)'!G61/8</f>
        <v>0</v>
      </c>
      <c r="H13" s="162">
        <f>+'Schedule 1 (L)'!H61/8</f>
        <v>0</v>
      </c>
      <c r="I13" s="162">
        <f>+'Schedule 1 (L)'!I61/8</f>
        <v>0</v>
      </c>
      <c r="J13" s="162">
        <f>+'Schedule 1 (L)'!J61/8</f>
        <v>0</v>
      </c>
      <c r="K13" s="162">
        <f>+'Schedule 1 (L)'!K61/8</f>
        <v>1</v>
      </c>
      <c r="L13" s="162">
        <f>+'Schedule 1 (L)'!L61/8</f>
        <v>0.625</v>
      </c>
      <c r="M13" s="162">
        <f>+'Schedule 1 (L)'!M61/8</f>
        <v>0</v>
      </c>
      <c r="N13" s="162">
        <f>+'Schedule 1 (L)'!N61/8</f>
        <v>2</v>
      </c>
      <c r="O13" s="162">
        <f>+'Schedule 1 (L)'!O61/8</f>
        <v>1.25</v>
      </c>
      <c r="P13" s="162">
        <f>+'Schedule 1 (L)'!P61/8</f>
        <v>0</v>
      </c>
      <c r="Q13" s="162">
        <f>+'Schedule 1 (L)'!Q61/8</f>
        <v>13</v>
      </c>
      <c r="R13" s="162">
        <f>+'Schedule 1 (L)'!R61/8</f>
        <v>6.5</v>
      </c>
      <c r="S13" s="162">
        <f>+'Schedule 1 (L)'!S61/8</f>
        <v>0</v>
      </c>
      <c r="T13" s="394">
        <f t="shared" si="0"/>
        <v>17</v>
      </c>
      <c r="U13" s="23">
        <f t="shared" si="1"/>
        <v>9</v>
      </c>
    </row>
    <row r="14" spans="1:21" x14ac:dyDescent="0.2">
      <c r="A14" s="10">
        <v>4</v>
      </c>
      <c r="B14" s="33">
        <v>36701</v>
      </c>
      <c r="C14" s="32">
        <v>1</v>
      </c>
      <c r="D14" s="32">
        <v>1</v>
      </c>
      <c r="E14" s="162">
        <f>+'Schedule 1 (L)'!E62/8</f>
        <v>0</v>
      </c>
      <c r="F14" s="162">
        <f>+'Schedule 1 (L)'!F62/8</f>
        <v>1.625</v>
      </c>
      <c r="G14" s="162">
        <f>+'Schedule 1 (L)'!G62/8</f>
        <v>0</v>
      </c>
      <c r="H14" s="162">
        <f>+'Schedule 1 (L)'!H62/8</f>
        <v>0</v>
      </c>
      <c r="I14" s="162">
        <f>+'Schedule 1 (L)'!I62/8</f>
        <v>0</v>
      </c>
      <c r="J14" s="162">
        <f>+'Schedule 1 (L)'!J62/8</f>
        <v>0</v>
      </c>
      <c r="K14" s="162">
        <f>+'Schedule 1 (L)'!K62/8</f>
        <v>0</v>
      </c>
      <c r="L14" s="162">
        <f>+'Schedule 1 (L)'!L62/8</f>
        <v>1.625</v>
      </c>
      <c r="M14" s="162">
        <f>+'Schedule 1 (L)'!M62/8</f>
        <v>0</v>
      </c>
      <c r="N14" s="162">
        <f>+'Schedule 1 (L)'!N62/8</f>
        <v>0</v>
      </c>
      <c r="O14" s="162">
        <f>+'Schedule 1 (L)'!O62/8</f>
        <v>1.625</v>
      </c>
      <c r="P14" s="162">
        <f>+'Schedule 1 (L)'!P62/8</f>
        <v>0</v>
      </c>
      <c r="Q14" s="162">
        <f>+'Schedule 1 (L)'!Q62/8</f>
        <v>0</v>
      </c>
      <c r="R14" s="162">
        <f>+'Schedule 1 (L)'!R62/8</f>
        <v>3</v>
      </c>
      <c r="S14" s="162">
        <f>+'Schedule 1 (L)'!S62/8</f>
        <v>0</v>
      </c>
      <c r="T14" s="43">
        <f t="shared" si="0"/>
        <v>0</v>
      </c>
      <c r="U14" s="23">
        <f t="shared" si="1"/>
        <v>7.875</v>
      </c>
    </row>
    <row r="15" spans="1:21" x14ac:dyDescent="0.2">
      <c r="A15" s="10">
        <v>5</v>
      </c>
      <c r="B15" s="33">
        <v>36702</v>
      </c>
      <c r="C15" s="32">
        <v>1</v>
      </c>
      <c r="D15" s="32">
        <v>1</v>
      </c>
      <c r="E15" s="162">
        <f>+'Schedule 1 (L)'!E63/8</f>
        <v>0</v>
      </c>
      <c r="F15" s="162">
        <f>+'Schedule 1 (L)'!F63/8</f>
        <v>0</v>
      </c>
      <c r="G15" s="162">
        <f>+'Schedule 1 (L)'!G63/8</f>
        <v>1.625</v>
      </c>
      <c r="H15" s="162">
        <f>+'Schedule 1 (L)'!H63/8</f>
        <v>0</v>
      </c>
      <c r="I15" s="162">
        <f>+'Schedule 1 (L)'!I63/8</f>
        <v>0</v>
      </c>
      <c r="J15" s="162">
        <f>+'Schedule 1 (L)'!J63/8</f>
        <v>0</v>
      </c>
      <c r="K15" s="162">
        <f>+'Schedule 1 (L)'!K63/8</f>
        <v>0</v>
      </c>
      <c r="L15" s="162">
        <f>+'Schedule 1 (L)'!L63/8</f>
        <v>0</v>
      </c>
      <c r="M15" s="162">
        <f>+'Schedule 1 (L)'!M63/8</f>
        <v>1.625</v>
      </c>
      <c r="N15" s="162">
        <f>+'Schedule 1 (L)'!N63/8</f>
        <v>0</v>
      </c>
      <c r="O15" s="162">
        <f>+'Schedule 1 (L)'!O63/8</f>
        <v>0</v>
      </c>
      <c r="P15" s="162">
        <f>+'Schedule 1 (L)'!P63/8</f>
        <v>3.25</v>
      </c>
      <c r="Q15" s="162">
        <f>+'Schedule 1 (L)'!Q63/8</f>
        <v>0</v>
      </c>
      <c r="R15" s="162">
        <f>+'Schedule 1 (L)'!R63/8</f>
        <v>0</v>
      </c>
      <c r="S15" s="162">
        <f>+'Schedule 1 (L)'!S63/8</f>
        <v>15</v>
      </c>
      <c r="T15" s="43">
        <f t="shared" si="0"/>
        <v>0</v>
      </c>
      <c r="U15" s="23">
        <f t="shared" si="1"/>
        <v>21.5</v>
      </c>
    </row>
    <row r="16" spans="1:21" x14ac:dyDescent="0.2">
      <c r="A16" s="10">
        <v>6</v>
      </c>
      <c r="B16" s="33">
        <v>36703</v>
      </c>
      <c r="C16" s="32">
        <v>1</v>
      </c>
      <c r="D16" s="32">
        <v>4</v>
      </c>
      <c r="E16" s="162">
        <f>+'Schedule 1 (L)'!E64/8</f>
        <v>0</v>
      </c>
      <c r="F16" s="162">
        <f>+'Schedule 1 (L)'!F64/8</f>
        <v>0</v>
      </c>
      <c r="G16" s="162">
        <f>+'Schedule 1 (L)'!G64/8</f>
        <v>0</v>
      </c>
      <c r="H16" s="162">
        <f>+'Schedule 1 (L)'!H64/8</f>
        <v>0</v>
      </c>
      <c r="I16" s="162">
        <f>+'Schedule 1 (L)'!I64/8</f>
        <v>0</v>
      </c>
      <c r="J16" s="162">
        <f>+'Schedule 1 (L)'!J64/8</f>
        <v>0</v>
      </c>
      <c r="K16" s="162">
        <f>+'Schedule 1 (L)'!K64/8</f>
        <v>1</v>
      </c>
      <c r="L16" s="162">
        <f>+'Schedule 1 (L)'!L64/8</f>
        <v>0.625</v>
      </c>
      <c r="M16" s="162">
        <f>+'Schedule 1 (L)'!M64/8</f>
        <v>0</v>
      </c>
      <c r="N16" s="162">
        <f>+'Schedule 1 (L)'!N64/8</f>
        <v>0</v>
      </c>
      <c r="O16" s="162">
        <f>+'Schedule 1 (L)'!O64/8</f>
        <v>0</v>
      </c>
      <c r="P16" s="162">
        <f>+'Schedule 1 (L)'!P64/8</f>
        <v>0</v>
      </c>
      <c r="Q16" s="162">
        <f>+'Schedule 1 (L)'!Q64/8</f>
        <v>2.25</v>
      </c>
      <c r="R16" s="162">
        <f>+'Schedule 1 (L)'!R64/8</f>
        <v>3.5</v>
      </c>
      <c r="S16" s="162">
        <f>+'Schedule 1 (L)'!S64/8</f>
        <v>0</v>
      </c>
      <c r="T16" s="43">
        <f t="shared" si="0"/>
        <v>3.25</v>
      </c>
      <c r="U16" s="23">
        <f t="shared" si="1"/>
        <v>4.125</v>
      </c>
    </row>
    <row r="17" spans="1:21" x14ac:dyDescent="0.2">
      <c r="A17" s="10">
        <v>7</v>
      </c>
      <c r="B17" s="33">
        <v>36704</v>
      </c>
      <c r="C17" s="32">
        <v>1</v>
      </c>
      <c r="D17" s="32">
        <v>4</v>
      </c>
      <c r="E17" s="162">
        <f>+'Schedule 1 (L)'!E65/8</f>
        <v>0</v>
      </c>
      <c r="F17" s="162">
        <f>+'Schedule 1 (L)'!F65/8</f>
        <v>0</v>
      </c>
      <c r="G17" s="162">
        <f>+'Schedule 1 (L)'!G65/8</f>
        <v>0</v>
      </c>
      <c r="H17" s="162">
        <f>+'Schedule 1 (L)'!H65/8</f>
        <v>0</v>
      </c>
      <c r="I17" s="162">
        <f>+'Schedule 1 (L)'!I65/8</f>
        <v>0</v>
      </c>
      <c r="J17" s="162">
        <v>0</v>
      </c>
      <c r="K17" s="162">
        <f>+'Schedule 1 (L)'!K65/8</f>
        <v>1</v>
      </c>
      <c r="L17" s="162">
        <f>+'Schedule 1 (L)'!L65/8</f>
        <v>0.625</v>
      </c>
      <c r="M17" s="162">
        <f>+'Schedule 1 (L)'!M65/8</f>
        <v>0</v>
      </c>
      <c r="N17" s="162">
        <f>+'Schedule 1 (L)'!N65/8</f>
        <v>1</v>
      </c>
      <c r="O17" s="162">
        <f>+'Schedule 1 (L)'!O65/8</f>
        <v>0.625</v>
      </c>
      <c r="P17" s="162">
        <f>+'Schedule 1 (L)'!P65/8</f>
        <v>0</v>
      </c>
      <c r="Q17" s="162">
        <f>+'Schedule 1 (L)'!Q65/8</f>
        <v>7</v>
      </c>
      <c r="R17" s="162">
        <f>+'Schedule 1 (L)'!R65/8</f>
        <v>3.5</v>
      </c>
      <c r="S17" s="162">
        <f>+'Schedule 1 (L)'!S65/8</f>
        <v>0</v>
      </c>
      <c r="T17" s="43">
        <f t="shared" si="0"/>
        <v>9</v>
      </c>
      <c r="U17" s="23">
        <f t="shared" si="1"/>
        <v>4.75</v>
      </c>
    </row>
    <row r="18" spans="1:21" x14ac:dyDescent="0.2">
      <c r="A18" s="10">
        <v>8</v>
      </c>
      <c r="B18" s="33">
        <v>36705</v>
      </c>
      <c r="C18" s="32">
        <v>1</v>
      </c>
      <c r="D18" s="32">
        <v>4</v>
      </c>
      <c r="E18" s="162">
        <f>+'Schedule 1 (L)'!E66/8</f>
        <v>0</v>
      </c>
      <c r="F18" s="162">
        <f>+'Schedule 1 (L)'!F66/8</f>
        <v>0</v>
      </c>
      <c r="G18" s="162">
        <f>+'Schedule 1 (L)'!G66/8</f>
        <v>0</v>
      </c>
      <c r="H18" s="162">
        <f>+'Schedule 1 (L)'!H66/8</f>
        <v>0</v>
      </c>
      <c r="I18" s="162">
        <f>+'Schedule 1 (L)'!I66/8</f>
        <v>0</v>
      </c>
      <c r="J18" s="162">
        <v>0</v>
      </c>
      <c r="K18" s="162">
        <f>+'Schedule 1 (L)'!K66/8</f>
        <v>1</v>
      </c>
      <c r="L18" s="162">
        <f>+'Schedule 1 (L)'!L66/8</f>
        <v>0.625</v>
      </c>
      <c r="M18" s="162">
        <f>+'Schedule 1 (L)'!M66/8</f>
        <v>0</v>
      </c>
      <c r="N18" s="162">
        <f>+'Schedule 1 (L)'!N66/8</f>
        <v>1.5</v>
      </c>
      <c r="O18" s="162">
        <f>+'Schedule 1 (L)'!O66/8</f>
        <v>1.25</v>
      </c>
      <c r="P18" s="162">
        <f>+'Schedule 1 (L)'!P66/8</f>
        <v>0</v>
      </c>
      <c r="Q18" s="162">
        <f>+'Schedule 1 (L)'!Q66/8</f>
        <v>9.5</v>
      </c>
      <c r="R18" s="162">
        <f>+'Schedule 1 (L)'!R66/8</f>
        <v>6</v>
      </c>
      <c r="S18" s="162">
        <f>+'Schedule 1 (L)'!S66/8</f>
        <v>0</v>
      </c>
      <c r="T18" s="43">
        <f t="shared" si="0"/>
        <v>12</v>
      </c>
      <c r="U18" s="23">
        <f t="shared" si="1"/>
        <v>7.875</v>
      </c>
    </row>
    <row r="19" spans="1:21" x14ac:dyDescent="0.2">
      <c r="A19" s="10">
        <v>9</v>
      </c>
      <c r="B19" s="33">
        <v>36706</v>
      </c>
      <c r="C19" s="32">
        <v>1</v>
      </c>
      <c r="D19" s="32">
        <v>4</v>
      </c>
      <c r="E19" s="162">
        <f>+'Schedule 1 (L)'!E67/8</f>
        <v>1</v>
      </c>
      <c r="F19" s="162">
        <f>+'Schedule 1 (L)'!F67/8</f>
        <v>0.625</v>
      </c>
      <c r="G19" s="162">
        <f>+'Schedule 1 (L)'!G67/8</f>
        <v>0</v>
      </c>
      <c r="H19" s="162">
        <f>+'Schedule 1 (L)'!H67/8</f>
        <v>0</v>
      </c>
      <c r="I19" s="162">
        <f>+'Schedule 1 (L)'!I67/8</f>
        <v>0</v>
      </c>
      <c r="J19" s="162">
        <f>+'Schedule 1 (L)'!J67/8</f>
        <v>0</v>
      </c>
      <c r="K19" s="162">
        <f>+'Schedule 1 (L)'!K67/8</f>
        <v>1</v>
      </c>
      <c r="L19" s="162">
        <f>+'Schedule 1 (L)'!L67/8</f>
        <v>0.625</v>
      </c>
      <c r="M19" s="162">
        <f>+'Schedule 1 (L)'!M67/8</f>
        <v>0</v>
      </c>
      <c r="N19" s="162">
        <f>+'Schedule 1 (L)'!N67/8</f>
        <v>2</v>
      </c>
      <c r="O19" s="162">
        <f>+'Schedule 1 (L)'!O67/8</f>
        <v>1.5</v>
      </c>
      <c r="P19" s="162">
        <f>+'Schedule 1 (L)'!P67/8</f>
        <v>0</v>
      </c>
      <c r="Q19" s="162">
        <f>+'Schedule 1 (L)'!Q67/8</f>
        <v>12</v>
      </c>
      <c r="R19" s="162">
        <f>+'Schedule 1 (L)'!R67/8</f>
        <v>6.75</v>
      </c>
      <c r="S19" s="162">
        <f>+'Schedule 1 (L)'!S67/8</f>
        <v>0</v>
      </c>
      <c r="T19" s="43">
        <f t="shared" si="0"/>
        <v>16</v>
      </c>
      <c r="U19" s="23">
        <f t="shared" si="1"/>
        <v>9.5</v>
      </c>
    </row>
    <row r="20" spans="1:21" x14ac:dyDescent="0.2">
      <c r="A20" s="10">
        <v>10</v>
      </c>
      <c r="B20" s="33">
        <v>36707</v>
      </c>
      <c r="C20" s="32">
        <v>1</v>
      </c>
      <c r="D20" s="32">
        <v>4</v>
      </c>
      <c r="E20" s="162">
        <f>+'Schedule 1 (L)'!E68/8</f>
        <v>1</v>
      </c>
      <c r="F20" s="162">
        <f>+'Schedule 1 (L)'!F68/8</f>
        <v>0.625</v>
      </c>
      <c r="G20" s="162">
        <f>+'Schedule 1 (L)'!G68/8</f>
        <v>0</v>
      </c>
      <c r="H20" s="162">
        <f>+'Schedule 1 (L)'!H68/8</f>
        <v>0</v>
      </c>
      <c r="I20" s="162">
        <f>+'Schedule 1 (L)'!I68/8</f>
        <v>0</v>
      </c>
      <c r="J20" s="162">
        <f>+'Schedule 1 (L)'!J68/8</f>
        <v>0</v>
      </c>
      <c r="K20" s="162">
        <f>+'Schedule 1 (L)'!K68/8</f>
        <v>1</v>
      </c>
      <c r="L20" s="162">
        <f>+'Schedule 1 (L)'!L68/8</f>
        <v>0.625</v>
      </c>
      <c r="M20" s="162">
        <f>+'Schedule 1 (L)'!M68/8</f>
        <v>0</v>
      </c>
      <c r="N20" s="162">
        <f>+'Schedule 1 (L)'!N68/8</f>
        <v>2</v>
      </c>
      <c r="O20" s="162">
        <f>+'Schedule 1 (L)'!O68/8</f>
        <v>1.25</v>
      </c>
      <c r="P20" s="162">
        <f>+'Schedule 1 (L)'!P68/8</f>
        <v>0</v>
      </c>
      <c r="Q20" s="162">
        <f>+'Schedule 1 (L)'!Q68/8</f>
        <v>12</v>
      </c>
      <c r="R20" s="162">
        <f>+'Schedule 1 (L)'!R68/8</f>
        <v>6</v>
      </c>
      <c r="S20" s="162">
        <f>+'Schedule 1 (L)'!S68/8</f>
        <v>0</v>
      </c>
      <c r="T20" s="43">
        <f t="shared" si="0"/>
        <v>16</v>
      </c>
      <c r="U20" s="23">
        <f t="shared" si="1"/>
        <v>8.5</v>
      </c>
    </row>
    <row r="21" spans="1:21" x14ac:dyDescent="0.2">
      <c r="A21" s="10">
        <v>11</v>
      </c>
      <c r="B21" s="33">
        <v>36708</v>
      </c>
      <c r="C21" s="32">
        <v>1</v>
      </c>
      <c r="D21" s="32">
        <v>4</v>
      </c>
      <c r="E21" s="162">
        <f>+'Schedule 1 (L)'!E69/8</f>
        <v>0</v>
      </c>
      <c r="F21" s="162">
        <f>+'Schedule 1 (L)'!F69/8</f>
        <v>1.625</v>
      </c>
      <c r="G21" s="162">
        <f>+'Schedule 1 (L)'!G69/8</f>
        <v>0</v>
      </c>
      <c r="H21" s="162">
        <f>+'Schedule 1 (L)'!H69/8</f>
        <v>0</v>
      </c>
      <c r="I21" s="162">
        <f>+'Schedule 1 (L)'!I69/8</f>
        <v>0</v>
      </c>
      <c r="J21" s="162">
        <v>0</v>
      </c>
      <c r="K21" s="162">
        <f>+'Schedule 1 (L)'!K69/8</f>
        <v>0</v>
      </c>
      <c r="L21" s="162">
        <f>+'Schedule 1 (L)'!L69/8</f>
        <v>1.625</v>
      </c>
      <c r="M21" s="162">
        <f>+'Schedule 1 (L)'!M69/8</f>
        <v>0</v>
      </c>
      <c r="N21" s="162">
        <f>+'Schedule 1 (L)'!N69/8</f>
        <v>0</v>
      </c>
      <c r="O21" s="162">
        <f>+'Schedule 1 (L)'!O69/8</f>
        <v>3.25</v>
      </c>
      <c r="P21" s="162">
        <f>+'Schedule 1 (L)'!P69/8</f>
        <v>0</v>
      </c>
      <c r="Q21" s="162">
        <f>+'Schedule 1 (L)'!Q69/8</f>
        <v>0</v>
      </c>
      <c r="R21" s="162">
        <f>+'Schedule 1 (L)'!R69/8</f>
        <v>18</v>
      </c>
      <c r="S21" s="162">
        <f>+'Schedule 1 (L)'!S69/8</f>
        <v>0</v>
      </c>
      <c r="T21" s="43">
        <f t="shared" si="0"/>
        <v>0</v>
      </c>
      <c r="U21" s="23">
        <f t="shared" si="1"/>
        <v>24.5</v>
      </c>
    </row>
    <row r="22" spans="1:21" x14ac:dyDescent="0.2">
      <c r="A22" s="10">
        <v>12</v>
      </c>
      <c r="B22" s="33">
        <v>36709</v>
      </c>
      <c r="C22" s="32">
        <v>1</v>
      </c>
      <c r="D22" s="32">
        <v>4</v>
      </c>
      <c r="E22" s="162">
        <f>+'Schedule 1 (L)'!E70/8</f>
        <v>0</v>
      </c>
      <c r="F22" s="162">
        <f>+'Schedule 1 (L)'!F70/8</f>
        <v>0</v>
      </c>
      <c r="G22" s="162">
        <f>+'Schedule 1 (L)'!G70/8</f>
        <v>1.625</v>
      </c>
      <c r="H22" s="162">
        <f>+'Schedule 1 (L)'!H70/8</f>
        <v>0</v>
      </c>
      <c r="I22" s="162">
        <f>+'Schedule 1 (L)'!I70/8</f>
        <v>0</v>
      </c>
      <c r="J22" s="162">
        <f>+'Schedule 1 (L)'!J70/8</f>
        <v>0</v>
      </c>
      <c r="K22" s="162">
        <f>+'Schedule 1 (L)'!K70/8</f>
        <v>0</v>
      </c>
      <c r="L22" s="162">
        <f>+'Schedule 1 (L)'!L70/8</f>
        <v>0</v>
      </c>
      <c r="M22" s="162">
        <f>+'Schedule 1 (L)'!M70/8</f>
        <v>1.625</v>
      </c>
      <c r="N22" s="162">
        <f>+'Schedule 1 (L)'!N70/8</f>
        <v>0</v>
      </c>
      <c r="O22" s="162">
        <f>+'Schedule 1 (L)'!O70/8</f>
        <v>0</v>
      </c>
      <c r="P22" s="162">
        <f>+'Schedule 1 (L)'!P70/8</f>
        <v>3.25</v>
      </c>
      <c r="Q22" s="162">
        <f>+'Schedule 1 (L)'!Q70/8</f>
        <v>0</v>
      </c>
      <c r="R22" s="162">
        <f>+'Schedule 1 (L)'!R70/8</f>
        <v>0</v>
      </c>
      <c r="S22" s="162">
        <f>+'Schedule 1 (L)'!S70/8</f>
        <v>18</v>
      </c>
      <c r="T22" s="43">
        <f t="shared" si="0"/>
        <v>0</v>
      </c>
      <c r="U22" s="23">
        <f t="shared" si="1"/>
        <v>24.5</v>
      </c>
    </row>
    <row r="23" spans="1:21" x14ac:dyDescent="0.2">
      <c r="A23" s="10">
        <v>13</v>
      </c>
      <c r="B23" s="33">
        <v>36710</v>
      </c>
      <c r="C23" s="32">
        <v>1</v>
      </c>
      <c r="D23" s="32">
        <v>7</v>
      </c>
      <c r="E23" s="162">
        <f>+'Schedule 1 (L)'!E71/8</f>
        <v>1</v>
      </c>
      <c r="F23" s="162">
        <f>+'Schedule 1 (L)'!F71/8</f>
        <v>0</v>
      </c>
      <c r="G23" s="162">
        <f>+'Schedule 1 (L)'!G71/8</f>
        <v>0</v>
      </c>
      <c r="H23" s="162">
        <f>+'Schedule 1 (L)'!H71/8</f>
        <v>0</v>
      </c>
      <c r="I23" s="162">
        <f>+'Schedule 1 (L)'!I71/8</f>
        <v>0</v>
      </c>
      <c r="J23" s="162">
        <v>0</v>
      </c>
      <c r="K23" s="162">
        <f>+'Schedule 1 (L)'!K71/8</f>
        <v>1</v>
      </c>
      <c r="L23" s="162">
        <f>+'Schedule 1 (L)'!L71/8</f>
        <v>0.625</v>
      </c>
      <c r="M23" s="162">
        <f>+'Schedule 1 (L)'!M71/8</f>
        <v>0</v>
      </c>
      <c r="N23" s="162">
        <f>+'Schedule 1 (L)'!N71/8</f>
        <v>2</v>
      </c>
      <c r="O23" s="162">
        <f>+'Schedule 1 (L)'!O71/8</f>
        <v>1.25</v>
      </c>
      <c r="P23" s="162">
        <f>+'Schedule 1 (L)'!P71/8</f>
        <v>0</v>
      </c>
      <c r="Q23" s="162">
        <f>+'Schedule 1 (L)'!Q71/8</f>
        <v>13</v>
      </c>
      <c r="R23" s="162">
        <f>+'Schedule 1 (L)'!R71/8</f>
        <v>6.5</v>
      </c>
      <c r="S23" s="162">
        <f>+'Schedule 1 (L)'!S71/8</f>
        <v>0</v>
      </c>
      <c r="T23" s="43">
        <f t="shared" si="0"/>
        <v>17</v>
      </c>
      <c r="U23" s="23">
        <f t="shared" si="1"/>
        <v>8.375</v>
      </c>
    </row>
    <row r="24" spans="1:21" x14ac:dyDescent="0.2">
      <c r="A24" s="10">
        <v>14</v>
      </c>
      <c r="B24" s="33">
        <v>36711</v>
      </c>
      <c r="C24" s="32">
        <v>1</v>
      </c>
      <c r="D24" s="32">
        <v>7</v>
      </c>
      <c r="E24" s="162">
        <f>+'Schedule 1 (L)'!E72/8</f>
        <v>0</v>
      </c>
      <c r="F24" s="162">
        <f>+'Schedule 1 (L)'!F72/8</f>
        <v>0</v>
      </c>
      <c r="G24" s="162">
        <f>+'Schedule 1 (L)'!G72/8</f>
        <v>1.625</v>
      </c>
      <c r="H24" s="162">
        <f>+'Schedule 1 (L)'!H72/8</f>
        <v>0</v>
      </c>
      <c r="I24" s="162">
        <f>+'Schedule 1 (L)'!I72/8</f>
        <v>0</v>
      </c>
      <c r="J24" s="162">
        <v>0</v>
      </c>
      <c r="K24" s="162">
        <f>+'Schedule 1 (L)'!K72/8</f>
        <v>0</v>
      </c>
      <c r="L24" s="162">
        <f>+'Schedule 1 (L)'!L72/8</f>
        <v>0</v>
      </c>
      <c r="M24" s="162">
        <f>+'Schedule 1 (L)'!M72/8</f>
        <v>1.625</v>
      </c>
      <c r="N24" s="162">
        <f>+'Schedule 1 (L)'!N72/8</f>
        <v>0</v>
      </c>
      <c r="O24" s="162">
        <f>+'Schedule 1 (L)'!O72/8</f>
        <v>0</v>
      </c>
      <c r="P24" s="162">
        <f>+'Schedule 1 (L)'!P72/8</f>
        <v>3.25</v>
      </c>
      <c r="Q24" s="162">
        <f>+'Schedule 1 (L)'!Q72/8</f>
        <v>0</v>
      </c>
      <c r="R24" s="162">
        <f>+'Schedule 1 (L)'!R72/8</f>
        <v>0</v>
      </c>
      <c r="S24" s="162">
        <f>+'Schedule 1 (L)'!S72/8</f>
        <v>19.5</v>
      </c>
      <c r="T24" s="43">
        <f t="shared" si="0"/>
        <v>0</v>
      </c>
      <c r="U24" s="23">
        <f t="shared" si="1"/>
        <v>26</v>
      </c>
    </row>
    <row r="25" spans="1:21" x14ac:dyDescent="0.2">
      <c r="A25" s="10">
        <v>15</v>
      </c>
      <c r="B25" s="33">
        <v>36712</v>
      </c>
      <c r="C25" s="32">
        <v>1</v>
      </c>
      <c r="D25" s="32">
        <v>7</v>
      </c>
      <c r="E25" s="162">
        <f>+'Schedule 1 (L)'!E73/8</f>
        <v>1</v>
      </c>
      <c r="F25" s="162">
        <f>+'Schedule 1 (L)'!F73/8</f>
        <v>0.625</v>
      </c>
      <c r="G25" s="162">
        <f>+'Schedule 1 (L)'!G73/8</f>
        <v>0</v>
      </c>
      <c r="H25" s="162">
        <f>+'Schedule 1 (L)'!H73/8</f>
        <v>0</v>
      </c>
      <c r="I25" s="162">
        <f>+'Schedule 1 (L)'!I73/8</f>
        <v>0</v>
      </c>
      <c r="J25" s="162">
        <v>0</v>
      </c>
      <c r="K25" s="162">
        <f>+'Schedule 1 (L)'!K73/8</f>
        <v>1</v>
      </c>
      <c r="L25" s="162">
        <f>+'Schedule 1 (L)'!L73/8</f>
        <v>0.625</v>
      </c>
      <c r="M25" s="162">
        <f>+'Schedule 1 (L)'!M73/8</f>
        <v>0</v>
      </c>
      <c r="N25" s="162">
        <f>+'Schedule 1 (L)'!N73/8</f>
        <v>2</v>
      </c>
      <c r="O25" s="162">
        <f>+'Schedule 1 (L)'!O73/8</f>
        <v>1.25</v>
      </c>
      <c r="P25" s="162">
        <f>+'Schedule 1 (L)'!P73/8</f>
        <v>0</v>
      </c>
      <c r="Q25" s="162">
        <f>+'Schedule 1 (L)'!Q73/8</f>
        <v>10</v>
      </c>
      <c r="R25" s="162">
        <f>+'Schedule 1 (L)'!R73/8</f>
        <v>5</v>
      </c>
      <c r="S25" s="162">
        <f>+'Schedule 1 (L)'!S73/8</f>
        <v>0</v>
      </c>
      <c r="T25" s="43">
        <f t="shared" si="0"/>
        <v>14</v>
      </c>
      <c r="U25" s="23">
        <f t="shared" si="1"/>
        <v>7.5</v>
      </c>
    </row>
    <row r="26" spans="1:21" x14ac:dyDescent="0.2">
      <c r="A26" s="10">
        <v>16</v>
      </c>
      <c r="B26" s="33">
        <v>36713</v>
      </c>
      <c r="C26" s="32">
        <v>1</v>
      </c>
      <c r="D26" s="32">
        <v>7</v>
      </c>
      <c r="E26" s="162">
        <f>+'Schedule 1 (L)'!E74/8</f>
        <v>1</v>
      </c>
      <c r="F26" s="162">
        <f>+'Schedule 1 (L)'!F74/8</f>
        <v>0.625</v>
      </c>
      <c r="G26" s="162">
        <f>+'Schedule 1 (L)'!G74/8</f>
        <v>0</v>
      </c>
      <c r="H26" s="162">
        <f>+'Schedule 1 (L)'!H74/8</f>
        <v>0</v>
      </c>
      <c r="I26" s="162">
        <f>+'Schedule 1 (L)'!I74/8</f>
        <v>0</v>
      </c>
      <c r="J26" s="162">
        <v>0</v>
      </c>
      <c r="K26" s="162">
        <f>+'Schedule 1 (L)'!K74/8</f>
        <v>1</v>
      </c>
      <c r="L26" s="162">
        <f>+'Schedule 1 (L)'!L74/8</f>
        <v>0.625</v>
      </c>
      <c r="M26" s="162">
        <f>+'Schedule 1 (L)'!M74/8</f>
        <v>0</v>
      </c>
      <c r="N26" s="162">
        <f>+'Schedule 1 (L)'!N74/8</f>
        <v>2</v>
      </c>
      <c r="O26" s="162">
        <f>+'Schedule 1 (L)'!O74/8</f>
        <v>1.25</v>
      </c>
      <c r="P26" s="162">
        <f>+'Schedule 1 (L)'!P74/8</f>
        <v>0</v>
      </c>
      <c r="Q26" s="162">
        <f>+'Schedule 1 (L)'!Q74/8</f>
        <v>10</v>
      </c>
      <c r="R26" s="162">
        <f>+'Schedule 1 (L)'!R74/8</f>
        <v>5</v>
      </c>
      <c r="S26" s="162">
        <f>+'Schedule 1 (L)'!S74/8</f>
        <v>0</v>
      </c>
      <c r="T26" s="43">
        <f t="shared" si="0"/>
        <v>14</v>
      </c>
      <c r="U26" s="23">
        <f t="shared" si="1"/>
        <v>7.5</v>
      </c>
    </row>
    <row r="27" spans="1:21" x14ac:dyDescent="0.2">
      <c r="A27" s="10">
        <v>17</v>
      </c>
      <c r="B27" s="33">
        <v>36714</v>
      </c>
      <c r="C27" s="32">
        <v>1</v>
      </c>
      <c r="D27" s="32">
        <v>7</v>
      </c>
      <c r="E27" s="162">
        <f>+'Schedule 1 (L)'!E75/8</f>
        <v>1</v>
      </c>
      <c r="F27" s="162">
        <f>+'Schedule 1 (L)'!F75/8</f>
        <v>0.625</v>
      </c>
      <c r="G27" s="162">
        <f>+'Schedule 1 (L)'!G75/8</f>
        <v>0</v>
      </c>
      <c r="H27" s="162">
        <f>+'Schedule 1 (L)'!H75/8</f>
        <v>0</v>
      </c>
      <c r="I27" s="162">
        <f>+'Schedule 1 (L)'!I75/8</f>
        <v>0</v>
      </c>
      <c r="J27" s="162">
        <f>+'Schedule 1 (L)'!J75/8</f>
        <v>0</v>
      </c>
      <c r="K27" s="162">
        <f>+'Schedule 1 (L)'!K75/8</f>
        <v>1</v>
      </c>
      <c r="L27" s="162">
        <f>+'Schedule 1 (L)'!L75/8</f>
        <v>0.625</v>
      </c>
      <c r="M27" s="162">
        <f>+'Schedule 1 (L)'!M75/8</f>
        <v>0</v>
      </c>
      <c r="N27" s="162">
        <f>+'Schedule 1 (L)'!N75/8</f>
        <v>2</v>
      </c>
      <c r="O27" s="162">
        <f>+'Schedule 1 (L)'!O75/8</f>
        <v>1.25</v>
      </c>
      <c r="P27" s="162">
        <f>+'Schedule 1 (L)'!P75/8</f>
        <v>0</v>
      </c>
      <c r="Q27" s="162">
        <f>+'Schedule 1 (L)'!Q75/8</f>
        <v>8</v>
      </c>
      <c r="R27" s="162">
        <f>+'Schedule 1 (L)'!R75/8</f>
        <v>4</v>
      </c>
      <c r="S27" s="162">
        <f>+'Schedule 1 (L)'!S75/8</f>
        <v>0</v>
      </c>
      <c r="T27" s="43">
        <f t="shared" si="0"/>
        <v>12</v>
      </c>
      <c r="U27" s="23">
        <f t="shared" si="1"/>
        <v>6.5</v>
      </c>
    </row>
    <row r="28" spans="1:21" x14ac:dyDescent="0.2">
      <c r="A28" s="10">
        <v>18</v>
      </c>
      <c r="B28" s="33">
        <v>36715</v>
      </c>
      <c r="C28" s="32">
        <v>1</v>
      </c>
      <c r="D28" s="32">
        <v>7</v>
      </c>
      <c r="E28" s="162">
        <f>+'Schedule 1 (L)'!E76/8</f>
        <v>0</v>
      </c>
      <c r="F28" s="162">
        <f>+'Schedule 1 (L)'!F76/8</f>
        <v>1.625</v>
      </c>
      <c r="G28" s="162">
        <f>+'Schedule 1 (L)'!G76/8</f>
        <v>0</v>
      </c>
      <c r="H28" s="162">
        <f>+'Schedule 1 (L)'!H76/8</f>
        <v>0</v>
      </c>
      <c r="I28" s="162">
        <f>+'Schedule 1 (L)'!I76/8</f>
        <v>0</v>
      </c>
      <c r="J28" s="162">
        <f>+'Schedule 1 (L)'!J76/8</f>
        <v>0</v>
      </c>
      <c r="K28" s="162">
        <f>+'Schedule 1 (L)'!K76/8</f>
        <v>0</v>
      </c>
      <c r="L28" s="162">
        <f>+'Schedule 1 (L)'!L76/8</f>
        <v>1.625</v>
      </c>
      <c r="M28" s="162">
        <f>+'Schedule 1 (L)'!M76/8</f>
        <v>0</v>
      </c>
      <c r="N28" s="162">
        <f>+'Schedule 1 (L)'!N76/8</f>
        <v>0</v>
      </c>
      <c r="O28" s="162">
        <f>+'Schedule 1 (L)'!O76/8</f>
        <v>3.25</v>
      </c>
      <c r="P28" s="162">
        <f>+'Schedule 1 (L)'!P76/8</f>
        <v>0</v>
      </c>
      <c r="Q28" s="162">
        <f>+'Schedule 1 (L)'!Q76/8</f>
        <v>0</v>
      </c>
      <c r="R28" s="162">
        <f>+'Schedule 1 (L)'!R76/8</f>
        <v>15</v>
      </c>
      <c r="S28" s="162">
        <f>+'Schedule 1 (L)'!S76/8</f>
        <v>0</v>
      </c>
      <c r="T28" s="43">
        <f t="shared" si="0"/>
        <v>0</v>
      </c>
      <c r="U28" s="23">
        <f t="shared" si="1"/>
        <v>21.5</v>
      </c>
    </row>
    <row r="29" spans="1:21" x14ac:dyDescent="0.2">
      <c r="A29" s="10">
        <v>19</v>
      </c>
      <c r="B29" s="33">
        <v>36716</v>
      </c>
      <c r="C29" s="32">
        <v>1</v>
      </c>
      <c r="D29" s="32">
        <v>7</v>
      </c>
      <c r="E29" s="162">
        <f>+'Schedule 1 (L)'!E77/8</f>
        <v>0</v>
      </c>
      <c r="F29" s="162">
        <f>+'Schedule 1 (L)'!F77/8</f>
        <v>0</v>
      </c>
      <c r="G29" s="162">
        <f>+'Schedule 1 (L)'!G77/8</f>
        <v>1.625</v>
      </c>
      <c r="H29" s="162">
        <f>+'Schedule 1 (L)'!H77/8</f>
        <v>0</v>
      </c>
      <c r="I29" s="162">
        <f>+'Schedule 1 (L)'!I77/8</f>
        <v>0</v>
      </c>
      <c r="J29" s="162">
        <f>+'Schedule 1 (L)'!J77/8</f>
        <v>0</v>
      </c>
      <c r="K29" s="162">
        <f>+'Schedule 1 (L)'!K77/8</f>
        <v>0</v>
      </c>
      <c r="L29" s="162">
        <f>+'Schedule 1 (L)'!L77/8</f>
        <v>0</v>
      </c>
      <c r="M29" s="162">
        <f>+'Schedule 1 (L)'!M77/8</f>
        <v>1.625</v>
      </c>
      <c r="N29" s="162">
        <f>+'Schedule 1 (L)'!N77/8</f>
        <v>0</v>
      </c>
      <c r="O29" s="162">
        <f>+'Schedule 1 (L)'!O77/8</f>
        <v>0</v>
      </c>
      <c r="P29" s="162">
        <f>+'Schedule 1 (L)'!P77/8</f>
        <v>3.25</v>
      </c>
      <c r="Q29" s="162">
        <f>+'Schedule 1 (L)'!Q77/8</f>
        <v>0</v>
      </c>
      <c r="R29" s="162">
        <f>+'Schedule 1 (L)'!R77/8</f>
        <v>0</v>
      </c>
      <c r="S29" s="162">
        <f>+'Schedule 1 (L)'!S77/8</f>
        <v>15</v>
      </c>
      <c r="T29" s="43">
        <f t="shared" si="0"/>
        <v>0</v>
      </c>
      <c r="U29" s="23">
        <f t="shared" si="1"/>
        <v>21.5</v>
      </c>
    </row>
    <row r="30" spans="1:21" x14ac:dyDescent="0.2">
      <c r="A30" s="10">
        <v>20</v>
      </c>
      <c r="B30" s="33">
        <v>36717</v>
      </c>
      <c r="C30" s="32">
        <v>1</v>
      </c>
      <c r="D30" s="19">
        <v>9</v>
      </c>
      <c r="E30" s="162">
        <f>+'Schedule 1 (L)'!E78/8</f>
        <v>1</v>
      </c>
      <c r="F30" s="162">
        <f>+'Schedule 1 (L)'!F78/8</f>
        <v>0.625</v>
      </c>
      <c r="G30" s="162">
        <f>+'Schedule 1 (L)'!G78/8</f>
        <v>0</v>
      </c>
      <c r="H30" s="162">
        <f>+'Schedule 1 (L)'!H78/8</f>
        <v>2</v>
      </c>
      <c r="I30" s="162">
        <f>+'Schedule 1 (L)'!I78/8</f>
        <v>0.625</v>
      </c>
      <c r="J30" s="162">
        <f>+'Schedule 1 (L)'!J78/8</f>
        <v>0</v>
      </c>
      <c r="K30" s="162">
        <f>+'Schedule 1 (L)'!K78/8</f>
        <v>1</v>
      </c>
      <c r="L30" s="162">
        <f>+'Schedule 1 (L)'!L78/8</f>
        <v>0.625</v>
      </c>
      <c r="M30" s="162">
        <f>+'Schedule 1 (L)'!M78/8</f>
        <v>0</v>
      </c>
      <c r="N30" s="162">
        <f>+'Schedule 1 (L)'!N78/8</f>
        <v>2</v>
      </c>
      <c r="O30" s="162">
        <f>+'Schedule 1 (L)'!O78/8</f>
        <v>1.25</v>
      </c>
      <c r="P30" s="162">
        <f>+'Schedule 1 (L)'!P78/8</f>
        <v>0</v>
      </c>
      <c r="Q30" s="162">
        <f>+'Schedule 1 (L)'!Q78/8</f>
        <v>10</v>
      </c>
      <c r="R30" s="162">
        <f>+'Schedule 1 (L)'!R78/8</f>
        <v>5</v>
      </c>
      <c r="S30" s="162">
        <f>+'Schedule 1 (L)'!S78/8</f>
        <v>0</v>
      </c>
      <c r="T30" s="43">
        <f t="shared" si="0"/>
        <v>14</v>
      </c>
      <c r="U30" s="23">
        <f t="shared" si="1"/>
        <v>8.125</v>
      </c>
    </row>
    <row r="31" spans="1:21" x14ac:dyDescent="0.2">
      <c r="A31" s="10">
        <v>21</v>
      </c>
      <c r="B31" s="33">
        <v>36718</v>
      </c>
      <c r="C31" s="32">
        <v>1</v>
      </c>
      <c r="D31" s="19">
        <v>9</v>
      </c>
      <c r="E31" s="162">
        <f>+'Schedule 1 (L)'!E79/8</f>
        <v>1</v>
      </c>
      <c r="F31" s="162">
        <f>+'Schedule 1 (L)'!F79/8</f>
        <v>0.625</v>
      </c>
      <c r="G31" s="162">
        <f>+'Schedule 1 (L)'!G79/8</f>
        <v>0</v>
      </c>
      <c r="H31" s="162">
        <f>+'Schedule 1 (L)'!H79/8</f>
        <v>1</v>
      </c>
      <c r="I31" s="162">
        <f>+'Schedule 1 (L)'!I79/8</f>
        <v>0.625</v>
      </c>
      <c r="J31" s="162">
        <f>+'Schedule 1 (L)'!J79/8</f>
        <v>0</v>
      </c>
      <c r="K31" s="162">
        <f>+'Schedule 1 (L)'!K79/8</f>
        <v>1</v>
      </c>
      <c r="L31" s="162">
        <f>+'Schedule 1 (L)'!L79/8</f>
        <v>0.625</v>
      </c>
      <c r="M31" s="162">
        <f>+'Schedule 1 (L)'!M79/8</f>
        <v>0</v>
      </c>
      <c r="N31" s="162">
        <f>+'Schedule 1 (L)'!N79/8</f>
        <v>2</v>
      </c>
      <c r="O31" s="162">
        <f>+'Schedule 1 (L)'!O79/8</f>
        <v>1.25</v>
      </c>
      <c r="P31" s="162">
        <f>+'Schedule 1 (L)'!P79/8</f>
        <v>0</v>
      </c>
      <c r="Q31" s="162">
        <f>+'Schedule 1 (L)'!Q79/8</f>
        <v>11</v>
      </c>
      <c r="R31" s="162">
        <f>+'Schedule 1 (L)'!R79/8</f>
        <v>5</v>
      </c>
      <c r="S31" s="162">
        <f>+'Schedule 1 (L)'!S79/8</f>
        <v>0</v>
      </c>
      <c r="T31" s="43">
        <f t="shared" si="0"/>
        <v>15</v>
      </c>
      <c r="U31" s="23">
        <f t="shared" si="1"/>
        <v>8.125</v>
      </c>
    </row>
    <row r="32" spans="1:21" x14ac:dyDescent="0.2">
      <c r="A32" s="10">
        <v>22</v>
      </c>
      <c r="B32" s="33">
        <v>36719</v>
      </c>
      <c r="C32" s="32">
        <v>1</v>
      </c>
      <c r="D32" s="19">
        <v>9</v>
      </c>
      <c r="E32" s="162">
        <f>+'Schedule 1 (L)'!E80/8</f>
        <v>1</v>
      </c>
      <c r="F32" s="162">
        <f>+'Schedule 1 (L)'!F80/8</f>
        <v>0.625</v>
      </c>
      <c r="G32" s="162">
        <f>+'Schedule 1 (L)'!G80/8</f>
        <v>0</v>
      </c>
      <c r="H32" s="162">
        <f>+'Schedule 1 (L)'!H80/8</f>
        <v>1</v>
      </c>
      <c r="I32" s="162">
        <f>+'Schedule 1 (L)'!I80/8</f>
        <v>0.625</v>
      </c>
      <c r="J32" s="162">
        <f>+'Schedule 1 (L)'!J80/8</f>
        <v>0</v>
      </c>
      <c r="K32" s="162">
        <f>+'Schedule 1 (L)'!K80/8</f>
        <v>1</v>
      </c>
      <c r="L32" s="162">
        <f>+'Schedule 1 (L)'!L80/8</f>
        <v>0.625</v>
      </c>
      <c r="M32" s="162">
        <f>+'Schedule 1 (L)'!M80/8</f>
        <v>0</v>
      </c>
      <c r="N32" s="162">
        <f>+'Schedule 1 (L)'!N80/8</f>
        <v>2</v>
      </c>
      <c r="O32" s="162">
        <f>+'Schedule 1 (L)'!O80/8</f>
        <v>1.25</v>
      </c>
      <c r="P32" s="162">
        <f>+'Schedule 1 (L)'!P80/8</f>
        <v>0</v>
      </c>
      <c r="Q32" s="162">
        <f>+'Schedule 1 (L)'!Q80/8</f>
        <v>6</v>
      </c>
      <c r="R32" s="162">
        <f>+'Schedule 1 (L)'!R80/8</f>
        <v>2.5</v>
      </c>
      <c r="S32" s="162">
        <f>+'Schedule 1 (L)'!S80/8</f>
        <v>0</v>
      </c>
      <c r="T32" s="43">
        <f t="shared" si="0"/>
        <v>10</v>
      </c>
      <c r="U32" s="23">
        <f t="shared" si="1"/>
        <v>5.625</v>
      </c>
    </row>
    <row r="33" spans="1:21" x14ac:dyDescent="0.2">
      <c r="A33" s="10">
        <v>23</v>
      </c>
      <c r="B33" s="33">
        <v>36720</v>
      </c>
      <c r="C33" s="32">
        <v>1</v>
      </c>
      <c r="D33" s="19">
        <v>9</v>
      </c>
      <c r="E33" s="162">
        <f>+'Schedule 1 (L)'!E81/8</f>
        <v>1</v>
      </c>
      <c r="F33" s="162">
        <f>+'Schedule 1 (L)'!F81/8</f>
        <v>0.625</v>
      </c>
      <c r="G33" s="162">
        <f>+'Schedule 1 (L)'!G81/8</f>
        <v>0</v>
      </c>
      <c r="H33" s="162">
        <f>+'Schedule 1 (L)'!H81/8</f>
        <v>1</v>
      </c>
      <c r="I33" s="162">
        <f>+'Schedule 1 (L)'!I81/8</f>
        <v>0.625</v>
      </c>
      <c r="J33" s="162">
        <f>+'Schedule 1 (L)'!J81/8</f>
        <v>0</v>
      </c>
      <c r="K33" s="162">
        <f>+'Schedule 1 (L)'!K81/8</f>
        <v>1</v>
      </c>
      <c r="L33" s="162">
        <f>+'Schedule 1 (L)'!L81/8</f>
        <v>0.625</v>
      </c>
      <c r="M33" s="162">
        <f>+'Schedule 1 (L)'!M81/8</f>
        <v>0</v>
      </c>
      <c r="N33" s="162">
        <f>+'Schedule 1 (L)'!N81/8</f>
        <v>2</v>
      </c>
      <c r="O33" s="162">
        <f>+'Schedule 1 (L)'!O81/8</f>
        <v>1.25</v>
      </c>
      <c r="P33" s="162">
        <f>+'Schedule 1 (L)'!P81/8</f>
        <v>0</v>
      </c>
      <c r="Q33" s="162">
        <f>+'Schedule 1 (L)'!Q81/8</f>
        <v>6</v>
      </c>
      <c r="R33" s="162">
        <f>+'Schedule 1 (L)'!R81/8</f>
        <v>3</v>
      </c>
      <c r="S33" s="162">
        <f>+'Schedule 1 (L)'!S81/8</f>
        <v>0</v>
      </c>
      <c r="T33" s="394">
        <f t="shared" si="0"/>
        <v>10</v>
      </c>
      <c r="U33" s="23">
        <f t="shared" si="1"/>
        <v>6.125</v>
      </c>
    </row>
    <row r="34" spans="1:21" x14ac:dyDescent="0.2">
      <c r="A34" s="10">
        <v>24</v>
      </c>
      <c r="B34" s="33">
        <v>36721</v>
      </c>
      <c r="C34" s="32">
        <v>1</v>
      </c>
      <c r="D34" s="19">
        <v>9</v>
      </c>
      <c r="E34" s="162">
        <f>+'Schedule 1 (L)'!E82/8</f>
        <v>1</v>
      </c>
      <c r="F34" s="162">
        <f>+'Schedule 1 (L)'!F82/8</f>
        <v>0.625</v>
      </c>
      <c r="G34" s="162">
        <f>+'Schedule 1 (L)'!G82/8</f>
        <v>0</v>
      </c>
      <c r="H34" s="162">
        <f>+'Schedule 1 (L)'!H82/8</f>
        <v>1</v>
      </c>
      <c r="I34" s="162">
        <f>+'Schedule 1 (L)'!I82/8</f>
        <v>0.625</v>
      </c>
      <c r="J34" s="162">
        <f>+'Schedule 1 (L)'!J82/8</f>
        <v>0</v>
      </c>
      <c r="K34" s="162">
        <f>+'Schedule 1 (L)'!K82/8</f>
        <v>1</v>
      </c>
      <c r="L34" s="162">
        <f>+'Schedule 1 (L)'!L82/8</f>
        <v>0.625</v>
      </c>
      <c r="M34" s="162">
        <f>+'Schedule 1 (L)'!M82/8</f>
        <v>0</v>
      </c>
      <c r="N34" s="162">
        <f>+'Schedule 1 (L)'!N82/8</f>
        <v>2</v>
      </c>
      <c r="O34" s="162">
        <f>+'Schedule 1 (L)'!O82/8</f>
        <v>1.25</v>
      </c>
      <c r="P34" s="162">
        <f>+'Schedule 1 (L)'!P82/8</f>
        <v>0</v>
      </c>
      <c r="Q34" s="162">
        <f>+'Schedule 1 (L)'!Q82/8</f>
        <v>13</v>
      </c>
      <c r="R34" s="162">
        <f>+'Schedule 1 (L)'!R82/8</f>
        <v>4.5</v>
      </c>
      <c r="S34" s="162">
        <f>+'Schedule 1 (L)'!S82/8</f>
        <v>0</v>
      </c>
      <c r="T34" s="394">
        <f t="shared" si="0"/>
        <v>17</v>
      </c>
      <c r="U34" s="23">
        <f t="shared" si="1"/>
        <v>7.625</v>
      </c>
    </row>
    <row r="35" spans="1:21" x14ac:dyDescent="0.2">
      <c r="A35" s="10">
        <v>25</v>
      </c>
      <c r="B35" s="33">
        <v>36722</v>
      </c>
      <c r="C35" s="32">
        <v>1</v>
      </c>
      <c r="D35" s="19">
        <v>9</v>
      </c>
      <c r="E35" s="162">
        <f>+'Schedule 1 (L)'!E83/8</f>
        <v>0</v>
      </c>
      <c r="F35" s="162">
        <f>+'Schedule 1 (L)'!F83/8</f>
        <v>1.625</v>
      </c>
      <c r="G35" s="162">
        <f>+'Schedule 1 (L)'!G83/8</f>
        <v>0</v>
      </c>
      <c r="H35" s="162">
        <f>+'Schedule 1 (L)'!H83/8</f>
        <v>0</v>
      </c>
      <c r="I35" s="162">
        <f>+'Schedule 1 (L)'!I83/8</f>
        <v>1.625</v>
      </c>
      <c r="J35" s="162">
        <f>+'Schedule 1 (L)'!J83/8</f>
        <v>0</v>
      </c>
      <c r="K35" s="162">
        <f>+'Schedule 1 (L)'!K83/8</f>
        <v>0</v>
      </c>
      <c r="L35" s="162">
        <f>+'Schedule 1 (L)'!L83/8</f>
        <v>1.625</v>
      </c>
      <c r="M35" s="162">
        <f>+'Schedule 1 (L)'!M83/8</f>
        <v>0</v>
      </c>
      <c r="N35" s="162">
        <f>+'Schedule 1 (L)'!N83/8</f>
        <v>0</v>
      </c>
      <c r="O35" s="162">
        <f>+'Schedule 1 (L)'!O83/8</f>
        <v>3.25</v>
      </c>
      <c r="P35" s="162">
        <f>+'Schedule 1 (L)'!P83/8</f>
        <v>0</v>
      </c>
      <c r="Q35" s="162">
        <f>+'Schedule 1 (L)'!Q83/8</f>
        <v>0</v>
      </c>
      <c r="R35" s="162">
        <f>+'Schedule 1 (L)'!R83/8</f>
        <v>18</v>
      </c>
      <c r="S35" s="162">
        <f>+'Schedule 1 (L)'!S83/8</f>
        <v>0</v>
      </c>
      <c r="T35" s="394">
        <f t="shared" si="0"/>
        <v>0</v>
      </c>
      <c r="U35" s="23">
        <f t="shared" si="1"/>
        <v>26.125</v>
      </c>
    </row>
    <row r="36" spans="1:21" x14ac:dyDescent="0.2">
      <c r="A36" s="10">
        <v>26</v>
      </c>
      <c r="B36" s="33">
        <v>36723</v>
      </c>
      <c r="C36" s="32">
        <v>1</v>
      </c>
      <c r="D36" s="19">
        <v>9</v>
      </c>
      <c r="E36" s="162">
        <f>+'Schedule 1 (L)'!E84/8</f>
        <v>0</v>
      </c>
      <c r="F36" s="162">
        <f>+'Schedule 1 (L)'!F84/8</f>
        <v>0</v>
      </c>
      <c r="G36" s="162">
        <f>+'Schedule 1 (L)'!G84/8</f>
        <v>1.625</v>
      </c>
      <c r="H36" s="162">
        <f>+'Schedule 1 (L)'!H84/8</f>
        <v>0</v>
      </c>
      <c r="I36" s="162">
        <f>+'Schedule 1 (L)'!I84/8</f>
        <v>0</v>
      </c>
      <c r="J36" s="162">
        <f>+'Schedule 1 (L)'!J84/8</f>
        <v>1.625</v>
      </c>
      <c r="K36" s="162">
        <f>+'Schedule 1 (L)'!K84/8</f>
        <v>0</v>
      </c>
      <c r="L36" s="162">
        <f>+'Schedule 1 (L)'!L84/8</f>
        <v>0</v>
      </c>
      <c r="M36" s="162">
        <f>+'Schedule 1 (L)'!M84/8</f>
        <v>1.625</v>
      </c>
      <c r="N36" s="162">
        <f>+'Schedule 1 (L)'!N84/8</f>
        <v>0</v>
      </c>
      <c r="O36" s="162">
        <f>+'Schedule 1 (L)'!O84/8</f>
        <v>0</v>
      </c>
      <c r="P36" s="162">
        <f>+'Schedule 1 (L)'!P84/8</f>
        <v>3.25</v>
      </c>
      <c r="Q36" s="162">
        <f>+'Schedule 1 (L)'!Q84/8</f>
        <v>0</v>
      </c>
      <c r="R36" s="162">
        <f>+'Schedule 1 (L)'!R84/8</f>
        <v>0</v>
      </c>
      <c r="S36" s="162">
        <f>+'Schedule 1 (L)'!S84/8</f>
        <v>18</v>
      </c>
      <c r="T36" s="394">
        <f t="shared" si="0"/>
        <v>0</v>
      </c>
      <c r="U36" s="23">
        <f t="shared" si="1"/>
        <v>26.125</v>
      </c>
    </row>
    <row r="37" spans="1:21" x14ac:dyDescent="0.2">
      <c r="A37" s="10">
        <v>27</v>
      </c>
      <c r="B37" s="33">
        <v>36724</v>
      </c>
      <c r="C37" s="32">
        <v>1</v>
      </c>
      <c r="D37" s="19">
        <v>11</v>
      </c>
      <c r="E37" s="162">
        <f>+'Schedule 1 (L)'!E85/8</f>
        <v>1</v>
      </c>
      <c r="F37" s="162">
        <f>+'Schedule 1 (L)'!F85/8</f>
        <v>0.625</v>
      </c>
      <c r="G37" s="162">
        <f>+'Schedule 1 (L)'!G85/8</f>
        <v>0</v>
      </c>
      <c r="H37" s="162">
        <f>+'Schedule 1 (L)'!H85/8</f>
        <v>1</v>
      </c>
      <c r="I37" s="162">
        <f>+'Schedule 1 (L)'!I85/8</f>
        <v>0.625</v>
      </c>
      <c r="J37" s="162">
        <f>+'Schedule 1 (L)'!J85/8</f>
        <v>0</v>
      </c>
      <c r="K37" s="162">
        <f>+'Schedule 1 (L)'!K85/8</f>
        <v>1</v>
      </c>
      <c r="L37" s="162">
        <f>+'Schedule 1 (L)'!L85/8</f>
        <v>0.625</v>
      </c>
      <c r="M37" s="162">
        <f>+'Schedule 1 (L)'!M85/8</f>
        <v>0</v>
      </c>
      <c r="N37" s="162">
        <f>+'Schedule 1 (L)'!N85/8</f>
        <v>2</v>
      </c>
      <c r="O37" s="162">
        <f>+'Schedule 1 (L)'!O85/8</f>
        <v>1.25</v>
      </c>
      <c r="P37" s="162">
        <f>+'Schedule 1 (L)'!P85/8</f>
        <v>0</v>
      </c>
      <c r="Q37" s="162">
        <f>+'Schedule 1 (L)'!Q85/8</f>
        <v>11</v>
      </c>
      <c r="R37" s="162">
        <f>+'Schedule 1 (L)'!R85/8</f>
        <v>5.5</v>
      </c>
      <c r="S37" s="162">
        <f>+'Schedule 1 (L)'!S85/8</f>
        <v>0</v>
      </c>
      <c r="T37" s="394">
        <f t="shared" si="0"/>
        <v>15</v>
      </c>
      <c r="U37" s="23">
        <f t="shared" si="1"/>
        <v>8.625</v>
      </c>
    </row>
    <row r="38" spans="1:21" x14ac:dyDescent="0.2">
      <c r="A38" s="10">
        <v>28</v>
      </c>
      <c r="B38" s="33">
        <v>36725</v>
      </c>
      <c r="C38" s="32">
        <v>1</v>
      </c>
      <c r="D38" s="19">
        <v>11</v>
      </c>
      <c r="E38" s="162">
        <f>+'Schedule 1 (L)'!E86/8</f>
        <v>1</v>
      </c>
      <c r="F38" s="162">
        <f>+'Schedule 1 (L)'!F86/8</f>
        <v>0.625</v>
      </c>
      <c r="G38" s="162">
        <f>+'Schedule 1 (L)'!G86/8</f>
        <v>0</v>
      </c>
      <c r="H38" s="162">
        <f>+'Schedule 1 (L)'!H86/8</f>
        <v>1</v>
      </c>
      <c r="I38" s="162">
        <f>+'Schedule 1 (L)'!I86/8</f>
        <v>0.625</v>
      </c>
      <c r="J38" s="162">
        <f>+'Schedule 1 (L)'!J86/8</f>
        <v>0</v>
      </c>
      <c r="K38" s="162">
        <f>+'Schedule 1 (L)'!K86/8</f>
        <v>1</v>
      </c>
      <c r="L38" s="162">
        <f>+'Schedule 1 (L)'!L86/8</f>
        <v>0.625</v>
      </c>
      <c r="M38" s="162">
        <f>+'Schedule 1 (L)'!M86/8</f>
        <v>0</v>
      </c>
      <c r="N38" s="162">
        <f>+'Schedule 1 (L)'!N86/8</f>
        <v>2</v>
      </c>
      <c r="O38" s="162">
        <f>+'Schedule 1 (L)'!O86/8</f>
        <v>1.25</v>
      </c>
      <c r="P38" s="162">
        <f>+'Schedule 1 (L)'!P86/8</f>
        <v>0</v>
      </c>
      <c r="Q38" s="162">
        <f>+'Schedule 1 (L)'!Q86/8</f>
        <v>11</v>
      </c>
      <c r="R38" s="162">
        <f>+'Schedule 1 (L)'!R86/8</f>
        <v>5.5</v>
      </c>
      <c r="S38" s="162">
        <f>+'Schedule 1 (L)'!S86/8</f>
        <v>0</v>
      </c>
      <c r="T38" s="394">
        <f t="shared" si="0"/>
        <v>15</v>
      </c>
      <c r="U38" s="23">
        <f t="shared" si="1"/>
        <v>8.625</v>
      </c>
    </row>
    <row r="39" spans="1:21" x14ac:dyDescent="0.2">
      <c r="A39" s="10">
        <v>29</v>
      </c>
      <c r="B39" s="33">
        <v>36726</v>
      </c>
      <c r="C39" s="32">
        <v>1</v>
      </c>
      <c r="D39" s="19">
        <v>11</v>
      </c>
      <c r="E39" s="162">
        <f>+'Schedule 1 (L)'!E87/8</f>
        <v>1</v>
      </c>
      <c r="F39" s="162">
        <f>+'Schedule 1 (L)'!F87/8</f>
        <v>0.75</v>
      </c>
      <c r="G39" s="162">
        <f>+'Schedule 1 (L)'!G87/8</f>
        <v>0</v>
      </c>
      <c r="H39" s="162">
        <f>+'Schedule 1 (L)'!H87/8</f>
        <v>1</v>
      </c>
      <c r="I39" s="162">
        <f>+'Schedule 1 (L)'!I87/8</f>
        <v>0.625</v>
      </c>
      <c r="J39" s="162">
        <f>+'Schedule 1 (L)'!J87/8</f>
        <v>0</v>
      </c>
      <c r="K39" s="162">
        <f>+'Schedule 1 (L)'!K87/8</f>
        <v>1</v>
      </c>
      <c r="L39" s="162">
        <f>+'Schedule 1 (L)'!L87/8</f>
        <v>0.625</v>
      </c>
      <c r="M39" s="162">
        <f>+'Schedule 1 (L)'!M87/8</f>
        <v>0</v>
      </c>
      <c r="N39" s="162">
        <f>+'Schedule 1 (L)'!N87/8</f>
        <v>2</v>
      </c>
      <c r="O39" s="162">
        <f>+'Schedule 1 (L)'!O87/8</f>
        <v>1.25</v>
      </c>
      <c r="P39" s="162">
        <f>+'Schedule 1 (L)'!P87/8</f>
        <v>0</v>
      </c>
      <c r="Q39" s="162">
        <f>+'Schedule 1 (L)'!Q87/8</f>
        <v>11</v>
      </c>
      <c r="R39" s="162">
        <f>+'Schedule 1 (L)'!R87/8</f>
        <v>5.5</v>
      </c>
      <c r="S39" s="162">
        <f>+'Schedule 1 (L)'!S87/8</f>
        <v>0</v>
      </c>
      <c r="T39" s="394">
        <f t="shared" si="0"/>
        <v>15</v>
      </c>
      <c r="U39" s="23">
        <f t="shared" si="1"/>
        <v>8.75</v>
      </c>
    </row>
    <row r="40" spans="1:21" x14ac:dyDescent="0.2">
      <c r="A40" s="10">
        <v>30</v>
      </c>
      <c r="B40" s="33">
        <v>36727</v>
      </c>
      <c r="C40" s="32">
        <v>1</v>
      </c>
      <c r="D40" s="19">
        <v>11</v>
      </c>
      <c r="E40" s="162">
        <f>+'Schedule 1 (L)'!E88/8</f>
        <v>1</v>
      </c>
      <c r="F40" s="162">
        <f>+'Schedule 1 (L)'!F88/8</f>
        <v>1</v>
      </c>
      <c r="G40" s="162">
        <f>+'Schedule 1 (L)'!G88/8</f>
        <v>0</v>
      </c>
      <c r="H40" s="162">
        <f>+'Schedule 1 (L)'!H88/8</f>
        <v>1</v>
      </c>
      <c r="I40" s="162">
        <f>+'Schedule 1 (L)'!I88/8</f>
        <v>0</v>
      </c>
      <c r="J40" s="162">
        <f>+'Schedule 1 (L)'!J88/8</f>
        <v>0</v>
      </c>
      <c r="K40" s="162">
        <f>+'Schedule 1 (L)'!K88/8</f>
        <v>1</v>
      </c>
      <c r="L40" s="162">
        <f>+'Schedule 1 (L)'!L88/8</f>
        <v>1</v>
      </c>
      <c r="M40" s="162">
        <f>+'Schedule 1 (L)'!M88/8</f>
        <v>0</v>
      </c>
      <c r="N40" s="162">
        <f>+'Schedule 1 (L)'!N88/8</f>
        <v>2</v>
      </c>
      <c r="O40" s="162">
        <f>+'Schedule 1 (L)'!O88/8</f>
        <v>2</v>
      </c>
      <c r="P40" s="162">
        <f>+'Schedule 1 (L)'!P88/8</f>
        <v>0</v>
      </c>
      <c r="Q40" s="162">
        <f>+'Schedule 1 (L)'!Q88/8</f>
        <v>11</v>
      </c>
      <c r="R40" s="162">
        <f>+'Schedule 1 (L)'!R88/8</f>
        <v>9.75</v>
      </c>
      <c r="S40" s="162">
        <f>+'Schedule 1 (L)'!S88/8</f>
        <v>0</v>
      </c>
      <c r="T40" s="394">
        <f t="shared" si="0"/>
        <v>15</v>
      </c>
      <c r="U40" s="23">
        <f t="shared" si="1"/>
        <v>13.75</v>
      </c>
    </row>
    <row r="41" spans="1:21" x14ac:dyDescent="0.2">
      <c r="A41" s="10">
        <v>31</v>
      </c>
      <c r="B41" s="33">
        <v>36728</v>
      </c>
      <c r="C41" s="32">
        <v>1</v>
      </c>
      <c r="D41" s="19">
        <v>11</v>
      </c>
      <c r="E41" s="162">
        <f>+'Schedule 1 (L)'!E89/8</f>
        <v>1</v>
      </c>
      <c r="F41" s="162">
        <f>+'Schedule 1 (L)'!F89/8</f>
        <v>0.625</v>
      </c>
      <c r="G41" s="162">
        <f>+'Schedule 1 (L)'!G89/8</f>
        <v>0</v>
      </c>
      <c r="H41" s="162">
        <f>+'Schedule 1 (L)'!H89/8</f>
        <v>1</v>
      </c>
      <c r="I41" s="162">
        <f>+'Schedule 1 (L)'!I89/8</f>
        <v>0.625</v>
      </c>
      <c r="J41" s="162">
        <f>+'Schedule 1 (L)'!J89/8</f>
        <v>0</v>
      </c>
      <c r="K41" s="162">
        <f>+'Schedule 1 (L)'!K89/8</f>
        <v>1</v>
      </c>
      <c r="L41" s="162">
        <f>+'Schedule 1 (L)'!L89/8</f>
        <v>0.625</v>
      </c>
      <c r="M41" s="162">
        <f>+'Schedule 1 (L)'!M89/8</f>
        <v>0</v>
      </c>
      <c r="N41" s="162">
        <f>+'Schedule 1 (L)'!N89/8</f>
        <v>2</v>
      </c>
      <c r="O41" s="162">
        <f>+'Schedule 1 (L)'!O89/8</f>
        <v>1.25</v>
      </c>
      <c r="P41" s="162">
        <f>+'Schedule 1 (L)'!P89/8</f>
        <v>0</v>
      </c>
      <c r="Q41" s="162">
        <f>+'Schedule 1 (L)'!Q89/8</f>
        <v>12</v>
      </c>
      <c r="R41" s="162">
        <f>+'Schedule 1 (L)'!R89/8</f>
        <v>6.125</v>
      </c>
      <c r="S41" s="162">
        <f>+'Schedule 1 (L)'!S89/8</f>
        <v>0</v>
      </c>
      <c r="T41" s="394">
        <f t="shared" si="0"/>
        <v>16</v>
      </c>
      <c r="U41" s="23">
        <f t="shared" si="1"/>
        <v>9.25</v>
      </c>
    </row>
    <row r="42" spans="1:21" x14ac:dyDescent="0.2">
      <c r="A42" s="10">
        <v>32</v>
      </c>
      <c r="B42" s="33">
        <v>36729</v>
      </c>
      <c r="C42" s="32">
        <v>1</v>
      </c>
      <c r="D42" s="19">
        <v>11</v>
      </c>
      <c r="E42" s="162">
        <f>+'Schedule 1 (L)'!E90/8</f>
        <v>0</v>
      </c>
      <c r="F42" s="162">
        <f>+'Schedule 1 (L)'!F90/8</f>
        <v>1.625</v>
      </c>
      <c r="G42" s="162">
        <f>+'Schedule 1 (L)'!G90/8</f>
        <v>0</v>
      </c>
      <c r="H42" s="162">
        <f>+'Schedule 1 (L)'!H90/8</f>
        <v>0</v>
      </c>
      <c r="I42" s="162">
        <f>+'Schedule 1 (L)'!I90/8</f>
        <v>1.625</v>
      </c>
      <c r="J42" s="162">
        <f>+'Schedule 1 (L)'!J90/8</f>
        <v>0</v>
      </c>
      <c r="K42" s="162">
        <f>+'Schedule 1 (L)'!K90/8</f>
        <v>0</v>
      </c>
      <c r="L42" s="162">
        <f>+'Schedule 1 (L)'!L90/8</f>
        <v>1.625</v>
      </c>
      <c r="M42" s="162">
        <f>+'Schedule 1 (L)'!M90/8</f>
        <v>0</v>
      </c>
      <c r="N42" s="162">
        <f>+'Schedule 1 (L)'!N90/8</f>
        <v>0</v>
      </c>
      <c r="O42" s="162">
        <f>+'Schedule 1 (L)'!O90/8</f>
        <v>2</v>
      </c>
      <c r="P42" s="162">
        <f>+'Schedule 1 (L)'!P90/8</f>
        <v>0</v>
      </c>
      <c r="Q42" s="162">
        <f>+'Schedule 1 (L)'!Q90/8</f>
        <v>0</v>
      </c>
      <c r="R42" s="162">
        <f>+'Schedule 1 (L)'!R90/8</f>
        <v>14.5</v>
      </c>
      <c r="S42" s="162">
        <f>+'Schedule 1 (L)'!S90/8</f>
        <v>0</v>
      </c>
      <c r="T42" s="394">
        <f t="shared" si="0"/>
        <v>0</v>
      </c>
      <c r="U42" s="23">
        <f t="shared" si="1"/>
        <v>21.375</v>
      </c>
    </row>
    <row r="43" spans="1:21" x14ac:dyDescent="0.2">
      <c r="A43" s="10">
        <v>33</v>
      </c>
      <c r="B43" s="33">
        <v>36730</v>
      </c>
      <c r="C43" s="32">
        <v>1</v>
      </c>
      <c r="D43" s="19">
        <v>11</v>
      </c>
      <c r="E43" s="162">
        <f>+'Schedule 1 (L)'!E91/8</f>
        <v>0</v>
      </c>
      <c r="F43" s="162">
        <f>+'Schedule 1 (L)'!F91/8</f>
        <v>0</v>
      </c>
      <c r="G43" s="162">
        <f>+'Schedule 1 (L)'!G91/8</f>
        <v>1.625</v>
      </c>
      <c r="H43" s="162">
        <f>+'Schedule 1 (L)'!H91/8</f>
        <v>0</v>
      </c>
      <c r="I43" s="162">
        <f>+'Schedule 1 (L)'!I91/8</f>
        <v>0</v>
      </c>
      <c r="J43" s="162">
        <f>+'Schedule 1 (L)'!J91/8</f>
        <v>1.625</v>
      </c>
      <c r="K43" s="162">
        <f>+'Schedule 1 (L)'!K91/8</f>
        <v>0</v>
      </c>
      <c r="L43" s="162">
        <f>+'Schedule 1 (L)'!L91/8</f>
        <v>0</v>
      </c>
      <c r="M43" s="162">
        <f>+'Schedule 1 (L)'!M91/8</f>
        <v>1.625</v>
      </c>
      <c r="N43" s="162">
        <f>+'Schedule 1 (L)'!N91/8</f>
        <v>0</v>
      </c>
      <c r="O43" s="162">
        <f>+'Schedule 1 (L)'!O91/8</f>
        <v>0</v>
      </c>
      <c r="P43" s="162">
        <f>+'Schedule 1 (L)'!P91/8</f>
        <v>0</v>
      </c>
      <c r="Q43" s="162">
        <f>+'Schedule 1 (L)'!Q91/8</f>
        <v>0</v>
      </c>
      <c r="R43" s="162">
        <f>+'Schedule 1 (L)'!R91/8</f>
        <v>0</v>
      </c>
      <c r="S43" s="162">
        <f>+'Schedule 1 (L)'!S91/8</f>
        <v>6.5</v>
      </c>
      <c r="T43" s="43">
        <f t="shared" si="0"/>
        <v>0</v>
      </c>
      <c r="U43" s="23">
        <f t="shared" si="1"/>
        <v>11.375</v>
      </c>
    </row>
    <row r="44" spans="1:21" x14ac:dyDescent="0.2">
      <c r="A44" s="10">
        <v>34</v>
      </c>
      <c r="B44" s="33">
        <v>36731</v>
      </c>
      <c r="C44" s="32">
        <v>1</v>
      </c>
      <c r="D44" s="19">
        <v>12</v>
      </c>
      <c r="E44" s="162">
        <f>+'Schedule 1 (L)'!E92/8</f>
        <v>1</v>
      </c>
      <c r="F44" s="162">
        <f>+'Schedule 1 (L)'!F92/8</f>
        <v>0.625</v>
      </c>
      <c r="G44" s="162">
        <f>+'Schedule 1 (L)'!G92/8</f>
        <v>0</v>
      </c>
      <c r="H44" s="162">
        <f>+'Schedule 1 (L)'!H92/8</f>
        <v>1</v>
      </c>
      <c r="I44" s="162">
        <f>+'Schedule 1 (L)'!I92/8</f>
        <v>0.625</v>
      </c>
      <c r="J44" s="162">
        <f>+'Schedule 1 (L)'!J92/8</f>
        <v>0</v>
      </c>
      <c r="K44" s="162">
        <f>+'Schedule 1 (L)'!K92/8</f>
        <v>1</v>
      </c>
      <c r="L44" s="162">
        <f>+'Schedule 1 (L)'!L92/8</f>
        <v>0.625</v>
      </c>
      <c r="M44" s="162">
        <f>+'Schedule 1 (L)'!M92/8</f>
        <v>0</v>
      </c>
      <c r="N44" s="162">
        <f>+'Schedule 1 (L)'!N92/8</f>
        <v>0</v>
      </c>
      <c r="O44" s="162">
        <f>+'Schedule 1 (L)'!O92/8</f>
        <v>0</v>
      </c>
      <c r="P44" s="162">
        <f>+'Schedule 1 (L)'!P92/8</f>
        <v>0</v>
      </c>
      <c r="Q44" s="162">
        <f>+'Schedule 1 (L)'!Q92/8</f>
        <v>4</v>
      </c>
      <c r="R44" s="162">
        <f>+'Schedule 1 (L)'!R92/8</f>
        <v>2</v>
      </c>
      <c r="S44" s="162">
        <f>+'Schedule 1 (L)'!S92/8</f>
        <v>0</v>
      </c>
      <c r="T44" s="43">
        <f t="shared" si="0"/>
        <v>6</v>
      </c>
      <c r="U44" s="23">
        <f t="shared" si="1"/>
        <v>3.875</v>
      </c>
    </row>
    <row r="45" spans="1:21" x14ac:dyDescent="0.2">
      <c r="A45" s="10">
        <v>35</v>
      </c>
      <c r="B45" s="33">
        <v>36732</v>
      </c>
      <c r="C45" s="32">
        <v>1</v>
      </c>
      <c r="D45" s="19">
        <v>12</v>
      </c>
      <c r="E45" s="162">
        <f>+'Schedule 1 (L)'!E93/8</f>
        <v>1</v>
      </c>
      <c r="F45" s="162">
        <f>+'Schedule 1 (L)'!F93/8</f>
        <v>0.625</v>
      </c>
      <c r="G45" s="162">
        <f>+'Schedule 1 (L)'!G93/8</f>
        <v>0</v>
      </c>
      <c r="H45" s="162">
        <f>+'Schedule 1 (L)'!H93/8</f>
        <v>1</v>
      </c>
      <c r="I45" s="162">
        <f>+'Schedule 1 (L)'!I93/8</f>
        <v>0.625</v>
      </c>
      <c r="J45" s="162">
        <f>+'Schedule 1 (L)'!J93/8</f>
        <v>0</v>
      </c>
      <c r="K45" s="162">
        <f>+'Schedule 1 (L)'!K93/8</f>
        <v>1</v>
      </c>
      <c r="L45" s="162">
        <f>+'Schedule 1 (L)'!L93/8</f>
        <v>0.625</v>
      </c>
      <c r="M45" s="162">
        <f>+'Schedule 1 (L)'!M93/8</f>
        <v>0</v>
      </c>
      <c r="N45" s="162">
        <f>+'Schedule 1 (L)'!N93/8</f>
        <v>0</v>
      </c>
      <c r="O45" s="162">
        <f>+'Schedule 1 (L)'!O93/8</f>
        <v>0</v>
      </c>
      <c r="P45" s="162">
        <f>+'Schedule 1 (L)'!P93/8</f>
        <v>0</v>
      </c>
      <c r="Q45" s="162">
        <f>+'Schedule 1 (L)'!Q93/8</f>
        <v>4</v>
      </c>
      <c r="R45" s="162">
        <f>+'Schedule 1 (L)'!R93/8</f>
        <v>2</v>
      </c>
      <c r="S45" s="162">
        <f>+'Schedule 1 (L)'!S93/8</f>
        <v>0</v>
      </c>
      <c r="T45" s="43">
        <f t="shared" si="0"/>
        <v>6</v>
      </c>
      <c r="U45" s="23">
        <f t="shared" si="1"/>
        <v>3.875</v>
      </c>
    </row>
    <row r="46" spans="1:21" x14ac:dyDescent="0.2">
      <c r="A46" s="10">
        <v>36</v>
      </c>
      <c r="B46" s="33">
        <v>36733</v>
      </c>
      <c r="C46" s="32">
        <v>1</v>
      </c>
      <c r="D46" s="19">
        <v>12</v>
      </c>
      <c r="E46" s="162">
        <f>+'Schedule 1 (L)'!E94/8</f>
        <v>1</v>
      </c>
      <c r="F46" s="162">
        <f>+'Schedule 1 (L)'!F94/8</f>
        <v>0</v>
      </c>
      <c r="G46" s="162">
        <f>+'Schedule 1 (L)'!G94/8</f>
        <v>0</v>
      </c>
      <c r="H46" s="162">
        <f>+'Schedule 1 (L)'!H94/8</f>
        <v>1</v>
      </c>
      <c r="I46" s="162">
        <f>+'Schedule 1 (L)'!I94/8</f>
        <v>0.625</v>
      </c>
      <c r="J46" s="162">
        <f>+'Schedule 1 (L)'!J94/8</f>
        <v>0</v>
      </c>
      <c r="K46" s="162">
        <f>+'Schedule 1 (L)'!K94/8</f>
        <v>1</v>
      </c>
      <c r="L46" s="162">
        <f>+'Schedule 1 (L)'!L94/8</f>
        <v>0</v>
      </c>
      <c r="M46" s="162">
        <f>+'Schedule 1 (L)'!M94/8</f>
        <v>0</v>
      </c>
      <c r="N46" s="162">
        <f>+'Schedule 1 (L)'!N94/8</f>
        <v>0</v>
      </c>
      <c r="O46" s="162">
        <f>+'Schedule 1 (L)'!O94/8</f>
        <v>0</v>
      </c>
      <c r="P46" s="162">
        <f>+'Schedule 1 (L)'!P94/8</f>
        <v>0</v>
      </c>
      <c r="Q46" s="162">
        <f>+'Schedule 1 (L)'!Q94/8</f>
        <v>4</v>
      </c>
      <c r="R46" s="162">
        <f>+'Schedule 1 (L)'!R94/8</f>
        <v>2</v>
      </c>
      <c r="S46" s="162">
        <f>+'Schedule 1 (L)'!S94/8</f>
        <v>0</v>
      </c>
      <c r="T46" s="43">
        <f t="shared" si="0"/>
        <v>6</v>
      </c>
      <c r="U46" s="23">
        <f t="shared" si="1"/>
        <v>2.625</v>
      </c>
    </row>
    <row r="47" spans="1:21" x14ac:dyDescent="0.2">
      <c r="A47" s="10">
        <v>37</v>
      </c>
      <c r="B47" s="33">
        <v>36734</v>
      </c>
      <c r="C47" s="32">
        <v>1</v>
      </c>
      <c r="D47" s="19">
        <v>12</v>
      </c>
      <c r="E47" s="162">
        <f>+'Schedule 1 (L)'!E95/8</f>
        <v>1</v>
      </c>
      <c r="F47" s="162">
        <f>+'Schedule 1 (L)'!F95/8</f>
        <v>0</v>
      </c>
      <c r="G47" s="162">
        <f>+'Schedule 1 (L)'!G95/8</f>
        <v>0</v>
      </c>
      <c r="H47" s="162">
        <f>+'Schedule 1 (L)'!H95/8</f>
        <v>1</v>
      </c>
      <c r="I47" s="162">
        <f>+'Schedule 1 (L)'!I95/8</f>
        <v>0.625</v>
      </c>
      <c r="J47" s="162">
        <f>+'Schedule 1 (L)'!J95/8</f>
        <v>0</v>
      </c>
      <c r="K47" s="162">
        <f>+'Schedule 1 (L)'!K95/8</f>
        <v>1</v>
      </c>
      <c r="L47" s="162">
        <f>+'Schedule 1 (L)'!L95/8</f>
        <v>0</v>
      </c>
      <c r="M47" s="162">
        <f>+'Schedule 1 (L)'!M95/8</f>
        <v>0</v>
      </c>
      <c r="N47" s="162">
        <f>+'Schedule 1 (L)'!N95/8</f>
        <v>0</v>
      </c>
      <c r="O47" s="162">
        <f>+'Schedule 1 (L)'!O95/8</f>
        <v>0</v>
      </c>
      <c r="P47" s="162">
        <f>+'Schedule 1 (L)'!P95/8</f>
        <v>0</v>
      </c>
      <c r="Q47" s="162">
        <f>+'Schedule 1 (L)'!Q95/8</f>
        <v>4</v>
      </c>
      <c r="R47" s="162">
        <f>+'Schedule 1 (L)'!R95/8</f>
        <v>2</v>
      </c>
      <c r="S47" s="162">
        <f>+'Schedule 1 (L)'!S95/8</f>
        <v>0</v>
      </c>
      <c r="T47" s="43">
        <f t="shared" si="0"/>
        <v>6</v>
      </c>
      <c r="U47" s="23">
        <f t="shared" si="1"/>
        <v>2.625</v>
      </c>
    </row>
    <row r="48" spans="1:21" x14ac:dyDescent="0.2">
      <c r="A48" s="10">
        <v>38</v>
      </c>
      <c r="B48" s="33">
        <v>36735</v>
      </c>
      <c r="C48" s="32">
        <v>1</v>
      </c>
      <c r="D48" s="19">
        <v>12</v>
      </c>
      <c r="E48" s="162">
        <f>+'Schedule 1 (L)'!E96/8</f>
        <v>1</v>
      </c>
      <c r="F48" s="162">
        <f>+'Schedule 1 (L)'!F96/8</f>
        <v>0</v>
      </c>
      <c r="G48" s="162">
        <f>+'Schedule 1 (L)'!G96/8</f>
        <v>0</v>
      </c>
      <c r="H48" s="162">
        <f>+'Schedule 1 (L)'!H96/8</f>
        <v>1</v>
      </c>
      <c r="I48" s="162">
        <f>+'Schedule 1 (L)'!I96/8</f>
        <v>0.625</v>
      </c>
      <c r="J48" s="162">
        <f>+'Schedule 1 (L)'!J96/8</f>
        <v>0</v>
      </c>
      <c r="K48" s="162">
        <f>+'Schedule 1 (L)'!K96/8</f>
        <v>1</v>
      </c>
      <c r="L48" s="162">
        <f>+'Schedule 1 (L)'!L96/8</f>
        <v>0</v>
      </c>
      <c r="M48" s="162">
        <f>+'Schedule 1 (L)'!M96/8</f>
        <v>0</v>
      </c>
      <c r="N48" s="162">
        <f>+'Schedule 1 (L)'!N96/8</f>
        <v>0</v>
      </c>
      <c r="O48" s="162">
        <f>+'Schedule 1 (L)'!O96/8</f>
        <v>0</v>
      </c>
      <c r="P48" s="162">
        <f>+'Schedule 1 (L)'!P96/8</f>
        <v>0</v>
      </c>
      <c r="Q48" s="162">
        <f>+'Schedule 1 (L)'!Q96/8</f>
        <v>4</v>
      </c>
      <c r="R48" s="162">
        <f>+'Schedule 1 (L)'!R96/8</f>
        <v>2</v>
      </c>
      <c r="S48" s="162">
        <f>+'Schedule 1 (L)'!S96/8</f>
        <v>0</v>
      </c>
      <c r="T48" s="43">
        <f t="shared" si="0"/>
        <v>6</v>
      </c>
      <c r="U48" s="23">
        <f t="shared" si="1"/>
        <v>2.625</v>
      </c>
    </row>
    <row r="49" spans="1:24" x14ac:dyDescent="0.2">
      <c r="A49" s="10">
        <v>39</v>
      </c>
      <c r="B49" s="33">
        <v>36736</v>
      </c>
      <c r="C49" s="32">
        <v>1</v>
      </c>
      <c r="D49" s="19">
        <v>12</v>
      </c>
      <c r="E49" s="162">
        <f>+'Schedule 1 (L)'!E97/8</f>
        <v>0</v>
      </c>
      <c r="F49" s="162">
        <f>+'Schedule 1 (L)'!F97/8</f>
        <v>0</v>
      </c>
      <c r="G49" s="162">
        <f>+'Schedule 1 (L)'!G97/8</f>
        <v>0</v>
      </c>
      <c r="H49" s="162">
        <f>+'Schedule 1 (L)'!H97/8</f>
        <v>0</v>
      </c>
      <c r="I49" s="162">
        <f>+'Schedule 1 (L)'!I97/8</f>
        <v>1.625</v>
      </c>
      <c r="J49" s="162">
        <f>+'Schedule 1 (L)'!J97/8</f>
        <v>0</v>
      </c>
      <c r="K49" s="162">
        <f>+'Schedule 1 (L)'!K97/8</f>
        <v>0</v>
      </c>
      <c r="L49" s="162">
        <f>+'Schedule 1 (L)'!L97/8</f>
        <v>0</v>
      </c>
      <c r="M49" s="162">
        <f>+'Schedule 1 (L)'!M97/8</f>
        <v>0</v>
      </c>
      <c r="N49" s="162">
        <f>+'Schedule 1 (L)'!N97/8</f>
        <v>0</v>
      </c>
      <c r="O49" s="162">
        <f>+'Schedule 1 (L)'!O97/8</f>
        <v>0</v>
      </c>
      <c r="P49" s="162">
        <f>+'Schedule 1 (L)'!P97/8</f>
        <v>0</v>
      </c>
      <c r="Q49" s="162">
        <f>+'Schedule 1 (L)'!Q97/8</f>
        <v>0</v>
      </c>
      <c r="R49" s="162">
        <f>+'Schedule 1 (L)'!R97/8</f>
        <v>6</v>
      </c>
      <c r="S49" s="162">
        <f>+'Schedule 1 (L)'!S97/8</f>
        <v>0</v>
      </c>
      <c r="T49" s="43">
        <f t="shared" si="0"/>
        <v>0</v>
      </c>
      <c r="U49" s="23">
        <f t="shared" si="1"/>
        <v>7.625</v>
      </c>
      <c r="X49" s="43"/>
    </row>
    <row r="50" spans="1:24" x14ac:dyDescent="0.2">
      <c r="A50" s="10">
        <v>40</v>
      </c>
      <c r="B50" s="33">
        <v>36737</v>
      </c>
      <c r="C50" s="32">
        <v>1</v>
      </c>
      <c r="D50" s="19">
        <v>12</v>
      </c>
      <c r="E50" s="162">
        <f>+'Schedule 1 (L)'!E98/8</f>
        <v>0</v>
      </c>
      <c r="F50" s="162">
        <f>+'Schedule 1 (L)'!F98/8</f>
        <v>0</v>
      </c>
      <c r="G50" s="162">
        <f>+'Schedule 1 (L)'!G98/8</f>
        <v>0</v>
      </c>
      <c r="H50" s="162">
        <f>+'Schedule 1 (L)'!H98/8</f>
        <v>0</v>
      </c>
      <c r="I50" s="162">
        <f>+'Schedule 1 (L)'!I98/8</f>
        <v>0</v>
      </c>
      <c r="J50" s="162">
        <f>+'Schedule 1 (L)'!J98/8</f>
        <v>1.625</v>
      </c>
      <c r="K50" s="162">
        <f>+'Schedule 1 (L)'!K98/8</f>
        <v>0</v>
      </c>
      <c r="L50" s="162">
        <f>+'Schedule 1 (L)'!L98/8</f>
        <v>0</v>
      </c>
      <c r="M50" s="162">
        <f>+'Schedule 1 (L)'!M98/8</f>
        <v>0</v>
      </c>
      <c r="N50" s="162">
        <f>+'Schedule 1 (L)'!N98/8</f>
        <v>0</v>
      </c>
      <c r="O50" s="162">
        <f>+'Schedule 1 (L)'!O98/8</f>
        <v>0</v>
      </c>
      <c r="P50" s="162">
        <f>+'Schedule 1 (L)'!P98/8</f>
        <v>0</v>
      </c>
      <c r="Q50" s="162">
        <f>+'Schedule 1 (L)'!Q98/8</f>
        <v>0</v>
      </c>
      <c r="R50" s="162">
        <f>+'Schedule 1 (L)'!R98/8</f>
        <v>0</v>
      </c>
      <c r="S50" s="162">
        <f>+'Schedule 1 (L)'!S98/8</f>
        <v>6</v>
      </c>
      <c r="T50" s="43">
        <f t="shared" si="0"/>
        <v>0</v>
      </c>
      <c r="U50" s="23">
        <f t="shared" si="1"/>
        <v>7.625</v>
      </c>
      <c r="X50" s="43"/>
    </row>
    <row r="51" spans="1:24" ht="6.75" customHeight="1" x14ac:dyDescent="0.2">
      <c r="E51" s="54"/>
      <c r="F51" s="54"/>
      <c r="G51" s="55"/>
      <c r="H51" s="53"/>
      <c r="I51" s="54"/>
      <c r="J51" s="55"/>
      <c r="K51" s="60"/>
      <c r="L51" s="61"/>
      <c r="M51" s="62"/>
      <c r="N51" s="60"/>
      <c r="O51" s="61"/>
      <c r="P51" s="62"/>
      <c r="Q51" s="60"/>
      <c r="R51" s="61"/>
      <c r="S51" s="62"/>
      <c r="T51" s="43"/>
      <c r="U51" s="23"/>
      <c r="X51" s="43"/>
    </row>
    <row r="52" spans="1:24" x14ac:dyDescent="0.2">
      <c r="B52" s="18" t="s">
        <v>108</v>
      </c>
      <c r="C52" s="25"/>
      <c r="D52" s="25"/>
      <c r="E52" s="45">
        <f t="shared" ref="E52:U52" si="2">SUM(E11:E51)</f>
        <v>24</v>
      </c>
      <c r="F52" s="45">
        <f t="shared" si="2"/>
        <v>19.875</v>
      </c>
      <c r="G52" s="45">
        <f t="shared" si="2"/>
        <v>9.75</v>
      </c>
      <c r="H52" s="45">
        <f t="shared" si="2"/>
        <v>16</v>
      </c>
      <c r="I52" s="45">
        <f t="shared" si="2"/>
        <v>13.625</v>
      </c>
      <c r="J52" s="45">
        <f t="shared" si="2"/>
        <v>4.875</v>
      </c>
      <c r="K52" s="45">
        <f t="shared" si="2"/>
        <v>27</v>
      </c>
      <c r="L52" s="45">
        <f t="shared" si="2"/>
        <v>22.875</v>
      </c>
      <c r="M52" s="45">
        <f t="shared" si="2"/>
        <v>9.75</v>
      </c>
      <c r="N52" s="45">
        <f t="shared" si="2"/>
        <v>40.5</v>
      </c>
      <c r="O52" s="45">
        <f t="shared" si="2"/>
        <v>38.75</v>
      </c>
      <c r="P52" s="45">
        <f t="shared" si="2"/>
        <v>16.25</v>
      </c>
      <c r="Q52" s="45">
        <f t="shared" si="2"/>
        <v>240.75</v>
      </c>
      <c r="R52" s="45">
        <f t="shared" si="2"/>
        <v>194.125</v>
      </c>
      <c r="S52" s="45">
        <f t="shared" si="2"/>
        <v>98</v>
      </c>
      <c r="T52" s="45">
        <f t="shared" si="2"/>
        <v>332.25</v>
      </c>
      <c r="U52" s="20">
        <f t="shared" si="2"/>
        <v>427.875</v>
      </c>
      <c r="X52" s="43"/>
    </row>
    <row r="53" spans="1:24" x14ac:dyDescent="0.2">
      <c r="B53" s="18" t="s">
        <v>110</v>
      </c>
      <c r="C53" s="34"/>
      <c r="D53" s="34"/>
      <c r="E53" s="20">
        <v>85</v>
      </c>
      <c r="F53" s="20">
        <v>95</v>
      </c>
      <c r="G53" s="23">
        <v>125</v>
      </c>
      <c r="H53" s="20">
        <v>100</v>
      </c>
      <c r="I53" s="20">
        <v>150</v>
      </c>
      <c r="J53" s="23">
        <v>200</v>
      </c>
      <c r="K53" s="23">
        <v>52</v>
      </c>
      <c r="L53" s="23">
        <v>65.5</v>
      </c>
      <c r="M53" s="23">
        <v>81</v>
      </c>
      <c r="N53" s="23">
        <v>48</v>
      </c>
      <c r="O53" s="23">
        <v>63</v>
      </c>
      <c r="P53" s="23">
        <v>77.5</v>
      </c>
      <c r="Q53" s="23">
        <v>46</v>
      </c>
      <c r="R53" s="23">
        <v>59</v>
      </c>
      <c r="S53" s="23">
        <v>72.5</v>
      </c>
      <c r="T53" s="23"/>
      <c r="U53" s="23"/>
      <c r="X53" s="43"/>
    </row>
    <row r="54" spans="1:24" x14ac:dyDescent="0.2">
      <c r="B54" s="186" t="s">
        <v>87</v>
      </c>
      <c r="C54" s="19"/>
      <c r="D54" s="187" t="s">
        <v>116</v>
      </c>
      <c r="E54" s="43"/>
      <c r="F54" s="67" t="s">
        <v>568</v>
      </c>
      <c r="G54" s="43"/>
      <c r="H54" s="42"/>
      <c r="I54" s="67" t="s">
        <v>569</v>
      </c>
      <c r="J54" s="43"/>
      <c r="K54" s="43"/>
      <c r="L54" s="67" t="s">
        <v>570</v>
      </c>
      <c r="M54" s="43"/>
      <c r="N54" s="43"/>
      <c r="O54" s="67" t="s">
        <v>574</v>
      </c>
      <c r="P54" s="43"/>
      <c r="Q54" s="45" t="s">
        <v>573</v>
      </c>
      <c r="R54" s="20" t="s">
        <v>88</v>
      </c>
      <c r="S54" s="395">
        <f>+Q56+Q57+Q58+Q78+Q79+18+18+Q82+Q83+Q84+Q85+Q86</f>
        <v>194</v>
      </c>
    </row>
    <row r="55" spans="1:24" x14ac:dyDescent="0.2">
      <c r="E55" s="45" t="s">
        <v>102</v>
      </c>
      <c r="F55" s="45" t="s">
        <v>103</v>
      </c>
      <c r="G55" s="45" t="s">
        <v>104</v>
      </c>
      <c r="H55" s="45" t="s">
        <v>102</v>
      </c>
      <c r="I55" s="45" t="s">
        <v>103</v>
      </c>
      <c r="J55" s="45" t="s">
        <v>104</v>
      </c>
      <c r="K55" s="45" t="s">
        <v>102</v>
      </c>
      <c r="L55" s="45" t="s">
        <v>105</v>
      </c>
      <c r="M55" s="45" t="s">
        <v>104</v>
      </c>
      <c r="N55" s="45" t="s">
        <v>102</v>
      </c>
      <c r="O55" s="45" t="s">
        <v>106</v>
      </c>
      <c r="P55" s="45" t="s">
        <v>107</v>
      </c>
      <c r="Q55" s="45" t="s">
        <v>565</v>
      </c>
      <c r="R55" s="45" t="s">
        <v>566</v>
      </c>
      <c r="S55" s="43">
        <f>+S54+S6</f>
        <v>389</v>
      </c>
      <c r="T55" s="19"/>
      <c r="U55" s="19"/>
      <c r="V55" s="43"/>
      <c r="W55" s="43"/>
    </row>
    <row r="56" spans="1:24" x14ac:dyDescent="0.2">
      <c r="A56" s="10">
        <v>1</v>
      </c>
      <c r="B56" s="33">
        <v>36698</v>
      </c>
      <c r="C56" s="32">
        <v>1</v>
      </c>
      <c r="D56" s="32">
        <v>14</v>
      </c>
      <c r="E56" s="163">
        <f>+'Schedule 1 (L)'!E111/8</f>
        <v>0</v>
      </c>
      <c r="F56" s="163">
        <f>+'Schedule 1 (L)'!F111/8</f>
        <v>0</v>
      </c>
      <c r="G56" s="163">
        <f>+'Schedule 1 (L)'!G111/8</f>
        <v>0</v>
      </c>
      <c r="H56" s="163">
        <f>+'Schedule 1 (L)'!H111/8</f>
        <v>1</v>
      </c>
      <c r="I56" s="163">
        <f>+'Schedule 1 (L)'!I111/8</f>
        <v>0</v>
      </c>
      <c r="J56" s="163">
        <f>+'Schedule 1 (L)'!J111/8</f>
        <v>0</v>
      </c>
      <c r="K56" s="163">
        <f>+'Schedule 1 (L)'!K111/8</f>
        <v>2</v>
      </c>
      <c r="L56" s="163">
        <f>+'Schedule 1 (L)'!L111/8</f>
        <v>0</v>
      </c>
      <c r="M56" s="163">
        <f>+'Schedule 1 (L)'!M111/8</f>
        <v>0</v>
      </c>
      <c r="N56" s="163">
        <f>+'Schedule 1 (L)'!N111/8</f>
        <v>7</v>
      </c>
      <c r="O56" s="163">
        <f>+'Schedule 1 (L)'!O111/8</f>
        <v>0</v>
      </c>
      <c r="P56" s="163">
        <f>+'Schedule 1 (L)'!P111/8</f>
        <v>0</v>
      </c>
      <c r="Q56" s="394">
        <f>+E56+H56+K56+N56</f>
        <v>10</v>
      </c>
      <c r="R56" s="23">
        <f>+F56+G56+I56+J56+L56+M56+O56+P56</f>
        <v>0</v>
      </c>
      <c r="S56" s="19"/>
      <c r="T56" s="19"/>
      <c r="U56" s="19"/>
    </row>
    <row r="57" spans="1:24" x14ac:dyDescent="0.2">
      <c r="A57" s="10">
        <v>2</v>
      </c>
      <c r="B57" s="33">
        <v>36699</v>
      </c>
      <c r="C57" s="32">
        <v>1</v>
      </c>
      <c r="D57" s="32">
        <v>14</v>
      </c>
      <c r="E57" s="163">
        <f>+'Schedule 1 (L)'!E112/8</f>
        <v>0</v>
      </c>
      <c r="F57" s="163">
        <f>+'Schedule 1 (L)'!F112/8</f>
        <v>0</v>
      </c>
      <c r="G57" s="163">
        <f>+'Schedule 1 (L)'!G112/8</f>
        <v>0</v>
      </c>
      <c r="H57" s="163">
        <f>+'Schedule 1 (L)'!H112/8</f>
        <v>1</v>
      </c>
      <c r="I57" s="163">
        <f>+'Schedule 1 (L)'!I112/8</f>
        <v>0.875</v>
      </c>
      <c r="J57" s="163">
        <f>+'Schedule 1 (L)'!J112/8</f>
        <v>0</v>
      </c>
      <c r="K57" s="163">
        <f>+'Schedule 1 (L)'!K112/8</f>
        <v>2</v>
      </c>
      <c r="L57" s="163">
        <f>+'Schedule 1 (L)'!L112/8</f>
        <v>1.625</v>
      </c>
      <c r="M57" s="163">
        <f>+'Schedule 1 (L)'!M112/8</f>
        <v>0</v>
      </c>
      <c r="N57" s="163">
        <f>+'Schedule 1 (L)'!N112/8</f>
        <v>11</v>
      </c>
      <c r="O57" s="163">
        <f>+'Schedule 1 (L)'!O112/8</f>
        <v>5.25</v>
      </c>
      <c r="P57" s="163">
        <f>+'Schedule 1 (L)'!P112/8</f>
        <v>0</v>
      </c>
      <c r="Q57" s="394">
        <f t="shared" ref="Q57:Q95" si="3">+E57+H57+K57+N57</f>
        <v>14</v>
      </c>
      <c r="R57" s="23">
        <f t="shared" ref="R57:R95" si="4">+F57+G57+I57+J57+L57+M57+O57+P57</f>
        <v>7.75</v>
      </c>
      <c r="S57" s="19"/>
      <c r="T57" s="19"/>
      <c r="U57" s="19"/>
    </row>
    <row r="58" spans="1:24" x14ac:dyDescent="0.2">
      <c r="A58" s="10">
        <v>3</v>
      </c>
      <c r="B58" s="33">
        <v>36700</v>
      </c>
      <c r="C58" s="32">
        <v>1</v>
      </c>
      <c r="D58" s="32">
        <v>14</v>
      </c>
      <c r="E58" s="163">
        <f>+'Schedule 1 (L)'!E113/8</f>
        <v>0</v>
      </c>
      <c r="F58" s="163">
        <f>+'Schedule 1 (L)'!F113/8</f>
        <v>0</v>
      </c>
      <c r="G58" s="163">
        <f>+'Schedule 1 (L)'!G113/8</f>
        <v>0</v>
      </c>
      <c r="H58" s="163">
        <f>+'Schedule 1 (L)'!H113/8</f>
        <v>1</v>
      </c>
      <c r="I58" s="163">
        <f>+'Schedule 1 (L)'!I113/8</f>
        <v>0.875</v>
      </c>
      <c r="J58" s="163">
        <f>+'Schedule 1 (L)'!J113/8</f>
        <v>0</v>
      </c>
      <c r="K58" s="163">
        <f>+'Schedule 1 (L)'!K113/8</f>
        <v>2</v>
      </c>
      <c r="L58" s="163">
        <f>+'Schedule 1 (L)'!L113/8</f>
        <v>1.25</v>
      </c>
      <c r="M58" s="163">
        <f>+'Schedule 1 (L)'!M113/8</f>
        <v>0</v>
      </c>
      <c r="N58" s="163">
        <f>+'Schedule 1 (L)'!N113/8</f>
        <v>11</v>
      </c>
      <c r="O58" s="163">
        <f>+'Schedule 1 (L)'!O113/8</f>
        <v>5.5</v>
      </c>
      <c r="P58" s="163">
        <f>+'Schedule 1 (L)'!P113/8</f>
        <v>0</v>
      </c>
      <c r="Q58" s="394">
        <f t="shared" si="3"/>
        <v>14</v>
      </c>
      <c r="R58" s="23">
        <f t="shared" si="4"/>
        <v>7.625</v>
      </c>
      <c r="S58" s="19"/>
      <c r="T58" s="19"/>
      <c r="U58" s="19"/>
    </row>
    <row r="59" spans="1:24" x14ac:dyDescent="0.2">
      <c r="A59" s="10">
        <v>4</v>
      </c>
      <c r="B59" s="33">
        <v>36701</v>
      </c>
      <c r="C59" s="32">
        <v>1</v>
      </c>
      <c r="D59" s="32">
        <v>14</v>
      </c>
      <c r="E59" s="163">
        <f>+'Schedule 1 (L)'!E114/8</f>
        <v>0</v>
      </c>
      <c r="F59" s="163">
        <f>+'Schedule 1 (L)'!F114/8</f>
        <v>0</v>
      </c>
      <c r="G59" s="163">
        <f>+'Schedule 1 (L)'!G114/8</f>
        <v>0</v>
      </c>
      <c r="H59" s="163">
        <f>+'Schedule 1 (L)'!H114/8</f>
        <v>0</v>
      </c>
      <c r="I59" s="163">
        <f>+'Schedule 1 (L)'!I114/8</f>
        <v>1.625</v>
      </c>
      <c r="J59" s="163">
        <f>+'Schedule 1 (L)'!J114/8</f>
        <v>0</v>
      </c>
      <c r="K59" s="163">
        <f>+'Schedule 1 (L)'!K114/8</f>
        <v>0</v>
      </c>
      <c r="L59" s="163">
        <f>+'Schedule 1 (L)'!L114/8</f>
        <v>1.625</v>
      </c>
      <c r="M59" s="163">
        <f>+'Schedule 1 (L)'!M114/8</f>
        <v>0</v>
      </c>
      <c r="N59" s="163">
        <f>+'Schedule 1 (L)'!N114/8</f>
        <v>0</v>
      </c>
      <c r="O59" s="163">
        <f>+'Schedule 1 (L)'!O114/8</f>
        <v>12</v>
      </c>
      <c r="P59" s="163">
        <f>+'Schedule 1 (L)'!P114/8</f>
        <v>0</v>
      </c>
      <c r="Q59" s="43">
        <f t="shared" si="3"/>
        <v>0</v>
      </c>
      <c r="R59" s="23">
        <f t="shared" si="4"/>
        <v>15.25</v>
      </c>
      <c r="S59" s="19"/>
      <c r="T59" s="43"/>
      <c r="U59" s="19"/>
    </row>
    <row r="60" spans="1:24" x14ac:dyDescent="0.2">
      <c r="A60" s="10">
        <v>5</v>
      </c>
      <c r="B60" s="33">
        <v>36702</v>
      </c>
      <c r="C60" s="32">
        <v>1</v>
      </c>
      <c r="D60" s="32">
        <v>15</v>
      </c>
      <c r="E60" s="163">
        <f>+'Schedule 1 (L)'!E115/8</f>
        <v>0</v>
      </c>
      <c r="F60" s="163">
        <f>+'Schedule 1 (L)'!F115/8</f>
        <v>0</v>
      </c>
      <c r="G60" s="163">
        <f>+'Schedule 1 (L)'!G115/8</f>
        <v>0</v>
      </c>
      <c r="H60" s="163">
        <f>+'Schedule 1 (L)'!H115/8</f>
        <v>0</v>
      </c>
      <c r="I60" s="163">
        <f>+'Schedule 1 (L)'!I115/8</f>
        <v>0</v>
      </c>
      <c r="J60" s="163">
        <f>+'Schedule 1 (L)'!J115/8</f>
        <v>1.625</v>
      </c>
      <c r="K60" s="163">
        <f>+'Schedule 1 (L)'!K115/8</f>
        <v>0</v>
      </c>
      <c r="L60" s="163">
        <f>+'Schedule 1 (L)'!L115/8</f>
        <v>0</v>
      </c>
      <c r="M60" s="163">
        <f>+'Schedule 1 (L)'!M115/8</f>
        <v>3.25</v>
      </c>
      <c r="N60" s="163">
        <f>+'Schedule 1 (L)'!N115/8</f>
        <v>0</v>
      </c>
      <c r="O60" s="163">
        <f>+'Schedule 1 (L)'!O115/8</f>
        <v>0</v>
      </c>
      <c r="P60" s="163">
        <f>+'Schedule 1 (L)'!P115/8</f>
        <v>16.5</v>
      </c>
      <c r="Q60" s="43">
        <f t="shared" si="3"/>
        <v>0</v>
      </c>
      <c r="R60" s="23">
        <f t="shared" si="4"/>
        <v>21.375</v>
      </c>
      <c r="S60" s="19"/>
      <c r="T60" s="43"/>
      <c r="U60" s="19"/>
    </row>
    <row r="61" spans="1:24" x14ac:dyDescent="0.2">
      <c r="A61" s="10">
        <v>6</v>
      </c>
      <c r="B61" s="33">
        <v>36703</v>
      </c>
      <c r="C61" s="32">
        <v>1</v>
      </c>
      <c r="D61" s="32">
        <v>16</v>
      </c>
      <c r="E61" s="163">
        <f>+'Schedule 1 (L)'!E116/8</f>
        <v>0</v>
      </c>
      <c r="F61" s="163">
        <f>+'Schedule 1 (L)'!F116/8</f>
        <v>0</v>
      </c>
      <c r="G61" s="163">
        <f>+'Schedule 1 (L)'!G116/8</f>
        <v>0</v>
      </c>
      <c r="H61" s="163">
        <f>+'Schedule 1 (L)'!H116/8</f>
        <v>1</v>
      </c>
      <c r="I61" s="163">
        <f>+'Schedule 1 (L)'!I116/8</f>
        <v>0.625</v>
      </c>
      <c r="J61" s="163">
        <f>+'Schedule 1 (L)'!J116/8</f>
        <v>0</v>
      </c>
      <c r="K61" s="163">
        <f>+'Schedule 1 (L)'!K116/8</f>
        <v>2</v>
      </c>
      <c r="L61" s="163">
        <f>+'Schedule 1 (L)'!L116/8</f>
        <v>1.25</v>
      </c>
      <c r="M61" s="163">
        <f>+'Schedule 1 (L)'!M116/8</f>
        <v>0</v>
      </c>
      <c r="N61" s="163">
        <f>+'Schedule 1 (L)'!N116/8</f>
        <v>14</v>
      </c>
      <c r="O61" s="163">
        <f>+'Schedule 1 (L)'!O116/8</f>
        <v>7</v>
      </c>
      <c r="P61" s="163">
        <f>+'Schedule 1 (L)'!P116/8</f>
        <v>0</v>
      </c>
      <c r="Q61" s="43">
        <f t="shared" si="3"/>
        <v>17</v>
      </c>
      <c r="R61" s="23">
        <f t="shared" si="4"/>
        <v>8.875</v>
      </c>
      <c r="S61" s="19"/>
      <c r="T61" s="43"/>
      <c r="U61" s="19"/>
    </row>
    <row r="62" spans="1:24" x14ac:dyDescent="0.2">
      <c r="A62" s="10">
        <v>7</v>
      </c>
      <c r="B62" s="33">
        <v>36704</v>
      </c>
      <c r="C62" s="32">
        <v>1</v>
      </c>
      <c r="D62" s="32">
        <v>16</v>
      </c>
      <c r="E62" s="163">
        <f>+'Schedule 1 (L)'!E117/8</f>
        <v>0</v>
      </c>
      <c r="F62" s="163">
        <f>+'Schedule 1 (L)'!F117/8</f>
        <v>0</v>
      </c>
      <c r="G62" s="163">
        <f>+'Schedule 1 (L)'!G117/8</f>
        <v>0</v>
      </c>
      <c r="H62" s="163">
        <f>+'Schedule 1 (L)'!H117/8</f>
        <v>1</v>
      </c>
      <c r="I62" s="163">
        <f>+'Schedule 1 (L)'!I117/8</f>
        <v>0.625</v>
      </c>
      <c r="J62" s="163">
        <f>+'Schedule 1 (L)'!J117/8</f>
        <v>0</v>
      </c>
      <c r="K62" s="163">
        <f>+'Schedule 1 (L)'!K117/8</f>
        <v>1</v>
      </c>
      <c r="L62" s="163">
        <f>+'Schedule 1 (L)'!L117/8</f>
        <v>0.625</v>
      </c>
      <c r="M62" s="163">
        <f>+'Schedule 1 (L)'!M117/8</f>
        <v>0</v>
      </c>
      <c r="N62" s="163">
        <f>+'Schedule 1 (L)'!N117/8</f>
        <v>9</v>
      </c>
      <c r="O62" s="163">
        <f>+'Schedule 1 (L)'!O117/8</f>
        <v>4.5</v>
      </c>
      <c r="P62" s="163">
        <f>+'Schedule 1 (L)'!P117/8</f>
        <v>0</v>
      </c>
      <c r="Q62" s="43">
        <f t="shared" si="3"/>
        <v>11</v>
      </c>
      <c r="R62" s="23">
        <f t="shared" si="4"/>
        <v>5.75</v>
      </c>
      <c r="S62" s="19"/>
      <c r="T62" s="43"/>
      <c r="U62" s="19"/>
    </row>
    <row r="63" spans="1:24" x14ac:dyDescent="0.2">
      <c r="A63" s="10">
        <v>8</v>
      </c>
      <c r="B63" s="33">
        <v>36705</v>
      </c>
      <c r="C63" s="32">
        <v>1</v>
      </c>
      <c r="D63" s="32">
        <v>16</v>
      </c>
      <c r="E63" s="163">
        <f>+'Schedule 1 (L)'!E118/8</f>
        <v>0</v>
      </c>
      <c r="F63" s="163">
        <f>+'Schedule 1 (L)'!F118/8</f>
        <v>0</v>
      </c>
      <c r="G63" s="163">
        <v>0</v>
      </c>
      <c r="H63" s="163">
        <f>+'Schedule 1 (L)'!H118/8</f>
        <v>1</v>
      </c>
      <c r="I63" s="163">
        <f>+'Schedule 1 (L)'!I118/8</f>
        <v>0.625</v>
      </c>
      <c r="J63" s="163">
        <f>+'Schedule 1 (L)'!J118/8</f>
        <v>0</v>
      </c>
      <c r="K63" s="163">
        <f>+'Schedule 1 (L)'!K118/8</f>
        <v>2</v>
      </c>
      <c r="L63" s="163">
        <f>+'Schedule 1 (L)'!L118/8</f>
        <v>1.25</v>
      </c>
      <c r="M63" s="163">
        <f>+'Schedule 1 (L)'!M118/8</f>
        <v>0</v>
      </c>
      <c r="N63" s="163">
        <f>+'Schedule 1 (L)'!N118/8</f>
        <v>14</v>
      </c>
      <c r="O63" s="163">
        <f>+'Schedule 1 (L)'!O118/8</f>
        <v>7</v>
      </c>
      <c r="P63" s="163">
        <f>+'Schedule 1 (L)'!P118/8</f>
        <v>0</v>
      </c>
      <c r="Q63" s="43">
        <f t="shared" si="3"/>
        <v>17</v>
      </c>
      <c r="R63" s="23">
        <f t="shared" si="4"/>
        <v>8.875</v>
      </c>
      <c r="S63" s="19"/>
      <c r="T63" s="43"/>
      <c r="U63" s="19"/>
    </row>
    <row r="64" spans="1:24" x14ac:dyDescent="0.2">
      <c r="A64" s="10">
        <v>9</v>
      </c>
      <c r="B64" s="33">
        <v>36706</v>
      </c>
      <c r="C64" s="32">
        <v>1</v>
      </c>
      <c r="D64" s="32">
        <v>16</v>
      </c>
      <c r="E64" s="163">
        <f>+'Schedule 1 (L)'!E119/8</f>
        <v>0</v>
      </c>
      <c r="F64" s="163">
        <f>+'Schedule 1 (L)'!F119/8</f>
        <v>0</v>
      </c>
      <c r="G64" s="163">
        <v>0</v>
      </c>
      <c r="H64" s="163">
        <f>+'Schedule 1 (L)'!H119/8</f>
        <v>1</v>
      </c>
      <c r="I64" s="163">
        <f>+'Schedule 1 (L)'!I119/8</f>
        <v>0.625</v>
      </c>
      <c r="J64" s="163">
        <f>+'Schedule 1 (L)'!J119/8</f>
        <v>0</v>
      </c>
      <c r="K64" s="163">
        <f>+'Schedule 1 (L)'!K119/8</f>
        <v>2</v>
      </c>
      <c r="L64" s="163">
        <f>+'Schedule 1 (L)'!L119/8</f>
        <v>1.25</v>
      </c>
      <c r="M64" s="163">
        <f>+'Schedule 1 (L)'!M119/8</f>
        <v>0</v>
      </c>
      <c r="N64" s="163">
        <f>+'Schedule 1 (L)'!N119/8</f>
        <v>14</v>
      </c>
      <c r="O64" s="163">
        <f>+'Schedule 1 (L)'!O119/8</f>
        <v>7</v>
      </c>
      <c r="P64" s="163">
        <f>+'Schedule 1 (L)'!P119/8</f>
        <v>0</v>
      </c>
      <c r="Q64" s="43">
        <f t="shared" si="3"/>
        <v>17</v>
      </c>
      <c r="R64" s="23">
        <f t="shared" si="4"/>
        <v>8.875</v>
      </c>
      <c r="S64" s="19"/>
      <c r="T64" s="19"/>
      <c r="U64" s="19"/>
    </row>
    <row r="65" spans="1:21" x14ac:dyDescent="0.2">
      <c r="A65" s="10">
        <v>10</v>
      </c>
      <c r="B65" s="33">
        <v>36707</v>
      </c>
      <c r="C65" s="32">
        <v>1</v>
      </c>
      <c r="D65" s="32">
        <v>16</v>
      </c>
      <c r="E65" s="163">
        <f>+'Schedule 1 (L)'!E120/8</f>
        <v>0</v>
      </c>
      <c r="F65" s="163">
        <f>+'Schedule 1 (L)'!F120/8</f>
        <v>0</v>
      </c>
      <c r="G65" s="163">
        <v>0</v>
      </c>
      <c r="H65" s="163">
        <f>+'Schedule 1 (L)'!H120/8</f>
        <v>1</v>
      </c>
      <c r="I65" s="163">
        <f>+'Schedule 1 (L)'!I120/8</f>
        <v>0.625</v>
      </c>
      <c r="J65" s="163">
        <f>+'Schedule 1 (L)'!J120/8</f>
        <v>0</v>
      </c>
      <c r="K65" s="163">
        <f>+'Schedule 1 (L)'!K120/8</f>
        <v>2</v>
      </c>
      <c r="L65" s="163">
        <f>+'Schedule 1 (L)'!L120/8</f>
        <v>1.25</v>
      </c>
      <c r="M65" s="163">
        <f>+'Schedule 1 (L)'!M120/8</f>
        <v>0</v>
      </c>
      <c r="N65" s="163">
        <f>+'Schedule 1 (L)'!N120/8</f>
        <v>14</v>
      </c>
      <c r="O65" s="163">
        <f>+'Schedule 1 (L)'!O120/8</f>
        <v>7</v>
      </c>
      <c r="P65" s="163">
        <f>+'Schedule 1 (L)'!P120/8</f>
        <v>0</v>
      </c>
      <c r="Q65" s="43">
        <f t="shared" si="3"/>
        <v>17</v>
      </c>
      <c r="R65" s="23">
        <f t="shared" si="4"/>
        <v>8.875</v>
      </c>
      <c r="S65" s="19"/>
      <c r="T65" s="19"/>
      <c r="U65" s="19"/>
    </row>
    <row r="66" spans="1:21" x14ac:dyDescent="0.2">
      <c r="A66" s="10">
        <v>11</v>
      </c>
      <c r="B66" s="33">
        <v>36708</v>
      </c>
      <c r="C66" s="32">
        <v>1</v>
      </c>
      <c r="D66" s="32">
        <v>16</v>
      </c>
      <c r="E66" s="163">
        <f>+'Schedule 1 (L)'!E121/8</f>
        <v>0</v>
      </c>
      <c r="F66" s="163">
        <f>+'Schedule 1 (L)'!F121/8</f>
        <v>0</v>
      </c>
      <c r="G66" s="163">
        <f>+'Schedule 1 (L)'!G121/8</f>
        <v>0</v>
      </c>
      <c r="H66" s="163">
        <f>+'Schedule 1 (L)'!H121/8</f>
        <v>0</v>
      </c>
      <c r="I66" s="163">
        <f>+'Schedule 1 (L)'!I121/8</f>
        <v>1.625</v>
      </c>
      <c r="J66" s="163">
        <f>+'Schedule 1 (L)'!J121/8</f>
        <v>0</v>
      </c>
      <c r="K66" s="163">
        <f>+'Schedule 1 (L)'!K121/8</f>
        <v>0</v>
      </c>
      <c r="L66" s="163">
        <f>+'Schedule 1 (L)'!L121/8</f>
        <v>3.25</v>
      </c>
      <c r="M66" s="163">
        <f>+'Schedule 1 (L)'!M121/8</f>
        <v>0</v>
      </c>
      <c r="N66" s="163">
        <f>+'Schedule 1 (L)'!N121/8</f>
        <v>0</v>
      </c>
      <c r="O66" s="163">
        <f>+'Schedule 1 (L)'!O121/8</f>
        <v>21</v>
      </c>
      <c r="P66" s="163">
        <f>+'Schedule 1 (L)'!P121/8</f>
        <v>0</v>
      </c>
      <c r="Q66" s="43">
        <f t="shared" si="3"/>
        <v>0</v>
      </c>
      <c r="R66" s="23">
        <f t="shared" si="4"/>
        <v>25.875</v>
      </c>
      <c r="S66" s="19"/>
      <c r="T66" s="43"/>
    </row>
    <row r="67" spans="1:21" x14ac:dyDescent="0.2">
      <c r="A67" s="10">
        <v>12</v>
      </c>
      <c r="B67" s="33">
        <v>36709</v>
      </c>
      <c r="C67" s="32">
        <v>1</v>
      </c>
      <c r="D67" s="32">
        <v>16</v>
      </c>
      <c r="E67" s="163">
        <f>+'Schedule 1 (L)'!E122/8</f>
        <v>0</v>
      </c>
      <c r="F67" s="163">
        <f>+'Schedule 1 (L)'!F122/8</f>
        <v>0</v>
      </c>
      <c r="G67" s="163">
        <v>0</v>
      </c>
      <c r="H67" s="163">
        <f>+'Schedule 1 (L)'!H122/8</f>
        <v>0</v>
      </c>
      <c r="I67" s="163">
        <f>+'Schedule 1 (L)'!I122/8</f>
        <v>0</v>
      </c>
      <c r="J67" s="163">
        <f>+'Schedule 1 (L)'!J122/8</f>
        <v>1.625</v>
      </c>
      <c r="K67" s="163">
        <f>+'Schedule 1 (L)'!K122/8</f>
        <v>0</v>
      </c>
      <c r="L67" s="163">
        <f>+'Schedule 1 (L)'!L122/8</f>
        <v>0</v>
      </c>
      <c r="M67" s="163">
        <f>+'Schedule 1 (L)'!M122/8</f>
        <v>3.25</v>
      </c>
      <c r="N67" s="163">
        <f>+'Schedule 1 (L)'!N122/8</f>
        <v>0</v>
      </c>
      <c r="O67" s="163">
        <f>+'Schedule 1 (L)'!O122/8</f>
        <v>0</v>
      </c>
      <c r="P67" s="163">
        <f>+'Schedule 1 (L)'!P122/8</f>
        <v>21</v>
      </c>
      <c r="Q67" s="43">
        <f t="shared" si="3"/>
        <v>0</v>
      </c>
      <c r="R67" s="23">
        <f t="shared" si="4"/>
        <v>25.875</v>
      </c>
      <c r="S67" s="19"/>
      <c r="T67" s="43"/>
      <c r="U67" s="43"/>
    </row>
    <row r="68" spans="1:21" x14ac:dyDescent="0.2">
      <c r="A68" s="10">
        <v>13</v>
      </c>
      <c r="B68" s="33">
        <v>36710</v>
      </c>
      <c r="C68" s="32">
        <v>1</v>
      </c>
      <c r="D68" s="32">
        <v>18</v>
      </c>
      <c r="E68" s="163">
        <f>+'Schedule 1 (L)'!E123/8</f>
        <v>0</v>
      </c>
      <c r="F68" s="163">
        <f>+'Schedule 1 (L)'!F123/8</f>
        <v>0</v>
      </c>
      <c r="G68" s="163">
        <v>0</v>
      </c>
      <c r="H68" s="163">
        <f>+'Schedule 1 (L)'!H123/8</f>
        <v>1</v>
      </c>
      <c r="I68" s="163">
        <f>+'Schedule 1 (L)'!I123/8</f>
        <v>0.625</v>
      </c>
      <c r="J68" s="163">
        <f>+'Schedule 1 (L)'!J123/8</f>
        <v>0</v>
      </c>
      <c r="K68" s="163">
        <f>+'Schedule 1 (L)'!K123/8</f>
        <v>2</v>
      </c>
      <c r="L68" s="163">
        <f>+'Schedule 1 (L)'!L123/8</f>
        <v>1.25</v>
      </c>
      <c r="M68" s="163">
        <f>+'Schedule 1 (L)'!M123/8</f>
        <v>0</v>
      </c>
      <c r="N68" s="164">
        <f>+'Schedule 1 (L)'!N123/8</f>
        <v>16</v>
      </c>
      <c r="O68" s="163">
        <f>+'Schedule 1 (L)'!O123/8</f>
        <v>7.75</v>
      </c>
      <c r="P68" s="163">
        <f>+'Schedule 1 (L)'!P123/8</f>
        <v>0</v>
      </c>
      <c r="Q68" s="43">
        <f t="shared" si="3"/>
        <v>19</v>
      </c>
      <c r="R68" s="23">
        <f t="shared" si="4"/>
        <v>9.625</v>
      </c>
      <c r="S68" s="19"/>
      <c r="T68" s="43"/>
      <c r="U68" s="19"/>
    </row>
    <row r="69" spans="1:21" x14ac:dyDescent="0.2">
      <c r="A69" s="10">
        <v>14</v>
      </c>
      <c r="B69" s="33">
        <v>36711</v>
      </c>
      <c r="C69" s="32">
        <v>1</v>
      </c>
      <c r="D69" s="32">
        <v>18</v>
      </c>
      <c r="E69" s="163">
        <f>+'Schedule 1 (L)'!E124/8</f>
        <v>0</v>
      </c>
      <c r="F69" s="163">
        <f>+'Schedule 1 (L)'!F124/8</f>
        <v>0</v>
      </c>
      <c r="G69" s="163">
        <v>0</v>
      </c>
      <c r="H69" s="163">
        <f>+'Schedule 1 (L)'!H124/8</f>
        <v>0</v>
      </c>
      <c r="I69" s="163">
        <f>+'Schedule 1 (L)'!I124/8</f>
        <v>0</v>
      </c>
      <c r="J69" s="163">
        <f>+'Schedule 1 (L)'!J124/8</f>
        <v>2</v>
      </c>
      <c r="K69" s="163">
        <f>+'Schedule 1 (L)'!K124/8</f>
        <v>0</v>
      </c>
      <c r="L69" s="163">
        <f>+'Schedule 1 (L)'!L124/8</f>
        <v>0</v>
      </c>
      <c r="M69" s="163">
        <f>+'Schedule 1 (L)'!M124/8</f>
        <v>3.5</v>
      </c>
      <c r="N69" s="163">
        <f>+'Schedule 1 (L)'!N124/8</f>
        <v>0</v>
      </c>
      <c r="O69" s="163">
        <f>+'Schedule 1 (L)'!O124/8</f>
        <v>0</v>
      </c>
      <c r="P69" s="163">
        <f>+'Schedule 1 (L)'!P124/8</f>
        <v>18.875</v>
      </c>
      <c r="Q69" s="43">
        <f t="shared" si="3"/>
        <v>0</v>
      </c>
      <c r="R69" s="23">
        <f t="shared" si="4"/>
        <v>24.375</v>
      </c>
      <c r="S69" s="19"/>
      <c r="T69" s="43"/>
      <c r="U69" s="19"/>
    </row>
    <row r="70" spans="1:21" x14ac:dyDescent="0.2">
      <c r="A70" s="10">
        <v>15</v>
      </c>
      <c r="B70" s="33">
        <v>36712</v>
      </c>
      <c r="C70" s="32">
        <v>1</v>
      </c>
      <c r="D70" s="32">
        <v>18</v>
      </c>
      <c r="E70" s="163">
        <f>+'Schedule 1 (L)'!E125/8</f>
        <v>0</v>
      </c>
      <c r="F70" s="163">
        <f>+'Schedule 1 (L)'!F125/8</f>
        <v>0</v>
      </c>
      <c r="G70" s="163">
        <v>0</v>
      </c>
      <c r="H70" s="163">
        <f>+'Schedule 1 (L)'!H125/8</f>
        <v>1</v>
      </c>
      <c r="I70" s="163">
        <f>+'Schedule 1 (L)'!I125/8</f>
        <v>0.75</v>
      </c>
      <c r="J70" s="163">
        <f>+'Schedule 1 (L)'!J125/8</f>
        <v>0</v>
      </c>
      <c r="K70" s="163">
        <f>+'Schedule 1 (L)'!K125/8</f>
        <v>2</v>
      </c>
      <c r="L70" s="163">
        <f>+'Schedule 1 (L)'!L125/8</f>
        <v>1.25</v>
      </c>
      <c r="M70" s="163">
        <f>+'Schedule 1 (L)'!M125/8</f>
        <v>0</v>
      </c>
      <c r="N70" s="163">
        <f>+'Schedule 1 (L)'!N125/8</f>
        <v>12</v>
      </c>
      <c r="O70" s="163">
        <f>+'Schedule 1 (L)'!O125/8</f>
        <v>6.25</v>
      </c>
      <c r="P70" s="163">
        <f>+'Schedule 1 (L)'!P125/8</f>
        <v>0</v>
      </c>
      <c r="Q70" s="43">
        <f t="shared" si="3"/>
        <v>15</v>
      </c>
      <c r="R70" s="23">
        <f t="shared" si="4"/>
        <v>8.25</v>
      </c>
      <c r="S70" s="19"/>
      <c r="T70" s="43"/>
      <c r="U70" s="19"/>
    </row>
    <row r="71" spans="1:21" x14ac:dyDescent="0.2">
      <c r="A71" s="10">
        <v>16</v>
      </c>
      <c r="B71" s="33">
        <v>36713</v>
      </c>
      <c r="C71" s="32">
        <v>1</v>
      </c>
      <c r="D71" s="32">
        <v>18</v>
      </c>
      <c r="E71" s="163">
        <f>+'Schedule 1 (L)'!E126/8</f>
        <v>0</v>
      </c>
      <c r="F71" s="163">
        <f>+'Schedule 1 (L)'!F126/8</f>
        <v>0</v>
      </c>
      <c r="G71" s="163">
        <v>0</v>
      </c>
      <c r="H71" s="163">
        <f>+'Schedule 1 (L)'!H126/8</f>
        <v>1</v>
      </c>
      <c r="I71" s="163">
        <f>+'Schedule 1 (L)'!I126/8</f>
        <v>0.625</v>
      </c>
      <c r="J71" s="163">
        <f>+'Schedule 1 (L)'!J126/8</f>
        <v>0</v>
      </c>
      <c r="K71" s="163">
        <f>+'Schedule 1 (L)'!K126/8</f>
        <v>2</v>
      </c>
      <c r="L71" s="163">
        <f>+'Schedule 1 (L)'!L126/8</f>
        <v>1.25</v>
      </c>
      <c r="M71" s="163">
        <f>+'Schedule 1 (L)'!M126/8</f>
        <v>0</v>
      </c>
      <c r="N71" s="163">
        <f>+'Schedule 1 (L)'!N126/8</f>
        <v>12</v>
      </c>
      <c r="O71" s="163">
        <f>+'Schedule 1 (L)'!O126/8</f>
        <v>6.25</v>
      </c>
      <c r="P71" s="163">
        <f>+'Schedule 1 (L)'!P126/8</f>
        <v>0</v>
      </c>
      <c r="Q71" s="43">
        <f t="shared" si="3"/>
        <v>15</v>
      </c>
      <c r="R71" s="23">
        <f t="shared" si="4"/>
        <v>8.125</v>
      </c>
      <c r="S71" s="19" t="s">
        <v>575</v>
      </c>
      <c r="T71" s="19"/>
      <c r="U71" s="19"/>
    </row>
    <row r="72" spans="1:21" x14ac:dyDescent="0.2">
      <c r="A72" s="10">
        <v>17</v>
      </c>
      <c r="B72" s="33">
        <v>36714</v>
      </c>
      <c r="C72" s="32">
        <v>1</v>
      </c>
      <c r="D72" s="32">
        <v>18</v>
      </c>
      <c r="E72" s="163">
        <f>+'Schedule 1 (L)'!E127/8</f>
        <v>0</v>
      </c>
      <c r="F72" s="163">
        <f>+'Schedule 1 (L)'!F127/8</f>
        <v>0</v>
      </c>
      <c r="G72" s="163">
        <f>+'Schedule 1 (L)'!G127/8</f>
        <v>0</v>
      </c>
      <c r="H72" s="163">
        <f>+'Schedule 1 (L)'!H127/8</f>
        <v>1</v>
      </c>
      <c r="I72" s="163">
        <f>+'Schedule 1 (L)'!I127/8</f>
        <v>0.625</v>
      </c>
      <c r="J72" s="163">
        <f>+'Schedule 1 (L)'!J127/8</f>
        <v>0</v>
      </c>
      <c r="K72" s="163">
        <f>+'Schedule 1 (L)'!K127/8</f>
        <v>2</v>
      </c>
      <c r="L72" s="163">
        <f>+'Schedule 1 (L)'!L127/8</f>
        <v>1.25</v>
      </c>
      <c r="M72" s="163">
        <f>+'Schedule 1 (L)'!M127/8</f>
        <v>0</v>
      </c>
      <c r="N72" s="163">
        <f>+'Schedule 1 (L)'!N127/8</f>
        <v>17</v>
      </c>
      <c r="O72" s="163">
        <f>+'Schedule 1 (L)'!O127/8</f>
        <v>7.75</v>
      </c>
      <c r="P72" s="163">
        <f>+'Schedule 1 (L)'!P127/8</f>
        <v>0</v>
      </c>
      <c r="Q72" s="43">
        <f t="shared" si="3"/>
        <v>20</v>
      </c>
      <c r="R72" s="23">
        <f t="shared" si="4"/>
        <v>9.625</v>
      </c>
      <c r="S72" s="19" t="s">
        <v>576</v>
      </c>
      <c r="T72" s="19"/>
      <c r="U72" s="19"/>
    </row>
    <row r="73" spans="1:21" x14ac:dyDescent="0.2">
      <c r="A73" s="10">
        <v>18</v>
      </c>
      <c r="B73" s="33">
        <v>36715</v>
      </c>
      <c r="C73" s="32">
        <v>1</v>
      </c>
      <c r="D73" s="32">
        <v>18</v>
      </c>
      <c r="E73" s="163">
        <f>+'Schedule 1 (L)'!E128/8</f>
        <v>0</v>
      </c>
      <c r="F73" s="163">
        <f>+'Schedule 1 (L)'!F128/8</f>
        <v>0</v>
      </c>
      <c r="G73" s="163">
        <f>+'Schedule 1 (L)'!G128/8</f>
        <v>0</v>
      </c>
      <c r="H73" s="163">
        <f>+'Schedule 1 (L)'!H128/8</f>
        <v>0</v>
      </c>
      <c r="I73" s="163">
        <f>+'Schedule 1 (L)'!I128/8</f>
        <v>1.625</v>
      </c>
      <c r="J73" s="163">
        <f>+'Schedule 1 (L)'!J128/8</f>
        <v>0</v>
      </c>
      <c r="K73" s="163">
        <f>+'Schedule 1 (L)'!K128/8</f>
        <v>0</v>
      </c>
      <c r="L73" s="163">
        <f>+'Schedule 1 (L)'!L128/8</f>
        <v>3.25</v>
      </c>
      <c r="M73" s="163">
        <f>+'Schedule 1 (L)'!M128/8</f>
        <v>0</v>
      </c>
      <c r="N73" s="163">
        <f>+'Schedule 1 (L)'!N128/8</f>
        <v>0</v>
      </c>
      <c r="O73" s="163">
        <f>+'Schedule 1 (L)'!O128/8</f>
        <v>25.75</v>
      </c>
      <c r="P73" s="163">
        <f>+'Schedule 1 (L)'!P128/8</f>
        <v>0</v>
      </c>
      <c r="Q73" s="43">
        <f t="shared" si="3"/>
        <v>0</v>
      </c>
      <c r="R73" s="23">
        <f t="shared" si="4"/>
        <v>30.625</v>
      </c>
      <c r="S73" s="19" t="s">
        <v>577</v>
      </c>
      <c r="T73" s="43"/>
      <c r="U73" s="19"/>
    </row>
    <row r="74" spans="1:21" x14ac:dyDescent="0.2">
      <c r="A74" s="10">
        <v>19</v>
      </c>
      <c r="B74" s="33">
        <v>36716</v>
      </c>
      <c r="C74" s="32">
        <v>1</v>
      </c>
      <c r="D74" s="32">
        <v>18</v>
      </c>
      <c r="E74" s="163">
        <f>+'Schedule 1 (L)'!E129/8</f>
        <v>0</v>
      </c>
      <c r="F74" s="163">
        <f>+'Schedule 1 (L)'!F129/8</f>
        <v>0</v>
      </c>
      <c r="G74" s="163">
        <f>+'Schedule 1 (L)'!G129/8</f>
        <v>0</v>
      </c>
      <c r="H74" s="163">
        <f>+'Schedule 1 (L)'!H129/8</f>
        <v>0</v>
      </c>
      <c r="I74" s="163">
        <f>+'Schedule 1 (L)'!I129/8</f>
        <v>0</v>
      </c>
      <c r="J74" s="163">
        <f>+'Schedule 1 (L)'!J129/8</f>
        <v>1.625</v>
      </c>
      <c r="K74" s="163">
        <f>+'Schedule 1 (L)'!K129/8</f>
        <v>0</v>
      </c>
      <c r="L74" s="163">
        <f>+'Schedule 1 (L)'!L129/8</f>
        <v>0</v>
      </c>
      <c r="M74" s="163">
        <f>+'Schedule 1 (L)'!M129/8</f>
        <v>3.25</v>
      </c>
      <c r="N74" s="163">
        <f>+'Schedule 1 (L)'!N129/8</f>
        <v>0</v>
      </c>
      <c r="O74" s="163">
        <f>+'Schedule 1 (L)'!O129/8</f>
        <v>0</v>
      </c>
      <c r="P74" s="163">
        <f>+'Schedule 1 (L)'!P129/8</f>
        <v>25.75</v>
      </c>
      <c r="Q74" s="43">
        <f t="shared" si="3"/>
        <v>0</v>
      </c>
      <c r="R74" s="23">
        <f t="shared" si="4"/>
        <v>30.625</v>
      </c>
      <c r="S74" s="19" t="s">
        <v>578</v>
      </c>
      <c r="T74" s="43"/>
      <c r="U74" s="19"/>
    </row>
    <row r="75" spans="1:21" x14ac:dyDescent="0.2">
      <c r="A75" s="10">
        <v>20</v>
      </c>
      <c r="B75" s="33">
        <v>36717</v>
      </c>
      <c r="C75" s="32">
        <v>1</v>
      </c>
      <c r="D75" s="19">
        <v>20</v>
      </c>
      <c r="E75" s="163">
        <f>+'Schedule 1 (L)'!E130/8</f>
        <v>2</v>
      </c>
      <c r="F75" s="163">
        <f>+'Schedule 1 (L)'!F130/8</f>
        <v>0.625</v>
      </c>
      <c r="G75" s="163">
        <f>+'Schedule 1 (L)'!G130/8</f>
        <v>0</v>
      </c>
      <c r="H75" s="163">
        <f>+'Schedule 1 (L)'!H130/8</f>
        <v>1</v>
      </c>
      <c r="I75" s="163">
        <f>+'Schedule 1 (L)'!I130/8</f>
        <v>0.625</v>
      </c>
      <c r="J75" s="163">
        <f>+'Schedule 1 (L)'!J130/8</f>
        <v>0</v>
      </c>
      <c r="K75" s="163">
        <f>+'Schedule 1 (L)'!K130/8</f>
        <v>2</v>
      </c>
      <c r="L75" s="163">
        <f>+'Schedule 1 (L)'!L130/8</f>
        <v>1.25</v>
      </c>
      <c r="M75" s="163">
        <f>+'Schedule 1 (L)'!M130/8</f>
        <v>0</v>
      </c>
      <c r="N75" s="163">
        <f>+'Schedule 1 (L)'!N130/8</f>
        <v>15</v>
      </c>
      <c r="O75" s="163">
        <f>+'Schedule 1 (L)'!O130/8</f>
        <v>7.75</v>
      </c>
      <c r="P75" s="163">
        <f>+'Schedule 1 (L)'!P130/8</f>
        <v>0</v>
      </c>
      <c r="Q75" s="43">
        <f t="shared" si="3"/>
        <v>20</v>
      </c>
      <c r="R75" s="23">
        <f t="shared" si="4"/>
        <v>10.25</v>
      </c>
      <c r="S75" s="334"/>
      <c r="T75" s="43"/>
      <c r="U75" s="19"/>
    </row>
    <row r="76" spans="1:21" x14ac:dyDescent="0.2">
      <c r="A76" s="10">
        <v>21</v>
      </c>
      <c r="B76" s="33">
        <v>36718</v>
      </c>
      <c r="C76" s="32">
        <v>1</v>
      </c>
      <c r="D76" s="19">
        <v>20</v>
      </c>
      <c r="E76" s="163">
        <f>+'Schedule 1 (L)'!E131/8</f>
        <v>1</v>
      </c>
      <c r="F76" s="163">
        <f>+'Schedule 1 (L)'!F131/8</f>
        <v>0.625</v>
      </c>
      <c r="G76" s="163">
        <f>+'Schedule 1 (L)'!G131/8</f>
        <v>0</v>
      </c>
      <c r="H76" s="163">
        <f>+'Schedule 1 (L)'!H131/8</f>
        <v>1</v>
      </c>
      <c r="I76" s="163">
        <f>+'Schedule 1 (L)'!I131/8</f>
        <v>0.625</v>
      </c>
      <c r="J76" s="163">
        <f>+'Schedule 1 (L)'!J131/8</f>
        <v>0</v>
      </c>
      <c r="K76" s="163">
        <f>+'Schedule 1 (L)'!K131/8</f>
        <v>2</v>
      </c>
      <c r="L76" s="163">
        <f>+'Schedule 1 (L)'!L131/8</f>
        <v>1.25</v>
      </c>
      <c r="M76" s="163">
        <f>+'Schedule 1 (L)'!M131/8</f>
        <v>0</v>
      </c>
      <c r="N76" s="163">
        <f>+'Schedule 1 (L)'!N131/8</f>
        <v>11</v>
      </c>
      <c r="O76" s="163">
        <f>+'Schedule 1 (L)'!O131/8</f>
        <v>5.75</v>
      </c>
      <c r="P76" s="163">
        <f>+'Schedule 1 (L)'!P131/8</f>
        <v>0</v>
      </c>
      <c r="Q76" s="43">
        <f t="shared" si="3"/>
        <v>15</v>
      </c>
      <c r="R76" s="23">
        <f t="shared" si="4"/>
        <v>8.25</v>
      </c>
      <c r="S76" s="19"/>
      <c r="T76" s="43"/>
      <c r="U76" s="19"/>
    </row>
    <row r="77" spans="1:21" x14ac:dyDescent="0.2">
      <c r="A77" s="10">
        <v>22</v>
      </c>
      <c r="B77" s="33">
        <v>36719</v>
      </c>
      <c r="C77" s="32">
        <v>1</v>
      </c>
      <c r="D77" s="19">
        <v>20</v>
      </c>
      <c r="E77" s="163">
        <f>+'Schedule 1 (L)'!E132/8</f>
        <v>1</v>
      </c>
      <c r="F77" s="163">
        <f>+'Schedule 1 (L)'!F132/8</f>
        <v>0.625</v>
      </c>
      <c r="G77" s="163">
        <f>+'Schedule 1 (L)'!G132/8</f>
        <v>0</v>
      </c>
      <c r="H77" s="163">
        <f>+'Schedule 1 (L)'!H132/8</f>
        <v>1</v>
      </c>
      <c r="I77" s="163">
        <f>+'Schedule 1 (L)'!I132/8</f>
        <v>0.625</v>
      </c>
      <c r="J77" s="163">
        <f>+'Schedule 1 (L)'!J132/8</f>
        <v>0</v>
      </c>
      <c r="K77" s="163">
        <f>+'Schedule 1 (L)'!K132/8</f>
        <v>2</v>
      </c>
      <c r="L77" s="163">
        <f>+'Schedule 1 (L)'!L132/8</f>
        <v>1.25</v>
      </c>
      <c r="M77" s="163">
        <f>+'Schedule 1 (L)'!M132/8</f>
        <v>0</v>
      </c>
      <c r="N77" s="163">
        <f>+'Schedule 1 (L)'!N132/8</f>
        <v>12</v>
      </c>
      <c r="O77" s="163">
        <f>+'Schedule 1 (L)'!O132/8</f>
        <v>6.5</v>
      </c>
      <c r="P77" s="163">
        <f>+'Schedule 1 (L)'!P132/8</f>
        <v>0</v>
      </c>
      <c r="Q77" s="43">
        <f t="shared" si="3"/>
        <v>16</v>
      </c>
      <c r="R77" s="23">
        <f t="shared" si="4"/>
        <v>9</v>
      </c>
      <c r="S77" s="19"/>
      <c r="T77" s="43"/>
      <c r="U77" s="19"/>
    </row>
    <row r="78" spans="1:21" x14ac:dyDescent="0.2">
      <c r="A78" s="10">
        <v>23</v>
      </c>
      <c r="B78" s="33">
        <v>36720</v>
      </c>
      <c r="C78" s="32">
        <v>1</v>
      </c>
      <c r="D78" s="19">
        <v>20</v>
      </c>
      <c r="E78" s="163">
        <f>+'Schedule 1 (L)'!E133/8</f>
        <v>1</v>
      </c>
      <c r="F78" s="163">
        <f>+'Schedule 1 (L)'!F133/8</f>
        <v>0.625</v>
      </c>
      <c r="G78" s="163">
        <f>+'Schedule 1 (L)'!G133/8</f>
        <v>0</v>
      </c>
      <c r="H78" s="163">
        <f>+'Schedule 1 (L)'!H133/8</f>
        <v>1</v>
      </c>
      <c r="I78" s="163">
        <f>+'Schedule 1 (L)'!I133/8</f>
        <v>0.625</v>
      </c>
      <c r="J78" s="163">
        <f>+'Schedule 1 (L)'!J133/8</f>
        <v>0</v>
      </c>
      <c r="K78" s="163">
        <f>+'Schedule 1 (L)'!K133/8</f>
        <v>2</v>
      </c>
      <c r="L78" s="163">
        <f>+'Schedule 1 (L)'!L133/8</f>
        <v>1.25</v>
      </c>
      <c r="M78" s="163">
        <f>+'Schedule 1 (L)'!M133/8</f>
        <v>0</v>
      </c>
      <c r="N78" s="163">
        <f>+'Schedule 1 (L)'!N133/8</f>
        <v>15</v>
      </c>
      <c r="O78" s="163">
        <f>+'Schedule 1 (L)'!O133/8</f>
        <v>7.75</v>
      </c>
      <c r="P78" s="163">
        <f>+'Schedule 1 (L)'!P133/8</f>
        <v>0</v>
      </c>
      <c r="Q78" s="394">
        <f t="shared" si="3"/>
        <v>19</v>
      </c>
      <c r="R78" s="23">
        <f t="shared" si="4"/>
        <v>10.25</v>
      </c>
      <c r="S78" s="19"/>
      <c r="T78" s="19"/>
      <c r="U78" s="19"/>
    </row>
    <row r="79" spans="1:21" x14ac:dyDescent="0.2">
      <c r="A79" s="10">
        <v>24</v>
      </c>
      <c r="B79" s="33">
        <v>36721</v>
      </c>
      <c r="C79" s="32">
        <v>1</v>
      </c>
      <c r="D79" s="19">
        <v>20</v>
      </c>
      <c r="E79" s="163">
        <f>+'Schedule 1 (L)'!E134/8</f>
        <v>1</v>
      </c>
      <c r="F79" s="163">
        <f>+'Schedule 1 (L)'!F134/8</f>
        <v>0.625</v>
      </c>
      <c r="G79" s="163">
        <f>+'Schedule 1 (L)'!G134/8</f>
        <v>0</v>
      </c>
      <c r="H79" s="163">
        <f>+'Schedule 1 (L)'!H134/8</f>
        <v>1</v>
      </c>
      <c r="I79" s="163">
        <f>+'Schedule 1 (L)'!I134/8</f>
        <v>0.625</v>
      </c>
      <c r="J79" s="163">
        <f>+'Schedule 1 (L)'!J134/8</f>
        <v>0</v>
      </c>
      <c r="K79" s="163">
        <f>+'Schedule 1 (L)'!K134/8</f>
        <v>2</v>
      </c>
      <c r="L79" s="163">
        <f>+'Schedule 1 (L)'!L134/8</f>
        <v>1.25</v>
      </c>
      <c r="M79" s="163">
        <f>+'Schedule 1 (L)'!M134/8</f>
        <v>0</v>
      </c>
      <c r="N79" s="163">
        <f>+'Schedule 1 (L)'!N134/8</f>
        <v>15</v>
      </c>
      <c r="O79" s="163">
        <f>+'Schedule 1 (L)'!O134/8</f>
        <v>7.75</v>
      </c>
      <c r="P79" s="163">
        <f>+'Schedule 1 (L)'!P134/8</f>
        <v>0</v>
      </c>
      <c r="Q79" s="394">
        <f t="shared" si="3"/>
        <v>19</v>
      </c>
      <c r="R79" s="23">
        <f t="shared" si="4"/>
        <v>10.25</v>
      </c>
      <c r="S79" s="19"/>
      <c r="T79" s="19"/>
      <c r="U79" s="19"/>
    </row>
    <row r="80" spans="1:21" x14ac:dyDescent="0.2">
      <c r="A80" s="10">
        <v>25</v>
      </c>
      <c r="B80" s="33">
        <v>36722</v>
      </c>
      <c r="C80" s="32">
        <v>1</v>
      </c>
      <c r="D80" s="19">
        <v>20</v>
      </c>
      <c r="E80" s="163">
        <f>+'Schedule 1 (L)'!E135/8</f>
        <v>0</v>
      </c>
      <c r="F80" s="163">
        <f>+'Schedule 1 (L)'!F135/8</f>
        <v>1.625</v>
      </c>
      <c r="G80" s="163">
        <f>+'Schedule 1 (L)'!G135/8</f>
        <v>0</v>
      </c>
      <c r="H80" s="163">
        <f>+'Schedule 1 (L)'!H135/8</f>
        <v>0</v>
      </c>
      <c r="I80" s="163">
        <f>+'Schedule 1 (L)'!I135/8</f>
        <v>1.625</v>
      </c>
      <c r="J80" s="163">
        <f>+'Schedule 1 (L)'!J135/8</f>
        <v>0</v>
      </c>
      <c r="K80" s="163">
        <f>+'Schedule 1 (L)'!K135/8</f>
        <v>0</v>
      </c>
      <c r="L80" s="163">
        <f>+'Schedule 1 (L)'!L135/8</f>
        <v>3.25</v>
      </c>
      <c r="M80" s="163">
        <f>+'Schedule 1 (L)'!M135/8</f>
        <v>0</v>
      </c>
      <c r="N80" s="163">
        <f>+'Schedule 1 (L)'!N135/8</f>
        <v>0</v>
      </c>
      <c r="O80" s="163">
        <f>+'Schedule 1 (L)'!O135/8</f>
        <v>22.75</v>
      </c>
      <c r="P80" s="163">
        <f>+'Schedule 1 (L)'!P135/8</f>
        <v>0</v>
      </c>
      <c r="Q80" s="394">
        <f t="shared" si="3"/>
        <v>0</v>
      </c>
      <c r="R80" s="23">
        <f t="shared" si="4"/>
        <v>29.25</v>
      </c>
      <c r="S80" s="19"/>
      <c r="T80" s="43"/>
      <c r="U80" s="19"/>
    </row>
    <row r="81" spans="1:21" x14ac:dyDescent="0.2">
      <c r="A81" s="10">
        <v>26</v>
      </c>
      <c r="B81" s="33">
        <v>36723</v>
      </c>
      <c r="C81" s="32">
        <v>1</v>
      </c>
      <c r="D81" s="19">
        <v>20</v>
      </c>
      <c r="E81" s="163">
        <f>+'Schedule 1 (L)'!E136/8</f>
        <v>0</v>
      </c>
      <c r="F81" s="163">
        <f>+'Schedule 1 (L)'!F136/8</f>
        <v>0</v>
      </c>
      <c r="G81" s="163">
        <f>+'Schedule 1 (L)'!G136/8</f>
        <v>1.625</v>
      </c>
      <c r="H81" s="163">
        <f>+'Schedule 1 (L)'!H136/8</f>
        <v>0</v>
      </c>
      <c r="I81" s="163">
        <f>+'Schedule 1 (L)'!I136/8</f>
        <v>0</v>
      </c>
      <c r="J81" s="163">
        <f>+'Schedule 1 (L)'!J136/8</f>
        <v>1.625</v>
      </c>
      <c r="K81" s="163">
        <f>+'Schedule 1 (L)'!K136/8</f>
        <v>0</v>
      </c>
      <c r="L81" s="163">
        <f>+'Schedule 1 (L)'!L136/8</f>
        <v>0</v>
      </c>
      <c r="M81" s="163">
        <f>+'Schedule 1 (L)'!M136/8</f>
        <v>3.25</v>
      </c>
      <c r="N81" s="163">
        <f>+'Schedule 1 (L)'!N136/8</f>
        <v>0</v>
      </c>
      <c r="O81" s="163">
        <f>+'Schedule 1 (L)'!O136/8</f>
        <v>0</v>
      </c>
      <c r="P81" s="163">
        <f>+'Schedule 1 (L)'!P136/8</f>
        <v>22.75</v>
      </c>
      <c r="Q81" s="394">
        <f t="shared" si="3"/>
        <v>0</v>
      </c>
      <c r="R81" s="23">
        <f t="shared" si="4"/>
        <v>29.25</v>
      </c>
      <c r="S81" s="19"/>
      <c r="T81" s="43"/>
      <c r="U81" s="19"/>
    </row>
    <row r="82" spans="1:21" x14ac:dyDescent="0.2">
      <c r="A82" s="10">
        <v>27</v>
      </c>
      <c r="B82" s="33">
        <v>36724</v>
      </c>
      <c r="C82" s="32">
        <v>1</v>
      </c>
      <c r="D82" s="19">
        <v>22</v>
      </c>
      <c r="E82" s="163">
        <f>+'Schedule 1 (L)'!E137/8</f>
        <v>1</v>
      </c>
      <c r="F82" s="163">
        <f>+'Schedule 1 (L)'!F137/8</f>
        <v>0.625</v>
      </c>
      <c r="G82" s="163">
        <f>+'Schedule 1 (L)'!G137/8</f>
        <v>0</v>
      </c>
      <c r="H82" s="163">
        <f>+'Schedule 1 (L)'!H137/8</f>
        <v>1</v>
      </c>
      <c r="I82" s="163">
        <f>+'Schedule 1 (L)'!I137/8</f>
        <v>0.625</v>
      </c>
      <c r="J82" s="163">
        <f>+'Schedule 1 (L)'!J137/8</f>
        <v>0</v>
      </c>
      <c r="K82" s="163">
        <f>+'Schedule 1 (L)'!K137/8</f>
        <v>2</v>
      </c>
      <c r="L82" s="163">
        <f>+'Schedule 1 (L)'!L137/8</f>
        <v>1.25</v>
      </c>
      <c r="M82" s="163">
        <f>+'Schedule 1 (L)'!M137/8</f>
        <v>0</v>
      </c>
      <c r="N82" s="163">
        <f>+'Schedule 1 (L)'!N137/8</f>
        <v>14</v>
      </c>
      <c r="O82" s="163">
        <f>+'Schedule 1 (L)'!O137/8</f>
        <v>7.125</v>
      </c>
      <c r="P82" s="163">
        <f>+'Schedule 1 (L)'!P137/8</f>
        <v>0</v>
      </c>
      <c r="Q82" s="394">
        <f t="shared" si="3"/>
        <v>18</v>
      </c>
      <c r="R82" s="23">
        <f t="shared" si="4"/>
        <v>9.625</v>
      </c>
      <c r="S82" s="19"/>
      <c r="T82" s="43"/>
      <c r="U82" s="19"/>
    </row>
    <row r="83" spans="1:21" x14ac:dyDescent="0.2">
      <c r="A83" s="10">
        <v>28</v>
      </c>
      <c r="B83" s="33">
        <v>36725</v>
      </c>
      <c r="C83" s="32">
        <v>1</v>
      </c>
      <c r="D83" s="19">
        <v>22</v>
      </c>
      <c r="E83" s="163">
        <f>+'Schedule 1 (L)'!E138/8</f>
        <v>1</v>
      </c>
      <c r="F83" s="163">
        <f>+'Schedule 1 (L)'!F138/8</f>
        <v>0.625</v>
      </c>
      <c r="G83" s="163">
        <f>+'Schedule 1 (L)'!G138/8</f>
        <v>0</v>
      </c>
      <c r="H83" s="163">
        <f>+'Schedule 1 (L)'!H138/8</f>
        <v>1</v>
      </c>
      <c r="I83" s="163">
        <f>+'Schedule 1 (L)'!I138/8</f>
        <v>0.625</v>
      </c>
      <c r="J83" s="163">
        <f>+'Schedule 1 (L)'!J138/8</f>
        <v>0</v>
      </c>
      <c r="K83" s="163">
        <f>+'Schedule 1 (L)'!K138/8</f>
        <v>2</v>
      </c>
      <c r="L83" s="163">
        <f>+'Schedule 1 (L)'!L138/8</f>
        <v>1.25</v>
      </c>
      <c r="M83" s="163">
        <f>+'Schedule 1 (L)'!M138/8</f>
        <v>0</v>
      </c>
      <c r="N83" s="163">
        <f>+'Schedule 1 (L)'!N138/8</f>
        <v>14</v>
      </c>
      <c r="O83" s="163">
        <f>+'Schedule 1 (L)'!O138/8</f>
        <v>6.125</v>
      </c>
      <c r="P83" s="163">
        <f>+'Schedule 1 (L)'!P138/8</f>
        <v>0</v>
      </c>
      <c r="Q83" s="394">
        <f t="shared" si="3"/>
        <v>18</v>
      </c>
      <c r="R83" s="23">
        <f t="shared" si="4"/>
        <v>8.625</v>
      </c>
      <c r="S83" s="19"/>
      <c r="T83" s="43"/>
    </row>
    <row r="84" spans="1:21" x14ac:dyDescent="0.2">
      <c r="A84" s="10">
        <v>29</v>
      </c>
      <c r="B84" s="33">
        <v>36726</v>
      </c>
      <c r="C84" s="32">
        <v>1</v>
      </c>
      <c r="D84" s="19">
        <v>22</v>
      </c>
      <c r="E84" s="163">
        <f>+'Schedule 1 (L)'!E139/8</f>
        <v>1</v>
      </c>
      <c r="F84" s="163">
        <f>+'Schedule 1 (L)'!F139/8</f>
        <v>0.75</v>
      </c>
      <c r="G84" s="163">
        <f>+'Schedule 1 (L)'!G139/8</f>
        <v>0</v>
      </c>
      <c r="H84" s="163">
        <f>+'Schedule 1 (L)'!H139/8</f>
        <v>1</v>
      </c>
      <c r="I84" s="163">
        <f>+'Schedule 1 (L)'!I139/8</f>
        <v>0.75</v>
      </c>
      <c r="J84" s="163">
        <f>+'Schedule 1 (L)'!J139/8</f>
        <v>0</v>
      </c>
      <c r="K84" s="163">
        <f>+'Schedule 1 (L)'!K139/8</f>
        <v>2</v>
      </c>
      <c r="L84" s="163">
        <f>+'Schedule 1 (L)'!L139/8</f>
        <v>1.25</v>
      </c>
      <c r="M84" s="163">
        <f>+'Schedule 1 (L)'!M139/8</f>
        <v>0</v>
      </c>
      <c r="N84" s="163">
        <f>+'Schedule 1 (L)'!N139/8</f>
        <v>12</v>
      </c>
      <c r="O84" s="163">
        <f>+'Schedule 1 (L)'!O139/8</f>
        <v>7.75</v>
      </c>
      <c r="P84" s="163">
        <f>+'Schedule 1 (L)'!P139/8</f>
        <v>0</v>
      </c>
      <c r="Q84" s="394">
        <f t="shared" si="3"/>
        <v>16</v>
      </c>
      <c r="R84" s="23">
        <f t="shared" si="4"/>
        <v>10.5</v>
      </c>
      <c r="S84" s="19"/>
      <c r="T84" s="43"/>
    </row>
    <row r="85" spans="1:21" x14ac:dyDescent="0.2">
      <c r="A85" s="10">
        <v>30</v>
      </c>
      <c r="B85" s="33">
        <v>36727</v>
      </c>
      <c r="C85" s="32">
        <v>1</v>
      </c>
      <c r="D85" s="19">
        <v>22</v>
      </c>
      <c r="E85" s="163">
        <f>+'Schedule 1 (L)'!E140/8</f>
        <v>1</v>
      </c>
      <c r="F85" s="163">
        <f>+'Schedule 1 (L)'!F140/8</f>
        <v>1</v>
      </c>
      <c r="G85" s="163">
        <f>+'Schedule 1 (L)'!G140/8</f>
        <v>0</v>
      </c>
      <c r="H85" s="163">
        <f>+'Schedule 1 (L)'!H140/8</f>
        <v>1</v>
      </c>
      <c r="I85" s="163">
        <f>+'Schedule 1 (L)'!I140/8</f>
        <v>1</v>
      </c>
      <c r="J85" s="163">
        <f>+'Schedule 1 (L)'!J140/8</f>
        <v>0</v>
      </c>
      <c r="K85" s="163">
        <f>+'Schedule 1 (L)'!K140/8</f>
        <v>2</v>
      </c>
      <c r="L85" s="163">
        <f>+'Schedule 1 (L)'!L140/8</f>
        <v>2</v>
      </c>
      <c r="M85" s="163">
        <f>+'Schedule 1 (L)'!M140/8</f>
        <v>0</v>
      </c>
      <c r="N85" s="163">
        <f>+'Schedule 1 (L)'!N140/8</f>
        <v>12</v>
      </c>
      <c r="O85" s="163">
        <f>+'Schedule 1 (L)'!O140/8</f>
        <v>12</v>
      </c>
      <c r="P85" s="163">
        <f>+'Schedule 1 (L)'!P140/8</f>
        <v>0</v>
      </c>
      <c r="Q85" s="394">
        <f t="shared" si="3"/>
        <v>16</v>
      </c>
      <c r="R85" s="23">
        <f t="shared" si="4"/>
        <v>16</v>
      </c>
    </row>
    <row r="86" spans="1:21" x14ac:dyDescent="0.2">
      <c r="A86" s="10">
        <v>31</v>
      </c>
      <c r="B86" s="33">
        <v>36728</v>
      </c>
      <c r="C86" s="32">
        <v>1</v>
      </c>
      <c r="D86" s="19">
        <v>22</v>
      </c>
      <c r="E86" s="163">
        <f>+'Schedule 1 (L)'!E141/8</f>
        <v>0</v>
      </c>
      <c r="F86" s="163">
        <f>+'Schedule 1 (L)'!F141/8</f>
        <v>0</v>
      </c>
      <c r="G86" s="163">
        <f>+'Schedule 1 (L)'!G141/8</f>
        <v>0</v>
      </c>
      <c r="H86" s="163">
        <f>+'Schedule 1 (L)'!H141/8</f>
        <v>1</v>
      </c>
      <c r="I86" s="163">
        <f>+'Schedule 1 (L)'!I141/8</f>
        <v>0.625</v>
      </c>
      <c r="J86" s="163">
        <f>+'Schedule 1 (L)'!J141/8</f>
        <v>0</v>
      </c>
      <c r="K86" s="163">
        <f>+'Schedule 1 (L)'!K141/8</f>
        <v>2</v>
      </c>
      <c r="L86" s="163">
        <f>+'Schedule 1 (L)'!L141/8</f>
        <v>1.25</v>
      </c>
      <c r="M86" s="163">
        <f>+'Schedule 1 (L)'!M141/8</f>
        <v>0</v>
      </c>
      <c r="N86" s="163">
        <f>+'Schedule 1 (L)'!N141/8</f>
        <v>11</v>
      </c>
      <c r="O86" s="163">
        <f>+'Schedule 1 (L)'!O141/8</f>
        <v>5.5</v>
      </c>
      <c r="P86" s="163">
        <f>+'Schedule 1 (L)'!P141/8</f>
        <v>0</v>
      </c>
      <c r="Q86" s="394">
        <f t="shared" si="3"/>
        <v>14</v>
      </c>
      <c r="R86" s="23">
        <f t="shared" si="4"/>
        <v>7.375</v>
      </c>
    </row>
    <row r="87" spans="1:21" x14ac:dyDescent="0.2">
      <c r="A87" s="10">
        <v>32</v>
      </c>
      <c r="B87" s="33">
        <v>36729</v>
      </c>
      <c r="C87" s="32">
        <v>1</v>
      </c>
      <c r="D87" s="19">
        <v>22</v>
      </c>
      <c r="E87" s="163">
        <f>+'Schedule 1 (L)'!E142/8</f>
        <v>0</v>
      </c>
      <c r="F87" s="163">
        <f>+'Schedule 1 (L)'!F142/8</f>
        <v>0</v>
      </c>
      <c r="G87" s="163">
        <f>+'Schedule 1 (L)'!G142/8</f>
        <v>0</v>
      </c>
      <c r="H87" s="163">
        <f>+'Schedule 1 (L)'!H142/8</f>
        <v>0</v>
      </c>
      <c r="I87" s="163">
        <f>+'Schedule 1 (L)'!I142/8</f>
        <v>1.625</v>
      </c>
      <c r="J87" s="163">
        <f>+'Schedule 1 (L)'!J142/8</f>
        <v>0</v>
      </c>
      <c r="K87" s="163">
        <f>+'Schedule 1 (L)'!K142/8</f>
        <v>0</v>
      </c>
      <c r="L87" s="163">
        <f>+'Schedule 1 (L)'!L142/8</f>
        <v>3.25</v>
      </c>
      <c r="M87" s="163">
        <f>+'Schedule 1 (L)'!M142/8</f>
        <v>0</v>
      </c>
      <c r="N87" s="163">
        <f>+'Schedule 1 (L)'!N142/8</f>
        <v>0</v>
      </c>
      <c r="O87" s="163">
        <f>+'Schedule 1 (L)'!O142/8</f>
        <v>13.125</v>
      </c>
      <c r="P87" s="163">
        <f>+'Schedule 1 (L)'!P142/8</f>
        <v>0</v>
      </c>
      <c r="Q87" s="394">
        <f t="shared" si="3"/>
        <v>0</v>
      </c>
      <c r="R87" s="23">
        <f t="shared" si="4"/>
        <v>18</v>
      </c>
      <c r="S87" s="19"/>
      <c r="T87" s="43"/>
    </row>
    <row r="88" spans="1:21" x14ac:dyDescent="0.2">
      <c r="A88" s="10">
        <v>33</v>
      </c>
      <c r="B88" s="33">
        <v>36730</v>
      </c>
      <c r="C88" s="32">
        <v>1</v>
      </c>
      <c r="D88" s="19">
        <v>22</v>
      </c>
      <c r="E88" s="163">
        <f>+'Schedule 1 (L)'!E143/8</f>
        <v>0</v>
      </c>
      <c r="F88" s="163">
        <f>+'Schedule 1 (L)'!F143/8</f>
        <v>0</v>
      </c>
      <c r="G88" s="163">
        <f>+'Schedule 1 (L)'!G143/8</f>
        <v>0</v>
      </c>
      <c r="H88" s="163">
        <f>+'Schedule 1 (L)'!H143/8</f>
        <v>0</v>
      </c>
      <c r="I88" s="163">
        <f>+'Schedule 1 (L)'!I143/8</f>
        <v>0</v>
      </c>
      <c r="J88" s="163">
        <f>+'Schedule 1 (L)'!J143/8</f>
        <v>1.625</v>
      </c>
      <c r="K88" s="163">
        <f>+'Schedule 1 (L)'!K143/8</f>
        <v>0</v>
      </c>
      <c r="L88" s="163">
        <f>+'Schedule 1 (L)'!L143/8</f>
        <v>0</v>
      </c>
      <c r="M88" s="163">
        <f>+'Schedule 1 (L)'!M143/8</f>
        <v>3.25</v>
      </c>
      <c r="N88" s="163">
        <f>+'Schedule 1 (L)'!N143/8</f>
        <v>0</v>
      </c>
      <c r="O88" s="163">
        <f>+'Schedule 1 (L)'!O143/8</f>
        <v>0</v>
      </c>
      <c r="P88" s="163">
        <f>+'Schedule 1 (L)'!P143/8</f>
        <v>6.125</v>
      </c>
      <c r="Q88" s="394">
        <f t="shared" si="3"/>
        <v>0</v>
      </c>
      <c r="R88" s="23">
        <f t="shared" si="4"/>
        <v>11</v>
      </c>
      <c r="S88" s="19"/>
      <c r="T88" s="43"/>
    </row>
    <row r="89" spans="1:21" x14ac:dyDescent="0.2">
      <c r="A89" s="10">
        <v>34</v>
      </c>
      <c r="B89" s="33">
        <v>36731</v>
      </c>
      <c r="C89" s="32">
        <v>1</v>
      </c>
      <c r="D89" s="19">
        <v>23</v>
      </c>
      <c r="E89" s="163">
        <f>+'Schedule 1 (L)'!E144/8</f>
        <v>0</v>
      </c>
      <c r="F89" s="163">
        <f>+'Schedule 1 (L)'!F144/8</f>
        <v>0</v>
      </c>
      <c r="G89" s="163">
        <f>+'Schedule 1 (L)'!G144/8</f>
        <v>0</v>
      </c>
      <c r="H89" s="163">
        <f>+'Schedule 1 (L)'!H144/8</f>
        <v>1</v>
      </c>
      <c r="I89" s="163">
        <f>+'Schedule 1 (L)'!I144/8</f>
        <v>0</v>
      </c>
      <c r="J89" s="163">
        <f>+'Schedule 1 (L)'!J144/8</f>
        <v>0</v>
      </c>
      <c r="K89" s="163">
        <f>+'Schedule 1 (L)'!K144/8</f>
        <v>2</v>
      </c>
      <c r="L89" s="163">
        <f>+'Schedule 1 (L)'!L144/8</f>
        <v>1.25</v>
      </c>
      <c r="M89" s="163">
        <f>+'Schedule 1 (L)'!M144/8</f>
        <v>0</v>
      </c>
      <c r="N89" s="163">
        <f>+'Schedule 1 (L)'!N144/8</f>
        <v>3</v>
      </c>
      <c r="O89" s="163">
        <f>+'Schedule 1 (L)'!O144/8</f>
        <v>1</v>
      </c>
      <c r="P89" s="163">
        <f>+'Schedule 1 (L)'!P144/8</f>
        <v>0</v>
      </c>
      <c r="Q89" s="43">
        <f t="shared" si="3"/>
        <v>6</v>
      </c>
      <c r="R89" s="23">
        <f t="shared" si="4"/>
        <v>2.25</v>
      </c>
      <c r="S89" s="19"/>
      <c r="T89" s="43"/>
    </row>
    <row r="90" spans="1:21" x14ac:dyDescent="0.2">
      <c r="A90" s="10">
        <v>35</v>
      </c>
      <c r="B90" s="33">
        <v>36732</v>
      </c>
      <c r="C90" s="32">
        <v>1</v>
      </c>
      <c r="D90" s="19">
        <v>23</v>
      </c>
      <c r="E90" s="163">
        <f>+'Schedule 1 (L)'!E145/8</f>
        <v>0</v>
      </c>
      <c r="F90" s="163">
        <f>+'Schedule 1 (L)'!F145/8</f>
        <v>0</v>
      </c>
      <c r="G90" s="163">
        <f>+'Schedule 1 (L)'!G145/8</f>
        <v>0</v>
      </c>
      <c r="H90" s="163">
        <f>+'Schedule 1 (L)'!H145/8</f>
        <v>0</v>
      </c>
      <c r="I90" s="163">
        <f>+'Schedule 1 (L)'!I145/8</f>
        <v>0</v>
      </c>
      <c r="J90" s="163">
        <f>+'Schedule 1 (L)'!J145/8</f>
        <v>0</v>
      </c>
      <c r="K90" s="163">
        <f>+'Schedule 1 (L)'!K145/8</f>
        <v>2</v>
      </c>
      <c r="L90" s="163">
        <f>+'Schedule 1 (L)'!L145/8</f>
        <v>1.25</v>
      </c>
      <c r="M90" s="163">
        <f>+'Schedule 1 (L)'!M145/8</f>
        <v>0</v>
      </c>
      <c r="N90" s="163">
        <f>+'Schedule 1 (L)'!N145/8</f>
        <v>2</v>
      </c>
      <c r="O90" s="163">
        <f>+'Schedule 1 (L)'!O145/8</f>
        <v>1</v>
      </c>
      <c r="P90" s="163">
        <f>+'Schedule 1 (L)'!P145/8</f>
        <v>0</v>
      </c>
      <c r="Q90" s="43">
        <f t="shared" si="3"/>
        <v>4</v>
      </c>
      <c r="R90" s="23">
        <f t="shared" si="4"/>
        <v>2.25</v>
      </c>
      <c r="S90" s="19"/>
      <c r="T90" s="43"/>
    </row>
    <row r="91" spans="1:21" x14ac:dyDescent="0.2">
      <c r="A91" s="10">
        <v>36</v>
      </c>
      <c r="B91" s="33">
        <v>36733</v>
      </c>
      <c r="C91" s="32">
        <v>1</v>
      </c>
      <c r="D91" s="19">
        <v>23</v>
      </c>
      <c r="E91" s="163">
        <f>+'Schedule 1 (L)'!E146/8</f>
        <v>0</v>
      </c>
      <c r="F91" s="163">
        <f>+'Schedule 1 (L)'!F146/8</f>
        <v>0</v>
      </c>
      <c r="G91" s="163">
        <f>+'Schedule 1 (L)'!G146/8</f>
        <v>0</v>
      </c>
      <c r="H91" s="163">
        <f>+'Schedule 1 (L)'!H146/8</f>
        <v>0</v>
      </c>
      <c r="I91" s="163">
        <f>+'Schedule 1 (L)'!I146/8</f>
        <v>0</v>
      </c>
      <c r="J91" s="163">
        <f>+'Schedule 1 (L)'!J146/8</f>
        <v>0</v>
      </c>
      <c r="K91" s="163">
        <f>+'Schedule 1 (L)'!K146/8</f>
        <v>2</v>
      </c>
      <c r="L91" s="163">
        <f>+'Schedule 1 (L)'!L146/8</f>
        <v>1.25</v>
      </c>
      <c r="M91" s="163">
        <f>+'Schedule 1 (L)'!M146/8</f>
        <v>0</v>
      </c>
      <c r="N91" s="163">
        <f>+'Schedule 1 (L)'!N146/8</f>
        <v>2</v>
      </c>
      <c r="O91" s="163">
        <f>+'Schedule 1 (L)'!O146/8</f>
        <v>1</v>
      </c>
      <c r="P91" s="163">
        <f>+'Schedule 1 (L)'!P146/8</f>
        <v>0</v>
      </c>
      <c r="Q91" s="43">
        <f t="shared" si="3"/>
        <v>4</v>
      </c>
      <c r="R91" s="23">
        <f t="shared" si="4"/>
        <v>2.25</v>
      </c>
      <c r="S91" s="19"/>
      <c r="T91" s="43"/>
    </row>
    <row r="92" spans="1:21" x14ac:dyDescent="0.2">
      <c r="A92" s="10">
        <v>37</v>
      </c>
      <c r="B92" s="33">
        <v>36734</v>
      </c>
      <c r="C92" s="32">
        <v>1</v>
      </c>
      <c r="D92" s="19">
        <v>23</v>
      </c>
      <c r="E92" s="163">
        <f>+'Schedule 1 (L)'!E147/8</f>
        <v>0</v>
      </c>
      <c r="F92" s="163">
        <f>+'Schedule 1 (L)'!F147/8</f>
        <v>0</v>
      </c>
      <c r="G92" s="163">
        <f>+'Schedule 1 (L)'!G147/8</f>
        <v>0</v>
      </c>
      <c r="H92" s="163">
        <f>+'Schedule 1 (L)'!H147/8</f>
        <v>0</v>
      </c>
      <c r="I92" s="163">
        <f>+'Schedule 1 (L)'!I147/8</f>
        <v>0</v>
      </c>
      <c r="J92" s="163">
        <f>+'Schedule 1 (L)'!J147/8</f>
        <v>0</v>
      </c>
      <c r="K92" s="163">
        <f>+'Schedule 1 (L)'!K147/8</f>
        <v>2</v>
      </c>
      <c r="L92" s="163">
        <f>+'Schedule 1 (L)'!L147/8</f>
        <v>1.25</v>
      </c>
      <c r="M92" s="163">
        <f>+'Schedule 1 (L)'!M147/8</f>
        <v>0</v>
      </c>
      <c r="N92" s="163">
        <f>+'Schedule 1 (L)'!N147/8</f>
        <v>2</v>
      </c>
      <c r="O92" s="163">
        <f>+'Schedule 1 (L)'!O147/8</f>
        <v>1</v>
      </c>
      <c r="P92" s="163">
        <f>+'Schedule 1 (L)'!P147/8</f>
        <v>0</v>
      </c>
      <c r="Q92" s="43">
        <f t="shared" si="3"/>
        <v>4</v>
      </c>
      <c r="R92" s="23">
        <f t="shared" si="4"/>
        <v>2.25</v>
      </c>
    </row>
    <row r="93" spans="1:21" x14ac:dyDescent="0.2">
      <c r="A93" s="10">
        <v>38</v>
      </c>
      <c r="B93" s="33">
        <v>36735</v>
      </c>
      <c r="C93" s="32">
        <v>1</v>
      </c>
      <c r="D93" s="19">
        <v>23</v>
      </c>
      <c r="E93" s="163">
        <f>+'Schedule 1 (L)'!E148/8</f>
        <v>0</v>
      </c>
      <c r="F93" s="163">
        <f>+'Schedule 1 (L)'!F148/8</f>
        <v>0</v>
      </c>
      <c r="G93" s="163">
        <f>+'Schedule 1 (L)'!G148/8</f>
        <v>0</v>
      </c>
      <c r="H93" s="163">
        <f>+'Schedule 1 (L)'!H148/8</f>
        <v>0</v>
      </c>
      <c r="I93" s="163">
        <f>+'Schedule 1 (L)'!I148/8</f>
        <v>0</v>
      </c>
      <c r="J93" s="163">
        <f>+'Schedule 1 (L)'!J148/8</f>
        <v>0</v>
      </c>
      <c r="K93" s="163">
        <f>+'Schedule 1 (L)'!K148/8</f>
        <v>2</v>
      </c>
      <c r="L93" s="163">
        <f>+'Schedule 1 (L)'!L148/8</f>
        <v>1.25</v>
      </c>
      <c r="M93" s="163">
        <f>+'Schedule 1 (L)'!M148/8</f>
        <v>0</v>
      </c>
      <c r="N93" s="163">
        <f>+'Schedule 1 (L)'!N148/8</f>
        <v>2</v>
      </c>
      <c r="O93" s="163">
        <f>+'Schedule 1 (L)'!O148/8</f>
        <v>1</v>
      </c>
      <c r="P93" s="163">
        <f>+'Schedule 1 (L)'!P148/8</f>
        <v>0</v>
      </c>
      <c r="Q93" s="43">
        <f t="shared" si="3"/>
        <v>4</v>
      </c>
      <c r="R93" s="23">
        <f t="shared" si="4"/>
        <v>2.25</v>
      </c>
    </row>
    <row r="94" spans="1:21" x14ac:dyDescent="0.2">
      <c r="A94" s="10">
        <v>39</v>
      </c>
      <c r="B94" s="33">
        <v>36736</v>
      </c>
      <c r="C94" s="32">
        <v>1</v>
      </c>
      <c r="D94" s="19">
        <v>23</v>
      </c>
      <c r="E94" s="163">
        <f>+'Schedule 1 (L)'!E149/8</f>
        <v>0</v>
      </c>
      <c r="F94" s="163">
        <f>+'Schedule 1 (L)'!F149/8</f>
        <v>0</v>
      </c>
      <c r="G94" s="163">
        <f>+'Schedule 1 (L)'!G149/8</f>
        <v>0</v>
      </c>
      <c r="H94" s="163">
        <f>+'Schedule 1 (L)'!H149/8</f>
        <v>0</v>
      </c>
      <c r="I94" s="163">
        <f>+'Schedule 1 (L)'!I149/8</f>
        <v>0</v>
      </c>
      <c r="J94" s="163">
        <f>+'Schedule 1 (L)'!J149/8</f>
        <v>0</v>
      </c>
      <c r="K94" s="163">
        <f>+'Schedule 1 (L)'!K149/8</f>
        <v>0</v>
      </c>
      <c r="L94" s="163">
        <f>+'Schedule 1 (L)'!L149/8</f>
        <v>3.25</v>
      </c>
      <c r="M94" s="163">
        <f>+'Schedule 1 (L)'!M149/8</f>
        <v>0</v>
      </c>
      <c r="N94" s="163">
        <f>+'Schedule 1 (L)'!N149/8</f>
        <v>0</v>
      </c>
      <c r="O94" s="163">
        <f>+'Schedule 1 (L)'!O149/8</f>
        <v>3</v>
      </c>
      <c r="P94" s="163">
        <f>+'Schedule 1 (L)'!P149/8</f>
        <v>0</v>
      </c>
      <c r="Q94" s="43">
        <f t="shared" si="3"/>
        <v>0</v>
      </c>
      <c r="R94" s="23">
        <f t="shared" si="4"/>
        <v>6.25</v>
      </c>
      <c r="S94" s="19"/>
      <c r="T94" s="43"/>
    </row>
    <row r="95" spans="1:21" x14ac:dyDescent="0.2">
      <c r="A95" s="10">
        <v>40</v>
      </c>
      <c r="B95" s="33">
        <v>36737</v>
      </c>
      <c r="C95" s="32">
        <v>1</v>
      </c>
      <c r="D95" s="19">
        <v>23</v>
      </c>
      <c r="E95" s="163">
        <f>+'Schedule 1 (L)'!E150/8</f>
        <v>0</v>
      </c>
      <c r="F95" s="163">
        <f>+'Schedule 1 (L)'!F150/8</f>
        <v>0</v>
      </c>
      <c r="G95" s="163">
        <f>+'Schedule 1 (L)'!G150/8</f>
        <v>0</v>
      </c>
      <c r="H95" s="163">
        <f>+'Schedule 1 (L)'!H150/8</f>
        <v>0</v>
      </c>
      <c r="I95" s="163">
        <f>+'Schedule 1 (L)'!I150/8</f>
        <v>0</v>
      </c>
      <c r="J95" s="163">
        <f>+'Schedule 1 (L)'!J150/8</f>
        <v>0</v>
      </c>
      <c r="K95" s="163">
        <f>+'Schedule 1 (L)'!K150/8</f>
        <v>0</v>
      </c>
      <c r="L95" s="163">
        <f>+'Schedule 1 (L)'!L150/8</f>
        <v>0</v>
      </c>
      <c r="M95" s="163">
        <f>+'Schedule 1 (L)'!M150/8</f>
        <v>3.25</v>
      </c>
      <c r="N95" s="163">
        <f>+'Schedule 1 (L)'!N150/8</f>
        <v>0</v>
      </c>
      <c r="O95" s="163">
        <f>+'Schedule 1 (L)'!O150/8</f>
        <v>0</v>
      </c>
      <c r="P95" s="163">
        <f>+'Schedule 1 (L)'!P150/8</f>
        <v>3</v>
      </c>
      <c r="Q95" s="43">
        <f t="shared" si="3"/>
        <v>0</v>
      </c>
      <c r="R95" s="23">
        <f t="shared" si="4"/>
        <v>6.25</v>
      </c>
      <c r="S95" s="19"/>
      <c r="T95" s="43"/>
    </row>
    <row r="96" spans="1:21" x14ac:dyDescent="0.2">
      <c r="E96" s="163">
        <f>+'Schedule 1 (L)'!E151/8</f>
        <v>0</v>
      </c>
      <c r="F96" s="163">
        <f>+'Schedule 1 (L)'!F151/8</f>
        <v>0</v>
      </c>
      <c r="G96" s="163">
        <f>+'Schedule 1 (L)'!G151/8</f>
        <v>0</v>
      </c>
      <c r="H96" s="163">
        <f>+'Schedule 1 (L)'!H151/8</f>
        <v>0</v>
      </c>
      <c r="I96" s="163">
        <f>+'Schedule 1 (L)'!I151/8</f>
        <v>0</v>
      </c>
      <c r="J96" s="163">
        <f>+'Schedule 1 (L)'!J151/8</f>
        <v>0</v>
      </c>
      <c r="K96" s="163">
        <f>+'Schedule 1 (L)'!K151/8</f>
        <v>0</v>
      </c>
      <c r="L96" s="163">
        <f>+'Schedule 1 (L)'!L151/8</f>
        <v>0</v>
      </c>
      <c r="M96" s="163">
        <f>+'Schedule 1 (L)'!M151/8</f>
        <v>0</v>
      </c>
      <c r="N96" s="163">
        <f>+'Schedule 1 (L)'!N151/8</f>
        <v>0</v>
      </c>
      <c r="O96" s="163">
        <f>+'Schedule 1 (L)'!O151/8</f>
        <v>0</v>
      </c>
      <c r="P96" s="163">
        <f>+'Schedule 1 (L)'!P151/8</f>
        <v>0</v>
      </c>
      <c r="Q96" s="43"/>
      <c r="R96" s="23"/>
      <c r="S96" s="19"/>
      <c r="T96" s="43"/>
    </row>
    <row r="97" spans="1:21" x14ac:dyDescent="0.2">
      <c r="B97" s="18" t="s">
        <v>108</v>
      </c>
      <c r="C97" s="25"/>
      <c r="D97" s="25"/>
      <c r="E97" s="45">
        <f t="shared" ref="E97:R97" si="5">SUM(E56:E96)</f>
        <v>10</v>
      </c>
      <c r="F97" s="45">
        <f t="shared" si="5"/>
        <v>7.75</v>
      </c>
      <c r="G97" s="45">
        <f t="shared" si="5"/>
        <v>1.625</v>
      </c>
      <c r="H97" s="45">
        <f t="shared" si="5"/>
        <v>23</v>
      </c>
      <c r="I97" s="45">
        <f t="shared" si="5"/>
        <v>22.375</v>
      </c>
      <c r="J97" s="45">
        <f t="shared" si="5"/>
        <v>10.125</v>
      </c>
      <c r="K97" s="45">
        <f t="shared" si="5"/>
        <v>53</v>
      </c>
      <c r="L97" s="45">
        <f t="shared" si="5"/>
        <v>50.875</v>
      </c>
      <c r="M97" s="45">
        <f t="shared" si="5"/>
        <v>23</v>
      </c>
      <c r="N97" s="45">
        <f t="shared" si="5"/>
        <v>293</v>
      </c>
      <c r="O97" s="45">
        <f t="shared" si="5"/>
        <v>247.875</v>
      </c>
      <c r="P97" s="45">
        <f t="shared" si="5"/>
        <v>114</v>
      </c>
      <c r="Q97" s="45">
        <f t="shared" si="5"/>
        <v>379</v>
      </c>
      <c r="R97" s="20">
        <f t="shared" si="5"/>
        <v>477.625</v>
      </c>
      <c r="S97" s="19"/>
      <c r="T97" s="43"/>
    </row>
    <row r="98" spans="1:21" x14ac:dyDescent="0.2">
      <c r="B98" s="18" t="s">
        <v>110</v>
      </c>
      <c r="C98" s="34"/>
      <c r="D98" s="34"/>
      <c r="E98" s="20">
        <v>100</v>
      </c>
      <c r="F98" s="20">
        <v>150</v>
      </c>
      <c r="G98" s="23">
        <v>200</v>
      </c>
      <c r="H98" s="23">
        <v>52</v>
      </c>
      <c r="I98" s="23">
        <v>65.5</v>
      </c>
      <c r="J98" s="23">
        <v>81</v>
      </c>
      <c r="K98" s="23">
        <v>48</v>
      </c>
      <c r="L98" s="23">
        <v>63</v>
      </c>
      <c r="M98" s="23">
        <v>77.5</v>
      </c>
      <c r="N98" s="23">
        <v>46</v>
      </c>
      <c r="O98" s="23">
        <v>59</v>
      </c>
      <c r="P98" s="23">
        <v>72.5</v>
      </c>
      <c r="Q98" s="23"/>
      <c r="R98" s="23"/>
      <c r="S98" s="19"/>
      <c r="T98" s="43"/>
    </row>
    <row r="99" spans="1:21" x14ac:dyDescent="0.2">
      <c r="B99" s="18"/>
      <c r="C99" s="34"/>
      <c r="D99" s="19"/>
      <c r="E99" s="66"/>
      <c r="F99" s="66"/>
      <c r="G99" s="66"/>
      <c r="H99" s="66"/>
      <c r="I99" s="66"/>
      <c r="J99" s="66"/>
      <c r="K99" s="66"/>
      <c r="L99" s="66"/>
      <c r="M99" s="66"/>
      <c r="N99" s="66"/>
      <c r="O99" s="66"/>
      <c r="P99" s="66"/>
      <c r="Q99" s="43"/>
      <c r="R99" s="23"/>
    </row>
    <row r="100" spans="1:21" x14ac:dyDescent="0.2">
      <c r="B100" s="18" t="s">
        <v>111</v>
      </c>
      <c r="C100" s="19"/>
      <c r="D100" s="19"/>
      <c r="E100" s="43"/>
      <c r="F100" s="43"/>
      <c r="G100" s="43"/>
      <c r="H100" s="43"/>
      <c r="I100" s="43"/>
      <c r="J100" s="43"/>
      <c r="K100" s="43"/>
      <c r="L100" s="43"/>
      <c r="M100" s="43"/>
      <c r="N100" s="43"/>
      <c r="O100" s="43"/>
      <c r="P100" s="43"/>
      <c r="Q100" s="43"/>
      <c r="R100" s="23"/>
    </row>
    <row r="101" spans="1:21" x14ac:dyDescent="0.2">
      <c r="C101" s="18" t="s">
        <v>112</v>
      </c>
      <c r="D101" s="19"/>
      <c r="E101" s="43"/>
      <c r="F101" s="43"/>
      <c r="G101" s="43"/>
      <c r="H101" s="43"/>
      <c r="I101" s="43"/>
      <c r="J101" s="43"/>
      <c r="K101" s="43"/>
      <c r="L101" s="43"/>
      <c r="M101" s="43"/>
      <c r="N101" s="43"/>
      <c r="O101" s="43"/>
      <c r="P101" s="43"/>
      <c r="Q101" s="43"/>
      <c r="R101" s="23"/>
    </row>
    <row r="102" spans="1:21" x14ac:dyDescent="0.2">
      <c r="B102" s="18" t="s">
        <v>113</v>
      </c>
      <c r="C102" s="19"/>
      <c r="D102" s="19"/>
      <c r="E102" s="43"/>
      <c r="F102" s="45">
        <v>40</v>
      </c>
      <c r="G102" s="42" t="s">
        <v>114</v>
      </c>
      <c r="H102" s="24">
        <v>150</v>
      </c>
      <c r="I102" s="45"/>
      <c r="J102" s="43"/>
      <c r="K102" s="43"/>
      <c r="L102" s="43"/>
      <c r="M102" s="43"/>
      <c r="N102" s="43"/>
      <c r="O102" s="43"/>
      <c r="P102" s="43"/>
      <c r="Q102" s="43"/>
      <c r="R102" s="23">
        <f>+F102*H102</f>
        <v>6000</v>
      </c>
    </row>
    <row r="103" spans="1:21" x14ac:dyDescent="0.2">
      <c r="B103" s="186" t="s">
        <v>86</v>
      </c>
      <c r="C103" s="19"/>
      <c r="D103" s="187" t="s">
        <v>90</v>
      </c>
      <c r="E103" s="43"/>
      <c r="F103" s="67" t="s">
        <v>119</v>
      </c>
      <c r="G103" s="43"/>
      <c r="H103" s="43"/>
      <c r="I103" s="67" t="s">
        <v>95</v>
      </c>
      <c r="J103" s="43"/>
      <c r="K103" s="42"/>
      <c r="L103" s="67" t="s">
        <v>96</v>
      </c>
      <c r="M103" s="43"/>
      <c r="N103" s="43"/>
      <c r="O103" s="67" t="s">
        <v>97</v>
      </c>
      <c r="P103" s="43"/>
      <c r="Q103" s="43"/>
      <c r="R103" s="67" t="s">
        <v>98</v>
      </c>
      <c r="S103" s="43"/>
      <c r="T103" s="45" t="s">
        <v>572</v>
      </c>
      <c r="U103" s="20" t="s">
        <v>88</v>
      </c>
    </row>
    <row r="104" spans="1:21" x14ac:dyDescent="0.2">
      <c r="B104" s="18" t="s">
        <v>99</v>
      </c>
      <c r="C104" s="32" t="s">
        <v>100</v>
      </c>
      <c r="D104" s="32" t="s">
        <v>101</v>
      </c>
      <c r="E104" s="45" t="s">
        <v>102</v>
      </c>
      <c r="F104" s="45" t="s">
        <v>103</v>
      </c>
      <c r="G104" s="45" t="s">
        <v>104</v>
      </c>
      <c r="H104" s="45" t="s">
        <v>102</v>
      </c>
      <c r="I104" s="45" t="s">
        <v>103</v>
      </c>
      <c r="J104" s="45" t="s">
        <v>104</v>
      </c>
      <c r="K104" s="45" t="s">
        <v>102</v>
      </c>
      <c r="L104" s="45" t="s">
        <v>103</v>
      </c>
      <c r="M104" s="45" t="s">
        <v>104</v>
      </c>
      <c r="N104" s="45" t="s">
        <v>102</v>
      </c>
      <c r="O104" s="45" t="s">
        <v>105</v>
      </c>
      <c r="P104" s="45" t="s">
        <v>104</v>
      </c>
      <c r="Q104" s="45" t="s">
        <v>102</v>
      </c>
      <c r="R104" s="45" t="s">
        <v>106</v>
      </c>
      <c r="S104" s="45" t="s">
        <v>107</v>
      </c>
      <c r="T104" s="45" t="s">
        <v>565</v>
      </c>
      <c r="U104" s="45" t="s">
        <v>566</v>
      </c>
    </row>
    <row r="105" spans="1:21" x14ac:dyDescent="0.2">
      <c r="A105" s="10">
        <v>1</v>
      </c>
      <c r="B105" s="33">
        <v>36701</v>
      </c>
      <c r="C105" s="32">
        <v>2</v>
      </c>
      <c r="D105" s="32">
        <v>3</v>
      </c>
      <c r="E105" s="163">
        <f>+'Schedule 1 (L)'!E162/8</f>
        <v>0</v>
      </c>
      <c r="F105" s="163">
        <f>+'Schedule 1 (L)'!F162/8</f>
        <v>0</v>
      </c>
      <c r="G105" s="163">
        <f>+'Schedule 1 (L)'!G162/8</f>
        <v>0</v>
      </c>
      <c r="H105" s="163">
        <f>+'Schedule 1 (L)'!H162/8</f>
        <v>0</v>
      </c>
      <c r="I105" s="163">
        <f>+'Schedule 1 (L)'!I162/8</f>
        <v>0</v>
      </c>
      <c r="J105" s="163">
        <f>+'Schedule 1 (L)'!J162/8</f>
        <v>0</v>
      </c>
      <c r="K105" s="163">
        <f>+'Schedule 1 (L)'!K162/8</f>
        <v>0</v>
      </c>
      <c r="L105" s="163">
        <f>+'Schedule 1 (L)'!L162/8</f>
        <v>0</v>
      </c>
      <c r="M105" s="163">
        <f>+'Schedule 1 (L)'!M162/8</f>
        <v>0</v>
      </c>
      <c r="N105" s="163">
        <f>+'Schedule 1 (L)'!N162/8</f>
        <v>0</v>
      </c>
      <c r="O105" s="163">
        <f>+'Schedule 1 (L)'!O162/8</f>
        <v>0</v>
      </c>
      <c r="P105" s="163">
        <f>+'Schedule 1 (L)'!P162/8</f>
        <v>0</v>
      </c>
      <c r="Q105" s="163">
        <f>+'Schedule 1 (L)'!Q162/8</f>
        <v>0</v>
      </c>
      <c r="R105" s="163">
        <f>+'Schedule 1 (L)'!R162/8</f>
        <v>3</v>
      </c>
      <c r="S105" s="163">
        <f>+'Schedule 1 (L)'!S162/8</f>
        <v>0</v>
      </c>
      <c r="T105" s="43">
        <f>+E105+H105+K105+N105+Q105</f>
        <v>0</v>
      </c>
      <c r="U105" s="23">
        <f>+F105+G105+I105+J105+L105+M105+O105+P105+R105+S105</f>
        <v>3</v>
      </c>
    </row>
    <row r="106" spans="1:21" x14ac:dyDescent="0.2">
      <c r="A106" s="10">
        <v>2</v>
      </c>
      <c r="B106" s="33">
        <v>36704</v>
      </c>
      <c r="C106" s="32">
        <v>2</v>
      </c>
      <c r="D106" s="32">
        <v>5</v>
      </c>
      <c r="E106" s="163">
        <f>+'Schedule 1 (L)'!E163/8</f>
        <v>0</v>
      </c>
      <c r="F106" s="163">
        <f>+'Schedule 1 (L)'!F163/8</f>
        <v>0</v>
      </c>
      <c r="G106" s="163">
        <f>+'Schedule 1 (L)'!G163/8</f>
        <v>0</v>
      </c>
      <c r="H106" s="163">
        <f>+'Schedule 1 (L)'!H163/8</f>
        <v>0</v>
      </c>
      <c r="I106" s="163">
        <f>+'Schedule 1 (L)'!I163/8</f>
        <v>0</v>
      </c>
      <c r="J106" s="163">
        <f>+'Schedule 1 (L)'!J163/8</f>
        <v>0</v>
      </c>
      <c r="K106" s="163">
        <f>+'Schedule 1 (L)'!K163/8</f>
        <v>0</v>
      </c>
      <c r="L106" s="163">
        <f>+'Schedule 1 (L)'!L163/8</f>
        <v>0</v>
      </c>
      <c r="M106" s="163">
        <f>+'Schedule 1 (L)'!M163/8</f>
        <v>0</v>
      </c>
      <c r="N106" s="163">
        <f>+'Schedule 1 (L)'!N163/8</f>
        <v>1</v>
      </c>
      <c r="O106" s="163">
        <f>+'Schedule 1 (L)'!O163/8</f>
        <v>0.625</v>
      </c>
      <c r="P106" s="163">
        <f>+'Schedule 1 (L)'!P163/8</f>
        <v>0</v>
      </c>
      <c r="Q106" s="163">
        <f>+'Schedule 1 (L)'!Q163/8</f>
        <v>5</v>
      </c>
      <c r="R106" s="163">
        <f>+'Schedule 1 (L)'!R163/8</f>
        <v>2.5</v>
      </c>
      <c r="S106" s="163">
        <f>+'Schedule 1 (L)'!S163/8</f>
        <v>0</v>
      </c>
      <c r="T106" s="43">
        <f t="shared" ref="T106:T112" si="6">+E106+H106+K106+N106+Q106</f>
        <v>6</v>
      </c>
      <c r="U106" s="23">
        <f t="shared" ref="U106:U112" si="7">+F106+G106+I106+J106+L106+M106+O106+P106+R106+S106</f>
        <v>3.125</v>
      </c>
    </row>
    <row r="107" spans="1:21" x14ac:dyDescent="0.2">
      <c r="A107" s="10">
        <v>3</v>
      </c>
      <c r="B107" s="33">
        <v>36705</v>
      </c>
      <c r="C107" s="32">
        <v>2</v>
      </c>
      <c r="D107" s="32">
        <v>5</v>
      </c>
      <c r="E107" s="163">
        <f>+'Schedule 1 (L)'!E164/8</f>
        <v>0</v>
      </c>
      <c r="F107" s="163">
        <f>+'Schedule 1 (L)'!F164/8</f>
        <v>0</v>
      </c>
      <c r="G107" s="163">
        <f>+'Schedule 1 (L)'!G164/8</f>
        <v>0</v>
      </c>
      <c r="H107" s="163">
        <f>+'Schedule 1 (L)'!H164/8</f>
        <v>0</v>
      </c>
      <c r="I107" s="163">
        <f>+'Schedule 1 (L)'!I164/8</f>
        <v>0</v>
      </c>
      <c r="J107" s="163">
        <f>+'Schedule 1 (L)'!J164/8</f>
        <v>0</v>
      </c>
      <c r="K107" s="163">
        <f>+'Schedule 1 (L)'!K164/8</f>
        <v>0</v>
      </c>
      <c r="L107" s="163">
        <f>+'Schedule 1 (L)'!L164/8</f>
        <v>0</v>
      </c>
      <c r="M107" s="163">
        <f>+'Schedule 1 (L)'!M164/8</f>
        <v>0</v>
      </c>
      <c r="N107" s="163">
        <f>+'Schedule 1 (L)'!N164/8</f>
        <v>0.5</v>
      </c>
      <c r="O107" s="163">
        <f>+'Schedule 1 (L)'!O164/8</f>
        <v>0</v>
      </c>
      <c r="P107" s="163">
        <f>+'Schedule 1 (L)'!P164/8</f>
        <v>0</v>
      </c>
      <c r="Q107" s="163">
        <f>+'Schedule 1 (L)'!Q164/8</f>
        <v>2.5</v>
      </c>
      <c r="R107" s="163">
        <f>+'Schedule 1 (L)'!R164/8</f>
        <v>0</v>
      </c>
      <c r="S107" s="163">
        <f>+'Schedule 1 (L)'!S164/8</f>
        <v>0</v>
      </c>
      <c r="T107" s="43">
        <f t="shared" si="6"/>
        <v>3</v>
      </c>
      <c r="U107" s="23">
        <f t="shared" si="7"/>
        <v>0</v>
      </c>
    </row>
    <row r="108" spans="1:21" x14ac:dyDescent="0.2">
      <c r="A108" s="10">
        <v>4</v>
      </c>
      <c r="B108" s="33">
        <v>36738</v>
      </c>
      <c r="C108" s="32">
        <v>2</v>
      </c>
      <c r="D108" s="19">
        <v>13</v>
      </c>
      <c r="E108" s="163">
        <f>+'Schedule 1 (L)'!E165/8</f>
        <v>0</v>
      </c>
      <c r="F108" s="163">
        <f>+'Schedule 1 (L)'!F165/8</f>
        <v>0</v>
      </c>
      <c r="G108" s="163">
        <f>+'Schedule 1 (L)'!G165/8</f>
        <v>0</v>
      </c>
      <c r="H108" s="163">
        <f>+'Schedule 1 (L)'!H165/8</f>
        <v>0</v>
      </c>
      <c r="I108" s="163">
        <f>+'Schedule 1 (L)'!I165/8</f>
        <v>0</v>
      </c>
      <c r="J108" s="163">
        <f>+'Schedule 1 (L)'!J165/8</f>
        <v>0</v>
      </c>
      <c r="K108" s="163">
        <f>+'Schedule 1 (L)'!K165/8</f>
        <v>1</v>
      </c>
      <c r="L108" s="163">
        <f>+'Schedule 1 (L)'!L165/8</f>
        <v>0.625</v>
      </c>
      <c r="M108" s="163">
        <f>+'Schedule 1 (L)'!M165/8</f>
        <v>0</v>
      </c>
      <c r="N108" s="163">
        <f>+'Schedule 1 (L)'!N165/8</f>
        <v>1</v>
      </c>
      <c r="O108" s="163">
        <f>+'Schedule 1 (L)'!O165/8</f>
        <v>0.625</v>
      </c>
      <c r="P108" s="163">
        <f>+'Schedule 1 (L)'!P165/8</f>
        <v>0</v>
      </c>
      <c r="Q108" s="163">
        <f>+'Schedule 1 (L)'!Q165/8</f>
        <v>7</v>
      </c>
      <c r="R108" s="163">
        <f>+'Schedule 1 (L)'!R165/8</f>
        <v>2</v>
      </c>
      <c r="S108" s="163">
        <f>+'Schedule 1 (L)'!S165/8</f>
        <v>0</v>
      </c>
      <c r="T108" s="43">
        <f t="shared" si="6"/>
        <v>9</v>
      </c>
      <c r="U108" s="23">
        <f t="shared" si="7"/>
        <v>3.25</v>
      </c>
    </row>
    <row r="109" spans="1:21" x14ac:dyDescent="0.2">
      <c r="A109" s="10">
        <v>5</v>
      </c>
      <c r="B109" s="33">
        <v>36739</v>
      </c>
      <c r="C109" s="32">
        <v>2</v>
      </c>
      <c r="D109" s="19">
        <v>13</v>
      </c>
      <c r="E109" s="163">
        <f>+'Schedule 1 (L)'!E166/8</f>
        <v>0</v>
      </c>
      <c r="F109" s="163">
        <f>+'Schedule 1 (L)'!F166/8</f>
        <v>0</v>
      </c>
      <c r="G109" s="163">
        <f>+'Schedule 1 (L)'!G166/8</f>
        <v>0</v>
      </c>
      <c r="H109" s="163">
        <f>+'Schedule 1 (L)'!H166/8</f>
        <v>0</v>
      </c>
      <c r="I109" s="163">
        <f>+'Schedule 1 (L)'!I166/8</f>
        <v>0</v>
      </c>
      <c r="J109" s="163">
        <f>+'Schedule 1 (L)'!J166/8</f>
        <v>0</v>
      </c>
      <c r="K109" s="163">
        <f>+'Schedule 1 (L)'!K166/8</f>
        <v>1</v>
      </c>
      <c r="L109" s="163">
        <f>+'Schedule 1 (L)'!L166/8</f>
        <v>0.5</v>
      </c>
      <c r="M109" s="163">
        <f>+'Schedule 1 (L)'!M166/8</f>
        <v>0</v>
      </c>
      <c r="N109" s="163">
        <f>+'Schedule 1 (L)'!N166/8</f>
        <v>1</v>
      </c>
      <c r="O109" s="163">
        <f>+'Schedule 1 (L)'!O166/8</f>
        <v>0.5</v>
      </c>
      <c r="P109" s="163">
        <f>+'Schedule 1 (L)'!P166/8</f>
        <v>0</v>
      </c>
      <c r="Q109" s="163">
        <f>+'Schedule 1 (L)'!Q166/8</f>
        <v>4</v>
      </c>
      <c r="R109" s="163">
        <f>+'Schedule 1 (L)'!R166/8</f>
        <v>2</v>
      </c>
      <c r="S109" s="163">
        <f>+'Schedule 1 (L)'!S166/8</f>
        <v>0</v>
      </c>
      <c r="T109" s="43">
        <f t="shared" si="6"/>
        <v>6</v>
      </c>
      <c r="U109" s="23">
        <f t="shared" si="7"/>
        <v>3</v>
      </c>
    </row>
    <row r="110" spans="1:21" x14ac:dyDescent="0.2">
      <c r="A110" s="10">
        <v>6</v>
      </c>
      <c r="B110" s="33">
        <v>36740</v>
      </c>
      <c r="C110" s="32">
        <v>2</v>
      </c>
      <c r="D110" s="19">
        <v>13</v>
      </c>
      <c r="E110" s="163">
        <f>+'Schedule 1 (L)'!E167/8</f>
        <v>0</v>
      </c>
      <c r="F110" s="163">
        <f>+'Schedule 1 (L)'!F167/8</f>
        <v>0</v>
      </c>
      <c r="G110" s="163">
        <f>+'Schedule 1 (L)'!G167/8</f>
        <v>0</v>
      </c>
      <c r="H110" s="163">
        <f>+'Schedule 1 (L)'!H167/8</f>
        <v>0</v>
      </c>
      <c r="I110" s="163">
        <f>+'Schedule 1 (L)'!I167/8</f>
        <v>0</v>
      </c>
      <c r="J110" s="163">
        <f>+'Schedule 1 (L)'!J167/8</f>
        <v>0</v>
      </c>
      <c r="K110" s="163">
        <f>+'Schedule 1 (L)'!K167/8</f>
        <v>1</v>
      </c>
      <c r="L110" s="163">
        <f>+'Schedule 1 (L)'!L167/8</f>
        <v>0.5</v>
      </c>
      <c r="M110" s="163">
        <f>+'Schedule 1 (L)'!M167/8</f>
        <v>0</v>
      </c>
      <c r="N110" s="163">
        <f>+'Schedule 1 (L)'!N167/8</f>
        <v>1</v>
      </c>
      <c r="O110" s="163">
        <f>+'Schedule 1 (L)'!O167/8</f>
        <v>0.5</v>
      </c>
      <c r="P110" s="163">
        <f>+'Schedule 1 (L)'!P167/8</f>
        <v>0</v>
      </c>
      <c r="Q110" s="163">
        <f>+'Schedule 1 (L)'!Q167/8</f>
        <v>4</v>
      </c>
      <c r="R110" s="163">
        <f>+'Schedule 1 (L)'!R167/8</f>
        <v>2</v>
      </c>
      <c r="S110" s="163">
        <f>+'Schedule 1 (L)'!S167/8</f>
        <v>0</v>
      </c>
      <c r="T110" s="43">
        <f t="shared" si="6"/>
        <v>6</v>
      </c>
      <c r="U110" s="23">
        <f t="shared" si="7"/>
        <v>3</v>
      </c>
    </row>
    <row r="111" spans="1:21" x14ac:dyDescent="0.2">
      <c r="A111" s="10">
        <v>7</v>
      </c>
      <c r="B111" s="33">
        <v>36741</v>
      </c>
      <c r="C111" s="32">
        <v>2</v>
      </c>
      <c r="D111" s="19">
        <v>13</v>
      </c>
      <c r="E111" s="163">
        <f>+'Schedule 1 (L)'!E168/8</f>
        <v>0</v>
      </c>
      <c r="F111" s="163">
        <f>+'Schedule 1 (L)'!F168/8</f>
        <v>0</v>
      </c>
      <c r="G111" s="163">
        <f>+'Schedule 1 (L)'!G168/8</f>
        <v>0</v>
      </c>
      <c r="H111" s="163">
        <f>+'Schedule 1 (L)'!H168/8</f>
        <v>0</v>
      </c>
      <c r="I111" s="163">
        <f>+'Schedule 1 (L)'!I168/8</f>
        <v>0</v>
      </c>
      <c r="J111" s="163">
        <f>+'Schedule 1 (L)'!J168/8</f>
        <v>0</v>
      </c>
      <c r="K111" s="163">
        <f>+'Schedule 1 (L)'!K168/8</f>
        <v>1</v>
      </c>
      <c r="L111" s="163">
        <f>+'Schedule 1 (L)'!L168/8</f>
        <v>0.5</v>
      </c>
      <c r="M111" s="163">
        <f>+'Schedule 1 (L)'!M168/8</f>
        <v>0</v>
      </c>
      <c r="N111" s="163">
        <f>+'Schedule 1 (L)'!N168/8</f>
        <v>1</v>
      </c>
      <c r="O111" s="163">
        <f>+'Schedule 1 (L)'!O168/8</f>
        <v>0.5</v>
      </c>
      <c r="P111" s="163">
        <f>+'Schedule 1 (L)'!P168/8</f>
        <v>0</v>
      </c>
      <c r="Q111" s="163">
        <f>+'Schedule 1 (L)'!Q168/8</f>
        <v>4</v>
      </c>
      <c r="R111" s="163">
        <f>+'Schedule 1 (L)'!R168/8</f>
        <v>2</v>
      </c>
      <c r="S111" s="163">
        <f>+'Schedule 1 (L)'!S168/8</f>
        <v>0</v>
      </c>
      <c r="T111" s="43">
        <f t="shared" si="6"/>
        <v>6</v>
      </c>
      <c r="U111" s="23">
        <f t="shared" si="7"/>
        <v>3</v>
      </c>
    </row>
    <row r="112" spans="1:21" x14ac:dyDescent="0.2">
      <c r="A112" s="10">
        <v>8</v>
      </c>
      <c r="B112" s="33">
        <v>36742</v>
      </c>
      <c r="C112" s="32">
        <v>2</v>
      </c>
      <c r="D112" s="19">
        <v>13</v>
      </c>
      <c r="E112" s="163">
        <f>+'Schedule 1 (L)'!E169/8</f>
        <v>0</v>
      </c>
      <c r="F112" s="163">
        <f>+'Schedule 1 (L)'!F169/8</f>
        <v>0</v>
      </c>
      <c r="G112" s="163">
        <f>+'Schedule 1 (L)'!G169/8</f>
        <v>0</v>
      </c>
      <c r="H112" s="163">
        <f>+'Schedule 1 (L)'!H169/8</f>
        <v>0</v>
      </c>
      <c r="I112" s="163">
        <f>+'Schedule 1 (L)'!I169/8</f>
        <v>0</v>
      </c>
      <c r="J112" s="163">
        <f>+'Schedule 1 (L)'!J169/8</f>
        <v>0</v>
      </c>
      <c r="K112" s="163">
        <f>+'Schedule 1 (L)'!K169/8</f>
        <v>2</v>
      </c>
      <c r="L112" s="163">
        <f>+'Schedule 1 (L)'!L169/8</f>
        <v>0.5</v>
      </c>
      <c r="M112" s="163">
        <f>+'Schedule 1 (L)'!M169/8</f>
        <v>0</v>
      </c>
      <c r="N112" s="163">
        <f>+'Schedule 1 (L)'!N169/8</f>
        <v>2</v>
      </c>
      <c r="O112" s="163">
        <f>+'Schedule 1 (L)'!O169/8</f>
        <v>0.5</v>
      </c>
      <c r="P112" s="163">
        <f>+'Schedule 1 (L)'!P169/8</f>
        <v>0</v>
      </c>
      <c r="Q112" s="163">
        <f>+'Schedule 1 (L)'!Q169/8</f>
        <v>9</v>
      </c>
      <c r="R112" s="163">
        <f>+'Schedule 1 (L)'!R169/8</f>
        <v>2</v>
      </c>
      <c r="S112" s="163">
        <f>+'Schedule 1 (L)'!S169/8</f>
        <v>0</v>
      </c>
      <c r="T112" s="43">
        <f t="shared" si="6"/>
        <v>13</v>
      </c>
      <c r="U112" s="23">
        <f t="shared" si="7"/>
        <v>3</v>
      </c>
    </row>
    <row r="113" spans="1:21" x14ac:dyDescent="0.2">
      <c r="E113" s="163">
        <f>+'Schedule 1 (L)'!E170/8</f>
        <v>0</v>
      </c>
      <c r="F113" s="163">
        <f>+'Schedule 1 (L)'!F170/8</f>
        <v>0</v>
      </c>
      <c r="G113" s="163">
        <f>+'Schedule 1 (L)'!G170/8</f>
        <v>0</v>
      </c>
      <c r="H113" s="163">
        <f>+'Schedule 1 (L)'!H170/8</f>
        <v>0</v>
      </c>
      <c r="I113" s="163">
        <f>+'Schedule 1 (L)'!I170/8</f>
        <v>0</v>
      </c>
      <c r="J113" s="163">
        <f>+'Schedule 1 (L)'!J170/8</f>
        <v>0</v>
      </c>
      <c r="K113" s="163">
        <f>+'Schedule 1 (L)'!K170/8</f>
        <v>0</v>
      </c>
      <c r="L113" s="163">
        <f>+'Schedule 1 (L)'!L170/8</f>
        <v>0</v>
      </c>
      <c r="M113" s="163">
        <f>+'Schedule 1 (L)'!M170/8</f>
        <v>0</v>
      </c>
      <c r="N113" s="163">
        <f>+'Schedule 1 (L)'!N170/8</f>
        <v>0</v>
      </c>
      <c r="O113" s="163">
        <f>+'Schedule 1 (L)'!O170/8</f>
        <v>0</v>
      </c>
      <c r="P113" s="163">
        <f>+'Schedule 1 (L)'!P170/8</f>
        <v>0</v>
      </c>
      <c r="Q113" s="163">
        <f>+'Schedule 1 (L)'!Q170/8</f>
        <v>0</v>
      </c>
      <c r="R113" s="163">
        <f>+'Schedule 1 (L)'!R170/8</f>
        <v>0</v>
      </c>
      <c r="S113" s="163">
        <f>+'Schedule 1 (L)'!S170/8</f>
        <v>0</v>
      </c>
      <c r="T113" s="43"/>
      <c r="U113" s="23"/>
    </row>
    <row r="114" spans="1:21" x14ac:dyDescent="0.2">
      <c r="B114" s="18" t="s">
        <v>108</v>
      </c>
      <c r="C114" s="25"/>
      <c r="D114" s="25"/>
      <c r="E114" s="45">
        <f t="shared" ref="E114:U114" si="8">SUM(E105:E113)</f>
        <v>0</v>
      </c>
      <c r="F114" s="45">
        <f t="shared" si="8"/>
        <v>0</v>
      </c>
      <c r="G114" s="45">
        <f t="shared" si="8"/>
        <v>0</v>
      </c>
      <c r="H114" s="45">
        <f t="shared" si="8"/>
        <v>0</v>
      </c>
      <c r="I114" s="45">
        <f t="shared" si="8"/>
        <v>0</v>
      </c>
      <c r="J114" s="45">
        <f t="shared" si="8"/>
        <v>0</v>
      </c>
      <c r="K114" s="45">
        <f t="shared" si="8"/>
        <v>6</v>
      </c>
      <c r="L114" s="45">
        <f t="shared" si="8"/>
        <v>2.625</v>
      </c>
      <c r="M114" s="45">
        <f t="shared" si="8"/>
        <v>0</v>
      </c>
      <c r="N114" s="45">
        <f t="shared" si="8"/>
        <v>7.5</v>
      </c>
      <c r="O114" s="45">
        <f t="shared" si="8"/>
        <v>3.25</v>
      </c>
      <c r="P114" s="45">
        <f t="shared" si="8"/>
        <v>0</v>
      </c>
      <c r="Q114" s="45">
        <f t="shared" si="8"/>
        <v>35.5</v>
      </c>
      <c r="R114" s="45">
        <f t="shared" si="8"/>
        <v>15.5</v>
      </c>
      <c r="S114" s="45">
        <f t="shared" si="8"/>
        <v>0</v>
      </c>
      <c r="T114" s="45">
        <f t="shared" si="8"/>
        <v>49</v>
      </c>
      <c r="U114" s="20">
        <f t="shared" si="8"/>
        <v>21.375</v>
      </c>
    </row>
    <row r="115" spans="1:21" x14ac:dyDescent="0.2">
      <c r="B115" s="18" t="s">
        <v>110</v>
      </c>
      <c r="C115" s="34"/>
      <c r="D115" s="34"/>
      <c r="E115" s="20">
        <v>85</v>
      </c>
      <c r="F115" s="20">
        <v>95</v>
      </c>
      <c r="G115" s="23">
        <v>125</v>
      </c>
      <c r="H115" s="20">
        <v>100</v>
      </c>
      <c r="I115" s="20">
        <v>150</v>
      </c>
      <c r="J115" s="23">
        <v>200</v>
      </c>
      <c r="K115" s="23">
        <v>52</v>
      </c>
      <c r="L115" s="23">
        <v>65.5</v>
      </c>
      <c r="M115" s="23">
        <v>81</v>
      </c>
      <c r="N115" s="23">
        <v>48</v>
      </c>
      <c r="O115" s="23">
        <v>63</v>
      </c>
      <c r="P115" s="23">
        <v>77.5</v>
      </c>
      <c r="Q115" s="23">
        <v>46</v>
      </c>
      <c r="R115" s="23">
        <v>59</v>
      </c>
      <c r="S115" s="23">
        <v>72.5</v>
      </c>
      <c r="T115" s="23"/>
      <c r="U115" s="23"/>
    </row>
    <row r="116" spans="1:21" x14ac:dyDescent="0.2">
      <c r="B116" s="18"/>
      <c r="E116" s="66"/>
      <c r="F116" s="66"/>
      <c r="G116" s="66"/>
      <c r="H116" s="66"/>
      <c r="I116" s="66"/>
      <c r="J116" s="66"/>
      <c r="K116" s="66"/>
      <c r="L116" s="66"/>
      <c r="M116" s="66"/>
      <c r="N116" s="66"/>
      <c r="O116" s="66"/>
      <c r="P116" s="66"/>
      <c r="Q116" s="43"/>
      <c r="R116" s="23"/>
    </row>
    <row r="120" spans="1:21" x14ac:dyDescent="0.2">
      <c r="B120" s="186" t="s">
        <v>87</v>
      </c>
      <c r="C120" s="19"/>
      <c r="D120" s="19" t="s">
        <v>90</v>
      </c>
      <c r="E120" s="43"/>
      <c r="F120" s="42" t="s">
        <v>95</v>
      </c>
      <c r="G120" s="43"/>
      <c r="H120" s="42"/>
      <c r="I120" s="42" t="s">
        <v>96</v>
      </c>
      <c r="J120" s="43"/>
      <c r="K120" s="43"/>
      <c r="L120" s="42" t="s">
        <v>97</v>
      </c>
      <c r="M120" s="43"/>
      <c r="N120" s="43"/>
      <c r="O120" s="42" t="s">
        <v>98</v>
      </c>
      <c r="P120" s="43"/>
      <c r="Q120" s="45" t="s">
        <v>573</v>
      </c>
      <c r="R120" s="20" t="s">
        <v>88</v>
      </c>
    </row>
    <row r="121" spans="1:21" x14ac:dyDescent="0.2">
      <c r="B121" s="18" t="s">
        <v>99</v>
      </c>
      <c r="C121" s="32" t="s">
        <v>100</v>
      </c>
      <c r="D121" s="32" t="s">
        <v>101</v>
      </c>
      <c r="E121" s="45" t="s">
        <v>102</v>
      </c>
      <c r="F121" s="45" t="s">
        <v>103</v>
      </c>
      <c r="G121" s="45" t="s">
        <v>104</v>
      </c>
      <c r="H121" s="45" t="s">
        <v>102</v>
      </c>
      <c r="I121" s="45" t="s">
        <v>103</v>
      </c>
      <c r="J121" s="45" t="s">
        <v>104</v>
      </c>
      <c r="K121" s="45" t="s">
        <v>102</v>
      </c>
      <c r="L121" s="45" t="s">
        <v>105</v>
      </c>
      <c r="M121" s="45" t="s">
        <v>104</v>
      </c>
      <c r="N121" s="45" t="s">
        <v>102</v>
      </c>
      <c r="O121" s="45" t="s">
        <v>106</v>
      </c>
      <c r="P121" s="45" t="s">
        <v>107</v>
      </c>
      <c r="Q121" s="45" t="s">
        <v>565</v>
      </c>
      <c r="R121" s="45" t="s">
        <v>566</v>
      </c>
    </row>
    <row r="122" spans="1:21" x14ac:dyDescent="0.2">
      <c r="A122" s="10">
        <v>1</v>
      </c>
      <c r="B122" s="33">
        <v>36704</v>
      </c>
      <c r="C122" s="32">
        <v>2</v>
      </c>
      <c r="D122" s="32">
        <v>17</v>
      </c>
      <c r="E122" s="163">
        <f>+'Schedule 1 (L)'!E179/8</f>
        <v>0</v>
      </c>
      <c r="F122" s="163">
        <f>+'Schedule 1 (L)'!F179/8</f>
        <v>0</v>
      </c>
      <c r="G122" s="163">
        <f>+'Schedule 1 (L)'!G179/8</f>
        <v>0</v>
      </c>
      <c r="H122" s="163">
        <f>+'Schedule 1 (L)'!H179/8</f>
        <v>0</v>
      </c>
      <c r="I122" s="163">
        <f>+'Schedule 1 (L)'!I179/8</f>
        <v>0</v>
      </c>
      <c r="J122" s="163">
        <f>+'Schedule 1 (L)'!J179/8</f>
        <v>0</v>
      </c>
      <c r="K122" s="163">
        <f>+'Schedule 1 (L)'!K179/8</f>
        <v>1</v>
      </c>
      <c r="L122" s="163">
        <f>+'Schedule 1 (L)'!L179/8</f>
        <v>0.625</v>
      </c>
      <c r="M122" s="163">
        <f>+'Schedule 1 (L)'!M179/8</f>
        <v>0</v>
      </c>
      <c r="N122" s="163">
        <f>+'Schedule 1 (L)'!N179/8</f>
        <v>5</v>
      </c>
      <c r="O122" s="163">
        <f>+'Schedule 1 (L)'!O179/8</f>
        <v>2.5</v>
      </c>
      <c r="P122" s="163">
        <f>+'Schedule 1 (L)'!P179/8</f>
        <v>0</v>
      </c>
      <c r="Q122" s="43">
        <f>+E122+H122+K122+N122</f>
        <v>6</v>
      </c>
      <c r="R122" s="23">
        <f>+F122+G122+I122+J122+L122+M122+O122+P122</f>
        <v>3.125</v>
      </c>
    </row>
    <row r="123" spans="1:21" x14ac:dyDescent="0.2">
      <c r="E123" s="163">
        <f>+'Schedule 1 (L)'!E180/8</f>
        <v>0</v>
      </c>
      <c r="F123" s="163">
        <f>+'Schedule 1 (L)'!F180/8</f>
        <v>0</v>
      </c>
      <c r="G123" s="163">
        <f>+'Schedule 1 (L)'!G180/8</f>
        <v>0</v>
      </c>
      <c r="H123" s="163">
        <f>+'Schedule 1 (L)'!H180/8</f>
        <v>0</v>
      </c>
      <c r="I123" s="163">
        <f>+'Schedule 1 (L)'!I180/8</f>
        <v>0</v>
      </c>
      <c r="J123" s="163">
        <f>+'Schedule 1 (L)'!J180/8</f>
        <v>0</v>
      </c>
      <c r="K123" s="163">
        <f>+'Schedule 1 (L)'!K180/8</f>
        <v>0</v>
      </c>
      <c r="L123" s="163">
        <f>+'Schedule 1 (L)'!L180/8</f>
        <v>0</v>
      </c>
      <c r="M123" s="163">
        <f>+'Schedule 1 (L)'!M180/8</f>
        <v>0</v>
      </c>
      <c r="N123" s="163">
        <f>+'Schedule 1 (L)'!N180/8</f>
        <v>0</v>
      </c>
      <c r="O123" s="163">
        <f>+'Schedule 1 (L)'!O180/8</f>
        <v>0</v>
      </c>
      <c r="P123" s="163">
        <f>+'Schedule 1 (L)'!P180/8</f>
        <v>0</v>
      </c>
      <c r="Q123" s="43"/>
      <c r="R123" s="23"/>
    </row>
    <row r="124" spans="1:21" x14ac:dyDescent="0.2">
      <c r="B124" s="18" t="s">
        <v>108</v>
      </c>
      <c r="C124" s="25"/>
      <c r="D124" s="25"/>
      <c r="E124" s="45">
        <f t="shared" ref="E124:R124" si="9">SUM(E122:E123)</f>
        <v>0</v>
      </c>
      <c r="F124" s="45">
        <f t="shared" si="9"/>
        <v>0</v>
      </c>
      <c r="G124" s="45">
        <f t="shared" si="9"/>
        <v>0</v>
      </c>
      <c r="H124" s="45">
        <f t="shared" si="9"/>
        <v>0</v>
      </c>
      <c r="I124" s="45">
        <f t="shared" si="9"/>
        <v>0</v>
      </c>
      <c r="J124" s="45">
        <f t="shared" si="9"/>
        <v>0</v>
      </c>
      <c r="K124" s="45">
        <f t="shared" si="9"/>
        <v>1</v>
      </c>
      <c r="L124" s="45">
        <f t="shared" si="9"/>
        <v>0.625</v>
      </c>
      <c r="M124" s="45">
        <f t="shared" si="9"/>
        <v>0</v>
      </c>
      <c r="N124" s="45">
        <f t="shared" si="9"/>
        <v>5</v>
      </c>
      <c r="O124" s="45">
        <f t="shared" si="9"/>
        <v>2.5</v>
      </c>
      <c r="P124" s="45">
        <f t="shared" si="9"/>
        <v>0</v>
      </c>
      <c r="Q124" s="45">
        <f t="shared" si="9"/>
        <v>6</v>
      </c>
      <c r="R124" s="20">
        <f t="shared" si="9"/>
        <v>3.125</v>
      </c>
    </row>
    <row r="125" spans="1:21" x14ac:dyDescent="0.2">
      <c r="B125" s="18" t="s">
        <v>110</v>
      </c>
      <c r="C125" s="34"/>
      <c r="D125" s="34"/>
      <c r="E125" s="20">
        <v>100</v>
      </c>
      <c r="F125" s="20">
        <v>150</v>
      </c>
      <c r="G125" s="23">
        <v>200</v>
      </c>
      <c r="H125" s="23">
        <v>52</v>
      </c>
      <c r="I125" s="23">
        <v>65.5</v>
      </c>
      <c r="J125" s="23">
        <v>81</v>
      </c>
      <c r="K125" s="23">
        <v>48</v>
      </c>
      <c r="L125" s="23">
        <v>63</v>
      </c>
      <c r="M125" s="23">
        <v>77.5</v>
      </c>
      <c r="N125" s="23">
        <v>46</v>
      </c>
      <c r="O125" s="23">
        <v>59</v>
      </c>
      <c r="P125" s="23">
        <v>72.5</v>
      </c>
      <c r="Q125" s="23"/>
      <c r="R125" s="23"/>
    </row>
    <row r="126" spans="1:21" x14ac:dyDescent="0.2">
      <c r="B126" s="18"/>
      <c r="E126" s="66"/>
      <c r="F126" s="66"/>
      <c r="G126" s="66"/>
      <c r="H126" s="66"/>
      <c r="I126" s="66"/>
      <c r="J126" s="66"/>
      <c r="K126" s="66"/>
      <c r="L126" s="66"/>
      <c r="M126" s="66"/>
      <c r="N126" s="66"/>
      <c r="O126" s="66"/>
      <c r="P126" s="66"/>
      <c r="Q126" s="43"/>
      <c r="R126" s="23"/>
    </row>
    <row r="130" spans="1:21" x14ac:dyDescent="0.2">
      <c r="B130" s="186" t="s">
        <v>86</v>
      </c>
      <c r="C130" s="19"/>
      <c r="D130" s="187" t="s">
        <v>91</v>
      </c>
      <c r="E130" s="43"/>
      <c r="F130" s="67" t="s">
        <v>119</v>
      </c>
      <c r="G130" s="43"/>
      <c r="H130" s="43"/>
      <c r="I130" s="67" t="s">
        <v>95</v>
      </c>
      <c r="J130" s="43"/>
      <c r="K130" s="42"/>
      <c r="L130" s="67" t="s">
        <v>96</v>
      </c>
      <c r="M130" s="43"/>
      <c r="N130" s="43"/>
      <c r="O130" s="67" t="s">
        <v>97</v>
      </c>
      <c r="P130" s="43"/>
      <c r="Q130" s="43"/>
      <c r="R130" s="67" t="s">
        <v>98</v>
      </c>
      <c r="S130" s="43"/>
      <c r="T130" s="45" t="s">
        <v>572</v>
      </c>
      <c r="U130" s="20" t="s">
        <v>88</v>
      </c>
    </row>
    <row r="131" spans="1:21" x14ac:dyDescent="0.2">
      <c r="B131" s="18" t="s">
        <v>99</v>
      </c>
      <c r="C131" s="32" t="s">
        <v>100</v>
      </c>
      <c r="D131" s="32" t="s">
        <v>101</v>
      </c>
      <c r="E131" s="45" t="s">
        <v>102</v>
      </c>
      <c r="F131" s="45" t="s">
        <v>103</v>
      </c>
      <c r="G131" s="45" t="s">
        <v>104</v>
      </c>
      <c r="H131" s="45" t="s">
        <v>102</v>
      </c>
      <c r="I131" s="45" t="s">
        <v>103</v>
      </c>
      <c r="J131" s="45" t="s">
        <v>104</v>
      </c>
      <c r="K131" s="45" t="s">
        <v>102</v>
      </c>
      <c r="L131" s="45" t="s">
        <v>103</v>
      </c>
      <c r="M131" s="45" t="s">
        <v>104</v>
      </c>
      <c r="N131" s="45" t="s">
        <v>102</v>
      </c>
      <c r="O131" s="45" t="s">
        <v>105</v>
      </c>
      <c r="P131" s="45" t="s">
        <v>104</v>
      </c>
      <c r="Q131" s="45" t="s">
        <v>102</v>
      </c>
      <c r="R131" s="45" t="s">
        <v>106</v>
      </c>
      <c r="S131" s="45" t="s">
        <v>107</v>
      </c>
      <c r="T131" s="45" t="s">
        <v>565</v>
      </c>
      <c r="U131" s="45" t="s">
        <v>566</v>
      </c>
    </row>
    <row r="132" spans="1:21" x14ac:dyDescent="0.2">
      <c r="A132" s="10">
        <v>1</v>
      </c>
      <c r="B132" s="33">
        <v>36701</v>
      </c>
      <c r="C132" s="32">
        <v>3</v>
      </c>
      <c r="D132" s="32">
        <v>2</v>
      </c>
      <c r="E132" s="163">
        <f>+'Schedule 1 (L)'!E189/8</f>
        <v>0</v>
      </c>
      <c r="F132" s="163">
        <f>+'Schedule 1 (L)'!F189/8</f>
        <v>0</v>
      </c>
      <c r="G132" s="163">
        <f>+'Schedule 1 (L)'!G189/8</f>
        <v>0</v>
      </c>
      <c r="H132" s="163">
        <f>+'Schedule 1 (L)'!H189/8</f>
        <v>0</v>
      </c>
      <c r="I132" s="163">
        <f>+'Schedule 1 (L)'!I189/8</f>
        <v>0</v>
      </c>
      <c r="J132" s="163">
        <f>+'Schedule 1 (L)'!J189/8</f>
        <v>0</v>
      </c>
      <c r="K132" s="163">
        <f>+'Schedule 1 (L)'!K189/8</f>
        <v>0</v>
      </c>
      <c r="L132" s="163">
        <f>+'Schedule 1 (L)'!L189/8</f>
        <v>0</v>
      </c>
      <c r="M132" s="163">
        <f>+'Schedule 1 (L)'!M189/8</f>
        <v>0</v>
      </c>
      <c r="N132" s="163">
        <f>+'Schedule 1 (L)'!N189/8</f>
        <v>0</v>
      </c>
      <c r="O132" s="163">
        <f>+'Schedule 1 (L)'!O189/8</f>
        <v>1.625</v>
      </c>
      <c r="P132" s="163">
        <f>+'Schedule 1 (L)'!P189/8</f>
        <v>0</v>
      </c>
      <c r="Q132" s="163">
        <f>+'Schedule 1 (L)'!Q189/8</f>
        <v>0</v>
      </c>
      <c r="R132" s="163">
        <f>+'Schedule 1 (L)'!R189/8</f>
        <v>14</v>
      </c>
      <c r="S132" s="163">
        <f>+'Schedule 1 (L)'!S189/8</f>
        <v>0</v>
      </c>
      <c r="T132" s="43">
        <f>+E132+H132+K132+N132+Q132</f>
        <v>0</v>
      </c>
      <c r="U132" s="23">
        <f>+F132+G132+I132+J132+L132+M132+O132+P132+R132+S132</f>
        <v>15.625</v>
      </c>
    </row>
    <row r="133" spans="1:21" x14ac:dyDescent="0.2">
      <c r="A133" s="10">
        <v>2</v>
      </c>
      <c r="B133" s="33">
        <v>36702</v>
      </c>
      <c r="C133" s="32">
        <v>3</v>
      </c>
      <c r="D133" s="32">
        <v>2</v>
      </c>
      <c r="E133" s="163">
        <f>+'Schedule 1 (L)'!E190/8</f>
        <v>0</v>
      </c>
      <c r="F133" s="163">
        <f>+'Schedule 1 (L)'!F190/8</f>
        <v>0</v>
      </c>
      <c r="G133" s="163">
        <f>+'Schedule 1 (L)'!G190/8</f>
        <v>0</v>
      </c>
      <c r="H133" s="163">
        <f>+'Schedule 1 (L)'!H190/8</f>
        <v>0</v>
      </c>
      <c r="I133" s="163">
        <f>+'Schedule 1 (L)'!I190/8</f>
        <v>0</v>
      </c>
      <c r="J133" s="163">
        <f>+'Schedule 1 (L)'!J190/8</f>
        <v>0</v>
      </c>
      <c r="K133" s="163">
        <f>+'Schedule 1 (L)'!K190/8</f>
        <v>0</v>
      </c>
      <c r="L133" s="163">
        <f>+'Schedule 1 (L)'!L190/8</f>
        <v>0</v>
      </c>
      <c r="M133" s="163">
        <f>+'Schedule 1 (L)'!M190/8</f>
        <v>0</v>
      </c>
      <c r="N133" s="163">
        <f>+'Schedule 1 (L)'!N190/8</f>
        <v>0</v>
      </c>
      <c r="O133" s="163">
        <f>+'Schedule 1 (L)'!O190/8</f>
        <v>0</v>
      </c>
      <c r="P133" s="163">
        <f>+'Schedule 1 (L)'!P190/8</f>
        <v>0</v>
      </c>
      <c r="Q133" s="163">
        <f>+'Schedule 1 (L)'!Q190/8</f>
        <v>0</v>
      </c>
      <c r="R133" s="163">
        <f>+'Schedule 1 (L)'!R190/8</f>
        <v>0</v>
      </c>
      <c r="S133" s="163">
        <f>+'Schedule 1 (L)'!S190/8</f>
        <v>4.5</v>
      </c>
      <c r="T133" s="43">
        <f t="shared" ref="T133:T139" si="10">+E133+H133+K133+N133+Q133</f>
        <v>0</v>
      </c>
      <c r="U133" s="23">
        <f t="shared" ref="U133:U139" si="11">+F133+G133+I133+J133+L133+M133+O133+P133+R133+S133</f>
        <v>4.5</v>
      </c>
    </row>
    <row r="134" spans="1:21" x14ac:dyDescent="0.2">
      <c r="A134" s="10">
        <v>3</v>
      </c>
      <c r="B134" s="33">
        <v>36703</v>
      </c>
      <c r="C134" s="32">
        <v>3</v>
      </c>
      <c r="D134" s="32">
        <v>6</v>
      </c>
      <c r="E134" s="163">
        <f>+'Schedule 1 (L)'!E191/8</f>
        <v>0</v>
      </c>
      <c r="F134" s="163">
        <f>+'Schedule 1 (L)'!F191/8</f>
        <v>0</v>
      </c>
      <c r="G134" s="163">
        <f>+'Schedule 1 (L)'!G191/8</f>
        <v>0</v>
      </c>
      <c r="H134" s="163">
        <f>+'Schedule 1 (L)'!H191/8</f>
        <v>0</v>
      </c>
      <c r="I134" s="163">
        <f>+'Schedule 1 (L)'!I191/8</f>
        <v>0</v>
      </c>
      <c r="J134" s="163">
        <f>+'Schedule 1 (L)'!J191/8</f>
        <v>0</v>
      </c>
      <c r="K134" s="163">
        <f>+'Schedule 1 (L)'!K191/8</f>
        <v>0</v>
      </c>
      <c r="L134" s="163">
        <f>+'Schedule 1 (L)'!L191/8</f>
        <v>0</v>
      </c>
      <c r="M134" s="163">
        <f>+'Schedule 1 (L)'!M191/8</f>
        <v>0</v>
      </c>
      <c r="N134" s="163">
        <f>+'Schedule 1 (L)'!N191/8</f>
        <v>2</v>
      </c>
      <c r="O134" s="163">
        <f>+'Schedule 1 (L)'!O191/8</f>
        <v>1</v>
      </c>
      <c r="P134" s="163">
        <f>+'Schedule 1 (L)'!P191/8</f>
        <v>0</v>
      </c>
      <c r="Q134" s="163">
        <f>+'Schedule 1 (L)'!Q191/8</f>
        <v>8.75</v>
      </c>
      <c r="R134" s="163">
        <f>+'Schedule 1 (L)'!R191/8</f>
        <v>2</v>
      </c>
      <c r="S134" s="163">
        <f>+'Schedule 1 (L)'!S191/8</f>
        <v>0</v>
      </c>
      <c r="T134" s="43">
        <f t="shared" si="10"/>
        <v>10.75</v>
      </c>
      <c r="U134" s="23">
        <f t="shared" si="11"/>
        <v>3</v>
      </c>
    </row>
    <row r="135" spans="1:21" x14ac:dyDescent="0.2">
      <c r="A135" s="10">
        <v>4</v>
      </c>
      <c r="B135" s="33">
        <v>36712</v>
      </c>
      <c r="C135" s="32">
        <v>3</v>
      </c>
      <c r="D135" s="32">
        <v>8</v>
      </c>
      <c r="E135" s="163">
        <f>+'Schedule 1 (L)'!E192/8</f>
        <v>0</v>
      </c>
      <c r="F135" s="163">
        <f>+'Schedule 1 (L)'!F192/8</f>
        <v>0</v>
      </c>
      <c r="G135" s="163">
        <f>+'Schedule 1 (L)'!G192/8</f>
        <v>0</v>
      </c>
      <c r="H135" s="163">
        <f>+'Schedule 1 (L)'!H192/8</f>
        <v>0</v>
      </c>
      <c r="I135" s="163">
        <f>+'Schedule 1 (L)'!I192/8</f>
        <v>0</v>
      </c>
      <c r="J135" s="163">
        <f>+'Schedule 1 (L)'!J192/8</f>
        <v>0</v>
      </c>
      <c r="K135" s="163">
        <f>+'Schedule 1 (L)'!K192/8</f>
        <v>0</v>
      </c>
      <c r="L135" s="163">
        <f>+'Schedule 1 (L)'!L192/8</f>
        <v>0</v>
      </c>
      <c r="M135" s="163">
        <f>+'Schedule 1 (L)'!M192/8</f>
        <v>0</v>
      </c>
      <c r="N135" s="163">
        <f>+'Schedule 1 (L)'!N192/8</f>
        <v>0</v>
      </c>
      <c r="O135" s="163">
        <f>+'Schedule 1 (L)'!O192/8</f>
        <v>0</v>
      </c>
      <c r="P135" s="163">
        <f>+'Schedule 1 (L)'!P192/8</f>
        <v>0</v>
      </c>
      <c r="Q135" s="163">
        <f>+'Schedule 1 (L)'!Q192/8</f>
        <v>3</v>
      </c>
      <c r="R135" s="163">
        <f>+'Schedule 1 (L)'!R192/8</f>
        <v>1.5</v>
      </c>
      <c r="S135" s="163">
        <f>+'Schedule 1 (L)'!S192/8</f>
        <v>0</v>
      </c>
      <c r="T135" s="43">
        <f t="shared" si="10"/>
        <v>3</v>
      </c>
      <c r="U135" s="23">
        <f t="shared" si="11"/>
        <v>1.5</v>
      </c>
    </row>
    <row r="136" spans="1:21" x14ac:dyDescent="0.2">
      <c r="A136" s="10">
        <v>5</v>
      </c>
      <c r="B136" s="33">
        <v>36713</v>
      </c>
      <c r="C136" s="32">
        <v>3</v>
      </c>
      <c r="D136" s="32">
        <v>8</v>
      </c>
      <c r="E136" s="163">
        <f>+'Schedule 1 (L)'!E193/8</f>
        <v>0</v>
      </c>
      <c r="F136" s="163">
        <f>+'Schedule 1 (L)'!F193/8</f>
        <v>0</v>
      </c>
      <c r="G136" s="163">
        <f>+'Schedule 1 (L)'!G193/8</f>
        <v>0</v>
      </c>
      <c r="H136" s="163">
        <f>+'Schedule 1 (L)'!H193/8</f>
        <v>0</v>
      </c>
      <c r="I136" s="163">
        <f>+'Schedule 1 (L)'!I193/8</f>
        <v>0</v>
      </c>
      <c r="J136" s="163">
        <f>+'Schedule 1 (L)'!J193/8</f>
        <v>0</v>
      </c>
      <c r="K136" s="163">
        <f>+'Schedule 1 (L)'!K193/8</f>
        <v>0</v>
      </c>
      <c r="L136" s="163">
        <f>+'Schedule 1 (L)'!L193/8</f>
        <v>0</v>
      </c>
      <c r="M136" s="163">
        <f>+'Schedule 1 (L)'!M193/8</f>
        <v>0</v>
      </c>
      <c r="N136" s="163">
        <f>+'Schedule 1 (L)'!N193/8</f>
        <v>0</v>
      </c>
      <c r="O136" s="163">
        <f>+'Schedule 1 (L)'!O193/8</f>
        <v>0</v>
      </c>
      <c r="P136" s="163">
        <f>+'Schedule 1 (L)'!P193/8</f>
        <v>0</v>
      </c>
      <c r="Q136" s="163">
        <f>+'Schedule 1 (L)'!Q193/8</f>
        <v>3</v>
      </c>
      <c r="R136" s="163">
        <f>+'Schedule 1 (L)'!R193/8</f>
        <v>1.5</v>
      </c>
      <c r="S136" s="163">
        <f>+'Schedule 1 (L)'!S193/8</f>
        <v>0</v>
      </c>
      <c r="T136" s="43">
        <f t="shared" si="10"/>
        <v>3</v>
      </c>
      <c r="U136" s="23">
        <f t="shared" si="11"/>
        <v>1.5</v>
      </c>
    </row>
    <row r="137" spans="1:21" x14ac:dyDescent="0.2">
      <c r="A137" s="10">
        <v>6</v>
      </c>
      <c r="B137" s="33">
        <v>36714</v>
      </c>
      <c r="C137" s="32">
        <v>3</v>
      </c>
      <c r="D137" s="32">
        <v>8</v>
      </c>
      <c r="E137" s="163">
        <f>+'Schedule 1 (L)'!E194/8</f>
        <v>0</v>
      </c>
      <c r="F137" s="163">
        <f>+'Schedule 1 (L)'!F194/8</f>
        <v>0</v>
      </c>
      <c r="G137" s="163">
        <f>+'Schedule 1 (L)'!G194/8</f>
        <v>0</v>
      </c>
      <c r="H137" s="163">
        <f>+'Schedule 1 (L)'!H194/8</f>
        <v>0</v>
      </c>
      <c r="I137" s="163">
        <f>+'Schedule 1 (L)'!I194/8</f>
        <v>0</v>
      </c>
      <c r="J137" s="163">
        <f>+'Schedule 1 (L)'!J194/8</f>
        <v>0</v>
      </c>
      <c r="K137" s="163">
        <f>+'Schedule 1 (L)'!K194/8</f>
        <v>0</v>
      </c>
      <c r="L137" s="163">
        <f>+'Schedule 1 (L)'!L194/8</f>
        <v>0</v>
      </c>
      <c r="M137" s="163">
        <f>+'Schedule 1 (L)'!M194/8</f>
        <v>0</v>
      </c>
      <c r="N137" s="163">
        <f>+'Schedule 1 (L)'!N194/8</f>
        <v>0</v>
      </c>
      <c r="O137" s="163">
        <f>+'Schedule 1 (L)'!O194/8</f>
        <v>0</v>
      </c>
      <c r="P137" s="163">
        <f>+'Schedule 1 (L)'!P194/8</f>
        <v>0</v>
      </c>
      <c r="Q137" s="163">
        <f>+'Schedule 1 (L)'!Q194/8</f>
        <v>2</v>
      </c>
      <c r="R137" s="163">
        <f>+'Schedule 1 (L)'!R194/8</f>
        <v>1</v>
      </c>
      <c r="S137" s="163">
        <f>+'Schedule 1 (L)'!S194/8</f>
        <v>0</v>
      </c>
      <c r="T137" s="43">
        <f t="shared" si="10"/>
        <v>2</v>
      </c>
      <c r="U137" s="23">
        <f t="shared" si="11"/>
        <v>1</v>
      </c>
    </row>
    <row r="138" spans="1:21" x14ac:dyDescent="0.2">
      <c r="A138" s="10">
        <v>7</v>
      </c>
      <c r="B138" s="33">
        <v>36719</v>
      </c>
      <c r="C138" s="32">
        <v>3</v>
      </c>
      <c r="D138" s="19">
        <v>10</v>
      </c>
      <c r="E138" s="163">
        <f>+'Schedule 1 (L)'!E195/8</f>
        <v>0</v>
      </c>
      <c r="F138" s="163">
        <f>+'Schedule 1 (L)'!F195/8</f>
        <v>0</v>
      </c>
      <c r="G138" s="163">
        <f>+'Schedule 1 (L)'!G195/8</f>
        <v>0</v>
      </c>
      <c r="H138" s="163">
        <f>+'Schedule 1 (L)'!H195/8</f>
        <v>0</v>
      </c>
      <c r="I138" s="163">
        <f>+'Schedule 1 (L)'!I195/8</f>
        <v>0</v>
      </c>
      <c r="J138" s="163">
        <f>+'Schedule 1 (L)'!J195/8</f>
        <v>0</v>
      </c>
      <c r="K138" s="163">
        <f>+'Schedule 1 (L)'!K195/8</f>
        <v>0</v>
      </c>
      <c r="L138" s="163">
        <f>+'Schedule 1 (L)'!L195/8</f>
        <v>0</v>
      </c>
      <c r="M138" s="163">
        <f>+'Schedule 1 (L)'!M195/8</f>
        <v>0</v>
      </c>
      <c r="N138" s="163">
        <f>+'Schedule 1 (L)'!N195/8</f>
        <v>0</v>
      </c>
      <c r="O138" s="163">
        <f>+'Schedule 1 (L)'!O195/8</f>
        <v>0</v>
      </c>
      <c r="P138" s="163">
        <f>+'Schedule 1 (L)'!P195/8</f>
        <v>0</v>
      </c>
      <c r="Q138" s="163">
        <f>+'Schedule 1 (L)'!Q195/8</f>
        <v>5</v>
      </c>
      <c r="R138" s="163">
        <f>+'Schedule 1 (L)'!R195/8</f>
        <v>2.5</v>
      </c>
      <c r="S138" s="163">
        <f>+'Schedule 1 (L)'!S195/8</f>
        <v>0</v>
      </c>
      <c r="T138" s="43">
        <f t="shared" si="10"/>
        <v>5</v>
      </c>
      <c r="U138" s="23">
        <f t="shared" si="11"/>
        <v>2.5</v>
      </c>
    </row>
    <row r="139" spans="1:21" x14ac:dyDescent="0.2">
      <c r="A139" s="10">
        <v>8</v>
      </c>
      <c r="B139" s="33">
        <v>36720</v>
      </c>
      <c r="C139" s="32">
        <v>3</v>
      </c>
      <c r="D139" s="19">
        <v>10</v>
      </c>
      <c r="E139" s="163">
        <f>+'Schedule 1 (L)'!E196/8</f>
        <v>0</v>
      </c>
      <c r="F139" s="163">
        <f>+'Schedule 1 (L)'!F196/8</f>
        <v>0</v>
      </c>
      <c r="G139" s="163">
        <f>+'Schedule 1 (L)'!G196/8</f>
        <v>0</v>
      </c>
      <c r="H139" s="163">
        <f>+'Schedule 1 (L)'!H196/8</f>
        <v>0</v>
      </c>
      <c r="I139" s="163">
        <f>+'Schedule 1 (L)'!I196/8</f>
        <v>0</v>
      </c>
      <c r="J139" s="163">
        <f>+'Schedule 1 (L)'!J196/8</f>
        <v>0</v>
      </c>
      <c r="K139" s="163">
        <f>+'Schedule 1 (L)'!K196/8</f>
        <v>0</v>
      </c>
      <c r="L139" s="163">
        <f>+'Schedule 1 (L)'!L196/8</f>
        <v>0</v>
      </c>
      <c r="M139" s="163">
        <f>+'Schedule 1 (L)'!M196/8</f>
        <v>0</v>
      </c>
      <c r="N139" s="163">
        <f>+'Schedule 1 (L)'!N196/8</f>
        <v>0</v>
      </c>
      <c r="O139" s="163">
        <f>+'Schedule 1 (L)'!O196/8</f>
        <v>0</v>
      </c>
      <c r="P139" s="163">
        <f>+'Schedule 1 (L)'!P196/8</f>
        <v>0</v>
      </c>
      <c r="Q139" s="163">
        <f>+'Schedule 1 (L)'!Q196/8</f>
        <v>4</v>
      </c>
      <c r="R139" s="163">
        <f>+'Schedule 1 (L)'!R196/8</f>
        <v>2</v>
      </c>
      <c r="S139" s="163">
        <f>+'Schedule 1 (L)'!S196/8</f>
        <v>0</v>
      </c>
      <c r="T139" s="43">
        <f t="shared" si="10"/>
        <v>4</v>
      </c>
      <c r="U139" s="23">
        <f t="shared" si="11"/>
        <v>2</v>
      </c>
    </row>
    <row r="140" spans="1:21" x14ac:dyDescent="0.2">
      <c r="E140" s="163">
        <f>+'Schedule 1 (L)'!E197/8</f>
        <v>0</v>
      </c>
      <c r="F140" s="163">
        <f>+'Schedule 1 (L)'!F197/8</f>
        <v>0</v>
      </c>
      <c r="G140" s="163">
        <f>+'Schedule 1 (L)'!G197/8</f>
        <v>0</v>
      </c>
      <c r="H140" s="163">
        <f>+'Schedule 1 (L)'!H197/8</f>
        <v>0</v>
      </c>
      <c r="I140" s="163">
        <f>+'Schedule 1 (L)'!I197/8</f>
        <v>0</v>
      </c>
      <c r="J140" s="163">
        <f>+'Schedule 1 (L)'!J197/8</f>
        <v>0</v>
      </c>
      <c r="K140" s="163">
        <f>+'Schedule 1 (L)'!K197/8</f>
        <v>0</v>
      </c>
      <c r="L140" s="163">
        <f>+'Schedule 1 (L)'!L197/8</f>
        <v>0</v>
      </c>
      <c r="M140" s="163">
        <f>+'Schedule 1 (L)'!M197/8</f>
        <v>0</v>
      </c>
      <c r="N140" s="163">
        <f>+'Schedule 1 (L)'!N197/8</f>
        <v>0</v>
      </c>
      <c r="O140" s="163">
        <f>+'Schedule 1 (L)'!O197/8</f>
        <v>0</v>
      </c>
      <c r="P140" s="163">
        <f>+'Schedule 1 (L)'!P197/8</f>
        <v>0</v>
      </c>
      <c r="Q140" s="163">
        <f>+'Schedule 1 (L)'!Q197/8</f>
        <v>0</v>
      </c>
      <c r="R140" s="163">
        <f>+'Schedule 1 (L)'!R197/8</f>
        <v>0</v>
      </c>
      <c r="S140" s="163">
        <f>+'Schedule 1 (L)'!S197/8</f>
        <v>0</v>
      </c>
      <c r="T140" s="43"/>
      <c r="U140" s="23"/>
    </row>
    <row r="141" spans="1:21" x14ac:dyDescent="0.2">
      <c r="B141" s="18" t="s">
        <v>108</v>
      </c>
      <c r="C141" s="25"/>
      <c r="D141" s="25"/>
      <c r="E141" s="45">
        <f t="shared" ref="E141:U141" si="12">SUM(E132:E140)</f>
        <v>0</v>
      </c>
      <c r="F141" s="45">
        <f t="shared" si="12"/>
        <v>0</v>
      </c>
      <c r="G141" s="45">
        <f t="shared" si="12"/>
        <v>0</v>
      </c>
      <c r="H141" s="45">
        <f t="shared" si="12"/>
        <v>0</v>
      </c>
      <c r="I141" s="45">
        <f t="shared" si="12"/>
        <v>0</v>
      </c>
      <c r="J141" s="45">
        <f t="shared" si="12"/>
        <v>0</v>
      </c>
      <c r="K141" s="45">
        <f t="shared" si="12"/>
        <v>0</v>
      </c>
      <c r="L141" s="45">
        <f t="shared" si="12"/>
        <v>0</v>
      </c>
      <c r="M141" s="45">
        <f t="shared" si="12"/>
        <v>0</v>
      </c>
      <c r="N141" s="45">
        <f t="shared" si="12"/>
        <v>2</v>
      </c>
      <c r="O141" s="45">
        <f t="shared" si="12"/>
        <v>2.625</v>
      </c>
      <c r="P141" s="45">
        <f t="shared" si="12"/>
        <v>0</v>
      </c>
      <c r="Q141" s="45">
        <f t="shared" si="12"/>
        <v>25.75</v>
      </c>
      <c r="R141" s="45">
        <f t="shared" si="12"/>
        <v>24.5</v>
      </c>
      <c r="S141" s="45">
        <f t="shared" si="12"/>
        <v>4.5</v>
      </c>
      <c r="T141" s="45">
        <f t="shared" si="12"/>
        <v>27.75</v>
      </c>
      <c r="U141" s="20">
        <f t="shared" si="12"/>
        <v>31.625</v>
      </c>
    </row>
    <row r="142" spans="1:21" x14ac:dyDescent="0.2">
      <c r="B142" s="18" t="s">
        <v>110</v>
      </c>
      <c r="C142" s="34"/>
      <c r="D142" s="34"/>
      <c r="E142" s="20">
        <v>85</v>
      </c>
      <c r="F142" s="20">
        <v>95</v>
      </c>
      <c r="G142" s="23">
        <v>125</v>
      </c>
      <c r="H142" s="20">
        <v>100</v>
      </c>
      <c r="I142" s="20">
        <v>150</v>
      </c>
      <c r="J142" s="23">
        <v>200</v>
      </c>
      <c r="K142" s="23">
        <v>52</v>
      </c>
      <c r="L142" s="23">
        <v>65.5</v>
      </c>
      <c r="M142" s="23">
        <v>81</v>
      </c>
      <c r="N142" s="23">
        <v>48</v>
      </c>
      <c r="O142" s="23">
        <v>63</v>
      </c>
      <c r="P142" s="23">
        <v>77.5</v>
      </c>
      <c r="Q142" s="23">
        <v>46</v>
      </c>
      <c r="R142" s="23">
        <v>59</v>
      </c>
      <c r="S142" s="23">
        <v>72.5</v>
      </c>
      <c r="T142" s="23"/>
      <c r="U142" s="23"/>
    </row>
    <row r="143" spans="1:21" x14ac:dyDescent="0.2">
      <c r="B143" s="18"/>
      <c r="E143" s="66"/>
      <c r="F143" s="66"/>
      <c r="G143" s="66"/>
      <c r="H143" s="66"/>
      <c r="I143" s="66"/>
      <c r="J143" s="66"/>
      <c r="K143" s="66"/>
      <c r="L143" s="66"/>
      <c r="M143" s="66"/>
      <c r="N143" s="66"/>
      <c r="O143" s="66"/>
      <c r="P143" s="66"/>
      <c r="Q143" s="43"/>
      <c r="R143" s="23"/>
    </row>
    <row r="146" spans="1:21" x14ac:dyDescent="0.2">
      <c r="B146" s="186" t="s">
        <v>87</v>
      </c>
      <c r="C146" s="19"/>
      <c r="D146" s="19" t="s">
        <v>91</v>
      </c>
      <c r="E146" s="43"/>
      <c r="F146" s="42" t="s">
        <v>95</v>
      </c>
      <c r="G146" s="43"/>
      <c r="H146" s="42"/>
      <c r="I146" s="42" t="s">
        <v>96</v>
      </c>
      <c r="J146" s="43"/>
      <c r="K146" s="43"/>
      <c r="L146" s="42" t="s">
        <v>97</v>
      </c>
      <c r="M146" s="43"/>
      <c r="N146" s="43"/>
      <c r="O146" s="42" t="s">
        <v>98</v>
      </c>
      <c r="P146" s="43"/>
      <c r="Q146" s="45" t="s">
        <v>573</v>
      </c>
      <c r="R146" s="20" t="s">
        <v>88</v>
      </c>
    </row>
    <row r="147" spans="1:21" x14ac:dyDescent="0.2">
      <c r="B147" s="18" t="s">
        <v>99</v>
      </c>
      <c r="C147" s="32" t="s">
        <v>100</v>
      </c>
      <c r="D147" s="32" t="s">
        <v>101</v>
      </c>
      <c r="E147" s="45" t="s">
        <v>102</v>
      </c>
      <c r="F147" s="45" t="s">
        <v>103</v>
      </c>
      <c r="G147" s="45" t="s">
        <v>104</v>
      </c>
      <c r="H147" s="45" t="s">
        <v>102</v>
      </c>
      <c r="I147" s="45" t="s">
        <v>103</v>
      </c>
      <c r="J147" s="45" t="s">
        <v>104</v>
      </c>
      <c r="K147" s="45" t="s">
        <v>102</v>
      </c>
      <c r="L147" s="45" t="s">
        <v>105</v>
      </c>
      <c r="M147" s="45" t="s">
        <v>104</v>
      </c>
      <c r="N147" s="45" t="s">
        <v>102</v>
      </c>
      <c r="O147" s="45" t="s">
        <v>106</v>
      </c>
      <c r="P147" s="45" t="s">
        <v>107</v>
      </c>
      <c r="Q147" s="45" t="s">
        <v>565</v>
      </c>
      <c r="R147" s="45" t="s">
        <v>566</v>
      </c>
    </row>
    <row r="148" spans="1:21" x14ac:dyDescent="0.2">
      <c r="A148" s="10">
        <v>1</v>
      </c>
      <c r="B148" s="33">
        <v>36701</v>
      </c>
      <c r="C148" s="32">
        <v>3</v>
      </c>
      <c r="D148" s="32">
        <v>15</v>
      </c>
      <c r="E148" s="163">
        <f>+'Schedule 1 (L)'!E205/8</f>
        <v>0</v>
      </c>
      <c r="F148" s="163">
        <f>+'Schedule 1 (L)'!F205/8</f>
        <v>0</v>
      </c>
      <c r="G148" s="163">
        <f>+'Schedule 1 (L)'!G205/8</f>
        <v>0</v>
      </c>
      <c r="H148" s="163">
        <f>+'Schedule 1 (L)'!H205/8</f>
        <v>0</v>
      </c>
      <c r="I148" s="163">
        <f>+'Schedule 1 (L)'!I205/8</f>
        <v>0</v>
      </c>
      <c r="J148" s="163">
        <f>+'Schedule 1 (L)'!J205/8</f>
        <v>0</v>
      </c>
      <c r="K148" s="163">
        <f>+'Schedule 1 (L)'!K205/8</f>
        <v>0</v>
      </c>
      <c r="L148" s="163">
        <f>+'Schedule 1 (L)'!L205/8</f>
        <v>1.625</v>
      </c>
      <c r="M148" s="163">
        <f>+'Schedule 1 (L)'!M205/8</f>
        <v>0</v>
      </c>
      <c r="N148" s="163">
        <f>+'Schedule 1 (L)'!N205/8</f>
        <v>0</v>
      </c>
      <c r="O148" s="163">
        <f>+'Schedule 1 (L)'!O205/8</f>
        <v>4.5</v>
      </c>
      <c r="P148" s="163">
        <f>+'Schedule 1 (L)'!P205/8</f>
        <v>0</v>
      </c>
      <c r="Q148" s="43">
        <f t="shared" ref="Q148:Q153" si="13">+E148+H148+K148+N148</f>
        <v>0</v>
      </c>
      <c r="R148" s="23">
        <f t="shared" ref="R148:R153" si="14">+F148+G148+I148+J148+L148+M148+O148+P148</f>
        <v>6.125</v>
      </c>
    </row>
    <row r="149" spans="1:21" x14ac:dyDescent="0.2">
      <c r="A149" s="10">
        <v>2</v>
      </c>
      <c r="B149" s="33">
        <v>36711</v>
      </c>
      <c r="C149" s="32">
        <v>3</v>
      </c>
      <c r="D149" s="32">
        <v>19</v>
      </c>
      <c r="E149" s="163">
        <f>+'Schedule 1 (L)'!E206/8</f>
        <v>0</v>
      </c>
      <c r="F149" s="163">
        <f>+'Schedule 1 (L)'!F206/8</f>
        <v>0</v>
      </c>
      <c r="G149" s="163">
        <f>+'Schedule 1 (L)'!G206/8</f>
        <v>0</v>
      </c>
      <c r="H149" s="163">
        <f>+'Schedule 1 (L)'!H206/8</f>
        <v>0</v>
      </c>
      <c r="I149" s="163">
        <f>+'Schedule 1 (L)'!I206/8</f>
        <v>0</v>
      </c>
      <c r="J149" s="163">
        <f>+'Schedule 1 (L)'!J206/8</f>
        <v>0</v>
      </c>
      <c r="K149" s="163">
        <f>+'Schedule 1 (L)'!K206/8</f>
        <v>0</v>
      </c>
      <c r="L149" s="163">
        <f>+'Schedule 1 (L)'!L206/8</f>
        <v>0</v>
      </c>
      <c r="M149" s="163">
        <f>+'Schedule 1 (L)'!M206/8</f>
        <v>0</v>
      </c>
      <c r="N149" s="163">
        <f>+'Schedule 1 (L)'!N206/8</f>
        <v>0</v>
      </c>
      <c r="O149" s="163">
        <f>+'Schedule 1 (L)'!O206/8</f>
        <v>0</v>
      </c>
      <c r="P149" s="163">
        <f>+'Schedule 1 (L)'!P206/8</f>
        <v>4.5</v>
      </c>
      <c r="Q149" s="43">
        <f t="shared" si="13"/>
        <v>0</v>
      </c>
      <c r="R149" s="23">
        <f t="shared" si="14"/>
        <v>4.5</v>
      </c>
    </row>
    <row r="150" spans="1:21" x14ac:dyDescent="0.2">
      <c r="A150" s="10">
        <v>3</v>
      </c>
      <c r="B150" s="33">
        <v>36712</v>
      </c>
      <c r="C150" s="32">
        <v>3</v>
      </c>
      <c r="D150" s="32">
        <v>19</v>
      </c>
      <c r="E150" s="163">
        <f>+'Schedule 1 (L)'!E207/8</f>
        <v>0</v>
      </c>
      <c r="F150" s="163">
        <f>+'Schedule 1 (L)'!F207/8</f>
        <v>0</v>
      </c>
      <c r="G150" s="163">
        <f>+'Schedule 1 (L)'!G207/8</f>
        <v>0</v>
      </c>
      <c r="H150" s="163">
        <f>+'Schedule 1 (L)'!H207/8</f>
        <v>0</v>
      </c>
      <c r="I150" s="163">
        <f>+'Schedule 1 (L)'!I207/8</f>
        <v>0</v>
      </c>
      <c r="J150" s="163">
        <f>+'Schedule 1 (L)'!J207/8</f>
        <v>0</v>
      </c>
      <c r="K150" s="163">
        <f>+'Schedule 1 (L)'!K207/8</f>
        <v>0</v>
      </c>
      <c r="L150" s="163">
        <f>+'Schedule 1 (L)'!L207/8</f>
        <v>0</v>
      </c>
      <c r="M150" s="163">
        <f>+'Schedule 1 (L)'!M207/8</f>
        <v>0</v>
      </c>
      <c r="N150" s="163">
        <f>+'Schedule 1 (L)'!N207/8</f>
        <v>3</v>
      </c>
      <c r="O150" s="163">
        <f>+'Schedule 1 (L)'!O207/8</f>
        <v>1.5</v>
      </c>
      <c r="P150" s="163">
        <f>+'Schedule 1 (L)'!P207/8</f>
        <v>0</v>
      </c>
      <c r="Q150" s="43">
        <f t="shared" si="13"/>
        <v>3</v>
      </c>
      <c r="R150" s="23">
        <f t="shared" si="14"/>
        <v>1.5</v>
      </c>
    </row>
    <row r="151" spans="1:21" x14ac:dyDescent="0.2">
      <c r="A151" s="10">
        <v>4</v>
      </c>
      <c r="B151" s="33">
        <v>36713</v>
      </c>
      <c r="C151" s="32">
        <v>3</v>
      </c>
      <c r="D151" s="32">
        <v>19</v>
      </c>
      <c r="E151" s="163">
        <f>+'Schedule 1 (L)'!E208/8</f>
        <v>0</v>
      </c>
      <c r="F151" s="163">
        <f>+'Schedule 1 (L)'!F208/8</f>
        <v>0</v>
      </c>
      <c r="G151" s="163">
        <f>+'Schedule 1 (L)'!G208/8</f>
        <v>0</v>
      </c>
      <c r="H151" s="163">
        <f>+'Schedule 1 (L)'!H208/8</f>
        <v>0</v>
      </c>
      <c r="I151" s="163">
        <f>+'Schedule 1 (L)'!I208/8</f>
        <v>0</v>
      </c>
      <c r="J151" s="163">
        <f>+'Schedule 1 (L)'!J208/8</f>
        <v>0</v>
      </c>
      <c r="K151" s="163">
        <f>+'Schedule 1 (L)'!K208/8</f>
        <v>0</v>
      </c>
      <c r="L151" s="163">
        <f>+'Schedule 1 (L)'!L208/8</f>
        <v>0</v>
      </c>
      <c r="M151" s="163">
        <f>+'Schedule 1 (L)'!M208/8</f>
        <v>0</v>
      </c>
      <c r="N151" s="163">
        <f>+'Schedule 1 (L)'!N208/8</f>
        <v>3</v>
      </c>
      <c r="O151" s="163">
        <f>+'Schedule 1 (L)'!O208/8</f>
        <v>1.5</v>
      </c>
      <c r="P151" s="163">
        <f>+'Schedule 1 (L)'!P208/8</f>
        <v>0</v>
      </c>
      <c r="Q151" s="43">
        <f t="shared" si="13"/>
        <v>3</v>
      </c>
      <c r="R151" s="23">
        <f t="shared" si="14"/>
        <v>1.5</v>
      </c>
    </row>
    <row r="152" spans="1:21" x14ac:dyDescent="0.2">
      <c r="A152" s="10">
        <v>5</v>
      </c>
      <c r="B152" s="33">
        <v>36718</v>
      </c>
      <c r="C152" s="32">
        <v>3</v>
      </c>
      <c r="D152" s="19">
        <v>21</v>
      </c>
      <c r="E152" s="163">
        <f>+'Schedule 1 (L)'!E209/8</f>
        <v>0</v>
      </c>
      <c r="F152" s="163">
        <f>+'Schedule 1 (L)'!F209/8</f>
        <v>0</v>
      </c>
      <c r="G152" s="163">
        <f>+'Schedule 1 (L)'!G209/8</f>
        <v>0</v>
      </c>
      <c r="H152" s="163">
        <f>+'Schedule 1 (L)'!H209/8</f>
        <v>0</v>
      </c>
      <c r="I152" s="163">
        <f>+'Schedule 1 (L)'!I209/8</f>
        <v>0</v>
      </c>
      <c r="J152" s="163">
        <f>+'Schedule 1 (L)'!J209/8</f>
        <v>0</v>
      </c>
      <c r="K152" s="163">
        <f>+'Schedule 1 (L)'!K209/8</f>
        <v>0</v>
      </c>
      <c r="L152" s="163">
        <f>+'Schedule 1 (L)'!L209/8</f>
        <v>0</v>
      </c>
      <c r="M152" s="163">
        <f>+'Schedule 1 (L)'!M209/8</f>
        <v>0</v>
      </c>
      <c r="N152" s="163">
        <f>+'Schedule 1 (L)'!N209/8</f>
        <v>4</v>
      </c>
      <c r="O152" s="163">
        <f>+'Schedule 1 (L)'!O209/8</f>
        <v>2</v>
      </c>
      <c r="P152" s="163">
        <f>+'Schedule 1 (L)'!P209/8</f>
        <v>0</v>
      </c>
      <c r="Q152" s="43">
        <f t="shared" si="13"/>
        <v>4</v>
      </c>
      <c r="R152" s="23">
        <f t="shared" si="14"/>
        <v>2</v>
      </c>
    </row>
    <row r="153" spans="1:21" x14ac:dyDescent="0.2">
      <c r="A153" s="10">
        <v>6</v>
      </c>
      <c r="B153" s="33">
        <v>36719</v>
      </c>
      <c r="C153" s="32">
        <v>3</v>
      </c>
      <c r="D153" s="19">
        <v>21</v>
      </c>
      <c r="E153" s="163">
        <f>+'Schedule 1 (L)'!E210/8</f>
        <v>0</v>
      </c>
      <c r="F153" s="163">
        <f>+'Schedule 1 (L)'!F210/8</f>
        <v>0</v>
      </c>
      <c r="G153" s="163">
        <f>+'Schedule 1 (L)'!G210/8</f>
        <v>0</v>
      </c>
      <c r="H153" s="163">
        <f>+'Schedule 1 (L)'!H210/8</f>
        <v>0</v>
      </c>
      <c r="I153" s="163">
        <f>+'Schedule 1 (L)'!I210/8</f>
        <v>0</v>
      </c>
      <c r="J153" s="163">
        <f>+'Schedule 1 (L)'!J210/8</f>
        <v>0</v>
      </c>
      <c r="K153" s="163">
        <f>+'Schedule 1 (L)'!K210/8</f>
        <v>0</v>
      </c>
      <c r="L153" s="163">
        <f>+'Schedule 1 (L)'!L210/8</f>
        <v>0</v>
      </c>
      <c r="M153" s="163">
        <f>+'Schedule 1 (L)'!M210/8</f>
        <v>0</v>
      </c>
      <c r="N153" s="163">
        <f>+'Schedule 1 (L)'!N210/8</f>
        <v>3</v>
      </c>
      <c r="O153" s="163">
        <f>+'Schedule 1 (L)'!O210/8</f>
        <v>1.5</v>
      </c>
      <c r="P153" s="163">
        <f>+'Schedule 1 (L)'!P210/8</f>
        <v>0</v>
      </c>
      <c r="Q153" s="43">
        <f t="shared" si="13"/>
        <v>3</v>
      </c>
      <c r="R153" s="23">
        <f t="shared" si="14"/>
        <v>1.5</v>
      </c>
    </row>
    <row r="154" spans="1:21" x14ac:dyDescent="0.2">
      <c r="E154" s="163">
        <f>+'Schedule 1 (L)'!E211/8</f>
        <v>0</v>
      </c>
      <c r="F154" s="163">
        <f>+'Schedule 1 (L)'!F211/8</f>
        <v>0</v>
      </c>
      <c r="G154" s="163">
        <f>+'Schedule 1 (L)'!G211/8</f>
        <v>0</v>
      </c>
      <c r="H154" s="163">
        <f>+'Schedule 1 (L)'!H211/8</f>
        <v>0</v>
      </c>
      <c r="I154" s="163">
        <f>+'Schedule 1 (L)'!I211/8</f>
        <v>0</v>
      </c>
      <c r="J154" s="163">
        <f>+'Schedule 1 (L)'!J211/8</f>
        <v>0</v>
      </c>
      <c r="K154" s="163">
        <f>+'Schedule 1 (L)'!K211/8</f>
        <v>0</v>
      </c>
      <c r="L154" s="163">
        <f>+'Schedule 1 (L)'!L211/8</f>
        <v>0</v>
      </c>
      <c r="M154" s="163">
        <f>+'Schedule 1 (L)'!M211/8</f>
        <v>0</v>
      </c>
      <c r="N154" s="163">
        <f>+'Schedule 1 (L)'!N211/8</f>
        <v>0</v>
      </c>
      <c r="O154" s="163">
        <f>+'Schedule 1 (L)'!O211/8</f>
        <v>0</v>
      </c>
      <c r="P154" s="163">
        <f>+'Schedule 1 (L)'!P211/8</f>
        <v>0</v>
      </c>
      <c r="Q154" s="43"/>
      <c r="R154" s="23"/>
    </row>
    <row r="155" spans="1:21" x14ac:dyDescent="0.2">
      <c r="B155" s="18" t="s">
        <v>108</v>
      </c>
      <c r="C155" s="25"/>
      <c r="D155" s="25"/>
      <c r="E155" s="45">
        <f t="shared" ref="E155:R155" si="15">SUM(E148:E154)</f>
        <v>0</v>
      </c>
      <c r="F155" s="45">
        <f t="shared" si="15"/>
        <v>0</v>
      </c>
      <c r="G155" s="45">
        <f t="shared" si="15"/>
        <v>0</v>
      </c>
      <c r="H155" s="45">
        <f t="shared" si="15"/>
        <v>0</v>
      </c>
      <c r="I155" s="45">
        <f t="shared" si="15"/>
        <v>0</v>
      </c>
      <c r="J155" s="45">
        <f t="shared" si="15"/>
        <v>0</v>
      </c>
      <c r="K155" s="45">
        <f t="shared" si="15"/>
        <v>0</v>
      </c>
      <c r="L155" s="45">
        <f t="shared" si="15"/>
        <v>1.625</v>
      </c>
      <c r="M155" s="45">
        <f t="shared" si="15"/>
        <v>0</v>
      </c>
      <c r="N155" s="45">
        <f t="shared" si="15"/>
        <v>13</v>
      </c>
      <c r="O155" s="45">
        <f t="shared" si="15"/>
        <v>11</v>
      </c>
      <c r="P155" s="45">
        <f t="shared" si="15"/>
        <v>4.5</v>
      </c>
      <c r="Q155" s="45">
        <f t="shared" si="15"/>
        <v>13</v>
      </c>
      <c r="R155" s="20">
        <f t="shared" si="15"/>
        <v>17.125</v>
      </c>
    </row>
    <row r="156" spans="1:21" x14ac:dyDescent="0.2">
      <c r="A156" s="10">
        <f>+A153+A139+A122+A95+A50</f>
        <v>95</v>
      </c>
      <c r="B156" s="18" t="s">
        <v>110</v>
      </c>
      <c r="C156" s="34"/>
      <c r="D156" s="34"/>
      <c r="E156" s="20">
        <v>100</v>
      </c>
      <c r="F156" s="20">
        <v>150</v>
      </c>
      <c r="G156" s="23">
        <v>200</v>
      </c>
      <c r="H156" s="23">
        <v>52</v>
      </c>
      <c r="I156" s="23">
        <v>65.5</v>
      </c>
      <c r="J156" s="23">
        <v>81</v>
      </c>
      <c r="K156" s="23">
        <v>48</v>
      </c>
      <c r="L156" s="23">
        <v>63</v>
      </c>
      <c r="M156" s="23">
        <v>77.5</v>
      </c>
      <c r="N156" s="23">
        <v>46</v>
      </c>
      <c r="O156" s="23">
        <v>59</v>
      </c>
      <c r="P156" s="23">
        <v>72.5</v>
      </c>
      <c r="Q156" s="23"/>
      <c r="R156" s="23"/>
    </row>
    <row r="157" spans="1:21" x14ac:dyDescent="0.2">
      <c r="B157" s="18"/>
      <c r="E157" s="66"/>
      <c r="F157" s="66"/>
      <c r="G157" s="66"/>
      <c r="H157" s="66"/>
      <c r="I157" s="66"/>
      <c r="J157" s="66"/>
      <c r="K157" s="66"/>
      <c r="L157" s="66"/>
      <c r="M157" s="66"/>
      <c r="N157" s="66"/>
      <c r="O157" s="66"/>
      <c r="P157" s="66"/>
      <c r="Q157" s="43"/>
      <c r="R157" s="23"/>
    </row>
    <row r="159" spans="1:21" x14ac:dyDescent="0.2">
      <c r="B159" s="186" t="s">
        <v>86</v>
      </c>
      <c r="C159" s="19"/>
      <c r="D159" s="214" t="s">
        <v>579</v>
      </c>
      <c r="E159" s="43"/>
      <c r="F159" s="67" t="s">
        <v>119</v>
      </c>
      <c r="G159" s="43"/>
      <c r="H159" s="43"/>
      <c r="I159" s="67" t="s">
        <v>95</v>
      </c>
      <c r="J159" s="43"/>
      <c r="K159" s="42"/>
      <c r="L159" s="67" t="s">
        <v>96</v>
      </c>
      <c r="M159" s="43"/>
      <c r="N159" s="43"/>
      <c r="O159" s="67" t="s">
        <v>97</v>
      </c>
      <c r="P159" s="43"/>
      <c r="Q159" s="43"/>
      <c r="R159" s="67" t="s">
        <v>98</v>
      </c>
      <c r="S159" s="43"/>
      <c r="T159" s="45" t="s">
        <v>572</v>
      </c>
      <c r="U159" s="20" t="s">
        <v>88</v>
      </c>
    </row>
    <row r="160" spans="1:21" x14ac:dyDescent="0.2">
      <c r="B160" s="18" t="s">
        <v>99</v>
      </c>
      <c r="C160" s="32"/>
      <c r="D160" s="32"/>
      <c r="E160" s="45" t="s">
        <v>102</v>
      </c>
      <c r="F160" s="45" t="s">
        <v>103</v>
      </c>
      <c r="G160" s="45" t="s">
        <v>104</v>
      </c>
      <c r="H160" s="45" t="s">
        <v>102</v>
      </c>
      <c r="I160" s="45" t="s">
        <v>103</v>
      </c>
      <c r="J160" s="45" t="s">
        <v>104</v>
      </c>
      <c r="K160" s="45" t="s">
        <v>102</v>
      </c>
      <c r="L160" s="45" t="s">
        <v>103</v>
      </c>
      <c r="M160" s="45" t="s">
        <v>104</v>
      </c>
      <c r="N160" s="45" t="s">
        <v>102</v>
      </c>
      <c r="O160" s="45" t="s">
        <v>105</v>
      </c>
      <c r="P160" s="45" t="s">
        <v>104</v>
      </c>
      <c r="Q160" s="45" t="s">
        <v>102</v>
      </c>
      <c r="R160" s="45" t="s">
        <v>106</v>
      </c>
      <c r="S160" s="45" t="s">
        <v>107</v>
      </c>
      <c r="T160" s="45" t="s">
        <v>565</v>
      </c>
      <c r="U160" s="45" t="s">
        <v>566</v>
      </c>
    </row>
    <row r="161" spans="2:21" x14ac:dyDescent="0.2">
      <c r="B161" s="33">
        <v>36701</v>
      </c>
      <c r="C161" s="32"/>
      <c r="D161" s="32"/>
      <c r="E161" s="163">
        <f t="shared" ref="E161:S161" si="16">+E132+E105+E14</f>
        <v>0</v>
      </c>
      <c r="F161" s="163">
        <f t="shared" si="16"/>
        <v>1.625</v>
      </c>
      <c r="G161" s="163">
        <f t="shared" si="16"/>
        <v>0</v>
      </c>
      <c r="H161" s="163">
        <f t="shared" si="16"/>
        <v>0</v>
      </c>
      <c r="I161" s="163">
        <f t="shared" si="16"/>
        <v>0</v>
      </c>
      <c r="J161" s="163">
        <f t="shared" si="16"/>
        <v>0</v>
      </c>
      <c r="K161" s="163">
        <f t="shared" si="16"/>
        <v>0</v>
      </c>
      <c r="L161" s="163">
        <f t="shared" si="16"/>
        <v>1.625</v>
      </c>
      <c r="M161" s="163">
        <f t="shared" si="16"/>
        <v>0</v>
      </c>
      <c r="N161" s="163">
        <f t="shared" si="16"/>
        <v>0</v>
      </c>
      <c r="O161" s="163">
        <f t="shared" si="16"/>
        <v>3.25</v>
      </c>
      <c r="P161" s="163">
        <f t="shared" si="16"/>
        <v>0</v>
      </c>
      <c r="Q161" s="163">
        <f t="shared" si="16"/>
        <v>0</v>
      </c>
      <c r="R161" s="163">
        <f t="shared" si="16"/>
        <v>20</v>
      </c>
      <c r="S161" s="163">
        <f t="shared" si="16"/>
        <v>0</v>
      </c>
      <c r="T161" s="43">
        <f>+E161+H161+K161+N161+Q161</f>
        <v>0</v>
      </c>
      <c r="U161" s="23">
        <f>+F161+G161+I161+J161+L161+M161+O161+P161+R161+S161</f>
        <v>26.5</v>
      </c>
    </row>
    <row r="162" spans="2:21" x14ac:dyDescent="0.2">
      <c r="B162" s="33">
        <v>36702</v>
      </c>
      <c r="C162" s="32"/>
      <c r="D162" s="32"/>
      <c r="E162" s="163">
        <f t="shared" ref="E162:S162" si="17">+E133+E15</f>
        <v>0</v>
      </c>
      <c r="F162" s="163">
        <f t="shared" si="17"/>
        <v>0</v>
      </c>
      <c r="G162" s="163">
        <f t="shared" si="17"/>
        <v>1.625</v>
      </c>
      <c r="H162" s="163">
        <f t="shared" si="17"/>
        <v>0</v>
      </c>
      <c r="I162" s="163">
        <f t="shared" si="17"/>
        <v>0</v>
      </c>
      <c r="J162" s="163">
        <f t="shared" si="17"/>
        <v>0</v>
      </c>
      <c r="K162" s="163">
        <f t="shared" si="17"/>
        <v>0</v>
      </c>
      <c r="L162" s="163">
        <f t="shared" si="17"/>
        <v>0</v>
      </c>
      <c r="M162" s="163">
        <f t="shared" si="17"/>
        <v>1.625</v>
      </c>
      <c r="N162" s="163">
        <f t="shared" si="17"/>
        <v>0</v>
      </c>
      <c r="O162" s="163">
        <f t="shared" si="17"/>
        <v>0</v>
      </c>
      <c r="P162" s="163">
        <f t="shared" si="17"/>
        <v>3.25</v>
      </c>
      <c r="Q162" s="163">
        <f t="shared" si="17"/>
        <v>0</v>
      </c>
      <c r="R162" s="163">
        <f t="shared" si="17"/>
        <v>0</v>
      </c>
      <c r="S162" s="163">
        <f t="shared" si="17"/>
        <v>19.5</v>
      </c>
      <c r="T162" s="43">
        <f t="shared" ref="T162:T170" si="18">+E162+H162+K162+N162+Q162</f>
        <v>0</v>
      </c>
      <c r="U162" s="23">
        <f t="shared" ref="U162:U170" si="19">+F162+G162+I162+J162+L162+M162+O162+P162+R162+S162</f>
        <v>26</v>
      </c>
    </row>
    <row r="163" spans="2:21" x14ac:dyDescent="0.2">
      <c r="B163" s="33">
        <v>36703</v>
      </c>
      <c r="C163" s="32"/>
      <c r="D163" s="32"/>
      <c r="E163" s="163">
        <f>+E134+E16</f>
        <v>0</v>
      </c>
      <c r="F163" s="163">
        <f t="shared" ref="F163:S163" si="20">+F134+F107+F16</f>
        <v>0</v>
      </c>
      <c r="G163" s="163">
        <f t="shared" si="20"/>
        <v>0</v>
      </c>
      <c r="H163" s="163">
        <f t="shared" si="20"/>
        <v>0</v>
      </c>
      <c r="I163" s="163">
        <f t="shared" si="20"/>
        <v>0</v>
      </c>
      <c r="J163" s="163">
        <f t="shared" si="20"/>
        <v>0</v>
      </c>
      <c r="K163" s="163">
        <f t="shared" si="20"/>
        <v>1</v>
      </c>
      <c r="L163" s="163">
        <f t="shared" si="20"/>
        <v>0.625</v>
      </c>
      <c r="M163" s="163">
        <f t="shared" si="20"/>
        <v>0</v>
      </c>
      <c r="N163" s="163">
        <f t="shared" si="20"/>
        <v>2.5</v>
      </c>
      <c r="O163" s="163">
        <f t="shared" si="20"/>
        <v>1</v>
      </c>
      <c r="P163" s="163">
        <f t="shared" si="20"/>
        <v>0</v>
      </c>
      <c r="Q163" s="163">
        <f t="shared" si="20"/>
        <v>13.5</v>
      </c>
      <c r="R163" s="163">
        <f t="shared" si="20"/>
        <v>5.5</v>
      </c>
      <c r="S163" s="163">
        <f t="shared" si="20"/>
        <v>0</v>
      </c>
      <c r="T163" s="43">
        <f t="shared" si="18"/>
        <v>17</v>
      </c>
      <c r="U163" s="23">
        <f t="shared" si="19"/>
        <v>7.125</v>
      </c>
    </row>
    <row r="164" spans="2:21" x14ac:dyDescent="0.2">
      <c r="B164" s="33">
        <v>36704</v>
      </c>
      <c r="C164" s="32"/>
      <c r="D164" s="32"/>
      <c r="E164" s="163">
        <f t="shared" ref="E164:S164" si="21">+E106+E17</f>
        <v>0</v>
      </c>
      <c r="F164" s="163">
        <f t="shared" si="21"/>
        <v>0</v>
      </c>
      <c r="G164" s="163">
        <f t="shared" si="21"/>
        <v>0</v>
      </c>
      <c r="H164" s="163">
        <f t="shared" si="21"/>
        <v>0</v>
      </c>
      <c r="I164" s="163">
        <f t="shared" si="21"/>
        <v>0</v>
      </c>
      <c r="J164" s="163">
        <f t="shared" si="21"/>
        <v>0</v>
      </c>
      <c r="K164" s="163">
        <f t="shared" si="21"/>
        <v>1</v>
      </c>
      <c r="L164" s="163">
        <f t="shared" si="21"/>
        <v>0.625</v>
      </c>
      <c r="M164" s="163">
        <f t="shared" si="21"/>
        <v>0</v>
      </c>
      <c r="N164" s="163">
        <f t="shared" si="21"/>
        <v>2</v>
      </c>
      <c r="O164" s="163">
        <f t="shared" si="21"/>
        <v>1.25</v>
      </c>
      <c r="P164" s="163">
        <f t="shared" si="21"/>
        <v>0</v>
      </c>
      <c r="Q164" s="163">
        <f t="shared" si="21"/>
        <v>12</v>
      </c>
      <c r="R164" s="163">
        <f t="shared" si="21"/>
        <v>6</v>
      </c>
      <c r="S164" s="163">
        <f t="shared" si="21"/>
        <v>0</v>
      </c>
      <c r="T164" s="43"/>
      <c r="U164" s="23"/>
    </row>
    <row r="165" spans="2:21" x14ac:dyDescent="0.2">
      <c r="B165" s="33">
        <v>36705</v>
      </c>
      <c r="C165" s="32"/>
      <c r="D165" s="32"/>
      <c r="E165" s="163">
        <f t="shared" ref="E165:S165" si="22">+E107+E18</f>
        <v>0</v>
      </c>
      <c r="F165" s="163">
        <f t="shared" si="22"/>
        <v>0</v>
      </c>
      <c r="G165" s="163">
        <f t="shared" si="22"/>
        <v>0</v>
      </c>
      <c r="H165" s="163">
        <f t="shared" si="22"/>
        <v>0</v>
      </c>
      <c r="I165" s="163">
        <f t="shared" si="22"/>
        <v>0</v>
      </c>
      <c r="J165" s="163">
        <f t="shared" si="22"/>
        <v>0</v>
      </c>
      <c r="K165" s="163">
        <f t="shared" si="22"/>
        <v>1</v>
      </c>
      <c r="L165" s="163">
        <f t="shared" si="22"/>
        <v>0.625</v>
      </c>
      <c r="M165" s="163">
        <f t="shared" si="22"/>
        <v>0</v>
      </c>
      <c r="N165" s="163">
        <f t="shared" si="22"/>
        <v>2</v>
      </c>
      <c r="O165" s="163">
        <f t="shared" si="22"/>
        <v>1.25</v>
      </c>
      <c r="P165" s="163">
        <f t="shared" si="22"/>
        <v>0</v>
      </c>
      <c r="Q165" s="163">
        <f t="shared" si="22"/>
        <v>12</v>
      </c>
      <c r="R165" s="163">
        <f t="shared" si="22"/>
        <v>6</v>
      </c>
      <c r="S165" s="163">
        <f t="shared" si="22"/>
        <v>0</v>
      </c>
      <c r="T165" s="43"/>
      <c r="U165" s="23"/>
    </row>
    <row r="166" spans="2:21" x14ac:dyDescent="0.2">
      <c r="B166" s="33">
        <v>36712</v>
      </c>
      <c r="C166" s="32"/>
      <c r="D166" s="32"/>
      <c r="E166" s="163">
        <f t="shared" ref="E166:S166" si="23">+E135+E25</f>
        <v>1</v>
      </c>
      <c r="F166" s="163">
        <f t="shared" si="23"/>
        <v>0.625</v>
      </c>
      <c r="G166" s="163">
        <f t="shared" si="23"/>
        <v>0</v>
      </c>
      <c r="H166" s="163">
        <f t="shared" si="23"/>
        <v>0</v>
      </c>
      <c r="I166" s="163">
        <f t="shared" si="23"/>
        <v>0</v>
      </c>
      <c r="J166" s="163">
        <f t="shared" si="23"/>
        <v>0</v>
      </c>
      <c r="K166" s="163">
        <f t="shared" si="23"/>
        <v>1</v>
      </c>
      <c r="L166" s="163">
        <f t="shared" si="23"/>
        <v>0.625</v>
      </c>
      <c r="M166" s="163">
        <f t="shared" si="23"/>
        <v>0</v>
      </c>
      <c r="N166" s="163">
        <f t="shared" si="23"/>
        <v>2</v>
      </c>
      <c r="O166" s="163">
        <f t="shared" si="23"/>
        <v>1.25</v>
      </c>
      <c r="P166" s="163">
        <f t="shared" si="23"/>
        <v>0</v>
      </c>
      <c r="Q166" s="163">
        <f t="shared" si="23"/>
        <v>13</v>
      </c>
      <c r="R166" s="163">
        <f t="shared" si="23"/>
        <v>6.5</v>
      </c>
      <c r="S166" s="163">
        <f t="shared" si="23"/>
        <v>0</v>
      </c>
      <c r="T166" s="43">
        <f t="shared" si="18"/>
        <v>17</v>
      </c>
      <c r="U166" s="23">
        <f t="shared" si="19"/>
        <v>9</v>
      </c>
    </row>
    <row r="167" spans="2:21" x14ac:dyDescent="0.2">
      <c r="B167" s="33">
        <v>36713</v>
      </c>
      <c r="C167" s="32"/>
      <c r="D167" s="32"/>
      <c r="E167" s="163">
        <f t="shared" ref="E167:S167" si="24">+E136+E26</f>
        <v>1</v>
      </c>
      <c r="F167" s="163">
        <f t="shared" si="24"/>
        <v>0.625</v>
      </c>
      <c r="G167" s="163">
        <f t="shared" si="24"/>
        <v>0</v>
      </c>
      <c r="H167" s="163">
        <f t="shared" si="24"/>
        <v>0</v>
      </c>
      <c r="I167" s="163">
        <f t="shared" si="24"/>
        <v>0</v>
      </c>
      <c r="J167" s="163">
        <f t="shared" si="24"/>
        <v>0</v>
      </c>
      <c r="K167" s="163">
        <f t="shared" si="24"/>
        <v>1</v>
      </c>
      <c r="L167" s="163">
        <f t="shared" si="24"/>
        <v>0.625</v>
      </c>
      <c r="M167" s="163">
        <f t="shared" si="24"/>
        <v>0</v>
      </c>
      <c r="N167" s="163">
        <f t="shared" si="24"/>
        <v>2</v>
      </c>
      <c r="O167" s="163">
        <f t="shared" si="24"/>
        <v>1.25</v>
      </c>
      <c r="P167" s="163">
        <f t="shared" si="24"/>
        <v>0</v>
      </c>
      <c r="Q167" s="163">
        <f t="shared" si="24"/>
        <v>13</v>
      </c>
      <c r="R167" s="163">
        <f t="shared" si="24"/>
        <v>6.5</v>
      </c>
      <c r="S167" s="163">
        <f t="shared" si="24"/>
        <v>0</v>
      </c>
      <c r="T167" s="43">
        <f t="shared" si="18"/>
        <v>17</v>
      </c>
      <c r="U167" s="23">
        <f t="shared" si="19"/>
        <v>9</v>
      </c>
    </row>
    <row r="168" spans="2:21" x14ac:dyDescent="0.2">
      <c r="B168" s="33">
        <v>36714</v>
      </c>
      <c r="C168" s="32"/>
      <c r="D168" s="32"/>
      <c r="E168" s="163">
        <f t="shared" ref="E168:S168" si="25">+E137+E27</f>
        <v>1</v>
      </c>
      <c r="F168" s="163">
        <f t="shared" si="25"/>
        <v>0.625</v>
      </c>
      <c r="G168" s="163">
        <f t="shared" si="25"/>
        <v>0</v>
      </c>
      <c r="H168" s="163">
        <f t="shared" si="25"/>
        <v>0</v>
      </c>
      <c r="I168" s="163">
        <f t="shared" si="25"/>
        <v>0</v>
      </c>
      <c r="J168" s="163">
        <f t="shared" si="25"/>
        <v>0</v>
      </c>
      <c r="K168" s="163">
        <f t="shared" si="25"/>
        <v>1</v>
      </c>
      <c r="L168" s="163">
        <f t="shared" si="25"/>
        <v>0.625</v>
      </c>
      <c r="M168" s="163">
        <f t="shared" si="25"/>
        <v>0</v>
      </c>
      <c r="N168" s="163">
        <f t="shared" si="25"/>
        <v>2</v>
      </c>
      <c r="O168" s="163">
        <f t="shared" si="25"/>
        <v>1.25</v>
      </c>
      <c r="P168" s="163">
        <f t="shared" si="25"/>
        <v>0</v>
      </c>
      <c r="Q168" s="163">
        <f t="shared" si="25"/>
        <v>10</v>
      </c>
      <c r="R168" s="163">
        <f t="shared" si="25"/>
        <v>5</v>
      </c>
      <c r="S168" s="163">
        <f t="shared" si="25"/>
        <v>0</v>
      </c>
      <c r="T168" s="43">
        <f t="shared" si="18"/>
        <v>14</v>
      </c>
      <c r="U168" s="23">
        <f t="shared" si="19"/>
        <v>7.5</v>
      </c>
    </row>
    <row r="169" spans="2:21" x14ac:dyDescent="0.2">
      <c r="B169" s="33">
        <v>36719</v>
      </c>
      <c r="C169" s="32"/>
      <c r="D169" s="19"/>
      <c r="E169" s="163">
        <f t="shared" ref="E169:S169" si="26">+E138+E32</f>
        <v>1</v>
      </c>
      <c r="F169" s="163">
        <f t="shared" si="26"/>
        <v>0.625</v>
      </c>
      <c r="G169" s="163">
        <f t="shared" si="26"/>
        <v>0</v>
      </c>
      <c r="H169" s="163">
        <f t="shared" si="26"/>
        <v>1</v>
      </c>
      <c r="I169" s="163">
        <f t="shared" si="26"/>
        <v>0.625</v>
      </c>
      <c r="J169" s="163">
        <f t="shared" si="26"/>
        <v>0</v>
      </c>
      <c r="K169" s="163">
        <f t="shared" si="26"/>
        <v>1</v>
      </c>
      <c r="L169" s="163">
        <f t="shared" si="26"/>
        <v>0.625</v>
      </c>
      <c r="M169" s="163">
        <f t="shared" si="26"/>
        <v>0</v>
      </c>
      <c r="N169" s="163">
        <f t="shared" si="26"/>
        <v>2</v>
      </c>
      <c r="O169" s="163">
        <f t="shared" si="26"/>
        <v>1.25</v>
      </c>
      <c r="P169" s="163">
        <f t="shared" si="26"/>
        <v>0</v>
      </c>
      <c r="Q169" s="163">
        <f t="shared" si="26"/>
        <v>11</v>
      </c>
      <c r="R169" s="163">
        <f t="shared" si="26"/>
        <v>5</v>
      </c>
      <c r="S169" s="163">
        <f t="shared" si="26"/>
        <v>0</v>
      </c>
      <c r="T169" s="43">
        <f t="shared" si="18"/>
        <v>16</v>
      </c>
      <c r="U169" s="23">
        <f t="shared" si="19"/>
        <v>8.125</v>
      </c>
    </row>
    <row r="170" spans="2:21" x14ac:dyDescent="0.2">
      <c r="B170" s="33">
        <v>36720</v>
      </c>
      <c r="C170" s="32"/>
      <c r="D170" s="19"/>
      <c r="E170" s="163">
        <f t="shared" ref="E170:S170" si="27">+E139+E33</f>
        <v>1</v>
      </c>
      <c r="F170" s="163">
        <f t="shared" si="27"/>
        <v>0.625</v>
      </c>
      <c r="G170" s="163">
        <f t="shared" si="27"/>
        <v>0</v>
      </c>
      <c r="H170" s="163">
        <f t="shared" si="27"/>
        <v>1</v>
      </c>
      <c r="I170" s="163">
        <f t="shared" si="27"/>
        <v>0.625</v>
      </c>
      <c r="J170" s="163">
        <f t="shared" si="27"/>
        <v>0</v>
      </c>
      <c r="K170" s="163">
        <f t="shared" si="27"/>
        <v>1</v>
      </c>
      <c r="L170" s="163">
        <f t="shared" si="27"/>
        <v>0.625</v>
      </c>
      <c r="M170" s="163">
        <f t="shared" si="27"/>
        <v>0</v>
      </c>
      <c r="N170" s="163">
        <f t="shared" si="27"/>
        <v>2</v>
      </c>
      <c r="O170" s="163">
        <f t="shared" si="27"/>
        <v>1.25</v>
      </c>
      <c r="P170" s="163">
        <f t="shared" si="27"/>
        <v>0</v>
      </c>
      <c r="Q170" s="163">
        <f t="shared" si="27"/>
        <v>10</v>
      </c>
      <c r="R170" s="163">
        <f t="shared" si="27"/>
        <v>5</v>
      </c>
      <c r="S170" s="163">
        <f t="shared" si="27"/>
        <v>0</v>
      </c>
      <c r="T170" s="43">
        <f t="shared" si="18"/>
        <v>15</v>
      </c>
      <c r="U170" s="23">
        <f t="shared" si="19"/>
        <v>8.125</v>
      </c>
    </row>
    <row r="171" spans="2:21" x14ac:dyDescent="0.2">
      <c r="B171" s="33">
        <v>36738</v>
      </c>
      <c r="C171" s="32"/>
      <c r="D171" s="19"/>
      <c r="E171" s="163">
        <f>+E108</f>
        <v>0</v>
      </c>
      <c r="F171" s="163">
        <f t="shared" ref="F171:S171" si="28">+F108</f>
        <v>0</v>
      </c>
      <c r="G171" s="163">
        <f t="shared" si="28"/>
        <v>0</v>
      </c>
      <c r="H171" s="163">
        <f t="shared" si="28"/>
        <v>0</v>
      </c>
      <c r="I171" s="163">
        <f t="shared" si="28"/>
        <v>0</v>
      </c>
      <c r="J171" s="163">
        <f t="shared" si="28"/>
        <v>0</v>
      </c>
      <c r="K171" s="163">
        <f t="shared" si="28"/>
        <v>1</v>
      </c>
      <c r="L171" s="163">
        <f t="shared" si="28"/>
        <v>0.625</v>
      </c>
      <c r="M171" s="163">
        <f t="shared" si="28"/>
        <v>0</v>
      </c>
      <c r="N171" s="163">
        <f t="shared" si="28"/>
        <v>1</v>
      </c>
      <c r="O171" s="163">
        <f t="shared" si="28"/>
        <v>0.625</v>
      </c>
      <c r="P171" s="163">
        <f t="shared" si="28"/>
        <v>0</v>
      </c>
      <c r="Q171" s="163">
        <f t="shared" si="28"/>
        <v>7</v>
      </c>
      <c r="R171" s="163">
        <f t="shared" si="28"/>
        <v>2</v>
      </c>
      <c r="S171" s="163">
        <f t="shared" si="28"/>
        <v>0</v>
      </c>
      <c r="T171" s="43"/>
      <c r="U171" s="23"/>
    </row>
    <row r="172" spans="2:21" x14ac:dyDescent="0.2">
      <c r="B172" s="33">
        <v>36739</v>
      </c>
      <c r="C172" s="32"/>
      <c r="D172" s="19"/>
      <c r="E172" s="163">
        <f t="shared" ref="E172:S175" si="29">+E109</f>
        <v>0</v>
      </c>
      <c r="F172" s="163">
        <f t="shared" si="29"/>
        <v>0</v>
      </c>
      <c r="G172" s="163">
        <f t="shared" si="29"/>
        <v>0</v>
      </c>
      <c r="H172" s="163">
        <f t="shared" si="29"/>
        <v>0</v>
      </c>
      <c r="I172" s="163">
        <f t="shared" si="29"/>
        <v>0</v>
      </c>
      <c r="J172" s="163">
        <f t="shared" si="29"/>
        <v>0</v>
      </c>
      <c r="K172" s="163">
        <f t="shared" si="29"/>
        <v>1</v>
      </c>
      <c r="L172" s="163">
        <f t="shared" si="29"/>
        <v>0.5</v>
      </c>
      <c r="M172" s="163">
        <f t="shared" si="29"/>
        <v>0</v>
      </c>
      <c r="N172" s="163">
        <f t="shared" si="29"/>
        <v>1</v>
      </c>
      <c r="O172" s="163">
        <f t="shared" si="29"/>
        <v>0.5</v>
      </c>
      <c r="P172" s="163">
        <f t="shared" si="29"/>
        <v>0</v>
      </c>
      <c r="Q172" s="163">
        <f t="shared" si="29"/>
        <v>4</v>
      </c>
      <c r="R172" s="163">
        <f t="shared" si="29"/>
        <v>2</v>
      </c>
      <c r="S172" s="163">
        <f t="shared" si="29"/>
        <v>0</v>
      </c>
      <c r="T172" s="43"/>
      <c r="U172" s="23"/>
    </row>
    <row r="173" spans="2:21" x14ac:dyDescent="0.2">
      <c r="B173" s="33">
        <v>36740</v>
      </c>
      <c r="C173" s="32"/>
      <c r="D173" s="19"/>
      <c r="E173" s="163">
        <f t="shared" si="29"/>
        <v>0</v>
      </c>
      <c r="F173" s="163">
        <f t="shared" si="29"/>
        <v>0</v>
      </c>
      <c r="G173" s="163">
        <f t="shared" si="29"/>
        <v>0</v>
      </c>
      <c r="H173" s="163">
        <f t="shared" si="29"/>
        <v>0</v>
      </c>
      <c r="I173" s="163">
        <f t="shared" si="29"/>
        <v>0</v>
      </c>
      <c r="J173" s="163">
        <f t="shared" si="29"/>
        <v>0</v>
      </c>
      <c r="K173" s="163">
        <f t="shared" si="29"/>
        <v>1</v>
      </c>
      <c r="L173" s="163">
        <f t="shared" si="29"/>
        <v>0.5</v>
      </c>
      <c r="M173" s="163">
        <f t="shared" si="29"/>
        <v>0</v>
      </c>
      <c r="N173" s="163">
        <f t="shared" si="29"/>
        <v>1</v>
      </c>
      <c r="O173" s="163">
        <f t="shared" si="29"/>
        <v>0.5</v>
      </c>
      <c r="P173" s="163">
        <f t="shared" si="29"/>
        <v>0</v>
      </c>
      <c r="Q173" s="163">
        <f t="shared" si="29"/>
        <v>4</v>
      </c>
      <c r="R173" s="163">
        <f t="shared" si="29"/>
        <v>2</v>
      </c>
      <c r="S173" s="163">
        <f t="shared" si="29"/>
        <v>0</v>
      </c>
      <c r="T173" s="43"/>
      <c r="U173" s="23"/>
    </row>
    <row r="174" spans="2:21" x14ac:dyDescent="0.2">
      <c r="B174" s="33">
        <v>36741</v>
      </c>
      <c r="C174" s="32"/>
      <c r="D174" s="19"/>
      <c r="E174" s="163">
        <f t="shared" si="29"/>
        <v>0</v>
      </c>
      <c r="F174" s="163">
        <f t="shared" si="29"/>
        <v>0</v>
      </c>
      <c r="G174" s="163">
        <f t="shared" si="29"/>
        <v>0</v>
      </c>
      <c r="H174" s="163">
        <f t="shared" si="29"/>
        <v>0</v>
      </c>
      <c r="I174" s="163">
        <f t="shared" si="29"/>
        <v>0</v>
      </c>
      <c r="J174" s="163">
        <f t="shared" si="29"/>
        <v>0</v>
      </c>
      <c r="K174" s="163">
        <f t="shared" si="29"/>
        <v>1</v>
      </c>
      <c r="L174" s="163">
        <f t="shared" si="29"/>
        <v>0.5</v>
      </c>
      <c r="M174" s="163">
        <f t="shared" si="29"/>
        <v>0</v>
      </c>
      <c r="N174" s="163">
        <f t="shared" si="29"/>
        <v>1</v>
      </c>
      <c r="O174" s="163">
        <f t="shared" si="29"/>
        <v>0.5</v>
      </c>
      <c r="P174" s="163">
        <f t="shared" si="29"/>
        <v>0</v>
      </c>
      <c r="Q174" s="163">
        <f t="shared" si="29"/>
        <v>4</v>
      </c>
      <c r="R174" s="163">
        <f t="shared" si="29"/>
        <v>2</v>
      </c>
      <c r="S174" s="163">
        <f t="shared" si="29"/>
        <v>0</v>
      </c>
      <c r="T174" s="43"/>
      <c r="U174" s="23"/>
    </row>
    <row r="175" spans="2:21" x14ac:dyDescent="0.2">
      <c r="B175" s="33">
        <v>36742</v>
      </c>
      <c r="C175" s="32"/>
      <c r="D175" s="19"/>
      <c r="E175" s="163">
        <f t="shared" si="29"/>
        <v>0</v>
      </c>
      <c r="F175" s="163">
        <f t="shared" si="29"/>
        <v>0</v>
      </c>
      <c r="G175" s="163">
        <f t="shared" si="29"/>
        <v>0</v>
      </c>
      <c r="H175" s="163">
        <f t="shared" si="29"/>
        <v>0</v>
      </c>
      <c r="I175" s="163">
        <f t="shared" si="29"/>
        <v>0</v>
      </c>
      <c r="J175" s="163">
        <f t="shared" si="29"/>
        <v>0</v>
      </c>
      <c r="K175" s="163">
        <f t="shared" si="29"/>
        <v>2</v>
      </c>
      <c r="L175" s="163">
        <f t="shared" si="29"/>
        <v>0.5</v>
      </c>
      <c r="M175" s="163">
        <f t="shared" si="29"/>
        <v>0</v>
      </c>
      <c r="N175" s="163">
        <f t="shared" si="29"/>
        <v>2</v>
      </c>
      <c r="O175" s="163">
        <f t="shared" si="29"/>
        <v>0.5</v>
      </c>
      <c r="P175" s="163">
        <f t="shared" si="29"/>
        <v>0</v>
      </c>
      <c r="Q175" s="163">
        <f t="shared" si="29"/>
        <v>9</v>
      </c>
      <c r="R175" s="163">
        <f t="shared" si="29"/>
        <v>2</v>
      </c>
      <c r="S175" s="163">
        <f t="shared" si="29"/>
        <v>0</v>
      </c>
      <c r="T175" s="43"/>
      <c r="U175" s="23"/>
    </row>
    <row r="176" spans="2:21" x14ac:dyDescent="0.2">
      <c r="E176" s="163"/>
      <c r="F176" s="163"/>
      <c r="G176" s="163"/>
      <c r="H176" s="163"/>
      <c r="I176" s="163"/>
      <c r="J176" s="163"/>
      <c r="K176" s="163"/>
      <c r="L176" s="163"/>
      <c r="M176" s="163"/>
      <c r="N176" s="163"/>
      <c r="O176" s="163"/>
      <c r="P176" s="163"/>
      <c r="Q176" s="163"/>
      <c r="R176" s="163"/>
      <c r="S176" s="163"/>
      <c r="T176" s="43"/>
      <c r="U176" s="23"/>
    </row>
    <row r="177" spans="2:21" x14ac:dyDescent="0.2">
      <c r="B177" s="18" t="s">
        <v>108</v>
      </c>
      <c r="C177" s="25"/>
      <c r="D177" s="25"/>
      <c r="E177" s="45">
        <f t="shared" ref="E177:U177" si="30">SUM(E161:E176)</f>
        <v>5</v>
      </c>
      <c r="F177" s="45">
        <f t="shared" si="30"/>
        <v>4.75</v>
      </c>
      <c r="G177" s="45">
        <f t="shared" si="30"/>
        <v>1.625</v>
      </c>
      <c r="H177" s="45">
        <f t="shared" si="30"/>
        <v>2</v>
      </c>
      <c r="I177" s="45">
        <f t="shared" si="30"/>
        <v>1.25</v>
      </c>
      <c r="J177" s="45">
        <f t="shared" si="30"/>
        <v>0</v>
      </c>
      <c r="K177" s="45">
        <f t="shared" si="30"/>
        <v>14</v>
      </c>
      <c r="L177" s="45">
        <f t="shared" si="30"/>
        <v>9.25</v>
      </c>
      <c r="M177" s="45">
        <f t="shared" si="30"/>
        <v>1.625</v>
      </c>
      <c r="N177" s="45">
        <f t="shared" si="30"/>
        <v>22.5</v>
      </c>
      <c r="O177" s="45">
        <f t="shared" si="30"/>
        <v>15.625</v>
      </c>
      <c r="P177" s="45">
        <f t="shared" si="30"/>
        <v>3.25</v>
      </c>
      <c r="Q177" s="45">
        <f t="shared" si="30"/>
        <v>122.5</v>
      </c>
      <c r="R177" s="45">
        <f t="shared" si="30"/>
        <v>75.5</v>
      </c>
      <c r="S177" s="45">
        <f t="shared" si="30"/>
        <v>19.5</v>
      </c>
      <c r="T177" s="45">
        <f t="shared" si="30"/>
        <v>96</v>
      </c>
      <c r="U177" s="20">
        <f t="shared" si="30"/>
        <v>101.375</v>
      </c>
    </row>
    <row r="178" spans="2:21" x14ac:dyDescent="0.2">
      <c r="B178" s="18" t="s">
        <v>110</v>
      </c>
      <c r="C178" s="34"/>
      <c r="D178" s="34"/>
      <c r="E178" s="20">
        <v>85</v>
      </c>
      <c r="F178" s="20">
        <v>95</v>
      </c>
      <c r="G178" s="23">
        <v>125</v>
      </c>
      <c r="H178" s="20">
        <v>100</v>
      </c>
      <c r="I178" s="20">
        <v>150</v>
      </c>
      <c r="J178" s="23">
        <v>200</v>
      </c>
      <c r="K178" s="23">
        <v>52</v>
      </c>
      <c r="L178" s="23">
        <v>65.5</v>
      </c>
      <c r="M178" s="23">
        <v>81</v>
      </c>
      <c r="N178" s="23">
        <v>48</v>
      </c>
      <c r="O178" s="23">
        <v>63</v>
      </c>
      <c r="P178" s="23">
        <v>77.5</v>
      </c>
      <c r="Q178" s="23">
        <v>46</v>
      </c>
      <c r="R178" s="23">
        <v>59</v>
      </c>
      <c r="S178" s="23">
        <v>72.5</v>
      </c>
      <c r="T178" s="23"/>
      <c r="U178" s="23"/>
    </row>
    <row r="179" spans="2:21" x14ac:dyDescent="0.2">
      <c r="B179" s="18"/>
      <c r="E179" s="66"/>
      <c r="F179" s="66"/>
      <c r="G179" s="66"/>
      <c r="H179" s="66"/>
      <c r="I179" s="66"/>
      <c r="J179" s="66"/>
      <c r="K179" s="66"/>
      <c r="L179" s="66"/>
      <c r="M179" s="66"/>
      <c r="N179" s="66"/>
      <c r="O179" s="66"/>
      <c r="P179" s="66"/>
      <c r="Q179" s="43"/>
      <c r="R179" s="23"/>
    </row>
  </sheetData>
  <mergeCells count="1">
    <mergeCell ref="J6:K6"/>
  </mergeCells>
  <pageMargins left="0.18" right="0.18" top="0.46" bottom="0.37" header="0.2" footer="0.18"/>
  <pageSetup scale="75" fitToHeight="3" orientation="landscape" r:id="rId1"/>
  <headerFooter alignWithMargins="0">
    <oddHeader>&amp;L&amp;"Arial,Bold"&amp;12Doyle Power, LCC - Principal Insured&amp;C&amp;"Arial,Bold"&amp;12Schedule 1&amp;R&amp;"Arial,Regular"Thru: &amp;D
Page &amp;P</oddHeader>
    <oddFooter>&amp;L&amp;"Arial,Regular"&amp;F&amp;R&amp;"Arial,Regular"&amp;A</oddFooter>
  </headerFooter>
  <rowBreaks count="3" manualBreakCount="3">
    <brk id="53" max="16383" man="1"/>
    <brk id="102" max="16383" man="1"/>
    <brk id="12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view="pageBreakPreview" zoomScale="75" zoomScaleNormal="75" zoomScaleSheetLayoutView="75" workbookViewId="0">
      <selection activeCell="C2" sqref="C2"/>
    </sheetView>
  </sheetViews>
  <sheetFormatPr defaultColWidth="10.28515625" defaultRowHeight="12.75" x14ac:dyDescent="0.2"/>
  <cols>
    <col min="1" max="1" width="3.7109375" style="7" customWidth="1"/>
    <col min="2" max="2" width="2.28515625" style="7" customWidth="1"/>
    <col min="3" max="7" width="6" style="7" customWidth="1"/>
    <col min="8" max="8" width="2.5703125" style="3" customWidth="1"/>
    <col min="9" max="9" width="7.28515625" style="3" customWidth="1"/>
    <col min="10" max="10" width="11.28515625" style="3" customWidth="1"/>
    <col min="11" max="11" width="14" style="8" customWidth="1"/>
    <col min="12" max="12" width="17" style="8" customWidth="1"/>
    <col min="13" max="13" width="15.28515625" style="8" customWidth="1"/>
    <col min="14" max="14" width="0.28515625" style="114" customWidth="1"/>
    <col min="15" max="16384" width="10.28515625" style="3"/>
  </cols>
  <sheetData>
    <row r="1" spans="1:14" ht="15.75" x14ac:dyDescent="0.2">
      <c r="C1" s="2" t="s">
        <v>803</v>
      </c>
      <c r="D1" s="2"/>
      <c r="E1" s="2"/>
      <c r="F1" s="2"/>
      <c r="G1" s="2"/>
      <c r="H1" s="2"/>
      <c r="J1" s="6"/>
    </row>
    <row r="2" spans="1:14" x14ac:dyDescent="0.2">
      <c r="C2" s="3" t="s">
        <v>7</v>
      </c>
      <c r="D2" s="3"/>
      <c r="E2" s="3"/>
      <c r="F2" s="3"/>
      <c r="G2" s="3"/>
    </row>
    <row r="3" spans="1:14" s="2" customFormat="1" ht="18.600000000000001" customHeight="1" x14ac:dyDescent="0.2">
      <c r="A3" s="4" t="s">
        <v>2</v>
      </c>
      <c r="B3" s="4"/>
      <c r="C3" s="4" t="s">
        <v>3</v>
      </c>
      <c r="D3" s="4"/>
      <c r="E3" s="4"/>
      <c r="F3" s="4"/>
      <c r="G3" s="5"/>
      <c r="H3" s="5"/>
      <c r="J3" s="2" t="s">
        <v>28</v>
      </c>
      <c r="K3" s="9" t="s">
        <v>8</v>
      </c>
      <c r="L3" s="9" t="s">
        <v>9</v>
      </c>
      <c r="M3" s="9" t="s">
        <v>536</v>
      </c>
      <c r="N3" s="144"/>
    </row>
    <row r="4" spans="1:14" x14ac:dyDescent="0.2">
      <c r="A4" s="10">
        <v>1</v>
      </c>
      <c r="B4" s="7" t="s">
        <v>11</v>
      </c>
      <c r="J4" s="3" t="s">
        <v>29</v>
      </c>
      <c r="K4" s="8">
        <f>+'Schedule 1'!J52</f>
        <v>1108899.42</v>
      </c>
      <c r="L4" s="8">
        <f>+'Schedule 1'!K52</f>
        <v>-313782.85072668979</v>
      </c>
      <c r="M4" s="8">
        <f>+'Schedule 1'!L52</f>
        <v>795116.56927331025</v>
      </c>
      <c r="N4" s="114" t="b">
        <f>+M4-L4=K4</f>
        <v>1</v>
      </c>
    </row>
    <row r="5" spans="1:14" x14ac:dyDescent="0.2">
      <c r="A5" s="10"/>
      <c r="C5" s="11" t="s">
        <v>0</v>
      </c>
    </row>
    <row r="6" spans="1:14" x14ac:dyDescent="0.2">
      <c r="A6" s="10"/>
      <c r="C6" s="11" t="s">
        <v>810</v>
      </c>
    </row>
    <row r="7" spans="1:14" x14ac:dyDescent="0.2">
      <c r="A7" s="10">
        <v>2</v>
      </c>
      <c r="B7" s="7" t="s">
        <v>12</v>
      </c>
      <c r="J7" s="3" t="s">
        <v>30</v>
      </c>
      <c r="K7" s="8">
        <f>+'Schedule 2'!N33</f>
        <v>2574821.59</v>
      </c>
      <c r="L7" s="8">
        <f>+'Schedule 2'!O33</f>
        <v>-1999932.5157647058</v>
      </c>
      <c r="M7" s="8">
        <f>+'Schedule 2'!P33</f>
        <v>574889.07423529413</v>
      </c>
      <c r="N7" s="114" t="b">
        <f>+M7-L7=K7</f>
        <v>1</v>
      </c>
    </row>
    <row r="8" spans="1:14" x14ac:dyDescent="0.2">
      <c r="A8" s="10"/>
      <c r="C8" s="11" t="s">
        <v>34</v>
      </c>
    </row>
    <row r="9" spans="1:14" x14ac:dyDescent="0.2">
      <c r="A9" s="10">
        <v>3</v>
      </c>
      <c r="B9" s="7" t="s">
        <v>13</v>
      </c>
      <c r="J9" s="3" t="s">
        <v>30</v>
      </c>
      <c r="K9" s="8">
        <v>92392</v>
      </c>
      <c r="L9" s="8">
        <f>+'Schedule 2'!O40</f>
        <v>-85000</v>
      </c>
      <c r="M9" s="8">
        <f>+'Schedule 2'!P40</f>
        <v>7392</v>
      </c>
      <c r="N9" s="114" t="b">
        <f>+M9-L9=K9</f>
        <v>1</v>
      </c>
    </row>
    <row r="10" spans="1:14" x14ac:dyDescent="0.2">
      <c r="A10" s="10"/>
      <c r="C10" s="11" t="s">
        <v>43</v>
      </c>
    </row>
    <row r="11" spans="1:14" x14ac:dyDescent="0.2">
      <c r="A11" s="10">
        <v>4</v>
      </c>
      <c r="B11" s="7" t="s">
        <v>14</v>
      </c>
      <c r="J11" s="3" t="s">
        <v>30</v>
      </c>
      <c r="K11" s="8">
        <f>+'Schedule 2'!N82</f>
        <v>349089.84</v>
      </c>
      <c r="L11" s="8">
        <f>+'Schedule 2'!O82</f>
        <v>2943.5500000000029</v>
      </c>
      <c r="M11" s="8">
        <f>+'Schedule 2'!P82</f>
        <v>352033.39</v>
      </c>
      <c r="N11" s="114" t="b">
        <f>+M11-L11=K11</f>
        <v>1</v>
      </c>
    </row>
    <row r="12" spans="1:14" x14ac:dyDescent="0.2">
      <c r="A12" s="10"/>
      <c r="C12" s="11" t="s">
        <v>1</v>
      </c>
    </row>
    <row r="13" spans="1:14" x14ac:dyDescent="0.2">
      <c r="A13" s="10"/>
      <c r="C13" s="11" t="s">
        <v>809</v>
      </c>
    </row>
    <row r="14" spans="1:14" x14ac:dyDescent="0.2">
      <c r="A14" s="10">
        <v>5</v>
      </c>
      <c r="B14" s="7" t="s">
        <v>15</v>
      </c>
      <c r="J14" s="3" t="s">
        <v>30</v>
      </c>
      <c r="K14" s="8">
        <v>18507.78</v>
      </c>
      <c r="L14" s="8">
        <f>+'Schedule 2'!O85</f>
        <v>0</v>
      </c>
      <c r="M14" s="8">
        <f>+'Schedule 2'!P85</f>
        <v>18507.78</v>
      </c>
      <c r="N14" s="114" t="b">
        <f>+M14-L14=K14</f>
        <v>1</v>
      </c>
    </row>
    <row r="15" spans="1:14" x14ac:dyDescent="0.2">
      <c r="A15" s="10"/>
      <c r="C15" s="11" t="s">
        <v>35</v>
      </c>
    </row>
    <row r="16" spans="1:14" x14ac:dyDescent="0.2">
      <c r="A16" s="10">
        <v>6</v>
      </c>
      <c r="B16" s="7" t="s">
        <v>16</v>
      </c>
      <c r="J16" s="3" t="s">
        <v>30</v>
      </c>
      <c r="K16" s="8">
        <v>31551.43</v>
      </c>
      <c r="L16" s="8">
        <f>+'Schedule 2'!O118</f>
        <v>-11710.14</v>
      </c>
      <c r="M16" s="8">
        <f>+'Schedule 2'!P118</f>
        <v>19841.29</v>
      </c>
      <c r="N16" s="114" t="b">
        <f>+M16-L16=K16</f>
        <v>1</v>
      </c>
    </row>
    <row r="17" spans="1:14" x14ac:dyDescent="0.2">
      <c r="A17" s="10"/>
      <c r="C17" s="11" t="s">
        <v>44</v>
      </c>
    </row>
    <row r="18" spans="1:14" x14ac:dyDescent="0.2">
      <c r="A18" s="10"/>
      <c r="C18" s="11" t="s">
        <v>811</v>
      </c>
    </row>
    <row r="19" spans="1:14" x14ac:dyDescent="0.2">
      <c r="A19" s="10"/>
      <c r="C19" s="11" t="s">
        <v>46</v>
      </c>
    </row>
    <row r="20" spans="1:14" x14ac:dyDescent="0.2">
      <c r="A20" s="10">
        <v>7</v>
      </c>
      <c r="B20" s="7" t="s">
        <v>17</v>
      </c>
      <c r="J20" s="3" t="s">
        <v>30</v>
      </c>
      <c r="K20" s="8">
        <v>35808.78</v>
      </c>
      <c r="L20" s="8">
        <f>+'Schedule 2'!O132</f>
        <v>0</v>
      </c>
      <c r="M20" s="8">
        <f>+'Schedule 2'!P132</f>
        <v>35808.780000000006</v>
      </c>
      <c r="N20" s="114" t="b">
        <f>+M20-L20=K20</f>
        <v>1</v>
      </c>
    </row>
    <row r="21" spans="1:14" x14ac:dyDescent="0.2">
      <c r="A21" s="10"/>
      <c r="C21" s="11" t="s">
        <v>47</v>
      </c>
    </row>
    <row r="22" spans="1:14" x14ac:dyDescent="0.2">
      <c r="A22" s="10">
        <v>8</v>
      </c>
      <c r="B22" s="7" t="s">
        <v>18</v>
      </c>
      <c r="J22" s="3" t="s">
        <v>31</v>
      </c>
      <c r="K22" s="8">
        <f>+'Schedule 3'!L70</f>
        <v>840226.94</v>
      </c>
      <c r="L22" s="8">
        <f>+'Schedule 3'!M70</f>
        <v>-309828.17593021278</v>
      </c>
      <c r="M22" s="8">
        <f>+'Schedule 3'!N70</f>
        <v>530398.76406978734</v>
      </c>
      <c r="N22" s="114" t="b">
        <f>+M22-L22=K22</f>
        <v>1</v>
      </c>
    </row>
    <row r="23" spans="1:14" x14ac:dyDescent="0.2">
      <c r="A23" s="10"/>
      <c r="C23" s="11" t="s">
        <v>48</v>
      </c>
    </row>
    <row r="24" spans="1:14" x14ac:dyDescent="0.2">
      <c r="A24" s="10">
        <v>9</v>
      </c>
      <c r="B24" s="7" t="s">
        <v>19</v>
      </c>
      <c r="J24" s="3" t="s">
        <v>30</v>
      </c>
      <c r="K24" s="8">
        <f>+'Schedule 2'!N143</f>
        <v>627285.56000000006</v>
      </c>
      <c r="L24" s="8">
        <f>+'Schedule 2'!O143</f>
        <v>-627285.56000000006</v>
      </c>
      <c r="M24" s="8">
        <f>+'Schedule 2'!P143</f>
        <v>0</v>
      </c>
      <c r="N24" s="114" t="b">
        <f>+M24-L24=K24</f>
        <v>1</v>
      </c>
    </row>
    <row r="25" spans="1:14" x14ac:dyDescent="0.2">
      <c r="A25" s="10"/>
      <c r="C25" s="11" t="s">
        <v>36</v>
      </c>
    </row>
    <row r="26" spans="1:14" x14ac:dyDescent="0.2">
      <c r="A26" s="10">
        <v>10</v>
      </c>
      <c r="B26" s="7" t="s">
        <v>312</v>
      </c>
      <c r="J26" s="3" t="s">
        <v>314</v>
      </c>
      <c r="K26" s="8">
        <f>+'Schedule 4'!K215</f>
        <v>334286.79000000004</v>
      </c>
      <c r="L26" s="8">
        <f>+'Schedule 4'!L215</f>
        <v>-70795.264999999999</v>
      </c>
      <c r="M26" s="8">
        <f>+'Schedule 4'!M215</f>
        <v>263491.52500000002</v>
      </c>
      <c r="N26" s="114" t="b">
        <f>+M26-L26=K26</f>
        <v>1</v>
      </c>
    </row>
    <row r="27" spans="1:14" x14ac:dyDescent="0.2">
      <c r="A27" s="10"/>
      <c r="C27" s="11" t="s">
        <v>49</v>
      </c>
    </row>
    <row r="28" spans="1:14" x14ac:dyDescent="0.2">
      <c r="A28" s="10"/>
      <c r="C28" s="11" t="s">
        <v>812</v>
      </c>
    </row>
    <row r="29" spans="1:14" x14ac:dyDescent="0.2">
      <c r="A29" s="10"/>
      <c r="C29" s="11" t="s">
        <v>598</v>
      </c>
    </row>
    <row r="30" spans="1:14" x14ac:dyDescent="0.2">
      <c r="A30" s="10">
        <v>11</v>
      </c>
      <c r="B30" s="7" t="s">
        <v>20</v>
      </c>
      <c r="J30" s="3" t="s">
        <v>32</v>
      </c>
      <c r="K30" s="8">
        <f>+'Schedule 5'!J14</f>
        <v>52153.1</v>
      </c>
      <c r="L30" s="8">
        <f>+'Schedule 5'!K14</f>
        <v>-22500</v>
      </c>
      <c r="M30" s="8">
        <f>+'Schedule 5'!L14</f>
        <v>29653.1</v>
      </c>
      <c r="N30" s="114" t="b">
        <f>+M30-L30=K30</f>
        <v>1</v>
      </c>
    </row>
    <row r="31" spans="1:14" x14ac:dyDescent="0.2">
      <c r="A31" s="10"/>
      <c r="C31" s="11" t="s">
        <v>37</v>
      </c>
    </row>
    <row r="32" spans="1:14" x14ac:dyDescent="0.2">
      <c r="A32" s="10">
        <v>12</v>
      </c>
      <c r="B32" s="7" t="s">
        <v>21</v>
      </c>
      <c r="C32" s="11"/>
      <c r="J32" s="3" t="s">
        <v>32</v>
      </c>
      <c r="K32" s="8">
        <v>1028</v>
      </c>
      <c r="L32" s="8">
        <f>+'Schedule 5'!K17</f>
        <v>0</v>
      </c>
      <c r="M32" s="8">
        <f>+'Schedule 5'!L17</f>
        <v>1028</v>
      </c>
      <c r="N32" s="114" t="b">
        <f>+M32-L32=K32</f>
        <v>1</v>
      </c>
    </row>
    <row r="33" spans="1:14" x14ac:dyDescent="0.2">
      <c r="A33" s="10"/>
      <c r="C33" s="14" t="s">
        <v>41</v>
      </c>
    </row>
    <row r="34" spans="1:14" x14ac:dyDescent="0.2">
      <c r="A34" s="10">
        <v>13</v>
      </c>
      <c r="B34" s="7" t="s">
        <v>22</v>
      </c>
      <c r="J34" s="3" t="s">
        <v>32</v>
      </c>
      <c r="K34" s="8">
        <f>+'Schedule 5'!J58</f>
        <v>108058.68</v>
      </c>
      <c r="L34" s="8">
        <f>+'Schedule 5'!K58</f>
        <v>-46602.625</v>
      </c>
      <c r="M34" s="8">
        <f>+'Schedule 5'!L58</f>
        <v>61456.054999999993</v>
      </c>
      <c r="N34" s="114" t="b">
        <f>+M34-L34=K34</f>
        <v>1</v>
      </c>
    </row>
    <row r="35" spans="1:14" x14ac:dyDescent="0.2">
      <c r="A35" s="10"/>
      <c r="C35" s="14" t="s">
        <v>42</v>
      </c>
    </row>
    <row r="36" spans="1:14" x14ac:dyDescent="0.2">
      <c r="A36" s="10">
        <v>14</v>
      </c>
      <c r="B36" s="7" t="s">
        <v>23</v>
      </c>
      <c r="J36" s="3" t="s">
        <v>32</v>
      </c>
      <c r="K36" s="8">
        <f>+'Schedule 5'!J61</f>
        <v>0</v>
      </c>
      <c r="L36" s="8">
        <f>+'Schedule 5'!K61</f>
        <v>0</v>
      </c>
      <c r="M36" s="8">
        <f>+'Schedule 5'!L61</f>
        <v>0</v>
      </c>
      <c r="N36" s="114" t="b">
        <f>+M36-L36=K36</f>
        <v>1</v>
      </c>
    </row>
    <row r="37" spans="1:14" x14ac:dyDescent="0.2">
      <c r="A37" s="10"/>
      <c r="C37" s="14" t="s">
        <v>41</v>
      </c>
    </row>
    <row r="38" spans="1:14" x14ac:dyDescent="0.2">
      <c r="A38" s="10">
        <v>15</v>
      </c>
      <c r="B38" s="7" t="s">
        <v>24</v>
      </c>
      <c r="J38" s="3" t="s">
        <v>32</v>
      </c>
      <c r="K38" s="8">
        <f>+'Schedule 5'!J63</f>
        <v>3900.88</v>
      </c>
      <c r="L38" s="8">
        <f>+'Schedule 5'!K63</f>
        <v>0</v>
      </c>
      <c r="M38" s="8">
        <f>+'Schedule 5'!L63</f>
        <v>3900.88</v>
      </c>
      <c r="N38" s="114" t="b">
        <f>+M38-L38=K38</f>
        <v>1</v>
      </c>
    </row>
    <row r="39" spans="1:14" x14ac:dyDescent="0.2">
      <c r="A39" s="10"/>
      <c r="C39" s="11" t="s">
        <v>5</v>
      </c>
    </row>
    <row r="40" spans="1:14" x14ac:dyDescent="0.2">
      <c r="A40" s="10">
        <v>16</v>
      </c>
      <c r="B40" s="12" t="s">
        <v>4</v>
      </c>
      <c r="J40" s="3" t="s">
        <v>32</v>
      </c>
      <c r="K40" s="8">
        <f>+'Schedule 5'!J65</f>
        <v>30069.75</v>
      </c>
      <c r="L40" s="8">
        <f>+'Schedule 5'!K65</f>
        <v>0</v>
      </c>
      <c r="M40" s="8">
        <f>+'Schedule 5'!L65</f>
        <v>30069.75</v>
      </c>
      <c r="N40" s="114" t="b">
        <f>+M40-L40=K40</f>
        <v>1</v>
      </c>
    </row>
    <row r="41" spans="1:14" x14ac:dyDescent="0.2">
      <c r="A41" s="10"/>
      <c r="C41" s="11" t="s">
        <v>50</v>
      </c>
    </row>
    <row r="42" spans="1:14" x14ac:dyDescent="0.2">
      <c r="A42" s="10">
        <v>17</v>
      </c>
      <c r="B42" s="7" t="s">
        <v>25</v>
      </c>
      <c r="J42" s="3" t="s">
        <v>32</v>
      </c>
      <c r="K42" s="8">
        <f>+'Schedule 5'!J67</f>
        <v>0</v>
      </c>
      <c r="L42" s="8">
        <f>+'Schedule 5'!K67</f>
        <v>0</v>
      </c>
      <c r="M42" s="8">
        <f>+'Schedule 5'!L67</f>
        <v>0</v>
      </c>
      <c r="N42" s="114" t="b">
        <f>+M42-L42=K42</f>
        <v>1</v>
      </c>
    </row>
    <row r="43" spans="1:14" x14ac:dyDescent="0.2">
      <c r="A43" s="10"/>
      <c r="C43" s="11" t="s">
        <v>40</v>
      </c>
    </row>
    <row r="44" spans="1:14" x14ac:dyDescent="0.2">
      <c r="A44" s="10">
        <v>18</v>
      </c>
      <c r="B44" s="7" t="s">
        <v>26</v>
      </c>
      <c r="J44" s="3" t="s">
        <v>32</v>
      </c>
      <c r="K44" s="8">
        <f>+'Schedule 5'!J69</f>
        <v>0</v>
      </c>
      <c r="L44" s="8">
        <f>+'Schedule 5'!K69</f>
        <v>0</v>
      </c>
      <c r="M44" s="8">
        <f>+'Schedule 5'!L69</f>
        <v>0</v>
      </c>
      <c r="N44" s="114" t="b">
        <f>+M44-L44=K44</f>
        <v>1</v>
      </c>
    </row>
    <row r="45" spans="1:14" x14ac:dyDescent="0.2">
      <c r="A45" s="10"/>
      <c r="C45" s="11" t="s">
        <v>51</v>
      </c>
    </row>
    <row r="46" spans="1:14" x14ac:dyDescent="0.2">
      <c r="A46" s="10">
        <v>19</v>
      </c>
      <c r="B46" s="7" t="s">
        <v>27</v>
      </c>
      <c r="J46" s="3" t="s">
        <v>32</v>
      </c>
      <c r="K46" s="8">
        <f>+'Schedule 5'!J71</f>
        <v>680</v>
      </c>
      <c r="L46" s="8">
        <f>+'Schedule 5'!K71</f>
        <v>0</v>
      </c>
      <c r="M46" s="8">
        <f>+'Schedule 5'!L71</f>
        <v>680</v>
      </c>
      <c r="N46" s="114" t="b">
        <f>+M46-L46=K46</f>
        <v>1</v>
      </c>
    </row>
    <row r="47" spans="1:14" x14ac:dyDescent="0.2">
      <c r="A47" s="10"/>
      <c r="C47" s="13" t="s">
        <v>39</v>
      </c>
    </row>
    <row r="48" spans="1:14" x14ac:dyDescent="0.2">
      <c r="A48" s="10">
        <v>20</v>
      </c>
      <c r="B48" s="7" t="s">
        <v>33</v>
      </c>
      <c r="J48" s="3" t="s">
        <v>32</v>
      </c>
      <c r="K48" s="8">
        <v>3817</v>
      </c>
      <c r="L48" s="8">
        <f>+'Schedule 5'!K73</f>
        <v>-3817</v>
      </c>
      <c r="M48" s="8">
        <f>+'Schedule 5'!L73</f>
        <v>0</v>
      </c>
      <c r="N48" s="114" t="b">
        <f>+M48-L48=K48</f>
        <v>1</v>
      </c>
    </row>
    <row r="49" spans="1:14" x14ac:dyDescent="0.2">
      <c r="A49" s="10"/>
      <c r="C49" s="11" t="s">
        <v>38</v>
      </c>
    </row>
    <row r="50" spans="1:14" ht="4.1500000000000004" customHeight="1" x14ac:dyDescent="0.2">
      <c r="A50" s="10"/>
      <c r="C50" s="11"/>
      <c r="K50" s="16"/>
      <c r="L50" s="16"/>
      <c r="M50" s="16"/>
    </row>
    <row r="51" spans="1:14" x14ac:dyDescent="0.2">
      <c r="A51" s="10"/>
      <c r="D51" s="15" t="s">
        <v>52</v>
      </c>
      <c r="K51" s="8">
        <f>SUM(K4:K50)</f>
        <v>6212577.5399999991</v>
      </c>
      <c r="L51" s="8">
        <f>SUM(L4:L50)</f>
        <v>-3488310.5824216087</v>
      </c>
      <c r="M51" s="8">
        <f>SUM(M4:M50)</f>
        <v>2724266.9575783918</v>
      </c>
      <c r="N51" s="114" t="b">
        <f>+M51-L51=K51</f>
        <v>1</v>
      </c>
    </row>
    <row r="52" spans="1:14" x14ac:dyDescent="0.2">
      <c r="A52" s="10"/>
      <c r="J52" s="8"/>
      <c r="L52" s="26" t="s">
        <v>672</v>
      </c>
      <c r="M52" s="70" t="b">
        <f>+K51=M51-L51</f>
        <v>1</v>
      </c>
    </row>
    <row r="53" spans="1:14" x14ac:dyDescent="0.2">
      <c r="A53" s="10"/>
    </row>
    <row r="54" spans="1:14" ht="13.15" customHeight="1" x14ac:dyDescent="0.2">
      <c r="A54" s="10"/>
      <c r="K54" s="103"/>
      <c r="L54" s="103"/>
      <c r="M54" s="103"/>
    </row>
    <row r="55" spans="1:14" x14ac:dyDescent="0.2">
      <c r="A55" s="10"/>
    </row>
    <row r="56" spans="1:14" x14ac:dyDescent="0.2">
      <c r="A56" s="10"/>
    </row>
    <row r="57" spans="1:14" x14ac:dyDescent="0.2">
      <c r="A57" s="10"/>
    </row>
    <row r="58" spans="1:14" x14ac:dyDescent="0.2">
      <c r="A58" s="10"/>
    </row>
    <row r="59" spans="1:14" x14ac:dyDescent="0.2">
      <c r="A59" s="10"/>
    </row>
    <row r="60" spans="1:14" x14ac:dyDescent="0.2">
      <c r="A60" s="10"/>
    </row>
    <row r="61" spans="1:14" x14ac:dyDescent="0.2">
      <c r="A61" s="10"/>
    </row>
  </sheetData>
  <pageMargins left="0.17" right="0.19" top="0.42" bottom="0.4" header="0.2" footer="0.17"/>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view="pageBreakPreview" zoomScale="75" zoomScaleNormal="75" zoomScaleSheetLayoutView="75" workbookViewId="0"/>
  </sheetViews>
  <sheetFormatPr defaultColWidth="10.28515625" defaultRowHeight="12.75" x14ac:dyDescent="0.2"/>
  <cols>
    <col min="1" max="1" width="3.7109375" style="7" customWidth="1"/>
    <col min="2" max="2" width="2.28515625" style="7" customWidth="1"/>
    <col min="3" max="7" width="6" style="7" customWidth="1"/>
    <col min="8" max="8" width="2.5703125" style="3" customWidth="1"/>
    <col min="9" max="9" width="15.140625" style="3" customWidth="1"/>
    <col min="10" max="10" width="17.28515625" style="3" customWidth="1"/>
    <col min="11" max="11" width="20.28515625" style="8" customWidth="1"/>
    <col min="12" max="12" width="17" style="8" customWidth="1"/>
    <col min="13" max="13" width="15.28515625" style="8" customWidth="1"/>
    <col min="14" max="14" width="0.28515625" style="114" customWidth="1"/>
    <col min="15" max="16384" width="10.28515625" style="3"/>
  </cols>
  <sheetData>
    <row r="1" spans="1:14" ht="15.75" x14ac:dyDescent="0.2">
      <c r="B1" s="2" t="s">
        <v>801</v>
      </c>
      <c r="D1" s="2"/>
      <c r="E1" s="2"/>
      <c r="F1" s="2"/>
      <c r="G1" s="2"/>
      <c r="H1" s="2"/>
      <c r="J1" s="6"/>
    </row>
    <row r="2" spans="1:14" x14ac:dyDescent="0.2">
      <c r="B2" s="3" t="s">
        <v>804</v>
      </c>
      <c r="C2" s="3"/>
      <c r="D2" s="3"/>
      <c r="E2" s="3"/>
      <c r="F2" s="3"/>
      <c r="G2" s="3"/>
      <c r="K2" s="3"/>
      <c r="L2" s="3"/>
      <c r="M2" s="3"/>
    </row>
    <row r="3" spans="1:14" x14ac:dyDescent="0.2">
      <c r="B3" s="3" t="s">
        <v>805</v>
      </c>
      <c r="C3" s="3"/>
      <c r="D3" s="3"/>
      <c r="E3" s="3"/>
      <c r="F3" s="3"/>
      <c r="G3" s="3"/>
      <c r="K3" s="3"/>
      <c r="L3" s="3"/>
      <c r="M3" s="3"/>
    </row>
    <row r="4" spans="1:14" ht="56.45" customHeight="1" x14ac:dyDescent="0.2">
      <c r="B4" s="7" t="s">
        <v>807</v>
      </c>
      <c r="C4" s="418" t="s">
        <v>806</v>
      </c>
      <c r="D4" s="418"/>
      <c r="E4" s="418"/>
      <c r="F4" s="418"/>
      <c r="G4" s="418"/>
      <c r="H4" s="418"/>
      <c r="I4" s="418"/>
      <c r="J4" s="418"/>
      <c r="K4" s="418"/>
      <c r="L4" s="418"/>
      <c r="M4" s="418"/>
    </row>
    <row r="5" spans="1:14" ht="30" customHeight="1" x14ac:dyDescent="0.2">
      <c r="C5" s="418" t="s">
        <v>808</v>
      </c>
      <c r="D5" s="418"/>
      <c r="E5" s="418"/>
      <c r="F5" s="418"/>
      <c r="G5" s="418"/>
      <c r="H5" s="418"/>
      <c r="I5" s="418"/>
      <c r="J5" s="418"/>
      <c r="K5" s="418"/>
      <c r="L5" s="418"/>
      <c r="M5" s="418"/>
    </row>
    <row r="6" spans="1:14" s="2" customFormat="1" ht="34.9" customHeight="1" x14ac:dyDescent="0.2">
      <c r="A6" s="4" t="s">
        <v>2</v>
      </c>
      <c r="B6" s="4"/>
      <c r="C6" s="4" t="s">
        <v>3</v>
      </c>
      <c r="D6" s="4"/>
      <c r="E6" s="4"/>
      <c r="F6" s="4"/>
      <c r="G6" s="5"/>
      <c r="H6" s="5"/>
      <c r="J6" s="2" t="s">
        <v>28</v>
      </c>
      <c r="K6" s="378" t="s">
        <v>813</v>
      </c>
      <c r="L6" s="9" t="s">
        <v>9</v>
      </c>
      <c r="M6" s="9" t="s">
        <v>814</v>
      </c>
      <c r="N6" s="144"/>
    </row>
    <row r="7" spans="1:14" x14ac:dyDescent="0.2">
      <c r="A7" s="10">
        <v>1</v>
      </c>
      <c r="B7" s="7" t="s">
        <v>11</v>
      </c>
      <c r="J7" s="129" t="s">
        <v>851</v>
      </c>
      <c r="K7" s="8">
        <f>+'Work Summary'!M4</f>
        <v>795116.56927331025</v>
      </c>
      <c r="N7" s="114" t="b">
        <f>+M8-L8=K7</f>
        <v>1</v>
      </c>
    </row>
    <row r="8" spans="1:14" x14ac:dyDescent="0.2">
      <c r="A8" s="10"/>
      <c r="C8" s="11" t="s">
        <v>833</v>
      </c>
      <c r="L8" s="8">
        <f>-'Schedule 1 (L)'!K297</f>
        <v>-182364.875</v>
      </c>
      <c r="M8" s="8">
        <f>+K7+L8</f>
        <v>612751.69427331025</v>
      </c>
    </row>
    <row r="9" spans="1:14" x14ac:dyDescent="0.2">
      <c r="A9" s="10"/>
      <c r="C9" s="11" t="s">
        <v>834</v>
      </c>
      <c r="I9" s="396">
        <f>+M8/'Work Summary'!K4</f>
        <v>0.5525764404072917</v>
      </c>
    </row>
    <row r="10" spans="1:14" x14ac:dyDescent="0.2">
      <c r="A10" s="10">
        <v>2</v>
      </c>
      <c r="B10" s="7" t="s">
        <v>12</v>
      </c>
      <c r="J10" s="3" t="s">
        <v>30</v>
      </c>
      <c r="K10" s="8">
        <f>+'Work Summary'!M7</f>
        <v>574889.07423529413</v>
      </c>
      <c r="N10" s="114" t="b">
        <f>+M10-L10=K10</f>
        <v>0</v>
      </c>
    </row>
    <row r="11" spans="1:14" x14ac:dyDescent="0.2">
      <c r="A11" s="10"/>
      <c r="C11" s="11" t="s">
        <v>815</v>
      </c>
      <c r="L11" s="8">
        <v>-1261</v>
      </c>
      <c r="M11" s="8">
        <f>+K10+L11</f>
        <v>573628.07423529413</v>
      </c>
    </row>
    <row r="12" spans="1:14" x14ac:dyDescent="0.2">
      <c r="A12" s="10">
        <v>3</v>
      </c>
      <c r="B12" s="7" t="s">
        <v>13</v>
      </c>
      <c r="J12" s="3" t="s">
        <v>30</v>
      </c>
      <c r="K12" s="8">
        <f>+'Work Summary'!M9</f>
        <v>7392</v>
      </c>
      <c r="M12" s="8">
        <f>+'Schedule 2'!P40</f>
        <v>7392</v>
      </c>
      <c r="N12" s="114" t="b">
        <f>+M12-L12=K12</f>
        <v>1</v>
      </c>
    </row>
    <row r="13" spans="1:14" x14ac:dyDescent="0.2">
      <c r="A13" s="10"/>
      <c r="C13" s="11" t="s">
        <v>43</v>
      </c>
    </row>
    <row r="14" spans="1:14" x14ac:dyDescent="0.2">
      <c r="A14" s="10">
        <v>4</v>
      </c>
      <c r="B14" s="7" t="s">
        <v>14</v>
      </c>
      <c r="J14" s="3" t="s">
        <v>30</v>
      </c>
      <c r="K14" s="8">
        <f>+'Work Summary'!M11</f>
        <v>352033.39</v>
      </c>
      <c r="N14" s="114" t="b">
        <f>+M14-L14=K14</f>
        <v>0</v>
      </c>
    </row>
    <row r="15" spans="1:14" x14ac:dyDescent="0.2">
      <c r="A15" s="10"/>
      <c r="C15" s="11" t="s">
        <v>835</v>
      </c>
      <c r="L15" s="8">
        <v>-15000</v>
      </c>
      <c r="M15" s="8">
        <f>+L15+K14</f>
        <v>337033.39</v>
      </c>
    </row>
    <row r="16" spans="1:14" x14ac:dyDescent="0.2">
      <c r="A16" s="10"/>
      <c r="C16" s="11"/>
    </row>
    <row r="17" spans="1:14" x14ac:dyDescent="0.2">
      <c r="A17" s="10">
        <v>5</v>
      </c>
      <c r="B17" s="7" t="s">
        <v>15</v>
      </c>
      <c r="J17" s="3" t="s">
        <v>30</v>
      </c>
      <c r="K17" s="8">
        <f>+'Work Summary'!M14</f>
        <v>18507.78</v>
      </c>
      <c r="L17" s="8">
        <v>0</v>
      </c>
      <c r="M17" s="8">
        <f>+'Schedule 2'!P85</f>
        <v>18507.78</v>
      </c>
      <c r="N17" s="114" t="b">
        <f>+M17-L17=K17</f>
        <v>1</v>
      </c>
    </row>
    <row r="18" spans="1:14" x14ac:dyDescent="0.2">
      <c r="A18" s="10"/>
      <c r="C18" s="11" t="s">
        <v>35</v>
      </c>
    </row>
    <row r="19" spans="1:14" x14ac:dyDescent="0.2">
      <c r="A19" s="10">
        <v>6</v>
      </c>
      <c r="B19" s="7" t="s">
        <v>16</v>
      </c>
      <c r="J19" s="3" t="s">
        <v>30</v>
      </c>
      <c r="K19" s="8">
        <f>+'Work Summary'!M16</f>
        <v>19841.29</v>
      </c>
      <c r="L19" s="8">
        <v>0</v>
      </c>
      <c r="M19" s="8">
        <f>+'Schedule 2'!P118</f>
        <v>19841.29</v>
      </c>
      <c r="N19" s="114" t="b">
        <f>+M19-L19=K19</f>
        <v>1</v>
      </c>
    </row>
    <row r="20" spans="1:14" x14ac:dyDescent="0.2">
      <c r="A20" s="10"/>
      <c r="C20" s="11" t="s">
        <v>44</v>
      </c>
    </row>
    <row r="21" spans="1:14" x14ac:dyDescent="0.2">
      <c r="A21" s="10"/>
      <c r="C21" s="11" t="s">
        <v>45</v>
      </c>
    </row>
    <row r="22" spans="1:14" x14ac:dyDescent="0.2">
      <c r="A22" s="10"/>
      <c r="C22" s="11" t="s">
        <v>46</v>
      </c>
    </row>
    <row r="23" spans="1:14" x14ac:dyDescent="0.2">
      <c r="A23" s="10">
        <v>7</v>
      </c>
      <c r="B23" s="7" t="s">
        <v>17</v>
      </c>
      <c r="J23" s="3" t="s">
        <v>30</v>
      </c>
      <c r="K23" s="8">
        <f>+'Work Summary'!M20</f>
        <v>35808.780000000006</v>
      </c>
      <c r="L23" s="8">
        <v>0</v>
      </c>
      <c r="M23" s="8">
        <f>+'Schedule 2'!P132</f>
        <v>35808.780000000006</v>
      </c>
      <c r="N23" s="114" t="b">
        <f>+M23-L23=K23</f>
        <v>1</v>
      </c>
    </row>
    <row r="24" spans="1:14" x14ac:dyDescent="0.2">
      <c r="A24" s="10"/>
      <c r="C24" s="11" t="s">
        <v>47</v>
      </c>
    </row>
    <row r="25" spans="1:14" x14ac:dyDescent="0.2">
      <c r="A25" s="10">
        <v>8</v>
      </c>
      <c r="B25" s="7" t="s">
        <v>18</v>
      </c>
      <c r="J25" s="3" t="s">
        <v>31</v>
      </c>
      <c r="K25" s="8">
        <f>+'Work Summary'!M22</f>
        <v>530398.76406978734</v>
      </c>
      <c r="L25" s="8">
        <f>-'Schedule 3'!N108</f>
        <v>-135554.74662489363</v>
      </c>
      <c r="M25" s="8">
        <f>+K25+L25</f>
        <v>394844.01744489372</v>
      </c>
      <c r="N25" s="114" t="b">
        <f>+M25-L25=K25</f>
        <v>1</v>
      </c>
    </row>
    <row r="26" spans="1:14" x14ac:dyDescent="0.2">
      <c r="A26" s="10"/>
      <c r="C26" s="11" t="s">
        <v>852</v>
      </c>
    </row>
    <row r="27" spans="1:14" x14ac:dyDescent="0.2">
      <c r="A27" s="10">
        <v>9</v>
      </c>
      <c r="B27" s="7" t="s">
        <v>19</v>
      </c>
      <c r="J27" s="3" t="s">
        <v>30</v>
      </c>
      <c r="K27" s="8">
        <v>0</v>
      </c>
      <c r="L27" s="8">
        <v>0</v>
      </c>
      <c r="M27" s="8">
        <f>+'Schedule 2'!P143</f>
        <v>0</v>
      </c>
      <c r="N27" s="114" t="b">
        <f>+M27-L27=K27</f>
        <v>1</v>
      </c>
    </row>
    <row r="28" spans="1:14" x14ac:dyDescent="0.2">
      <c r="A28" s="10"/>
      <c r="C28" s="11" t="s">
        <v>36</v>
      </c>
    </row>
    <row r="29" spans="1:14" x14ac:dyDescent="0.2">
      <c r="A29" s="10">
        <v>10</v>
      </c>
      <c r="B29" s="7" t="s">
        <v>312</v>
      </c>
      <c r="J29" s="3" t="s">
        <v>314</v>
      </c>
      <c r="K29" s="8">
        <f>+'Work Summary'!M26</f>
        <v>263491.52500000002</v>
      </c>
      <c r="N29" s="114" t="b">
        <f>+M29-L29=K29</f>
        <v>0</v>
      </c>
    </row>
    <row r="30" spans="1:14" x14ac:dyDescent="0.2">
      <c r="A30" s="10"/>
      <c r="C30" s="11" t="s">
        <v>836</v>
      </c>
      <c r="L30" s="8">
        <f>+K29*-0.25</f>
        <v>-65872.881250000006</v>
      </c>
      <c r="M30" s="8">
        <f>+L30+K29</f>
        <v>197618.64375000002</v>
      </c>
    </row>
    <row r="31" spans="1:14" x14ac:dyDescent="0.2">
      <c r="A31" s="10">
        <v>11</v>
      </c>
      <c r="B31" s="7" t="s">
        <v>20</v>
      </c>
      <c r="J31" s="3" t="s">
        <v>32</v>
      </c>
      <c r="K31" s="8">
        <f>+'Work Summary'!M30</f>
        <v>29653.1</v>
      </c>
      <c r="N31" s="114" t="b">
        <f>+M31-L31=K31</f>
        <v>0</v>
      </c>
    </row>
    <row r="32" spans="1:14" x14ac:dyDescent="0.2">
      <c r="A32" s="10"/>
      <c r="C32" s="11" t="s">
        <v>37</v>
      </c>
    </row>
    <row r="33" spans="1:14" x14ac:dyDescent="0.2">
      <c r="A33" s="10"/>
      <c r="C33" s="11" t="s">
        <v>836</v>
      </c>
      <c r="L33" s="8">
        <f>+K31*-0.25</f>
        <v>-7413.2749999999996</v>
      </c>
      <c r="M33" s="8">
        <f>+K31+L33</f>
        <v>22239.824999999997</v>
      </c>
    </row>
    <row r="34" spans="1:14" s="138" customFormat="1" ht="20.45" customHeight="1" x14ac:dyDescent="0.2">
      <c r="A34" s="187">
        <v>12</v>
      </c>
      <c r="B34" s="241" t="s">
        <v>21</v>
      </c>
      <c r="C34" s="397"/>
      <c r="D34" s="241"/>
      <c r="E34" s="241"/>
      <c r="F34" s="241"/>
      <c r="G34" s="241"/>
      <c r="J34" s="138" t="s">
        <v>32</v>
      </c>
      <c r="K34" s="128">
        <f>+'Work Summary'!M32</f>
        <v>1028</v>
      </c>
      <c r="L34" s="128">
        <v>0</v>
      </c>
      <c r="M34" s="128">
        <f>+'Schedule 5'!L17</f>
        <v>1028</v>
      </c>
      <c r="N34" s="398" t="b">
        <f>+M34-L34=K34</f>
        <v>1</v>
      </c>
    </row>
    <row r="35" spans="1:14" x14ac:dyDescent="0.2">
      <c r="A35" s="10"/>
      <c r="C35" s="14" t="s">
        <v>41</v>
      </c>
    </row>
    <row r="36" spans="1:14" x14ac:dyDescent="0.2">
      <c r="A36" s="10">
        <v>13</v>
      </c>
      <c r="B36" s="7" t="s">
        <v>22</v>
      </c>
      <c r="J36" s="3" t="s">
        <v>32</v>
      </c>
      <c r="K36" s="8">
        <f>+'Work Summary'!M34</f>
        <v>61456.054999999993</v>
      </c>
      <c r="N36" s="114" t="b">
        <f>+M36-L36=K36</f>
        <v>0</v>
      </c>
    </row>
    <row r="37" spans="1:14" x14ac:dyDescent="0.2">
      <c r="A37" s="10"/>
      <c r="C37" s="14" t="s">
        <v>42</v>
      </c>
    </row>
    <row r="38" spans="1:14" x14ac:dyDescent="0.2">
      <c r="A38" s="10"/>
      <c r="C38" s="11" t="s">
        <v>836</v>
      </c>
      <c r="L38" s="8">
        <f>+K36*-0.25</f>
        <v>-15364.013749999998</v>
      </c>
      <c r="M38" s="8">
        <f>+K36+L38</f>
        <v>46092.041249999995</v>
      </c>
    </row>
    <row r="39" spans="1:14" x14ac:dyDescent="0.2">
      <c r="A39" s="10">
        <v>14</v>
      </c>
      <c r="B39" s="7" t="s">
        <v>23</v>
      </c>
      <c r="J39" s="3" t="s">
        <v>32</v>
      </c>
      <c r="K39" s="8">
        <f>+'Work Summary'!M36</f>
        <v>0</v>
      </c>
      <c r="M39" s="8">
        <f>+'Schedule 5'!L61</f>
        <v>0</v>
      </c>
      <c r="N39" s="114" t="b">
        <f>+M39-L39=K39</f>
        <v>1</v>
      </c>
    </row>
    <row r="40" spans="1:14" x14ac:dyDescent="0.2">
      <c r="A40" s="10">
        <v>15</v>
      </c>
      <c r="B40" s="7" t="s">
        <v>24</v>
      </c>
      <c r="J40" s="3" t="s">
        <v>32</v>
      </c>
      <c r="K40" s="8">
        <f>+'Work Summary'!M38</f>
        <v>3900.88</v>
      </c>
      <c r="M40" s="8">
        <f>+'Schedule 5'!L63</f>
        <v>3900.88</v>
      </c>
      <c r="N40" s="114" t="b">
        <f>+M40-L40=K40</f>
        <v>1</v>
      </c>
    </row>
    <row r="41" spans="1:14" x14ac:dyDescent="0.2">
      <c r="A41" s="10"/>
      <c r="C41" s="11" t="s">
        <v>5</v>
      </c>
    </row>
    <row r="42" spans="1:14" x14ac:dyDescent="0.2">
      <c r="A42" s="10">
        <v>16</v>
      </c>
      <c r="B42" s="12" t="s">
        <v>4</v>
      </c>
      <c r="J42" s="3" t="s">
        <v>32</v>
      </c>
      <c r="K42" s="8">
        <f>+'Work Summary'!M40</f>
        <v>30069.75</v>
      </c>
      <c r="N42" s="114" t="b">
        <f>+M42-L42=K42</f>
        <v>0</v>
      </c>
    </row>
    <row r="43" spans="1:14" x14ac:dyDescent="0.2">
      <c r="A43" s="10"/>
      <c r="B43" s="12"/>
      <c r="C43" s="11" t="s">
        <v>837</v>
      </c>
      <c r="L43" s="8">
        <f>-K42*0.5</f>
        <v>-15034.875</v>
      </c>
      <c r="M43" s="8">
        <f>+K42+L43</f>
        <v>15034.875</v>
      </c>
    </row>
    <row r="44" spans="1:14" x14ac:dyDescent="0.2">
      <c r="A44" s="10">
        <v>17</v>
      </c>
      <c r="B44" s="7" t="s">
        <v>25</v>
      </c>
      <c r="J44" s="3" t="s">
        <v>32</v>
      </c>
      <c r="K44" s="8">
        <f>+'Work Summary'!M42</f>
        <v>0</v>
      </c>
      <c r="L44" s="8">
        <v>0</v>
      </c>
      <c r="M44" s="8">
        <f>+'Schedule 5'!L67</f>
        <v>0</v>
      </c>
      <c r="N44" s="114" t="b">
        <f>+M44-L44=K44</f>
        <v>1</v>
      </c>
    </row>
    <row r="45" spans="1:14" x14ac:dyDescent="0.2">
      <c r="A45" s="10">
        <v>18</v>
      </c>
      <c r="B45" s="7" t="s">
        <v>26</v>
      </c>
      <c r="J45" s="3" t="s">
        <v>32</v>
      </c>
      <c r="K45" s="8">
        <f>+'Work Summary'!M44</f>
        <v>0</v>
      </c>
      <c r="L45" s="8">
        <v>0</v>
      </c>
      <c r="M45" s="8">
        <f>+'Schedule 5'!L69</f>
        <v>0</v>
      </c>
      <c r="N45" s="114" t="b">
        <f>+M45-L45=K45</f>
        <v>1</v>
      </c>
    </row>
    <row r="46" spans="1:14" x14ac:dyDescent="0.2">
      <c r="A46" s="10">
        <v>19</v>
      </c>
      <c r="B46" s="7" t="s">
        <v>27</v>
      </c>
      <c r="J46" s="3" t="s">
        <v>32</v>
      </c>
      <c r="K46" s="8">
        <f>+'Work Summary'!M46</f>
        <v>680</v>
      </c>
      <c r="L46" s="8">
        <v>0</v>
      </c>
      <c r="M46" s="8">
        <f>+'Schedule 5'!L71</f>
        <v>680</v>
      </c>
      <c r="N46" s="114" t="b">
        <f>+M46-L46=K46</f>
        <v>1</v>
      </c>
    </row>
    <row r="47" spans="1:14" x14ac:dyDescent="0.2">
      <c r="A47" s="10">
        <v>20</v>
      </c>
      <c r="B47" s="7" t="s">
        <v>33</v>
      </c>
      <c r="J47" s="3" t="s">
        <v>32</v>
      </c>
      <c r="K47" s="8">
        <f>+'Work Summary'!M48</f>
        <v>0</v>
      </c>
      <c r="L47" s="8">
        <v>0</v>
      </c>
      <c r="M47" s="8">
        <f>+'Schedule 5'!L73</f>
        <v>0</v>
      </c>
      <c r="N47" s="114" t="b">
        <f>+M47-L47=K47</f>
        <v>1</v>
      </c>
    </row>
    <row r="48" spans="1:14" ht="4.1500000000000004" customHeight="1" x14ac:dyDescent="0.2">
      <c r="A48" s="10"/>
      <c r="C48" s="11"/>
      <c r="K48" s="16"/>
      <c r="L48" s="16"/>
      <c r="M48" s="16"/>
    </row>
    <row r="49" spans="1:14" x14ac:dyDescent="0.2">
      <c r="A49" s="10"/>
      <c r="D49" s="15" t="s">
        <v>52</v>
      </c>
      <c r="K49" s="8">
        <f>SUM(K7:K48)</f>
        <v>2724266.9575783918</v>
      </c>
      <c r="L49" s="8">
        <f>SUM(L8:L48)</f>
        <v>-437865.66662489361</v>
      </c>
      <c r="M49" s="8">
        <f>SUM(M8:M48)</f>
        <v>2286401.2909534979</v>
      </c>
      <c r="N49" s="114" t="b">
        <f>+M49-L49=K49</f>
        <v>1</v>
      </c>
    </row>
    <row r="50" spans="1:14" x14ac:dyDescent="0.2">
      <c r="A50" s="10"/>
      <c r="J50" s="8"/>
      <c r="L50" s="26" t="s">
        <v>672</v>
      </c>
      <c r="M50" s="70" t="b">
        <f>+K49=M49-L49</f>
        <v>1</v>
      </c>
    </row>
    <row r="51" spans="1:14" x14ac:dyDescent="0.2">
      <c r="A51" s="10"/>
    </row>
    <row r="52" spans="1:14" ht="13.15" customHeight="1" x14ac:dyDescent="0.2">
      <c r="A52" s="10"/>
      <c r="K52" s="103"/>
      <c r="L52" s="103"/>
      <c r="M52" s="103"/>
    </row>
    <row r="53" spans="1:14" x14ac:dyDescent="0.2">
      <c r="A53" s="10"/>
    </row>
    <row r="54" spans="1:14" x14ac:dyDescent="0.2">
      <c r="A54" s="10"/>
    </row>
    <row r="55" spans="1:14" x14ac:dyDescent="0.2">
      <c r="A55" s="10"/>
    </row>
    <row r="56" spans="1:14" x14ac:dyDescent="0.2">
      <c r="A56" s="10"/>
    </row>
    <row r="57" spans="1:14" x14ac:dyDescent="0.2">
      <c r="A57" s="10"/>
    </row>
    <row r="58" spans="1:14" x14ac:dyDescent="0.2">
      <c r="A58" s="10"/>
    </row>
    <row r="59" spans="1:14" x14ac:dyDescent="0.2">
      <c r="A59" s="10"/>
    </row>
  </sheetData>
  <mergeCells count="2">
    <mergeCell ref="C4:M4"/>
    <mergeCell ref="C5:M5"/>
  </mergeCells>
  <pageMargins left="0.17" right="0.19" top="0.42" bottom="0.4" header="0.2" footer="0.17"/>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zoomScale="75" zoomScaleNormal="75" zoomScaleSheetLayoutView="75" workbookViewId="0"/>
  </sheetViews>
  <sheetFormatPr defaultColWidth="10.28515625" defaultRowHeight="12.75" x14ac:dyDescent="0.2"/>
  <cols>
    <col min="1" max="1" width="5.5703125" style="7" customWidth="1"/>
    <col min="2" max="4" width="6" style="7" customWidth="1"/>
    <col min="5" max="5" width="2" style="7" customWidth="1"/>
    <col min="6" max="6" width="3.140625" style="7" customWidth="1"/>
    <col min="7" max="7" width="2" style="3" customWidth="1"/>
    <col min="8" max="8" width="8" style="3" customWidth="1"/>
    <col min="9" max="9" width="11.5703125" style="3" customWidth="1"/>
    <col min="10" max="10" width="12.42578125" style="3" customWidth="1"/>
    <col min="11" max="11" width="15.5703125" style="8" customWidth="1"/>
    <col min="12" max="12" width="15.7109375" style="8" customWidth="1"/>
    <col min="13" max="16384" width="10.28515625" style="3"/>
  </cols>
  <sheetData>
    <row r="1" spans="1:12" ht="15.75" x14ac:dyDescent="0.2">
      <c r="B1" s="2" t="s">
        <v>6</v>
      </c>
      <c r="C1" s="2"/>
      <c r="D1" s="2"/>
      <c r="E1" s="2"/>
      <c r="F1" s="2"/>
      <c r="G1" s="2"/>
      <c r="J1" s="6" t="s">
        <v>10</v>
      </c>
    </row>
    <row r="2" spans="1:12" x14ac:dyDescent="0.2">
      <c r="B2" s="3" t="s">
        <v>7</v>
      </c>
      <c r="C2" s="3"/>
      <c r="D2" s="3"/>
      <c r="E2" s="3"/>
      <c r="F2" s="3"/>
    </row>
    <row r="3" spans="1:12" s="30" customFormat="1" ht="18.600000000000001" customHeight="1" x14ac:dyDescent="0.2">
      <c r="A3" s="29" t="s">
        <v>2</v>
      </c>
      <c r="C3" s="29" t="s">
        <v>3</v>
      </c>
      <c r="D3" s="29"/>
      <c r="E3" s="29"/>
      <c r="F3" s="31"/>
      <c r="G3" s="31"/>
      <c r="J3" s="28" t="s">
        <v>8</v>
      </c>
      <c r="K3" s="28" t="s">
        <v>9</v>
      </c>
      <c r="L3" s="28" t="s">
        <v>536</v>
      </c>
    </row>
    <row r="4" spans="1:12" x14ac:dyDescent="0.2">
      <c r="A4" s="17" t="s">
        <v>53</v>
      </c>
    </row>
    <row r="5" spans="1:12" x14ac:dyDescent="0.2">
      <c r="A5" s="7" t="s">
        <v>54</v>
      </c>
      <c r="H5" s="419">
        <v>36796</v>
      </c>
      <c r="I5" s="420"/>
      <c r="J5" s="8"/>
    </row>
    <row r="6" spans="1:12" x14ac:dyDescent="0.2">
      <c r="A6" s="10">
        <v>1</v>
      </c>
      <c r="B6" s="7" t="s">
        <v>55</v>
      </c>
      <c r="I6" s="8"/>
      <c r="J6" s="8"/>
    </row>
    <row r="7" spans="1:12" x14ac:dyDescent="0.2">
      <c r="A7" s="10"/>
      <c r="B7" s="18" t="s">
        <v>56</v>
      </c>
      <c r="C7" s="19"/>
      <c r="D7" s="19"/>
      <c r="E7" s="19"/>
      <c r="I7" s="20">
        <v>41175</v>
      </c>
      <c r="J7" s="8"/>
    </row>
    <row r="8" spans="1:12" x14ac:dyDescent="0.2">
      <c r="A8" s="10"/>
      <c r="B8" s="18" t="s">
        <v>57</v>
      </c>
      <c r="C8" s="19"/>
      <c r="D8" s="19"/>
      <c r="E8" s="19"/>
      <c r="I8" s="20">
        <v>36950</v>
      </c>
      <c r="J8" s="8"/>
    </row>
    <row r="9" spans="1:12" x14ac:dyDescent="0.2">
      <c r="A9" s="10"/>
      <c r="B9" s="18" t="s">
        <v>58</v>
      </c>
      <c r="C9" s="19"/>
      <c r="D9" s="19"/>
      <c r="E9" s="19"/>
      <c r="I9" s="20">
        <v>33408</v>
      </c>
      <c r="J9" s="8"/>
    </row>
    <row r="10" spans="1:12" x14ac:dyDescent="0.2">
      <c r="A10" s="10"/>
      <c r="B10" s="18" t="s">
        <v>59</v>
      </c>
      <c r="C10" s="19"/>
      <c r="D10" s="19"/>
      <c r="E10" s="19"/>
      <c r="I10" s="20">
        <v>51766</v>
      </c>
      <c r="J10" s="8"/>
    </row>
    <row r="11" spans="1:12" x14ac:dyDescent="0.2">
      <c r="A11" s="10"/>
      <c r="B11" s="18" t="s">
        <v>60</v>
      </c>
      <c r="C11" s="19"/>
      <c r="D11" s="19"/>
      <c r="E11" s="19"/>
      <c r="I11" s="21">
        <v>281093</v>
      </c>
      <c r="J11" s="8"/>
    </row>
    <row r="12" spans="1:12" x14ac:dyDescent="0.2">
      <c r="A12" s="10"/>
      <c r="B12" s="19"/>
      <c r="C12" s="18" t="s">
        <v>61</v>
      </c>
      <c r="D12" s="19"/>
      <c r="E12" s="19"/>
      <c r="I12" s="20">
        <f>SUM(I7:I11)</f>
        <v>444392</v>
      </c>
      <c r="J12" s="8"/>
      <c r="K12" s="8">
        <f>-SUM('Schedule 1 (L)'!T50:U50)</f>
        <v>-126560.25</v>
      </c>
    </row>
    <row r="13" spans="1:12" ht="4.1500000000000004" customHeight="1" x14ac:dyDescent="0.2">
      <c r="A13" s="10"/>
      <c r="B13" s="19"/>
      <c r="C13" s="19"/>
      <c r="D13" s="19"/>
      <c r="E13" s="19"/>
      <c r="F13" s="19"/>
      <c r="I13" s="8"/>
      <c r="J13" s="8"/>
    </row>
    <row r="14" spans="1:12" x14ac:dyDescent="0.2">
      <c r="A14" s="10"/>
      <c r="B14" s="18" t="s">
        <v>62</v>
      </c>
      <c r="C14" s="19"/>
      <c r="D14" s="19"/>
      <c r="E14" s="19"/>
      <c r="F14" s="19"/>
      <c r="I14" s="8">
        <v>7950</v>
      </c>
      <c r="J14" s="8"/>
      <c r="K14" s="8">
        <f>-'Schedule 1 (L)'!H30-'Schedule 1 (L)'!H31-'Schedule 1 (L)'!H32</f>
        <v>-1892.1632005822212</v>
      </c>
    </row>
    <row r="15" spans="1:12" x14ac:dyDescent="0.2">
      <c r="A15" s="10"/>
      <c r="B15" s="18" t="s">
        <v>63</v>
      </c>
      <c r="C15" s="19"/>
      <c r="D15" s="19"/>
      <c r="E15" s="19"/>
      <c r="F15" s="19"/>
      <c r="I15" s="22">
        <v>6750</v>
      </c>
      <c r="J15" s="8"/>
      <c r="K15" s="8">
        <f>-'Schedule 1 (L)'!H38-'Schedule 1 (L)'!H39-'Schedule 1 (L)'!H40</f>
        <v>-2071.4679961882039</v>
      </c>
    </row>
    <row r="16" spans="1:12" x14ac:dyDescent="0.2">
      <c r="A16" s="10"/>
      <c r="B16" s="19"/>
      <c r="C16" s="19"/>
      <c r="D16" s="19"/>
      <c r="E16" s="19"/>
      <c r="F16" s="19"/>
      <c r="I16" s="8">
        <f>+I14+I15</f>
        <v>14700</v>
      </c>
    </row>
    <row r="17" spans="1:12" x14ac:dyDescent="0.2">
      <c r="A17" s="10"/>
      <c r="B17" s="18" t="s">
        <v>64</v>
      </c>
      <c r="C17" s="19"/>
      <c r="D17" s="19"/>
      <c r="E17" s="19"/>
      <c r="F17" s="19"/>
      <c r="I17" s="8"/>
      <c r="J17" s="8">
        <f>+I12+I16</f>
        <v>459092</v>
      </c>
      <c r="L17" s="8">
        <f>+J17+K12+K14+K15</f>
        <v>328568.11880322959</v>
      </c>
    </row>
    <row r="18" spans="1:12" ht="4.9000000000000004" customHeight="1" x14ac:dyDescent="0.2">
      <c r="A18" s="10"/>
      <c r="B18" s="19"/>
      <c r="C18" s="19"/>
      <c r="D18" s="19"/>
      <c r="E18" s="19"/>
      <c r="F18" s="19"/>
      <c r="I18" s="8"/>
      <c r="J18" s="8"/>
    </row>
    <row r="19" spans="1:12" x14ac:dyDescent="0.2">
      <c r="A19" s="10">
        <v>2</v>
      </c>
      <c r="B19" s="18" t="s">
        <v>65</v>
      </c>
      <c r="C19" s="19"/>
      <c r="D19" s="19"/>
      <c r="E19" s="19"/>
      <c r="F19" s="19"/>
      <c r="I19" s="8"/>
      <c r="J19" s="8"/>
    </row>
    <row r="20" spans="1:12" x14ac:dyDescent="0.2">
      <c r="A20" s="10"/>
      <c r="B20" s="18" t="s">
        <v>57</v>
      </c>
      <c r="C20" s="19"/>
      <c r="D20" s="19"/>
      <c r="E20" s="19"/>
      <c r="F20" s="19"/>
      <c r="I20" s="8">
        <v>19900</v>
      </c>
      <c r="J20" s="8"/>
    </row>
    <row r="21" spans="1:12" x14ac:dyDescent="0.2">
      <c r="A21" s="10"/>
      <c r="B21" s="18" t="s">
        <v>58</v>
      </c>
      <c r="C21" s="19"/>
      <c r="D21" s="19"/>
      <c r="E21" s="19"/>
      <c r="F21" s="19"/>
      <c r="I21" s="8">
        <v>27853.5</v>
      </c>
      <c r="J21" s="8"/>
    </row>
    <row r="22" spans="1:12" x14ac:dyDescent="0.2">
      <c r="A22" s="10"/>
      <c r="B22" s="18" t="s">
        <v>59</v>
      </c>
      <c r="C22" s="19"/>
      <c r="D22" s="19"/>
      <c r="E22" s="19"/>
      <c r="F22" s="19"/>
      <c r="I22" s="8">
        <v>61771</v>
      </c>
      <c r="J22" s="8"/>
    </row>
    <row r="23" spans="1:12" x14ac:dyDescent="0.2">
      <c r="A23" s="10"/>
      <c r="B23" s="18" t="s">
        <v>60</v>
      </c>
      <c r="C23" s="19"/>
      <c r="D23" s="19"/>
      <c r="E23" s="19"/>
      <c r="F23" s="19"/>
      <c r="I23" s="22">
        <v>306547</v>
      </c>
      <c r="J23" s="8"/>
    </row>
    <row r="24" spans="1:12" x14ac:dyDescent="0.2">
      <c r="A24" s="10"/>
      <c r="B24" s="19"/>
      <c r="C24" s="18" t="s">
        <v>61</v>
      </c>
      <c r="D24" s="19"/>
      <c r="E24" s="19"/>
      <c r="F24" s="19"/>
      <c r="I24" s="8">
        <f>SUM(I20:I23)</f>
        <v>416071.5</v>
      </c>
      <c r="J24" s="8"/>
      <c r="K24" s="8">
        <f>-SUM('Schedule 1 (L)'!T51:U51)</f>
        <v>-100088.25</v>
      </c>
    </row>
    <row r="25" spans="1:12" ht="6.6" customHeight="1" x14ac:dyDescent="0.2">
      <c r="A25" s="10"/>
      <c r="I25" s="8"/>
      <c r="J25" s="8"/>
    </row>
    <row r="26" spans="1:12" x14ac:dyDescent="0.2">
      <c r="A26" s="10"/>
      <c r="B26" s="18" t="s">
        <v>63</v>
      </c>
      <c r="I26" s="22">
        <v>6000</v>
      </c>
      <c r="J26" s="8"/>
      <c r="K26" s="8">
        <f>-SUM('Schedule 1 (L)'!T53:U53)</f>
        <v>-1505.2845299193502</v>
      </c>
    </row>
    <row r="27" spans="1:12" x14ac:dyDescent="0.2">
      <c r="A27" s="10"/>
      <c r="B27" s="101" t="s">
        <v>131</v>
      </c>
    </row>
    <row r="28" spans="1:12" x14ac:dyDescent="0.2">
      <c r="A28" s="10"/>
      <c r="B28" s="18" t="s">
        <v>66</v>
      </c>
      <c r="J28" s="8">
        <f>+I24+I26</f>
        <v>422071.5</v>
      </c>
      <c r="L28" s="8">
        <f>+J28+K24+K26</f>
        <v>320477.96547008067</v>
      </c>
    </row>
    <row r="29" spans="1:12" ht="4.9000000000000004" customHeight="1" x14ac:dyDescent="0.2">
      <c r="A29" s="10"/>
      <c r="I29" s="8"/>
    </row>
    <row r="30" spans="1:12" x14ac:dyDescent="0.2">
      <c r="A30" s="10">
        <v>3</v>
      </c>
      <c r="B30" s="18" t="s">
        <v>77</v>
      </c>
      <c r="C30" s="19"/>
      <c r="D30" s="19"/>
      <c r="E30" s="19"/>
      <c r="F30" s="19"/>
    </row>
    <row r="31" spans="1:12" x14ac:dyDescent="0.2">
      <c r="A31" s="10"/>
      <c r="B31" s="18" t="s">
        <v>78</v>
      </c>
      <c r="C31" s="19"/>
      <c r="D31" s="19"/>
      <c r="E31" s="19"/>
      <c r="F31" s="19"/>
    </row>
    <row r="32" spans="1:12" x14ac:dyDescent="0.2">
      <c r="A32" s="10"/>
      <c r="B32" s="18" t="s">
        <v>67</v>
      </c>
      <c r="C32" s="19"/>
      <c r="D32" s="19"/>
      <c r="E32" s="19"/>
      <c r="F32" s="19"/>
    </row>
    <row r="33" spans="1:12" ht="24.75" customHeight="1" x14ac:dyDescent="0.2">
      <c r="A33" s="10"/>
      <c r="B33" s="421" t="s">
        <v>79</v>
      </c>
      <c r="C33" s="422"/>
      <c r="D33" s="422"/>
      <c r="E33" s="422"/>
      <c r="F33" s="422"/>
      <c r="G33" s="422"/>
      <c r="H33" s="422"/>
      <c r="I33" s="20">
        <v>121188.61</v>
      </c>
      <c r="J33" s="23"/>
      <c r="K33" s="8">
        <f>-I33</f>
        <v>-121188.61</v>
      </c>
    </row>
    <row r="34" spans="1:12" x14ac:dyDescent="0.2">
      <c r="A34" s="10"/>
      <c r="B34" s="18" t="s">
        <v>80</v>
      </c>
      <c r="C34" s="19"/>
      <c r="D34" s="19"/>
      <c r="I34" s="20">
        <v>30522.99</v>
      </c>
      <c r="J34" s="23"/>
      <c r="K34" s="8">
        <f>+I34*-0.5</f>
        <v>-15261.495000000001</v>
      </c>
    </row>
    <row r="35" spans="1:12" x14ac:dyDescent="0.2">
      <c r="A35" s="10"/>
      <c r="B35" s="18" t="s">
        <v>81</v>
      </c>
      <c r="C35" s="19"/>
      <c r="D35" s="19"/>
      <c r="I35" s="20">
        <v>24263.32</v>
      </c>
      <c r="J35" s="23"/>
    </row>
    <row r="36" spans="1:12" x14ac:dyDescent="0.2">
      <c r="A36" s="10"/>
      <c r="B36" s="18" t="s">
        <v>68</v>
      </c>
      <c r="C36" s="19"/>
      <c r="D36" s="19"/>
      <c r="I36" s="21">
        <v>2265.5</v>
      </c>
      <c r="J36" s="19"/>
      <c r="K36" s="8">
        <f>-I36</f>
        <v>-2265.5</v>
      </c>
    </row>
    <row r="37" spans="1:12" x14ac:dyDescent="0.2">
      <c r="A37" s="10"/>
      <c r="B37" s="19"/>
      <c r="C37" s="18" t="s">
        <v>69</v>
      </c>
      <c r="D37" s="19"/>
      <c r="I37" s="20">
        <v>178240.42</v>
      </c>
      <c r="J37" s="23"/>
    </row>
    <row r="38" spans="1:12" x14ac:dyDescent="0.2">
      <c r="A38" s="10"/>
      <c r="B38" s="19"/>
      <c r="C38" s="19"/>
      <c r="D38" s="19"/>
      <c r="I38" s="23"/>
      <c r="J38" s="23"/>
    </row>
    <row r="39" spans="1:12" x14ac:dyDescent="0.2">
      <c r="A39" s="10"/>
      <c r="B39" s="18" t="s">
        <v>70</v>
      </c>
      <c r="C39" s="19"/>
      <c r="D39" s="19"/>
      <c r="I39" s="20">
        <v>2508.48</v>
      </c>
      <c r="J39" s="19"/>
    </row>
    <row r="40" spans="1:12" x14ac:dyDescent="0.2">
      <c r="A40" s="10"/>
      <c r="B40" s="18" t="s">
        <v>71</v>
      </c>
      <c r="C40" s="19"/>
      <c r="D40" s="19"/>
      <c r="I40" s="20">
        <v>7729.02</v>
      </c>
      <c r="J40" s="19"/>
    </row>
    <row r="41" spans="1:12" x14ac:dyDescent="0.2">
      <c r="A41" s="10"/>
      <c r="B41" s="18" t="s">
        <v>72</v>
      </c>
      <c r="C41" s="19"/>
      <c r="D41" s="19"/>
      <c r="I41" s="20">
        <v>10907.57</v>
      </c>
      <c r="J41" s="19"/>
    </row>
    <row r="42" spans="1:12" x14ac:dyDescent="0.2">
      <c r="A42" s="10"/>
      <c r="B42" s="18" t="s">
        <v>73</v>
      </c>
      <c r="C42" s="19"/>
      <c r="D42" s="19"/>
      <c r="I42" s="21">
        <v>1780.43</v>
      </c>
      <c r="J42" s="24" t="s">
        <v>76</v>
      </c>
      <c r="K42" s="8">
        <f>+'Schedule 1 (C)'!N117</f>
        <v>-1366.43</v>
      </c>
    </row>
    <row r="43" spans="1:12" ht="12" customHeight="1" x14ac:dyDescent="0.2">
      <c r="A43" s="10"/>
      <c r="B43" s="421" t="s">
        <v>74</v>
      </c>
      <c r="C43" s="421"/>
      <c r="D43" s="421"/>
      <c r="E43" s="421"/>
      <c r="F43" s="421"/>
      <c r="G43" s="421"/>
      <c r="H43" s="421"/>
      <c r="I43" s="26">
        <v>22925.5</v>
      </c>
      <c r="J43" s="23">
        <v>201165.92</v>
      </c>
      <c r="L43" s="128">
        <f>+J43+K33+K34+K36+K42</f>
        <v>61083.885000000009</v>
      </c>
    </row>
    <row r="44" spans="1:12" x14ac:dyDescent="0.2">
      <c r="A44" s="10">
        <v>4</v>
      </c>
      <c r="B44" s="18" t="s">
        <v>82</v>
      </c>
      <c r="C44" s="19"/>
      <c r="D44" s="19"/>
      <c r="I44" s="19"/>
      <c r="J44" s="20">
        <v>95120</v>
      </c>
      <c r="K44" s="8">
        <f>+'Schedule 1 (C)'!J26</f>
        <v>-19160</v>
      </c>
      <c r="L44" s="8">
        <f>+J44+K44</f>
        <v>75960</v>
      </c>
    </row>
    <row r="45" spans="1:12" x14ac:dyDescent="0.2">
      <c r="A45" s="10">
        <v>5</v>
      </c>
      <c r="B45" s="18" t="s">
        <v>83</v>
      </c>
      <c r="C45" s="19"/>
      <c r="D45" s="19"/>
      <c r="I45" s="19"/>
      <c r="J45" s="23"/>
    </row>
    <row r="46" spans="1:12" x14ac:dyDescent="0.2">
      <c r="A46" s="10"/>
      <c r="B46" s="25"/>
      <c r="C46" s="18" t="s">
        <v>84</v>
      </c>
      <c r="D46" s="19"/>
      <c r="I46" s="19"/>
      <c r="J46" s="20">
        <v>9026.6</v>
      </c>
      <c r="L46" s="8">
        <f>+J46+K46</f>
        <v>9026.6</v>
      </c>
    </row>
    <row r="47" spans="1:12" x14ac:dyDescent="0.2">
      <c r="A47" s="10">
        <v>6</v>
      </c>
      <c r="B47" s="18" t="s">
        <v>632</v>
      </c>
      <c r="C47" s="19"/>
      <c r="D47" s="19"/>
      <c r="I47" s="19"/>
      <c r="J47" s="23"/>
    </row>
    <row r="48" spans="1:12" x14ac:dyDescent="0.2">
      <c r="A48" s="10"/>
      <c r="B48" s="18" t="s">
        <v>75</v>
      </c>
      <c r="C48" s="19"/>
      <c r="D48" s="19"/>
      <c r="I48" s="19"/>
      <c r="J48" s="20">
        <v>8349.4</v>
      </c>
      <c r="K48" s="8">
        <f>-J48</f>
        <v>-8349.4</v>
      </c>
      <c r="L48" s="8">
        <f>+J48+K48</f>
        <v>0</v>
      </c>
    </row>
    <row r="49" spans="1:12" x14ac:dyDescent="0.2">
      <c r="A49" s="10"/>
      <c r="B49" s="18"/>
      <c r="C49" s="19"/>
      <c r="D49" s="19"/>
      <c r="I49" s="19"/>
      <c r="J49" s="20"/>
    </row>
    <row r="50" spans="1:12" x14ac:dyDescent="0.2">
      <c r="A50" s="10"/>
      <c r="B50" s="18" t="s">
        <v>635</v>
      </c>
      <c r="C50" s="19"/>
      <c r="D50" s="19"/>
      <c r="I50" s="19"/>
      <c r="J50" s="20">
        <f>-4860-80100-966</f>
        <v>-85926</v>
      </c>
      <c r="K50" s="8">
        <f>-J50</f>
        <v>85926</v>
      </c>
      <c r="L50" s="8">
        <f>+J50+K50</f>
        <v>0</v>
      </c>
    </row>
    <row r="51" spans="1:12" ht="6.75" customHeight="1" x14ac:dyDescent="0.2">
      <c r="A51" s="10"/>
      <c r="B51" s="18"/>
      <c r="C51" s="19"/>
      <c r="D51" s="19"/>
      <c r="I51" s="19"/>
      <c r="J51" s="27"/>
      <c r="K51" s="27"/>
      <c r="L51" s="27"/>
    </row>
    <row r="52" spans="1:12" x14ac:dyDescent="0.2">
      <c r="A52" s="10"/>
      <c r="B52" s="18"/>
      <c r="C52" s="19"/>
      <c r="D52" s="19"/>
      <c r="H52" s="129" t="s">
        <v>301</v>
      </c>
      <c r="I52" s="143">
        <f>+L52-K52</f>
        <v>1108899.42</v>
      </c>
      <c r="J52" s="20">
        <f>SUM(J6:J51)</f>
        <v>1108899.42</v>
      </c>
      <c r="K52" s="20">
        <f>SUM(K6:K51)</f>
        <v>-313782.85072668979</v>
      </c>
      <c r="L52" s="20">
        <f>SUM(L6:L51)</f>
        <v>795116.56927331025</v>
      </c>
    </row>
    <row r="53" spans="1:12" x14ac:dyDescent="0.2">
      <c r="A53" s="10"/>
    </row>
    <row r="54" spans="1:12" x14ac:dyDescent="0.2">
      <c r="A54" s="10"/>
    </row>
  </sheetData>
  <mergeCells count="3">
    <mergeCell ref="H5:I5"/>
    <mergeCell ref="B33:H33"/>
    <mergeCell ref="B43:H43"/>
  </mergeCells>
  <pageMargins left="0.17" right="0.24" top="0.48" bottom="0.46" header="0.2" footer="0.25"/>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7"/>
  <sheetViews>
    <sheetView view="pageBreakPreview" zoomScale="50" zoomScaleNormal="80" zoomScaleSheetLayoutView="75" workbookViewId="0">
      <selection activeCell="C2" sqref="C2"/>
    </sheetView>
  </sheetViews>
  <sheetFormatPr defaultColWidth="10.28515625" defaultRowHeight="12.75" x14ac:dyDescent="0.2"/>
  <cols>
    <col min="1" max="1" width="4.85546875" style="10" customWidth="1"/>
    <col min="2" max="2" width="7.5703125" style="7" customWidth="1"/>
    <col min="3" max="3" width="6.140625" style="7" customWidth="1"/>
    <col min="4" max="4" width="5.28515625" style="7" customWidth="1"/>
    <col min="5" max="8" width="8.5703125" style="40" customWidth="1"/>
    <col min="9" max="9" width="8.7109375" style="37" customWidth="1"/>
    <col min="10" max="13" width="8.5703125" style="37" customWidth="1"/>
    <col min="14" max="15" width="9.42578125" style="37" customWidth="1"/>
    <col min="16" max="16" width="8.5703125" style="37" customWidth="1"/>
    <col min="17" max="17" width="9.5703125" style="37" customWidth="1"/>
    <col min="18" max="18" width="12.140625" style="8" customWidth="1"/>
    <col min="19" max="19" width="9.7109375" style="3" customWidth="1"/>
    <col min="20" max="20" width="9.5703125" style="3" customWidth="1"/>
    <col min="21" max="21" width="11.85546875" style="3" customWidth="1"/>
    <col min="22" max="22" width="6.5703125" style="3" customWidth="1"/>
    <col min="23" max="16384" width="10.28515625" style="3"/>
  </cols>
  <sheetData>
    <row r="1" spans="2:21" ht="15.75" x14ac:dyDescent="0.2">
      <c r="D1" s="30" t="s">
        <v>6</v>
      </c>
      <c r="E1" s="36"/>
      <c r="F1" s="36"/>
      <c r="G1" s="36"/>
      <c r="H1" s="36"/>
      <c r="I1" s="36"/>
      <c r="J1" s="166" t="s">
        <v>537</v>
      </c>
      <c r="K1" s="38"/>
      <c r="M1" s="3" t="s">
        <v>7</v>
      </c>
    </row>
    <row r="2" spans="2:21" x14ac:dyDescent="0.2">
      <c r="C2" s="14" t="s">
        <v>53</v>
      </c>
      <c r="H2" s="7" t="s">
        <v>54</v>
      </c>
    </row>
    <row r="3" spans="2:21" x14ac:dyDescent="0.2">
      <c r="C3" s="18" t="s">
        <v>85</v>
      </c>
      <c r="J3" s="460"/>
      <c r="K3" s="460"/>
    </row>
    <row r="4" spans="2:21" ht="3.6" customHeight="1" x14ac:dyDescent="0.2">
      <c r="C4" s="3"/>
      <c r="D4" s="23"/>
      <c r="E4" s="42"/>
      <c r="F4" s="43"/>
    </row>
    <row r="5" spans="2:21" x14ac:dyDescent="0.2">
      <c r="C5" s="19"/>
      <c r="G5" s="44" t="s">
        <v>620</v>
      </c>
      <c r="H5" s="37"/>
      <c r="I5" s="213" t="s">
        <v>621</v>
      </c>
      <c r="K5" s="213" t="s">
        <v>117</v>
      </c>
      <c r="M5" s="452" t="s">
        <v>624</v>
      </c>
      <c r="N5" s="452"/>
      <c r="O5" s="3"/>
      <c r="P5" s="452" t="s">
        <v>88</v>
      </c>
      <c r="Q5" s="452"/>
      <c r="R5" s="424" t="s">
        <v>619</v>
      </c>
      <c r="S5" s="424"/>
      <c r="T5" s="452" t="s">
        <v>625</v>
      </c>
      <c r="U5" s="452"/>
    </row>
    <row r="6" spans="2:21" x14ac:dyDescent="0.2">
      <c r="C6" s="18" t="s">
        <v>89</v>
      </c>
      <c r="G6" s="453">
        <v>412404</v>
      </c>
      <c r="H6" s="453"/>
      <c r="I6" s="453">
        <v>398947.5</v>
      </c>
      <c r="J6" s="453"/>
      <c r="K6" s="453">
        <f>+G6+I6</f>
        <v>811351.5</v>
      </c>
      <c r="L6" s="453"/>
      <c r="M6" s="430">
        <f>+H29+H30+H37+H38+H46+H47</f>
        <v>18832.381128142777</v>
      </c>
      <c r="N6" s="431"/>
      <c r="O6" s="3"/>
      <c r="P6" s="430">
        <f>+M6+K6</f>
        <v>830183.88112814282</v>
      </c>
      <c r="Q6" s="431"/>
      <c r="R6" s="430">
        <f>-S38</f>
        <v>-145486.29685483256</v>
      </c>
      <c r="S6" s="430"/>
      <c r="T6" s="430">
        <f>+P6+R6</f>
        <v>684697.58427331026</v>
      </c>
      <c r="U6" s="431"/>
    </row>
    <row r="7" spans="2:21" ht="4.1500000000000004" customHeight="1" x14ac:dyDescent="0.2">
      <c r="C7" s="19"/>
      <c r="G7" s="23"/>
      <c r="H7" s="8"/>
      <c r="I7" s="23"/>
      <c r="J7" s="8"/>
      <c r="K7" s="23"/>
      <c r="L7" s="8"/>
      <c r="M7" s="3"/>
      <c r="N7" s="3"/>
      <c r="O7" s="3"/>
      <c r="P7" s="3"/>
      <c r="Q7" s="3"/>
      <c r="S7" s="8"/>
    </row>
    <row r="8" spans="2:21" x14ac:dyDescent="0.2">
      <c r="C8" s="18" t="s">
        <v>90</v>
      </c>
      <c r="G8" s="453">
        <v>6247</v>
      </c>
      <c r="H8" s="453"/>
      <c r="I8" s="453">
        <v>3719</v>
      </c>
      <c r="J8" s="453"/>
      <c r="K8" s="453">
        <f>+G8+I8</f>
        <v>9966</v>
      </c>
      <c r="L8" s="453"/>
      <c r="M8" s="430">
        <f>+H31+H39+H48</f>
        <v>862.10866404992237</v>
      </c>
      <c r="N8" s="431"/>
      <c r="O8" s="3"/>
      <c r="P8" s="430">
        <f>+M8+K8</f>
        <v>10828.108664049922</v>
      </c>
      <c r="Q8" s="431"/>
      <c r="R8" s="430">
        <f>-S43</f>
        <v>-47298.60866404992</v>
      </c>
      <c r="S8" s="430"/>
      <c r="T8" s="430">
        <f>+P8+R8</f>
        <v>-36470.5</v>
      </c>
      <c r="U8" s="431"/>
    </row>
    <row r="9" spans="2:21" ht="7.15" customHeight="1" x14ac:dyDescent="0.2">
      <c r="C9" s="19"/>
      <c r="G9" s="24"/>
      <c r="H9" s="70"/>
      <c r="I9" s="23"/>
      <c r="J9" s="8"/>
      <c r="K9" s="23"/>
      <c r="L9" s="8"/>
      <c r="M9" s="3"/>
      <c r="N9" s="3"/>
      <c r="O9" s="3"/>
      <c r="P9" s="3"/>
      <c r="Q9" s="3"/>
      <c r="S9" s="8"/>
    </row>
    <row r="10" spans="2:21" x14ac:dyDescent="0.2">
      <c r="C10" s="18" t="s">
        <v>91</v>
      </c>
      <c r="G10" s="459">
        <v>25741</v>
      </c>
      <c r="H10" s="453"/>
      <c r="I10" s="459">
        <v>13405</v>
      </c>
      <c r="J10" s="453"/>
      <c r="K10" s="459">
        <f>+G10+I10</f>
        <v>39146</v>
      </c>
      <c r="L10" s="453"/>
      <c r="M10" s="446">
        <f>+H32+H40+H49</f>
        <v>1005.5102078072985</v>
      </c>
      <c r="N10" s="447"/>
      <c r="O10" s="3"/>
      <c r="P10" s="446">
        <f>+M10+K10</f>
        <v>40151.510207807296</v>
      </c>
      <c r="Q10" s="447"/>
      <c r="R10" s="446">
        <f>-S47</f>
        <v>-39332.510207807296</v>
      </c>
      <c r="S10" s="446"/>
      <c r="T10" s="446">
        <f>+P10+R10</f>
        <v>819</v>
      </c>
      <c r="U10" s="447"/>
    </row>
    <row r="11" spans="2:21" ht="5.45" customHeight="1" x14ac:dyDescent="0.2">
      <c r="C11" s="19"/>
      <c r="G11" s="24"/>
      <c r="H11" s="70"/>
      <c r="I11" s="23"/>
      <c r="J11" s="8"/>
      <c r="K11" s="23"/>
      <c r="L11" s="8"/>
      <c r="M11" s="3"/>
      <c r="N11" s="3"/>
      <c r="O11" s="3"/>
      <c r="S11" s="8"/>
      <c r="T11" s="37"/>
      <c r="U11" s="37"/>
    </row>
    <row r="12" spans="2:21" x14ac:dyDescent="0.2">
      <c r="C12" s="18" t="s">
        <v>92</v>
      </c>
      <c r="G12" s="453">
        <f>SUM(G6:G11)</f>
        <v>444392</v>
      </c>
      <c r="H12" s="453"/>
      <c r="I12" s="453">
        <f>SUM(I6:I11)</f>
        <v>416071.5</v>
      </c>
      <c r="J12" s="453"/>
      <c r="K12" s="453">
        <f>SUM(K6:K11)</f>
        <v>860463.5</v>
      </c>
      <c r="L12" s="453"/>
      <c r="M12" s="430">
        <f>+M6+M8+M10</f>
        <v>20700</v>
      </c>
      <c r="N12" s="431"/>
      <c r="O12" s="3"/>
      <c r="P12" s="430">
        <f>+P6+P8+P10</f>
        <v>881163.5</v>
      </c>
      <c r="Q12" s="431"/>
      <c r="R12" s="430">
        <f>SUM(R6:S10)</f>
        <v>-232117.41572668977</v>
      </c>
      <c r="S12" s="430"/>
      <c r="T12" s="430">
        <f>+T6+T8+T10</f>
        <v>649046.08427331026</v>
      </c>
      <c r="U12" s="431"/>
    </row>
    <row r="13" spans="2:21" x14ac:dyDescent="0.2">
      <c r="C13" s="19"/>
      <c r="J13" s="43"/>
      <c r="L13" s="43"/>
      <c r="N13" s="43"/>
    </row>
    <row r="14" spans="2:21" ht="6" customHeight="1" x14ac:dyDescent="0.2">
      <c r="B14" s="71"/>
      <c r="C14" s="72"/>
      <c r="D14" s="73"/>
      <c r="E14" s="74"/>
      <c r="F14" s="74"/>
      <c r="G14" s="74"/>
      <c r="H14" s="74"/>
      <c r="I14" s="75"/>
      <c r="J14" s="47"/>
      <c r="K14" s="75"/>
      <c r="L14" s="47"/>
      <c r="M14" s="75"/>
      <c r="N14" s="47"/>
      <c r="O14" s="75"/>
      <c r="P14" s="75"/>
      <c r="Q14" s="75"/>
      <c r="R14" s="76"/>
      <c r="S14" s="77"/>
      <c r="T14" s="77"/>
      <c r="U14" s="78"/>
    </row>
    <row r="15" spans="2:21" x14ac:dyDescent="0.2">
      <c r="B15" s="79"/>
      <c r="C15" s="80" t="s">
        <v>93</v>
      </c>
      <c r="D15" s="81"/>
      <c r="E15" s="82"/>
      <c r="F15" s="82"/>
      <c r="G15" s="82"/>
      <c r="H15" s="82"/>
      <c r="I15" s="83"/>
      <c r="J15" s="50"/>
      <c r="K15" s="50"/>
      <c r="L15" s="50"/>
      <c r="M15" s="83"/>
      <c r="N15" s="83"/>
      <c r="O15" s="83"/>
      <c r="P15" s="83"/>
      <c r="Q15" s="83"/>
      <c r="R15" s="84"/>
      <c r="S15" s="85"/>
      <c r="T15" s="85"/>
      <c r="U15" s="86"/>
    </row>
    <row r="16" spans="2:21" x14ac:dyDescent="0.2">
      <c r="B16" s="79"/>
      <c r="C16" s="87"/>
      <c r="D16" s="81"/>
      <c r="E16" s="82"/>
      <c r="F16" s="82"/>
      <c r="G16" s="82"/>
      <c r="H16" s="82"/>
      <c r="I16" s="88" t="s">
        <v>125</v>
      </c>
      <c r="J16" s="50"/>
      <c r="K16" s="50"/>
      <c r="L16" s="50"/>
      <c r="M16" s="83"/>
      <c r="N16" s="88" t="s">
        <v>121</v>
      </c>
      <c r="O16" s="83"/>
      <c r="P16" s="83"/>
      <c r="Q16" s="83"/>
      <c r="R16" s="84"/>
      <c r="S16" s="85"/>
      <c r="T16" s="85"/>
      <c r="U16" s="86"/>
    </row>
    <row r="17" spans="2:22" x14ac:dyDescent="0.2">
      <c r="B17" s="79"/>
      <c r="C17" s="81"/>
      <c r="D17" s="81"/>
      <c r="E17" s="82"/>
      <c r="F17" s="82"/>
      <c r="G17" s="89" t="s">
        <v>123</v>
      </c>
      <c r="H17" s="89" t="s">
        <v>124</v>
      </c>
      <c r="I17" s="89" t="s">
        <v>88</v>
      </c>
      <c r="J17" s="83"/>
      <c r="K17" s="90" t="s">
        <v>88</v>
      </c>
      <c r="L17" s="83"/>
      <c r="M17" s="83"/>
      <c r="N17" s="83"/>
      <c r="O17" s="83"/>
      <c r="P17" s="83"/>
      <c r="Q17" s="89" t="s">
        <v>123</v>
      </c>
      <c r="R17" s="89" t="s">
        <v>124</v>
      </c>
      <c r="S17" s="89" t="s">
        <v>88</v>
      </c>
      <c r="T17" s="90" t="s">
        <v>88</v>
      </c>
      <c r="U17" s="86"/>
    </row>
    <row r="18" spans="2:22" x14ac:dyDescent="0.2">
      <c r="B18" s="79"/>
      <c r="C18" s="87"/>
      <c r="D18" s="81"/>
      <c r="E18" s="82"/>
      <c r="F18" s="82"/>
      <c r="G18" s="89" t="s">
        <v>122</v>
      </c>
      <c r="H18" s="89" t="s">
        <v>122</v>
      </c>
      <c r="I18" s="89" t="s">
        <v>108</v>
      </c>
      <c r="J18" s="83"/>
      <c r="K18" s="90" t="s">
        <v>109</v>
      </c>
      <c r="L18" s="83"/>
      <c r="M18" s="83"/>
      <c r="N18" s="83"/>
      <c r="O18" s="83"/>
      <c r="P18" s="83"/>
      <c r="Q18" s="89" t="s">
        <v>122</v>
      </c>
      <c r="R18" s="89" t="s">
        <v>122</v>
      </c>
      <c r="S18" s="89" t="s">
        <v>108</v>
      </c>
      <c r="T18" s="90" t="s">
        <v>109</v>
      </c>
      <c r="U18" s="86"/>
    </row>
    <row r="19" spans="2:22" x14ac:dyDescent="0.2">
      <c r="B19" s="79"/>
      <c r="C19" s="80" t="s">
        <v>89</v>
      </c>
      <c r="D19" s="81"/>
      <c r="E19" s="82"/>
      <c r="F19" s="82"/>
      <c r="G19" s="58">
        <v>6651</v>
      </c>
      <c r="H19" s="58">
        <v>6853</v>
      </c>
      <c r="I19" s="463">
        <f>+G19+H19</f>
        <v>13504</v>
      </c>
      <c r="J19" s="464"/>
      <c r="K19" s="461">
        <f>398947.5+412404</f>
        <v>811351.5</v>
      </c>
      <c r="L19" s="461"/>
      <c r="M19" s="83"/>
      <c r="N19" s="80" t="s">
        <v>116</v>
      </c>
      <c r="O19" s="83"/>
      <c r="P19" s="83"/>
      <c r="Q19" s="58">
        <f>+T100</f>
        <v>6209</v>
      </c>
      <c r="R19" s="58">
        <f>+Q152</f>
        <v>6853</v>
      </c>
      <c r="S19" s="92">
        <f>+Q19+R19</f>
        <v>13062</v>
      </c>
      <c r="T19" s="58">
        <f>+U100+R152</f>
        <v>788829</v>
      </c>
      <c r="U19" s="86"/>
    </row>
    <row r="20" spans="2:22" x14ac:dyDescent="0.2">
      <c r="B20" s="79"/>
      <c r="C20" s="87"/>
      <c r="D20" s="81"/>
      <c r="E20" s="82"/>
      <c r="F20" s="82"/>
      <c r="G20" s="82"/>
      <c r="H20" s="82"/>
      <c r="I20" s="83"/>
      <c r="J20" s="93">
        <f>+I19/14414</f>
        <v>0.93686693492437911</v>
      </c>
      <c r="K20" s="50"/>
      <c r="L20" s="50"/>
      <c r="M20" s="83"/>
      <c r="N20" s="83"/>
      <c r="O20" s="83"/>
      <c r="P20" s="83"/>
      <c r="Q20" s="50"/>
      <c r="R20" s="50"/>
      <c r="S20" s="50"/>
      <c r="T20" s="50"/>
      <c r="U20" s="86"/>
    </row>
    <row r="21" spans="2:22" x14ac:dyDescent="0.2">
      <c r="B21" s="79"/>
      <c r="C21" s="80" t="s">
        <v>90</v>
      </c>
      <c r="D21" s="81"/>
      <c r="E21" s="82"/>
      <c r="F21" s="82"/>
      <c r="G21" s="58">
        <v>121</v>
      </c>
      <c r="H21" s="58">
        <v>73</v>
      </c>
      <c r="I21" s="463">
        <f>+G21+H21</f>
        <v>194</v>
      </c>
      <c r="J21" s="464"/>
      <c r="K21" s="461">
        <f>3719+6247</f>
        <v>9966</v>
      </c>
      <c r="L21" s="461"/>
      <c r="M21" s="83"/>
      <c r="N21" s="80" t="s">
        <v>90</v>
      </c>
      <c r="O21" s="83"/>
      <c r="P21" s="83"/>
      <c r="Q21" s="58">
        <f>+T171</f>
        <v>563</v>
      </c>
      <c r="R21" s="58">
        <f>+Q181</f>
        <v>73</v>
      </c>
      <c r="S21" s="94">
        <f>+Q21+R21</f>
        <v>636</v>
      </c>
      <c r="T21" s="58">
        <f>+U171+R183</f>
        <v>32488.5</v>
      </c>
      <c r="U21" s="86"/>
    </row>
    <row r="22" spans="2:22" x14ac:dyDescent="0.2">
      <c r="B22" s="79"/>
      <c r="C22" s="87"/>
      <c r="D22" s="81"/>
      <c r="E22" s="82"/>
      <c r="F22" s="82"/>
      <c r="G22" s="82"/>
      <c r="H22" s="82"/>
      <c r="I22" s="83"/>
      <c r="J22" s="93">
        <f>+I21/14414</f>
        <v>1.3459136950187318E-2</v>
      </c>
      <c r="K22" s="50"/>
      <c r="L22" s="50"/>
      <c r="M22" s="83"/>
      <c r="N22" s="83"/>
      <c r="O22" s="83"/>
      <c r="P22" s="83"/>
      <c r="Q22" s="50"/>
      <c r="R22" s="50"/>
      <c r="S22" s="83"/>
      <c r="T22" s="84"/>
      <c r="U22" s="86"/>
    </row>
    <row r="23" spans="2:22" x14ac:dyDescent="0.2">
      <c r="B23" s="79"/>
      <c r="C23" s="80" t="s">
        <v>91</v>
      </c>
      <c r="D23" s="81"/>
      <c r="E23" s="82"/>
      <c r="F23" s="82"/>
      <c r="G23" s="89">
        <v>475</v>
      </c>
      <c r="H23" s="89">
        <v>241</v>
      </c>
      <c r="I23" s="465">
        <f>+G23+H23</f>
        <v>716</v>
      </c>
      <c r="J23" s="464"/>
      <c r="K23" s="462">
        <f>13405+25741</f>
        <v>39146</v>
      </c>
      <c r="L23" s="462"/>
      <c r="M23" s="83"/>
      <c r="N23" s="80" t="s">
        <v>91</v>
      </c>
      <c r="O23" s="83"/>
      <c r="P23" s="83"/>
      <c r="Q23" s="89">
        <f>+T198</f>
        <v>475</v>
      </c>
      <c r="R23" s="89">
        <f>+Q212</f>
        <v>241</v>
      </c>
      <c r="S23" s="95">
        <f>+Q23+R23</f>
        <v>716</v>
      </c>
      <c r="T23" s="89">
        <f>+U198+R214</f>
        <v>39146</v>
      </c>
      <c r="U23" s="86"/>
    </row>
    <row r="24" spans="2:22" x14ac:dyDescent="0.2">
      <c r="B24" s="79"/>
      <c r="C24" s="87"/>
      <c r="D24" s="81"/>
      <c r="E24" s="82"/>
      <c r="F24" s="82"/>
      <c r="G24" s="82"/>
      <c r="H24" s="82"/>
      <c r="I24" s="83"/>
      <c r="J24" s="93">
        <f>+I23/14414</f>
        <v>4.9673928125433607E-2</v>
      </c>
      <c r="K24" s="50"/>
      <c r="L24" s="50"/>
      <c r="M24" s="83"/>
      <c r="N24" s="83"/>
      <c r="O24" s="83"/>
      <c r="P24" s="83"/>
      <c r="Q24" s="50"/>
      <c r="R24" s="50"/>
      <c r="S24" s="83"/>
      <c r="T24" s="84"/>
      <c r="U24" s="86"/>
    </row>
    <row r="25" spans="2:22" x14ac:dyDescent="0.2">
      <c r="B25" s="79"/>
      <c r="C25" s="80" t="s">
        <v>94</v>
      </c>
      <c r="D25" s="81"/>
      <c r="E25" s="82"/>
      <c r="F25" s="82"/>
      <c r="G25" s="50">
        <f>SUM(G19:G23)</f>
        <v>7247</v>
      </c>
      <c r="H25" s="50">
        <f>SUM(H19:H23)</f>
        <v>7167</v>
      </c>
      <c r="I25" s="463">
        <f>SUM(I19:J23)</f>
        <v>14414.950326071874</v>
      </c>
      <c r="J25" s="464"/>
      <c r="K25" s="461">
        <f>SUM(K19:L23)</f>
        <v>860463.5</v>
      </c>
      <c r="L25" s="461"/>
      <c r="M25" s="83"/>
      <c r="N25" s="80" t="s">
        <v>117</v>
      </c>
      <c r="O25" s="83"/>
      <c r="P25" s="83"/>
      <c r="Q25" s="50">
        <f>SUM(Q18:Q24)</f>
        <v>7247</v>
      </c>
      <c r="R25" s="50">
        <f>SUM(R18:R24)</f>
        <v>7167</v>
      </c>
      <c r="S25" s="50">
        <f>SUM(S18:S24)</f>
        <v>14414</v>
      </c>
      <c r="T25" s="96">
        <f>SUM(T19:T23)</f>
        <v>860463.5</v>
      </c>
      <c r="U25" s="86"/>
    </row>
    <row r="26" spans="2:22" x14ac:dyDescent="0.2">
      <c r="B26" s="79"/>
      <c r="C26" s="80"/>
      <c r="D26" s="81"/>
      <c r="E26" s="82"/>
      <c r="F26" s="82"/>
      <c r="G26" s="93">
        <f>+G25/I25</f>
        <v>0.50274193362238484</v>
      </c>
      <c r="H26" s="93">
        <f>+H25/I25</f>
        <v>0.49719213995744882</v>
      </c>
      <c r="I26" s="182">
        <f>+I25/I25</f>
        <v>1</v>
      </c>
      <c r="J26" s="50"/>
      <c r="K26" s="50"/>
      <c r="L26" s="88"/>
      <c r="M26" s="232"/>
      <c r="N26" s="80"/>
      <c r="O26" s="83"/>
      <c r="P26" s="83"/>
      <c r="Q26" s="50"/>
      <c r="R26" s="50"/>
      <c r="S26" s="85"/>
      <c r="T26" s="85"/>
      <c r="U26" s="86"/>
    </row>
    <row r="27" spans="2:22" ht="6.6" customHeight="1" x14ac:dyDescent="0.2">
      <c r="B27" s="79"/>
      <c r="C27" s="80"/>
      <c r="D27" s="81"/>
      <c r="E27" s="82"/>
      <c r="F27" s="82"/>
      <c r="G27" s="82"/>
      <c r="H27" s="82"/>
      <c r="I27" s="83"/>
      <c r="J27" s="50"/>
      <c r="K27" s="145"/>
      <c r="L27" s="146"/>
      <c r="M27" s="233"/>
      <c r="N27" s="147"/>
      <c r="O27" s="148"/>
      <c r="P27" s="148"/>
      <c r="Q27" s="145"/>
      <c r="R27" s="145"/>
      <c r="S27" s="149"/>
      <c r="T27" s="149"/>
      <c r="U27" s="150"/>
      <c r="V27" s="151"/>
    </row>
    <row r="28" spans="2:22" x14ac:dyDescent="0.2">
      <c r="B28" s="79"/>
      <c r="C28" s="216" t="s">
        <v>126</v>
      </c>
      <c r="D28" s="81"/>
      <c r="E28" s="82"/>
      <c r="F28" s="3"/>
      <c r="G28" s="461">
        <f>+U106</f>
        <v>7950</v>
      </c>
      <c r="H28" s="461"/>
      <c r="I28" s="3"/>
      <c r="J28" s="50"/>
      <c r="K28" s="3" t="s">
        <v>130</v>
      </c>
      <c r="M28" s="232"/>
      <c r="N28" s="83"/>
      <c r="O28" s="80"/>
      <c r="P28" s="83"/>
      <c r="Q28" s="92"/>
      <c r="R28" s="58"/>
      <c r="S28" s="85"/>
      <c r="T28" s="85"/>
      <c r="U28" s="86"/>
    </row>
    <row r="29" spans="2:22" x14ac:dyDescent="0.2">
      <c r="B29" s="79"/>
      <c r="C29" s="80" t="s">
        <v>89</v>
      </c>
      <c r="D29" s="81"/>
      <c r="E29" s="82"/>
      <c r="F29" s="93">
        <f>1-F30-F31-F32</f>
        <v>0.76199205024123007</v>
      </c>
      <c r="G29" s="82"/>
      <c r="H29" s="461">
        <f>+F29*G28</f>
        <v>6057.8367994177788</v>
      </c>
      <c r="I29" s="461"/>
      <c r="K29" s="3"/>
      <c r="L29" s="88" t="s">
        <v>115</v>
      </c>
      <c r="M29" s="156"/>
      <c r="N29" s="157"/>
      <c r="O29" s="80" t="s">
        <v>126</v>
      </c>
      <c r="P29" s="158"/>
      <c r="Q29" s="80" t="s">
        <v>129</v>
      </c>
      <c r="R29" s="159"/>
      <c r="S29" s="3" t="s">
        <v>130</v>
      </c>
      <c r="T29" s="85"/>
      <c r="U29" s="86"/>
    </row>
    <row r="30" spans="2:22" x14ac:dyDescent="0.2">
      <c r="B30" s="79"/>
      <c r="C30" s="80" t="s">
        <v>590</v>
      </c>
      <c r="F30" s="93">
        <f>+N38</f>
        <v>0.17487488468314905</v>
      </c>
      <c r="H30" s="40">
        <f>+F30*G28</f>
        <v>1390.2553332310349</v>
      </c>
      <c r="K30" s="3"/>
      <c r="L30" s="155"/>
      <c r="M30" s="156"/>
      <c r="N30" s="157"/>
      <c r="O30" s="160"/>
      <c r="P30" s="158"/>
      <c r="Q30" s="159"/>
      <c r="R30" s="159"/>
      <c r="S30" s="85"/>
      <c r="T30" s="85"/>
      <c r="U30" s="86"/>
    </row>
    <row r="31" spans="2:22" x14ac:dyDescent="0.2">
      <c r="B31" s="79"/>
      <c r="C31" s="80" t="s">
        <v>90</v>
      </c>
      <c r="D31" s="81"/>
      <c r="E31" s="82"/>
      <c r="F31" s="93">
        <f>+J22</f>
        <v>1.3459136950187318E-2</v>
      </c>
      <c r="G31" s="82"/>
      <c r="H31" s="91">
        <f>+G28*F31</f>
        <v>107.00013875398918</v>
      </c>
      <c r="I31" s="91"/>
      <c r="J31" s="3"/>
      <c r="K31" s="80" t="s">
        <v>89</v>
      </c>
      <c r="L31" s="3"/>
      <c r="M31" s="3"/>
      <c r="N31" s="3"/>
      <c r="O31" s="3"/>
      <c r="P31" s="3"/>
      <c r="Q31" s="3"/>
      <c r="R31" s="3"/>
      <c r="U31" s="86"/>
    </row>
    <row r="32" spans="2:22" x14ac:dyDescent="0.2">
      <c r="B32" s="79"/>
      <c r="C32" s="80" t="s">
        <v>91</v>
      </c>
      <c r="D32" s="81"/>
      <c r="E32" s="82"/>
      <c r="F32" s="93">
        <f>+J24</f>
        <v>4.9673928125433607E-2</v>
      </c>
      <c r="G32" s="82"/>
      <c r="H32" s="188">
        <f>+G28*F32</f>
        <v>394.90772859719715</v>
      </c>
      <c r="I32" s="188"/>
      <c r="J32" s="91"/>
      <c r="K32" s="161" t="s">
        <v>86</v>
      </c>
      <c r="L32" s="453">
        <f>+G6</f>
        <v>412404</v>
      </c>
      <c r="M32" s="453"/>
      <c r="O32" s="453">
        <f>+G28</f>
        <v>7950</v>
      </c>
      <c r="P32" s="453"/>
      <c r="Q32" s="453">
        <f>+H35</f>
        <v>6750</v>
      </c>
      <c r="R32" s="453"/>
      <c r="S32" s="453">
        <f>+L32+O32+Q32</f>
        <v>427104</v>
      </c>
      <c r="T32" s="453"/>
      <c r="U32" s="86"/>
    </row>
    <row r="33" spans="2:21" x14ac:dyDescent="0.2">
      <c r="B33" s="79"/>
      <c r="C33" s="80"/>
      <c r="D33" s="81"/>
      <c r="E33" s="82"/>
      <c r="F33" s="93"/>
      <c r="G33" s="82"/>
      <c r="H33" s="456">
        <f>SUM(H29:I32)</f>
        <v>7949.9999999999991</v>
      </c>
      <c r="I33" s="457"/>
      <c r="J33" s="91"/>
      <c r="K33" s="161" t="s">
        <v>87</v>
      </c>
      <c r="L33" s="459">
        <f>+R154</f>
        <v>398947.5</v>
      </c>
      <c r="M33" s="459"/>
      <c r="O33" s="459">
        <v>0</v>
      </c>
      <c r="P33" s="459"/>
      <c r="Q33" s="459">
        <f>+H36</f>
        <v>0</v>
      </c>
      <c r="R33" s="459"/>
      <c r="S33" s="459">
        <f>+L33+O33+Q33</f>
        <v>398947.5</v>
      </c>
      <c r="T33" s="459"/>
      <c r="U33" s="86"/>
    </row>
    <row r="34" spans="2:21" x14ac:dyDescent="0.2">
      <c r="B34" s="79"/>
      <c r="C34" s="3"/>
      <c r="D34" s="3"/>
      <c r="E34" s="3"/>
      <c r="F34" s="3"/>
      <c r="G34" s="3"/>
      <c r="H34" s="3"/>
      <c r="I34" s="3"/>
      <c r="J34" s="91"/>
      <c r="K34" s="156"/>
      <c r="L34" s="453">
        <f>+L32+L33</f>
        <v>811351.5</v>
      </c>
      <c r="M34" s="453"/>
      <c r="O34" s="453">
        <f>+O32+O33</f>
        <v>7950</v>
      </c>
      <c r="P34" s="453"/>
      <c r="Q34" s="453">
        <f>+Q32+Q33</f>
        <v>6750</v>
      </c>
      <c r="R34" s="453"/>
      <c r="S34" s="453">
        <f>+S32+S33</f>
        <v>826051.5</v>
      </c>
      <c r="T34" s="453"/>
      <c r="U34" s="86"/>
    </row>
    <row r="35" spans="2:21" x14ac:dyDescent="0.2">
      <c r="B35" s="79"/>
      <c r="C35" s="216" t="s">
        <v>129</v>
      </c>
      <c r="D35" s="81"/>
      <c r="E35" s="82"/>
      <c r="F35" s="80" t="s">
        <v>86</v>
      </c>
      <c r="G35" s="82"/>
      <c r="H35" s="461">
        <f>+U107</f>
        <v>6750</v>
      </c>
      <c r="I35" s="461"/>
      <c r="J35" s="91"/>
      <c r="K35" s="243" t="s">
        <v>207</v>
      </c>
      <c r="L35" s="154"/>
      <c r="M35" s="154"/>
      <c r="N35" s="154"/>
      <c r="O35" s="154"/>
      <c r="P35" s="154"/>
      <c r="Q35" s="154"/>
      <c r="R35" s="154"/>
      <c r="S35" s="154"/>
      <c r="T35" s="154"/>
      <c r="U35" s="234"/>
    </row>
    <row r="36" spans="2:21" ht="15" x14ac:dyDescent="0.25">
      <c r="B36" s="235" t="s">
        <v>673</v>
      </c>
      <c r="C36" s="80"/>
      <c r="D36" s="81"/>
      <c r="E36" s="82"/>
      <c r="G36" s="244"/>
      <c r="H36" s="458"/>
      <c r="I36" s="458"/>
      <c r="J36" s="246"/>
      <c r="K36" s="247" t="s">
        <v>86</v>
      </c>
      <c r="L36" s="445">
        <f>+T222+T252</f>
        <v>58101.75</v>
      </c>
      <c r="M36" s="445"/>
      <c r="N36" s="248">
        <f>+L36/L34</f>
        <v>7.1611071157198822E-2</v>
      </c>
      <c r="O36" s="445">
        <f>+H30</f>
        <v>1390.2553332310349</v>
      </c>
      <c r="P36" s="445"/>
      <c r="Q36" s="445">
        <f>+H38</f>
        <v>950.97722742747396</v>
      </c>
      <c r="R36" s="445"/>
      <c r="S36" s="445">
        <f>+L36+O36+Q36</f>
        <v>60442.982560658507</v>
      </c>
      <c r="T36" s="445"/>
      <c r="U36" s="249"/>
    </row>
    <row r="37" spans="2:21" ht="15" x14ac:dyDescent="0.25">
      <c r="B37" s="235">
        <v>30</v>
      </c>
      <c r="C37" s="80" t="s">
        <v>89</v>
      </c>
      <c r="D37" s="81"/>
      <c r="E37" s="82"/>
      <c r="F37" s="93">
        <f>+E53/L32</f>
        <v>0.69311585241656237</v>
      </c>
      <c r="G37" s="250"/>
      <c r="H37" s="448">
        <f>+H35*F37</f>
        <v>4678.5320038117961</v>
      </c>
      <c r="I37" s="448"/>
      <c r="J37" s="246"/>
      <c r="K37" s="247" t="s">
        <v>87</v>
      </c>
      <c r="L37" s="451">
        <f>+T227+T257</f>
        <v>83783.25</v>
      </c>
      <c r="M37" s="451"/>
      <c r="N37" s="253">
        <f>+L37/L34</f>
        <v>0.10326381352595022</v>
      </c>
      <c r="O37" s="451">
        <v>0</v>
      </c>
      <c r="P37" s="451"/>
      <c r="Q37" s="451">
        <f>+H47</f>
        <v>1260.0642941740455</v>
      </c>
      <c r="R37" s="451"/>
      <c r="S37" s="451">
        <f>+L37+O37+Q37</f>
        <v>85043.314294174052</v>
      </c>
      <c r="T37" s="451"/>
      <c r="U37" s="249"/>
    </row>
    <row r="38" spans="2:21" ht="15" x14ac:dyDescent="0.25">
      <c r="B38" s="236">
        <v>15</v>
      </c>
      <c r="C38" s="80" t="s">
        <v>590</v>
      </c>
      <c r="F38" s="93">
        <f>+L36/L32</f>
        <v>0.14088551517444059</v>
      </c>
      <c r="G38" s="254"/>
      <c r="H38" s="254">
        <f>+F38*H35</f>
        <v>950.97722742747396</v>
      </c>
      <c r="I38" s="255"/>
      <c r="J38" s="246"/>
      <c r="K38" s="256"/>
      <c r="L38" s="445">
        <f>+L36+L37</f>
        <v>141885</v>
      </c>
      <c r="M38" s="445"/>
      <c r="N38" s="248">
        <f>+L38/L34</f>
        <v>0.17487488468314905</v>
      </c>
      <c r="O38" s="445">
        <f>+O36+O37</f>
        <v>1390.2553332310349</v>
      </c>
      <c r="P38" s="445"/>
      <c r="Q38" s="445">
        <f>+Q36+Q37</f>
        <v>2211.0415216015194</v>
      </c>
      <c r="R38" s="445"/>
      <c r="S38" s="445">
        <f>+S36+S37</f>
        <v>145486.29685483256</v>
      </c>
      <c r="T38" s="445"/>
      <c r="U38" s="249"/>
    </row>
    <row r="39" spans="2:21" ht="15" x14ac:dyDescent="0.2">
      <c r="B39" s="235">
        <f>+B38*150</f>
        <v>2250</v>
      </c>
      <c r="C39" s="80" t="s">
        <v>90</v>
      </c>
      <c r="D39" s="81"/>
      <c r="E39" s="82"/>
      <c r="F39" s="93">
        <f>+L41/L32</f>
        <v>0.10358168203994142</v>
      </c>
      <c r="G39" s="244"/>
      <c r="H39" s="246">
        <f>+F39*H35</f>
        <v>699.17635376960459</v>
      </c>
      <c r="I39" s="246"/>
      <c r="J39" s="246"/>
      <c r="K39" s="252"/>
      <c r="L39" s="252"/>
      <c r="M39" s="252"/>
      <c r="N39" s="252"/>
      <c r="O39" s="252"/>
      <c r="P39" s="252"/>
      <c r="Q39" s="252"/>
      <c r="R39" s="252"/>
      <c r="S39" s="252"/>
      <c r="T39" s="252"/>
      <c r="U39" s="249"/>
    </row>
    <row r="40" spans="2:21" ht="15" x14ac:dyDescent="0.25">
      <c r="B40" s="79"/>
      <c r="C40" s="80" t="s">
        <v>91</v>
      </c>
      <c r="D40" s="81"/>
      <c r="E40" s="82"/>
      <c r="F40" s="217">
        <f>+L45/L32</f>
        <v>6.2416950369055584E-2</v>
      </c>
      <c r="G40" s="244"/>
      <c r="H40" s="245">
        <f>+H35*F40</f>
        <v>421.3144149911252</v>
      </c>
      <c r="I40" s="245"/>
      <c r="J40" s="246"/>
      <c r="K40" s="466" t="s">
        <v>770</v>
      </c>
      <c r="L40" s="466"/>
      <c r="M40" s="466"/>
      <c r="N40" s="466"/>
      <c r="O40" s="466"/>
      <c r="P40" s="466"/>
      <c r="Q40" s="445"/>
      <c r="R40" s="445"/>
      <c r="S40" s="445"/>
      <c r="T40" s="445"/>
      <c r="U40" s="249"/>
    </row>
    <row r="41" spans="2:21" ht="15" x14ac:dyDescent="0.25">
      <c r="B41" s="79"/>
      <c r="F41" s="182">
        <f>SUM(F37:F40)</f>
        <v>1</v>
      </c>
      <c r="G41" s="254"/>
      <c r="H41" s="454">
        <f>SUM(H37:I40)</f>
        <v>6749.9999999999991</v>
      </c>
      <c r="I41" s="455"/>
      <c r="J41" s="257"/>
      <c r="K41" s="247" t="s">
        <v>86</v>
      </c>
      <c r="L41" s="445">
        <f>+T232</f>
        <v>42717.5</v>
      </c>
      <c r="M41" s="445"/>
      <c r="N41" s="248">
        <f>+L41/L34</f>
        <v>5.2649807142773508E-2</v>
      </c>
      <c r="O41" s="445">
        <f>+H31</f>
        <v>107.00013875398918</v>
      </c>
      <c r="P41" s="445"/>
      <c r="Q41" s="445">
        <f>+H39</f>
        <v>699.17635376960459</v>
      </c>
      <c r="R41" s="445"/>
      <c r="S41" s="445">
        <f>+L41+O41+Q41</f>
        <v>43523.676492523591</v>
      </c>
      <c r="T41" s="445"/>
      <c r="U41" s="249"/>
    </row>
    <row r="42" spans="2:21" ht="15" x14ac:dyDescent="0.25">
      <c r="B42" s="79"/>
      <c r="G42" s="254"/>
      <c r="H42" s="254"/>
      <c r="I42" s="255"/>
      <c r="J42" s="257"/>
      <c r="K42" s="247" t="s">
        <v>87</v>
      </c>
      <c r="L42" s="451">
        <f>+T237</f>
        <v>3719</v>
      </c>
      <c r="M42" s="451"/>
      <c r="N42" s="253">
        <f>+L42/L34</f>
        <v>4.5837100196400695E-3</v>
      </c>
      <c r="O42" s="451">
        <v>0</v>
      </c>
      <c r="P42" s="451"/>
      <c r="Q42" s="451">
        <f>+H48</f>
        <v>55.932171526328652</v>
      </c>
      <c r="R42" s="451"/>
      <c r="S42" s="451">
        <f>+L42+O42+Q42</f>
        <v>3774.9321715263286</v>
      </c>
      <c r="T42" s="451"/>
      <c r="U42" s="249"/>
    </row>
    <row r="43" spans="2:21" ht="15" x14ac:dyDescent="0.25">
      <c r="B43" s="79"/>
      <c r="F43" s="161" t="s">
        <v>87</v>
      </c>
      <c r="G43" s="449">
        <v>6000</v>
      </c>
      <c r="H43" s="450"/>
      <c r="I43" s="255"/>
      <c r="J43" s="257"/>
      <c r="K43" s="247"/>
      <c r="L43" s="445">
        <f>+L41+L42</f>
        <v>46436.5</v>
      </c>
      <c r="M43" s="445"/>
      <c r="N43" s="248">
        <f>+L43/L34</f>
        <v>5.723351716241358E-2</v>
      </c>
      <c r="O43" s="445">
        <f>+O41+O42</f>
        <v>107.00013875398918</v>
      </c>
      <c r="P43" s="445"/>
      <c r="Q43" s="445">
        <f>+Q41+Q42</f>
        <v>755.10852529593319</v>
      </c>
      <c r="R43" s="445"/>
      <c r="S43" s="445">
        <f>+S41+S42</f>
        <v>47298.60866404992</v>
      </c>
      <c r="T43" s="445"/>
      <c r="U43" s="249"/>
    </row>
    <row r="44" spans="2:21" ht="15" x14ac:dyDescent="0.2">
      <c r="B44" s="79"/>
      <c r="C44" s="3"/>
      <c r="D44" s="3"/>
      <c r="E44" s="3"/>
      <c r="F44" s="3"/>
      <c r="G44" s="250"/>
      <c r="H44" s="250"/>
      <c r="I44" s="250"/>
      <c r="J44" s="257"/>
      <c r="K44" s="243" t="s">
        <v>769</v>
      </c>
      <c r="L44" s="252"/>
      <c r="M44" s="252"/>
      <c r="N44" s="252"/>
      <c r="O44" s="252"/>
      <c r="P44" s="252"/>
      <c r="Q44" s="252"/>
      <c r="R44" s="252"/>
      <c r="S44" s="252"/>
      <c r="T44" s="252"/>
      <c r="U44" s="249"/>
    </row>
    <row r="45" spans="2:21" ht="15" x14ac:dyDescent="0.25">
      <c r="B45" s="235" t="s">
        <v>673</v>
      </c>
      <c r="C45" s="3"/>
      <c r="D45" s="3"/>
      <c r="E45" s="3"/>
      <c r="G45" s="254"/>
      <c r="H45" s="254"/>
      <c r="I45" s="250"/>
      <c r="J45" s="250"/>
      <c r="K45" s="247" t="s">
        <v>86</v>
      </c>
      <c r="L45" s="445">
        <f>+T242</f>
        <v>25741</v>
      </c>
      <c r="M45" s="445"/>
      <c r="N45" s="248">
        <f>+L45/L34</f>
        <v>3.1726076799019905E-2</v>
      </c>
      <c r="O45" s="445">
        <f>+H32</f>
        <v>394.90772859719715</v>
      </c>
      <c r="P45" s="445"/>
      <c r="Q45" s="445">
        <f>+H40</f>
        <v>421.3144149911252</v>
      </c>
      <c r="R45" s="445"/>
      <c r="S45" s="445">
        <f>+L45+O45+Q45</f>
        <v>26557.222143588322</v>
      </c>
      <c r="T45" s="445"/>
      <c r="U45" s="249"/>
    </row>
    <row r="46" spans="2:21" ht="15" x14ac:dyDescent="0.25">
      <c r="B46" s="235">
        <v>28</v>
      </c>
      <c r="C46" s="80" t="s">
        <v>89</v>
      </c>
      <c r="D46" s="81"/>
      <c r="E46" s="82"/>
      <c r="F46" s="93">
        <f>+E54/L33</f>
        <v>0.74911924501344163</v>
      </c>
      <c r="G46" s="250"/>
      <c r="H46" s="448">
        <f>+F46*G43</f>
        <v>4494.7154700806495</v>
      </c>
      <c r="I46" s="448"/>
      <c r="J46" s="250"/>
      <c r="K46" s="247" t="s">
        <v>87</v>
      </c>
      <c r="L46" s="451">
        <f>+T247</f>
        <v>12586</v>
      </c>
      <c r="M46" s="451"/>
      <c r="N46" s="253">
        <f>+L46/L34</f>
        <v>1.5512388896797505E-2</v>
      </c>
      <c r="O46" s="451">
        <v>0</v>
      </c>
      <c r="P46" s="451"/>
      <c r="Q46" s="451">
        <f>+H49</f>
        <v>189.28806421897619</v>
      </c>
      <c r="R46" s="451"/>
      <c r="S46" s="451">
        <f>+L46+O46+Q46</f>
        <v>12775.288064218976</v>
      </c>
      <c r="T46" s="451"/>
      <c r="U46" s="249"/>
    </row>
    <row r="47" spans="2:21" ht="15" x14ac:dyDescent="0.25">
      <c r="B47" s="236">
        <v>12</v>
      </c>
      <c r="C47" s="80" t="s">
        <v>590</v>
      </c>
      <c r="F47" s="93">
        <f>+L37/L33</f>
        <v>0.21001071569567425</v>
      </c>
      <c r="G47" s="254"/>
      <c r="H47" s="254">
        <f>+F47*G43</f>
        <v>1260.0642941740455</v>
      </c>
      <c r="I47" s="255"/>
      <c r="J47" s="246"/>
      <c r="K47" s="247"/>
      <c r="L47" s="445">
        <f>+L45+L46</f>
        <v>38327</v>
      </c>
      <c r="M47" s="445"/>
      <c r="N47" s="248">
        <f>+L47/L34</f>
        <v>4.7238465695817411E-2</v>
      </c>
      <c r="O47" s="445">
        <f>+O45+O46</f>
        <v>394.90772859719715</v>
      </c>
      <c r="P47" s="445"/>
      <c r="Q47" s="445">
        <f>+Q45+Q46</f>
        <v>610.60247921010136</v>
      </c>
      <c r="R47" s="445"/>
      <c r="S47" s="445">
        <f>+S45+S46</f>
        <v>39332.510207807296</v>
      </c>
      <c r="T47" s="445"/>
      <c r="U47" s="249"/>
    </row>
    <row r="48" spans="2:21" ht="13.9" customHeight="1" x14ac:dyDescent="0.2">
      <c r="B48" s="235">
        <f>+B47*150</f>
        <v>1800</v>
      </c>
      <c r="C48" s="80" t="s">
        <v>90</v>
      </c>
      <c r="D48" s="81"/>
      <c r="E48" s="82"/>
      <c r="F48" s="93">
        <f>+L42/L33</f>
        <v>9.3220285877214423E-3</v>
      </c>
      <c r="G48" s="244"/>
      <c r="H48" s="246">
        <f>+F48*G43</f>
        <v>55.932171526328652</v>
      </c>
      <c r="I48" s="246"/>
      <c r="J48" s="250"/>
      <c r="K48" s="252"/>
      <c r="L48" s="443">
        <f>+L38+L43+L47</f>
        <v>226648.5</v>
      </c>
      <c r="M48" s="444"/>
      <c r="N48" s="258"/>
      <c r="O48" s="443">
        <f>+O38+O43+O47</f>
        <v>1892.1632005822212</v>
      </c>
      <c r="P48" s="444"/>
      <c r="Q48" s="443">
        <f>+Q38+Q43+Q47</f>
        <v>3576.7525261075543</v>
      </c>
      <c r="R48" s="443"/>
      <c r="S48" s="252"/>
      <c r="T48" s="251"/>
      <c r="U48" s="249"/>
    </row>
    <row r="49" spans="1:21" ht="15" x14ac:dyDescent="0.25">
      <c r="B49" s="235"/>
      <c r="C49" s="80" t="s">
        <v>91</v>
      </c>
      <c r="D49" s="81"/>
      <c r="E49" s="82"/>
      <c r="F49" s="217">
        <f>+L46/L33</f>
        <v>3.1548010703162696E-2</v>
      </c>
      <c r="G49" s="244"/>
      <c r="H49" s="458">
        <f>+F49*G43</f>
        <v>189.28806421897619</v>
      </c>
      <c r="I49" s="458"/>
      <c r="J49" s="250"/>
      <c r="K49" s="252" t="s">
        <v>301</v>
      </c>
      <c r="L49" s="445">
        <f>+L34+L43+L47</f>
        <v>896115</v>
      </c>
      <c r="M49" s="445"/>
      <c r="N49" s="259"/>
      <c r="O49" s="445" t="s">
        <v>631</v>
      </c>
      <c r="P49" s="445"/>
      <c r="Q49" s="445"/>
      <c r="R49" s="445"/>
      <c r="S49" s="252"/>
      <c r="T49" s="445"/>
      <c r="U49" s="468"/>
    </row>
    <row r="50" spans="1:21" ht="15" x14ac:dyDescent="0.25">
      <c r="B50" s="235">
        <f>+B39+B48</f>
        <v>4050</v>
      </c>
      <c r="F50" s="182">
        <f>SUM(F46:F49)</f>
        <v>1</v>
      </c>
      <c r="G50" s="254"/>
      <c r="H50" s="454">
        <f>SUM(H46:I49)</f>
        <v>6000</v>
      </c>
      <c r="I50" s="455"/>
      <c r="J50" s="257"/>
      <c r="K50" s="252"/>
      <c r="L50" s="252" t="b">
        <f>+S38+S43+S47=T54</f>
        <v>1</v>
      </c>
      <c r="M50" s="260"/>
      <c r="N50" s="259"/>
      <c r="O50" s="256"/>
      <c r="P50" s="259"/>
      <c r="Q50" s="255"/>
      <c r="R50" s="261"/>
      <c r="S50" s="247" t="s">
        <v>591</v>
      </c>
      <c r="T50" s="467">
        <f>+L36+L41+L45</f>
        <v>126560.25</v>
      </c>
      <c r="U50" s="441"/>
    </row>
    <row r="51" spans="1:21" ht="15" x14ac:dyDescent="0.25">
      <c r="B51" s="79"/>
      <c r="C51" s="80"/>
      <c r="D51" s="3"/>
      <c r="E51" s="442"/>
      <c r="F51" s="442"/>
      <c r="G51" s="244"/>
      <c r="H51" s="244"/>
      <c r="I51" s="262"/>
      <c r="J51" s="257"/>
      <c r="K51" s="252"/>
      <c r="L51" s="252"/>
      <c r="M51" s="260"/>
      <c r="N51" s="259"/>
      <c r="O51" s="256"/>
      <c r="P51" s="259"/>
      <c r="Q51" s="250"/>
      <c r="R51" s="261"/>
      <c r="S51" s="247" t="s">
        <v>592</v>
      </c>
      <c r="T51" s="440">
        <f>+L37+L42+L46</f>
        <v>100088.25</v>
      </c>
      <c r="U51" s="441"/>
    </row>
    <row r="52" spans="1:21" ht="15" x14ac:dyDescent="0.25">
      <c r="B52" s="79"/>
      <c r="C52" s="80"/>
      <c r="D52" s="3"/>
      <c r="E52" s="82"/>
      <c r="F52" s="82"/>
      <c r="G52" s="244"/>
      <c r="H52" s="437"/>
      <c r="I52" s="437"/>
      <c r="J52" s="257"/>
      <c r="K52" s="252"/>
      <c r="L52" s="252"/>
      <c r="M52" s="260"/>
      <c r="N52" s="259"/>
      <c r="O52" s="256"/>
      <c r="P52" s="259"/>
      <c r="Q52" s="250"/>
      <c r="R52" s="261"/>
      <c r="S52" s="263" t="s">
        <v>626</v>
      </c>
      <c r="T52" s="440">
        <f>+H30+H31+H32+H38+H39+H40</f>
        <v>3963.631196770425</v>
      </c>
      <c r="U52" s="441"/>
    </row>
    <row r="53" spans="1:21" ht="15" x14ac:dyDescent="0.25">
      <c r="B53" s="79"/>
      <c r="C53" s="80"/>
      <c r="D53" s="219" t="s">
        <v>627</v>
      </c>
      <c r="E53" s="442">
        <f>+L32-T50</f>
        <v>285843.75</v>
      </c>
      <c r="F53" s="442"/>
      <c r="G53" s="244" t="s">
        <v>628</v>
      </c>
      <c r="H53" s="244"/>
      <c r="I53" s="262"/>
      <c r="J53" s="257"/>
      <c r="K53" s="252"/>
      <c r="L53" s="252"/>
      <c r="M53" s="260"/>
      <c r="N53" s="259"/>
      <c r="O53" s="256"/>
      <c r="P53" s="259"/>
      <c r="Q53" s="256"/>
      <c r="R53" s="261"/>
      <c r="S53" s="263" t="s">
        <v>630</v>
      </c>
      <c r="T53" s="438">
        <f>+H47+H48+H49</f>
        <v>1505.2845299193502</v>
      </c>
      <c r="U53" s="439"/>
    </row>
    <row r="54" spans="1:21" ht="13.9" customHeight="1" x14ac:dyDescent="0.25">
      <c r="B54" s="97"/>
      <c r="C54" s="98"/>
      <c r="D54" s="218" t="s">
        <v>627</v>
      </c>
      <c r="E54" s="432">
        <f>+L33-T51</f>
        <v>298859.25</v>
      </c>
      <c r="F54" s="433"/>
      <c r="G54" s="264" t="s">
        <v>629</v>
      </c>
      <c r="H54" s="264"/>
      <c r="I54" s="265"/>
      <c r="J54" s="266"/>
      <c r="K54" s="267"/>
      <c r="L54" s="267"/>
      <c r="M54" s="268"/>
      <c r="N54" s="269"/>
      <c r="O54" s="270"/>
      <c r="P54" s="269"/>
      <c r="Q54" s="269"/>
      <c r="R54" s="271"/>
      <c r="S54" s="272" t="s">
        <v>581</v>
      </c>
      <c r="T54" s="435">
        <f>SUM(T50:U53)</f>
        <v>232117.4157266898</v>
      </c>
      <c r="U54" s="436"/>
    </row>
    <row r="55" spans="1:21" x14ac:dyDescent="0.2">
      <c r="K55" s="157"/>
      <c r="L55" s="157"/>
      <c r="M55" s="157"/>
      <c r="N55" s="157"/>
      <c r="O55" s="157"/>
      <c r="P55" s="157"/>
      <c r="Q55" s="157"/>
      <c r="R55" s="166"/>
      <c r="S55" s="154"/>
      <c r="T55" s="154"/>
      <c r="U55" s="154"/>
    </row>
    <row r="56" spans="1:21" x14ac:dyDescent="0.2">
      <c r="C56" s="133" t="s">
        <v>612</v>
      </c>
      <c r="D56" s="133"/>
      <c r="E56" s="210"/>
      <c r="F56" s="210"/>
      <c r="G56" s="210"/>
      <c r="H56" s="210"/>
      <c r="J56" s="391" t="s">
        <v>816</v>
      </c>
      <c r="K56" s="392"/>
      <c r="L56" s="392"/>
      <c r="M56" s="393"/>
      <c r="N56" s="393"/>
      <c r="O56" s="393"/>
      <c r="P56" s="157"/>
      <c r="Q56" s="157"/>
      <c r="R56" s="166"/>
      <c r="S56" s="154"/>
      <c r="T56" s="154"/>
      <c r="U56" s="154"/>
    </row>
    <row r="57" spans="1:21" x14ac:dyDescent="0.2">
      <c r="B57" s="186" t="s">
        <v>86</v>
      </c>
      <c r="C57" s="19"/>
      <c r="D57" s="187" t="s">
        <v>116</v>
      </c>
      <c r="E57" s="43"/>
      <c r="F57" s="67" t="s">
        <v>119</v>
      </c>
      <c r="G57" s="43"/>
      <c r="H57" s="43"/>
      <c r="I57" s="67" t="s">
        <v>95</v>
      </c>
      <c r="J57" s="43"/>
      <c r="K57" s="42"/>
      <c r="L57" s="67" t="s">
        <v>96</v>
      </c>
      <c r="M57" s="43"/>
      <c r="N57" s="43"/>
      <c r="O57" s="67" t="s">
        <v>97</v>
      </c>
      <c r="P57" s="43"/>
      <c r="Q57" s="43"/>
      <c r="R57" s="67" t="s">
        <v>98</v>
      </c>
      <c r="S57" s="43"/>
      <c r="T57" s="45" t="s">
        <v>88</v>
      </c>
      <c r="U57" s="20" t="s">
        <v>88</v>
      </c>
    </row>
    <row r="58" spans="1:21" x14ac:dyDescent="0.2">
      <c r="B58" s="18" t="s">
        <v>99</v>
      </c>
      <c r="C58" s="32" t="s">
        <v>100</v>
      </c>
      <c r="D58" s="32" t="s">
        <v>101</v>
      </c>
      <c r="E58" s="45" t="s">
        <v>102</v>
      </c>
      <c r="F58" s="45" t="s">
        <v>103</v>
      </c>
      <c r="G58" s="45" t="s">
        <v>104</v>
      </c>
      <c r="H58" s="45" t="s">
        <v>102</v>
      </c>
      <c r="I58" s="45" t="s">
        <v>103</v>
      </c>
      <c r="J58" s="45" t="s">
        <v>104</v>
      </c>
      <c r="K58" s="45" t="s">
        <v>102</v>
      </c>
      <c r="L58" s="45" t="s">
        <v>103</v>
      </c>
      <c r="M58" s="45" t="s">
        <v>104</v>
      </c>
      <c r="N58" s="45" t="s">
        <v>102</v>
      </c>
      <c r="O58" s="45" t="s">
        <v>105</v>
      </c>
      <c r="P58" s="45" t="s">
        <v>104</v>
      </c>
      <c r="Q58" s="45" t="s">
        <v>102</v>
      </c>
      <c r="R58" s="45" t="s">
        <v>106</v>
      </c>
      <c r="S58" s="45" t="s">
        <v>107</v>
      </c>
      <c r="T58" s="45" t="s">
        <v>108</v>
      </c>
      <c r="U58" s="20" t="s">
        <v>109</v>
      </c>
    </row>
    <row r="59" spans="1:21" x14ac:dyDescent="0.2">
      <c r="A59" s="10">
        <v>1</v>
      </c>
      <c r="B59" s="33">
        <v>36698</v>
      </c>
      <c r="C59" s="32">
        <v>1</v>
      </c>
      <c r="D59" s="32">
        <v>1</v>
      </c>
      <c r="E59" s="379">
        <v>8</v>
      </c>
      <c r="F59" s="380"/>
      <c r="G59" s="381"/>
      <c r="H59" s="382"/>
      <c r="I59" s="380"/>
      <c r="J59" s="383"/>
      <c r="K59" s="379">
        <v>8</v>
      </c>
      <c r="L59" s="384"/>
      <c r="M59" s="381"/>
      <c r="N59" s="379">
        <v>16</v>
      </c>
      <c r="O59" s="384"/>
      <c r="P59" s="381"/>
      <c r="Q59" s="382">
        <v>72</v>
      </c>
      <c r="R59" s="384"/>
      <c r="S59" s="381"/>
      <c r="T59" s="43">
        <f>SUM(E59:S59)</f>
        <v>104</v>
      </c>
      <c r="U59" s="23">
        <f>+(E59*85)+(F59*95)+(G59*125)+(H59*100)+(I59*150)+(J59*200)+(K59*52)+(L59*65.5)+(M59*81)+(N59*48)+(O59*63)+(P59*77.5)+(Q59*46)+(R59*59)+(S59*72.5)</f>
        <v>5176</v>
      </c>
    </row>
    <row r="60" spans="1:21" x14ac:dyDescent="0.2">
      <c r="A60" s="10">
        <v>2</v>
      </c>
      <c r="B60" s="33">
        <v>36699</v>
      </c>
      <c r="C60" s="32">
        <v>1</v>
      </c>
      <c r="D60" s="32">
        <v>1</v>
      </c>
      <c r="E60" s="385">
        <v>8</v>
      </c>
      <c r="F60" s="386"/>
      <c r="G60" s="387"/>
      <c r="H60" s="388"/>
      <c r="I60" s="389"/>
      <c r="J60" s="390"/>
      <c r="K60" s="388">
        <v>8</v>
      </c>
      <c r="L60" s="389">
        <v>5</v>
      </c>
      <c r="M60" s="390"/>
      <c r="N60" s="388">
        <v>16</v>
      </c>
      <c r="O60" s="389">
        <v>10</v>
      </c>
      <c r="P60" s="390"/>
      <c r="Q60" s="388">
        <v>104</v>
      </c>
      <c r="R60" s="389">
        <v>36</v>
      </c>
      <c r="S60" s="387"/>
      <c r="T60" s="43">
        <f t="shared" ref="T60:T98" si="0">SUM(E60:S60)</f>
        <v>187</v>
      </c>
      <c r="U60" s="23">
        <f t="shared" ref="U60:U98" si="1">+(E60*85)+(F60*95)+(G60*125)+(H60*100)+(I60*150)+(J60*200)+(K60*52)+(L60*65.5)+(M60*81)+(N60*48)+(O60*63)+(P60*77.5)+(Q60*46)+(R60*59)+(S60*72.5)</f>
        <v>9729.5</v>
      </c>
    </row>
    <row r="61" spans="1:21" x14ac:dyDescent="0.2">
      <c r="A61" s="10">
        <v>3</v>
      </c>
      <c r="B61" s="33">
        <v>36700</v>
      </c>
      <c r="C61" s="32">
        <v>1</v>
      </c>
      <c r="D61" s="32">
        <v>1</v>
      </c>
      <c r="E61" s="385">
        <v>8</v>
      </c>
      <c r="F61" s="386">
        <v>5</v>
      </c>
      <c r="G61" s="387"/>
      <c r="H61" s="388"/>
      <c r="I61" s="389"/>
      <c r="J61" s="390"/>
      <c r="K61" s="388">
        <v>8</v>
      </c>
      <c r="L61" s="389">
        <v>5</v>
      </c>
      <c r="M61" s="390"/>
      <c r="N61" s="388">
        <v>16</v>
      </c>
      <c r="O61" s="389">
        <v>10</v>
      </c>
      <c r="P61" s="390"/>
      <c r="Q61" s="388">
        <v>104</v>
      </c>
      <c r="R61" s="389">
        <v>52</v>
      </c>
      <c r="S61" s="387"/>
      <c r="T61" s="43">
        <f t="shared" si="0"/>
        <v>208</v>
      </c>
      <c r="U61" s="23">
        <f t="shared" si="1"/>
        <v>11148.5</v>
      </c>
    </row>
    <row r="62" spans="1:21" x14ac:dyDescent="0.2">
      <c r="A62" s="10">
        <v>4</v>
      </c>
      <c r="B62" s="33">
        <v>36701</v>
      </c>
      <c r="C62" s="32">
        <v>1</v>
      </c>
      <c r="D62" s="32">
        <v>1</v>
      </c>
      <c r="E62" s="325"/>
      <c r="F62" s="326">
        <v>13</v>
      </c>
      <c r="G62" s="327"/>
      <c r="H62" s="322"/>
      <c r="I62" s="323"/>
      <c r="J62" s="327"/>
      <c r="K62" s="322"/>
      <c r="L62" s="326">
        <v>13</v>
      </c>
      <c r="M62" s="324"/>
      <c r="N62" s="322"/>
      <c r="O62" s="326">
        <v>13</v>
      </c>
      <c r="P62" s="324"/>
      <c r="Q62" s="322"/>
      <c r="R62" s="323">
        <v>24</v>
      </c>
      <c r="S62" s="327"/>
      <c r="T62" s="43">
        <f t="shared" si="0"/>
        <v>63</v>
      </c>
      <c r="U62" s="23">
        <f t="shared" si="1"/>
        <v>4321.5</v>
      </c>
    </row>
    <row r="63" spans="1:21" x14ac:dyDescent="0.2">
      <c r="A63" s="10">
        <v>5</v>
      </c>
      <c r="B63" s="33">
        <v>36702</v>
      </c>
      <c r="C63" s="32">
        <v>1</v>
      </c>
      <c r="D63" s="32">
        <v>1</v>
      </c>
      <c r="E63" s="325"/>
      <c r="F63" s="326"/>
      <c r="G63" s="327">
        <v>13</v>
      </c>
      <c r="H63" s="322"/>
      <c r="I63" s="323"/>
      <c r="J63" s="324"/>
      <c r="K63" s="322"/>
      <c r="L63" s="323"/>
      <c r="M63" s="327">
        <v>13</v>
      </c>
      <c r="N63" s="322"/>
      <c r="O63" s="323"/>
      <c r="P63" s="327">
        <v>26</v>
      </c>
      <c r="Q63" s="325"/>
      <c r="R63" s="326"/>
      <c r="S63" s="327">
        <v>120</v>
      </c>
      <c r="T63" s="43">
        <f t="shared" si="0"/>
        <v>172</v>
      </c>
      <c r="U63" s="23">
        <f t="shared" si="1"/>
        <v>13393</v>
      </c>
    </row>
    <row r="64" spans="1:21" x14ac:dyDescent="0.2">
      <c r="A64" s="10">
        <v>6</v>
      </c>
      <c r="B64" s="33">
        <v>36703</v>
      </c>
      <c r="C64" s="32">
        <v>1</v>
      </c>
      <c r="D64" s="32">
        <v>4</v>
      </c>
      <c r="E64" s="325"/>
      <c r="F64" s="326"/>
      <c r="G64" s="327"/>
      <c r="H64" s="322"/>
      <c r="I64" s="323"/>
      <c r="J64" s="324"/>
      <c r="K64" s="322">
        <v>8</v>
      </c>
      <c r="L64" s="323">
        <v>5</v>
      </c>
      <c r="M64" s="324"/>
      <c r="N64" s="322"/>
      <c r="O64" s="326"/>
      <c r="P64" s="324"/>
      <c r="Q64" s="322">
        <v>18</v>
      </c>
      <c r="R64" s="326">
        <v>28</v>
      </c>
      <c r="S64" s="327"/>
      <c r="T64" s="43">
        <f t="shared" si="0"/>
        <v>59</v>
      </c>
      <c r="U64" s="23">
        <f t="shared" si="1"/>
        <v>3223.5</v>
      </c>
    </row>
    <row r="65" spans="1:21" x14ac:dyDescent="0.2">
      <c r="A65" s="10">
        <v>7</v>
      </c>
      <c r="B65" s="33">
        <v>36704</v>
      </c>
      <c r="C65" s="32">
        <v>1</v>
      </c>
      <c r="D65" s="32">
        <v>4</v>
      </c>
      <c r="E65" s="49"/>
      <c r="F65" s="50"/>
      <c r="G65" s="51"/>
      <c r="H65" s="52"/>
      <c r="I65" s="58"/>
      <c r="J65" s="51" t="s">
        <v>611</v>
      </c>
      <c r="K65" s="167">
        <v>8</v>
      </c>
      <c r="L65" s="168">
        <v>5</v>
      </c>
      <c r="M65" s="169"/>
      <c r="N65" s="167">
        <v>8</v>
      </c>
      <c r="O65" s="170">
        <v>5</v>
      </c>
      <c r="P65" s="169"/>
      <c r="Q65" s="167">
        <v>56</v>
      </c>
      <c r="R65" s="170">
        <v>28</v>
      </c>
      <c r="S65" s="171"/>
      <c r="T65" s="43">
        <f t="shared" si="0"/>
        <v>110</v>
      </c>
      <c r="U65" s="23">
        <f>+(E65*85)+(F65*95)+(G65*125)+(H65*100)+(I65*150)+(K65*52)+(L65*65.5)+(M65*81)+(N65*48)+(O65*63)+(P65*77.5)+(Q65*46)+(R65*59)+(S65*72.5)</f>
        <v>5670.5</v>
      </c>
    </row>
    <row r="66" spans="1:21" x14ac:dyDescent="0.2">
      <c r="A66" s="10">
        <v>8</v>
      </c>
      <c r="B66" s="33">
        <v>36705</v>
      </c>
      <c r="C66" s="32">
        <v>1</v>
      </c>
      <c r="D66" s="32">
        <v>4</v>
      </c>
      <c r="E66" s="49"/>
      <c r="F66" s="50"/>
      <c r="G66" s="51"/>
      <c r="H66" s="52"/>
      <c r="I66" s="58"/>
      <c r="J66" s="51" t="s">
        <v>611</v>
      </c>
      <c r="K66" s="167">
        <v>8</v>
      </c>
      <c r="L66" s="168">
        <v>5</v>
      </c>
      <c r="M66" s="169"/>
      <c r="N66" s="167">
        <v>12</v>
      </c>
      <c r="O66" s="170">
        <v>10</v>
      </c>
      <c r="P66" s="169"/>
      <c r="Q66" s="167">
        <v>76</v>
      </c>
      <c r="R66" s="170">
        <v>48</v>
      </c>
      <c r="S66" s="171"/>
      <c r="T66" s="43">
        <f t="shared" si="0"/>
        <v>159</v>
      </c>
      <c r="U66" s="23">
        <f>+(E66*85)+(F66*95)+(G66*125)+(H66*100)+(I66*150)+(K66*52)+(L66*65.5)+(M66*81)+(N66*48)+(O66*63)+(P66*77.5)+(Q66*46)+(R66*59)+(S66*72.5)</f>
        <v>8277.5</v>
      </c>
    </row>
    <row r="67" spans="1:21" x14ac:dyDescent="0.2">
      <c r="A67" s="10">
        <v>9</v>
      </c>
      <c r="B67" s="33">
        <v>36706</v>
      </c>
      <c r="C67" s="32">
        <v>1</v>
      </c>
      <c r="D67" s="32">
        <v>4</v>
      </c>
      <c r="E67" s="49">
        <v>8</v>
      </c>
      <c r="F67" s="50">
        <v>5</v>
      </c>
      <c r="G67" s="51"/>
      <c r="H67" s="52"/>
      <c r="I67" s="50"/>
      <c r="J67" s="51"/>
      <c r="K67" s="52">
        <v>8</v>
      </c>
      <c r="L67" s="58">
        <v>5</v>
      </c>
      <c r="M67" s="59"/>
      <c r="N67" s="52">
        <v>16</v>
      </c>
      <c r="O67" s="50">
        <v>12</v>
      </c>
      <c r="P67" s="59"/>
      <c r="Q67" s="52">
        <v>96</v>
      </c>
      <c r="R67" s="50">
        <v>54</v>
      </c>
      <c r="S67" s="51"/>
      <c r="T67" s="43">
        <f t="shared" si="0"/>
        <v>204</v>
      </c>
      <c r="U67" s="23">
        <f t="shared" si="1"/>
        <v>11024.5</v>
      </c>
    </row>
    <row r="68" spans="1:21" x14ac:dyDescent="0.2">
      <c r="A68" s="10">
        <v>10</v>
      </c>
      <c r="B68" s="33">
        <v>36707</v>
      </c>
      <c r="C68" s="32">
        <v>1</v>
      </c>
      <c r="D68" s="32">
        <v>4</v>
      </c>
      <c r="E68" s="49">
        <v>8</v>
      </c>
      <c r="F68" s="50">
        <v>5</v>
      </c>
      <c r="G68" s="51"/>
      <c r="H68" s="52"/>
      <c r="I68" s="50"/>
      <c r="J68" s="51"/>
      <c r="K68" s="52">
        <v>8</v>
      </c>
      <c r="L68" s="58">
        <v>5</v>
      </c>
      <c r="M68" s="59"/>
      <c r="N68" s="52">
        <v>16</v>
      </c>
      <c r="O68" s="50">
        <v>10</v>
      </c>
      <c r="P68" s="59"/>
      <c r="Q68" s="52">
        <v>96</v>
      </c>
      <c r="R68" s="50">
        <v>48</v>
      </c>
      <c r="S68" s="51"/>
      <c r="T68" s="43">
        <f t="shared" si="0"/>
        <v>196</v>
      </c>
      <c r="U68" s="23">
        <f t="shared" si="1"/>
        <v>10544.5</v>
      </c>
    </row>
    <row r="69" spans="1:21" x14ac:dyDescent="0.2">
      <c r="A69" s="10">
        <v>11</v>
      </c>
      <c r="B69" s="33">
        <v>36708</v>
      </c>
      <c r="C69" s="32">
        <v>1</v>
      </c>
      <c r="D69" s="32">
        <v>4</v>
      </c>
      <c r="E69" s="49"/>
      <c r="F69" s="50">
        <v>13</v>
      </c>
      <c r="G69" s="51"/>
      <c r="H69" s="52"/>
      <c r="I69" s="58"/>
      <c r="J69" s="51" t="s">
        <v>588</v>
      </c>
      <c r="K69" s="167"/>
      <c r="L69" s="170">
        <v>13</v>
      </c>
      <c r="M69" s="169"/>
      <c r="N69" s="167"/>
      <c r="O69" s="168">
        <v>26</v>
      </c>
      <c r="P69" s="169"/>
      <c r="Q69" s="167"/>
      <c r="R69" s="170">
        <v>144</v>
      </c>
      <c r="S69" s="171"/>
      <c r="T69" s="43">
        <f t="shared" si="0"/>
        <v>196</v>
      </c>
      <c r="U69" s="23">
        <f>+(E69*85)+(F69*95)+(G69*125)+(H69*100)+(I69*150)+(K69*52)+(L69*65.5)+(M69*81)+(N69*48)+(O69*63)+(P69*77.5)+(Q69*46)+(R69*59)+(S69*72.5)</f>
        <v>12220.5</v>
      </c>
    </row>
    <row r="70" spans="1:21" x14ac:dyDescent="0.2">
      <c r="A70" s="10">
        <v>12</v>
      </c>
      <c r="B70" s="33">
        <v>36709</v>
      </c>
      <c r="C70" s="32">
        <v>1</v>
      </c>
      <c r="D70" s="32">
        <v>4</v>
      </c>
      <c r="E70" s="49"/>
      <c r="F70" s="50"/>
      <c r="G70" s="51">
        <v>13</v>
      </c>
      <c r="H70" s="52"/>
      <c r="I70" s="58"/>
      <c r="J70" s="59"/>
      <c r="K70" s="49"/>
      <c r="L70" s="58"/>
      <c r="M70" s="51">
        <v>13</v>
      </c>
      <c r="N70" s="52"/>
      <c r="O70" s="50"/>
      <c r="P70" s="59">
        <v>26</v>
      </c>
      <c r="Q70" s="52"/>
      <c r="R70" s="50"/>
      <c r="S70" s="51">
        <v>144</v>
      </c>
      <c r="T70" s="43">
        <f t="shared" si="0"/>
        <v>196</v>
      </c>
      <c r="U70" s="23">
        <f t="shared" si="1"/>
        <v>15133</v>
      </c>
    </row>
    <row r="71" spans="1:21" x14ac:dyDescent="0.2">
      <c r="A71" s="10">
        <v>13</v>
      </c>
      <c r="B71" s="33">
        <v>36710</v>
      </c>
      <c r="C71" s="32">
        <v>1</v>
      </c>
      <c r="D71" s="32">
        <v>7</v>
      </c>
      <c r="E71" s="49">
        <v>8</v>
      </c>
      <c r="F71" s="50"/>
      <c r="G71" s="51"/>
      <c r="H71" s="52"/>
      <c r="I71" s="58"/>
      <c r="J71" s="59" t="s">
        <v>763</v>
      </c>
      <c r="K71" s="328">
        <v>8</v>
      </c>
      <c r="L71" s="329">
        <v>5</v>
      </c>
      <c r="M71" s="333"/>
      <c r="N71" s="328">
        <v>16</v>
      </c>
      <c r="O71" s="332">
        <v>10</v>
      </c>
      <c r="P71" s="333"/>
      <c r="Q71" s="331">
        <v>104</v>
      </c>
      <c r="R71" s="332">
        <v>52</v>
      </c>
      <c r="S71" s="333"/>
      <c r="T71" s="43">
        <f t="shared" si="0"/>
        <v>203</v>
      </c>
      <c r="U71" s="23">
        <f>+(E71*85)+(F71*95)+(G71*125)+(H71*100)+(I71*150)+(K71*52)+(L71*65.5)+(M71*81)+(N71*48)+(O71*63)+(P71*77.5)+(Q71*46)+(R71*59)+(S71*72.5)</f>
        <v>10673.5</v>
      </c>
    </row>
    <row r="72" spans="1:21" x14ac:dyDescent="0.2">
      <c r="A72" s="10">
        <v>14</v>
      </c>
      <c r="B72" s="33">
        <v>36711</v>
      </c>
      <c r="C72" s="32">
        <v>1</v>
      </c>
      <c r="D72" s="32">
        <v>7</v>
      </c>
      <c r="E72" s="49"/>
      <c r="F72" s="50"/>
      <c r="G72" s="51">
        <v>13</v>
      </c>
      <c r="H72" s="52"/>
      <c r="I72" s="58"/>
      <c r="J72" s="59" t="s">
        <v>763</v>
      </c>
      <c r="K72" s="328"/>
      <c r="L72" s="332"/>
      <c r="M72" s="333">
        <v>13</v>
      </c>
      <c r="N72" s="328"/>
      <c r="O72" s="332"/>
      <c r="P72" s="333">
        <v>26</v>
      </c>
      <c r="Q72" s="331"/>
      <c r="R72" s="332"/>
      <c r="S72" s="333">
        <v>156</v>
      </c>
      <c r="T72" s="43">
        <f t="shared" si="0"/>
        <v>208</v>
      </c>
      <c r="U72" s="23">
        <f>+(E72*85)+(F72*95)+(G72*125)+(H72*100)+(I72*150)+(K72*52)+(L72*65.5)+(M72*81)+(N72*48)+(O72*63)+(P72*77.5)+(Q72*46)+(R72*59)+(S72*72.5)</f>
        <v>16003</v>
      </c>
    </row>
    <row r="73" spans="1:21" x14ac:dyDescent="0.2">
      <c r="A73" s="10">
        <v>15</v>
      </c>
      <c r="B73" s="33">
        <v>36712</v>
      </c>
      <c r="C73" s="32">
        <v>1</v>
      </c>
      <c r="D73" s="32">
        <v>7</v>
      </c>
      <c r="E73" s="49">
        <v>8</v>
      </c>
      <c r="F73" s="50">
        <v>5</v>
      </c>
      <c r="G73" s="51"/>
      <c r="H73" s="52"/>
      <c r="I73" s="58"/>
      <c r="J73" s="59" t="s">
        <v>763</v>
      </c>
      <c r="K73" s="328">
        <v>8</v>
      </c>
      <c r="L73" s="329">
        <v>5</v>
      </c>
      <c r="M73" s="330"/>
      <c r="N73" s="328">
        <v>16</v>
      </c>
      <c r="O73" s="332">
        <v>10</v>
      </c>
      <c r="P73" s="330"/>
      <c r="Q73" s="328">
        <v>80</v>
      </c>
      <c r="R73" s="332">
        <v>40</v>
      </c>
      <c r="S73" s="333"/>
      <c r="T73" s="43">
        <f t="shared" si="0"/>
        <v>172</v>
      </c>
      <c r="U73" s="23">
        <f>+(E73*85)+(F73*95)+(G73*125)+(H73*100)+(I73*150)+(K73*52)+(L73*65.5)+(M73*81)+(N73*48)+(O73*63)+(P73*77.5)+(Q73*46)+(R73*59)+(S73*72.5)</f>
        <v>9336.5</v>
      </c>
    </row>
    <row r="74" spans="1:21" x14ac:dyDescent="0.2">
      <c r="A74" s="10">
        <v>16</v>
      </c>
      <c r="B74" s="33">
        <v>36713</v>
      </c>
      <c r="C74" s="32">
        <v>1</v>
      </c>
      <c r="D74" s="32">
        <v>7</v>
      </c>
      <c r="E74" s="49">
        <v>8</v>
      </c>
      <c r="F74" s="50">
        <v>5</v>
      </c>
      <c r="G74" s="51"/>
      <c r="H74" s="52"/>
      <c r="I74" s="50"/>
      <c r="J74" s="59" t="s">
        <v>763</v>
      </c>
      <c r="K74" s="328">
        <v>8</v>
      </c>
      <c r="L74" s="329">
        <v>5</v>
      </c>
      <c r="M74" s="333"/>
      <c r="N74" s="328">
        <v>16</v>
      </c>
      <c r="O74" s="332">
        <v>10</v>
      </c>
      <c r="P74" s="333"/>
      <c r="Q74" s="331">
        <v>80</v>
      </c>
      <c r="R74" s="332">
        <v>40</v>
      </c>
      <c r="S74" s="333"/>
      <c r="T74" s="43">
        <f t="shared" si="0"/>
        <v>172</v>
      </c>
      <c r="U74" s="23">
        <f>+(E74*85)+(F74*95)+(G74*125)+(H74*100)+(I74*150)+(K74*52)+(L74*65.5)+(M74*81)+(N74*48)+(O74*63)+(P74*77.5)+(Q74*46)+(R74*59)+(S74*72.5)</f>
        <v>9336.5</v>
      </c>
    </row>
    <row r="75" spans="1:21" x14ac:dyDescent="0.2">
      <c r="A75" s="10">
        <v>17</v>
      </c>
      <c r="B75" s="33">
        <v>36714</v>
      </c>
      <c r="C75" s="32">
        <v>1</v>
      </c>
      <c r="D75" s="32">
        <v>7</v>
      </c>
      <c r="E75" s="49">
        <v>8</v>
      </c>
      <c r="F75" s="50">
        <v>5</v>
      </c>
      <c r="G75" s="51"/>
      <c r="H75" s="52"/>
      <c r="I75" s="58"/>
      <c r="J75" s="59"/>
      <c r="K75" s="52">
        <v>8</v>
      </c>
      <c r="L75" s="58">
        <v>5</v>
      </c>
      <c r="M75" s="51"/>
      <c r="N75" s="52">
        <v>16</v>
      </c>
      <c r="O75" s="50">
        <v>10</v>
      </c>
      <c r="P75" s="51"/>
      <c r="Q75" s="49">
        <v>64</v>
      </c>
      <c r="R75" s="50">
        <v>32</v>
      </c>
      <c r="S75" s="51"/>
      <c r="T75" s="43">
        <f t="shared" si="0"/>
        <v>148</v>
      </c>
      <c r="U75" s="23">
        <f t="shared" si="1"/>
        <v>8128.5</v>
      </c>
    </row>
    <row r="76" spans="1:21" x14ac:dyDescent="0.2">
      <c r="A76" s="10">
        <v>18</v>
      </c>
      <c r="B76" s="33">
        <v>36715</v>
      </c>
      <c r="C76" s="32">
        <v>1</v>
      </c>
      <c r="D76" s="32">
        <v>7</v>
      </c>
      <c r="E76" s="49"/>
      <c r="F76" s="50">
        <v>13</v>
      </c>
      <c r="G76" s="51"/>
      <c r="H76" s="52"/>
      <c r="I76" s="58"/>
      <c r="J76" s="51"/>
      <c r="K76" s="52"/>
      <c r="L76" s="50">
        <v>13</v>
      </c>
      <c r="M76" s="59"/>
      <c r="N76" s="52"/>
      <c r="O76" s="50">
        <v>26</v>
      </c>
      <c r="P76" s="59"/>
      <c r="Q76" s="49"/>
      <c r="R76" s="50">
        <v>120</v>
      </c>
      <c r="S76" s="51"/>
      <c r="T76" s="43">
        <f t="shared" si="0"/>
        <v>172</v>
      </c>
      <c r="U76" s="23">
        <f t="shared" si="1"/>
        <v>10804.5</v>
      </c>
    </row>
    <row r="77" spans="1:21" x14ac:dyDescent="0.2">
      <c r="A77" s="10">
        <v>19</v>
      </c>
      <c r="B77" s="33">
        <v>36716</v>
      </c>
      <c r="C77" s="32">
        <v>1</v>
      </c>
      <c r="D77" s="32">
        <v>7</v>
      </c>
      <c r="E77" s="49"/>
      <c r="F77" s="50"/>
      <c r="G77" s="51">
        <v>13</v>
      </c>
      <c r="H77" s="52"/>
      <c r="I77" s="58"/>
      <c r="J77" s="59"/>
      <c r="K77" s="49"/>
      <c r="L77" s="58"/>
      <c r="M77" s="51">
        <v>13</v>
      </c>
      <c r="N77" s="49"/>
      <c r="O77" s="58"/>
      <c r="P77" s="51">
        <v>26</v>
      </c>
      <c r="Q77" s="49"/>
      <c r="R77" s="50"/>
      <c r="S77" s="51">
        <v>120</v>
      </c>
      <c r="T77" s="43">
        <f t="shared" si="0"/>
        <v>172</v>
      </c>
      <c r="U77" s="23">
        <f t="shared" si="1"/>
        <v>13393</v>
      </c>
    </row>
    <row r="78" spans="1:21" x14ac:dyDescent="0.2">
      <c r="A78" s="10">
        <v>20</v>
      </c>
      <c r="B78" s="33">
        <v>36717</v>
      </c>
      <c r="C78" s="32">
        <v>1</v>
      </c>
      <c r="D78" s="19">
        <v>9</v>
      </c>
      <c r="E78" s="49">
        <v>8</v>
      </c>
      <c r="F78" s="50">
        <v>5</v>
      </c>
      <c r="G78" s="51"/>
      <c r="H78" s="52">
        <v>16</v>
      </c>
      <c r="I78" s="50">
        <v>5</v>
      </c>
      <c r="J78" s="51"/>
      <c r="K78" s="52">
        <v>8</v>
      </c>
      <c r="L78" s="58">
        <v>5</v>
      </c>
      <c r="M78" s="51"/>
      <c r="N78" s="52">
        <v>16</v>
      </c>
      <c r="O78" s="50">
        <v>10</v>
      </c>
      <c r="P78" s="51"/>
      <c r="Q78" s="49">
        <v>80</v>
      </c>
      <c r="R78" s="50">
        <v>40</v>
      </c>
      <c r="S78" s="51"/>
      <c r="T78" s="43">
        <f t="shared" si="0"/>
        <v>193</v>
      </c>
      <c r="U78" s="23">
        <f t="shared" si="1"/>
        <v>11686.5</v>
      </c>
    </row>
    <row r="79" spans="1:21" x14ac:dyDescent="0.2">
      <c r="A79" s="10">
        <v>21</v>
      </c>
      <c r="B79" s="33">
        <v>36718</v>
      </c>
      <c r="C79" s="32">
        <v>1</v>
      </c>
      <c r="D79" s="19">
        <v>9</v>
      </c>
      <c r="E79" s="49">
        <v>8</v>
      </c>
      <c r="F79" s="50">
        <v>5</v>
      </c>
      <c r="G79" s="51"/>
      <c r="H79" s="52">
        <v>8</v>
      </c>
      <c r="I79" s="50">
        <v>5</v>
      </c>
      <c r="J79" s="59"/>
      <c r="K79" s="52">
        <v>8</v>
      </c>
      <c r="L79" s="58">
        <v>5</v>
      </c>
      <c r="M79" s="51"/>
      <c r="N79" s="52">
        <v>16</v>
      </c>
      <c r="O79" s="50">
        <v>10</v>
      </c>
      <c r="P79" s="51"/>
      <c r="Q79" s="49">
        <v>88</v>
      </c>
      <c r="R79" s="50">
        <v>40</v>
      </c>
      <c r="S79" s="51"/>
      <c r="T79" s="43">
        <f t="shared" si="0"/>
        <v>193</v>
      </c>
      <c r="U79" s="23">
        <f t="shared" si="1"/>
        <v>11254.5</v>
      </c>
    </row>
    <row r="80" spans="1:21" x14ac:dyDescent="0.2">
      <c r="A80" s="10">
        <v>22</v>
      </c>
      <c r="B80" s="33">
        <v>36719</v>
      </c>
      <c r="C80" s="32">
        <v>1</v>
      </c>
      <c r="D80" s="19">
        <v>9</v>
      </c>
      <c r="E80" s="49">
        <v>8</v>
      </c>
      <c r="F80" s="50">
        <v>5</v>
      </c>
      <c r="G80" s="51"/>
      <c r="H80" s="52">
        <v>8</v>
      </c>
      <c r="I80" s="50">
        <v>5</v>
      </c>
      <c r="J80" s="51"/>
      <c r="K80" s="52">
        <v>8</v>
      </c>
      <c r="L80" s="58">
        <v>5</v>
      </c>
      <c r="M80" s="51"/>
      <c r="N80" s="52">
        <v>16</v>
      </c>
      <c r="O80" s="50">
        <v>10</v>
      </c>
      <c r="P80" s="51"/>
      <c r="Q80" s="49">
        <v>48</v>
      </c>
      <c r="R80" s="50">
        <v>20</v>
      </c>
      <c r="S80" s="51"/>
      <c r="T80" s="43">
        <f t="shared" si="0"/>
        <v>133</v>
      </c>
      <c r="U80" s="23">
        <f t="shared" si="1"/>
        <v>8234.5</v>
      </c>
    </row>
    <row r="81" spans="1:21" x14ac:dyDescent="0.2">
      <c r="A81" s="10">
        <v>23</v>
      </c>
      <c r="B81" s="33">
        <v>36720</v>
      </c>
      <c r="C81" s="32">
        <v>1</v>
      </c>
      <c r="D81" s="19">
        <v>9</v>
      </c>
      <c r="E81" s="385">
        <v>8</v>
      </c>
      <c r="F81" s="386">
        <v>5</v>
      </c>
      <c r="G81" s="387"/>
      <c r="H81" s="388">
        <v>8</v>
      </c>
      <c r="I81" s="386">
        <v>5</v>
      </c>
      <c r="J81" s="387"/>
      <c r="K81" s="388">
        <v>8</v>
      </c>
      <c r="L81" s="389">
        <v>5</v>
      </c>
      <c r="M81" s="387"/>
      <c r="N81" s="388">
        <v>16</v>
      </c>
      <c r="O81" s="386">
        <v>10</v>
      </c>
      <c r="P81" s="387"/>
      <c r="Q81" s="385">
        <v>48</v>
      </c>
      <c r="R81" s="386">
        <v>24</v>
      </c>
      <c r="S81" s="387"/>
      <c r="T81" s="43">
        <f t="shared" si="0"/>
        <v>137</v>
      </c>
      <c r="U81" s="23">
        <f t="shared" si="1"/>
        <v>8470.5</v>
      </c>
    </row>
    <row r="82" spans="1:21" x14ac:dyDescent="0.2">
      <c r="A82" s="10">
        <v>24</v>
      </c>
      <c r="B82" s="33">
        <v>36721</v>
      </c>
      <c r="C82" s="32">
        <v>1</v>
      </c>
      <c r="D82" s="19">
        <v>9</v>
      </c>
      <c r="E82" s="385">
        <v>8</v>
      </c>
      <c r="F82" s="386">
        <v>5</v>
      </c>
      <c r="G82" s="387"/>
      <c r="H82" s="388">
        <v>8</v>
      </c>
      <c r="I82" s="386">
        <v>5</v>
      </c>
      <c r="J82" s="387"/>
      <c r="K82" s="388">
        <v>8</v>
      </c>
      <c r="L82" s="389">
        <v>5</v>
      </c>
      <c r="M82" s="387"/>
      <c r="N82" s="388">
        <v>16</v>
      </c>
      <c r="O82" s="386">
        <v>10</v>
      </c>
      <c r="P82" s="387"/>
      <c r="Q82" s="385">
        <v>104</v>
      </c>
      <c r="R82" s="386">
        <v>36</v>
      </c>
      <c r="S82" s="387"/>
      <c r="T82" s="43">
        <f t="shared" si="0"/>
        <v>205</v>
      </c>
      <c r="U82" s="23">
        <f t="shared" si="1"/>
        <v>11754.5</v>
      </c>
    </row>
    <row r="83" spans="1:21" x14ac:dyDescent="0.2">
      <c r="A83" s="10">
        <v>25</v>
      </c>
      <c r="B83" s="33">
        <v>36722</v>
      </c>
      <c r="C83" s="32">
        <v>1</v>
      </c>
      <c r="D83" s="19">
        <v>9</v>
      </c>
      <c r="E83" s="385"/>
      <c r="F83" s="386">
        <v>13</v>
      </c>
      <c r="G83" s="387"/>
      <c r="H83" s="388"/>
      <c r="I83" s="389">
        <v>13</v>
      </c>
      <c r="J83" s="387"/>
      <c r="K83" s="388"/>
      <c r="L83" s="386">
        <v>13</v>
      </c>
      <c r="M83" s="390"/>
      <c r="N83" s="388"/>
      <c r="O83" s="386">
        <v>26</v>
      </c>
      <c r="P83" s="390"/>
      <c r="Q83" s="385"/>
      <c r="R83" s="386">
        <v>144</v>
      </c>
      <c r="S83" s="387"/>
      <c r="T83" s="43">
        <f t="shared" si="0"/>
        <v>209</v>
      </c>
      <c r="U83" s="23">
        <f t="shared" si="1"/>
        <v>14170.5</v>
      </c>
    </row>
    <row r="84" spans="1:21" x14ac:dyDescent="0.2">
      <c r="A84" s="10">
        <v>26</v>
      </c>
      <c r="B84" s="33">
        <v>36723</v>
      </c>
      <c r="C84" s="32">
        <v>1</v>
      </c>
      <c r="D84" s="19">
        <v>9</v>
      </c>
      <c r="E84" s="385"/>
      <c r="F84" s="386"/>
      <c r="G84" s="387">
        <v>13</v>
      </c>
      <c r="H84" s="388"/>
      <c r="I84" s="389"/>
      <c r="J84" s="390">
        <v>13</v>
      </c>
      <c r="K84" s="385"/>
      <c r="L84" s="389"/>
      <c r="M84" s="387">
        <v>13</v>
      </c>
      <c r="N84" s="385"/>
      <c r="O84" s="389"/>
      <c r="P84" s="387">
        <v>26</v>
      </c>
      <c r="Q84" s="385"/>
      <c r="R84" s="386"/>
      <c r="S84" s="387">
        <v>144</v>
      </c>
      <c r="T84" s="43">
        <f t="shared" si="0"/>
        <v>209</v>
      </c>
      <c r="U84" s="23">
        <f t="shared" si="1"/>
        <v>17733</v>
      </c>
    </row>
    <row r="85" spans="1:21" x14ac:dyDescent="0.2">
      <c r="A85" s="10">
        <v>27</v>
      </c>
      <c r="B85" s="33">
        <v>36724</v>
      </c>
      <c r="C85" s="32">
        <v>1</v>
      </c>
      <c r="D85" s="19">
        <v>11</v>
      </c>
      <c r="E85" s="385">
        <v>8</v>
      </c>
      <c r="F85" s="386">
        <v>5</v>
      </c>
      <c r="G85" s="387"/>
      <c r="H85" s="388">
        <v>8</v>
      </c>
      <c r="I85" s="386">
        <v>5</v>
      </c>
      <c r="J85" s="390"/>
      <c r="K85" s="388">
        <v>8</v>
      </c>
      <c r="L85" s="389">
        <v>5</v>
      </c>
      <c r="M85" s="387"/>
      <c r="N85" s="388">
        <v>16</v>
      </c>
      <c r="O85" s="386">
        <v>10</v>
      </c>
      <c r="P85" s="387"/>
      <c r="Q85" s="385">
        <v>88</v>
      </c>
      <c r="R85" s="386">
        <v>44</v>
      </c>
      <c r="S85" s="387"/>
      <c r="T85" s="43">
        <f t="shared" si="0"/>
        <v>197</v>
      </c>
      <c r="U85" s="23">
        <f t="shared" si="1"/>
        <v>11490.5</v>
      </c>
    </row>
    <row r="86" spans="1:21" x14ac:dyDescent="0.2">
      <c r="A86" s="10">
        <v>28</v>
      </c>
      <c r="B86" s="33">
        <v>36725</v>
      </c>
      <c r="C86" s="32">
        <v>1</v>
      </c>
      <c r="D86" s="19">
        <v>11</v>
      </c>
      <c r="E86" s="385">
        <v>8</v>
      </c>
      <c r="F86" s="386">
        <v>5</v>
      </c>
      <c r="G86" s="387"/>
      <c r="H86" s="388">
        <v>8</v>
      </c>
      <c r="I86" s="386">
        <v>5</v>
      </c>
      <c r="J86" s="390"/>
      <c r="K86" s="388">
        <v>8</v>
      </c>
      <c r="L86" s="389">
        <v>5</v>
      </c>
      <c r="M86" s="387"/>
      <c r="N86" s="388">
        <v>16</v>
      </c>
      <c r="O86" s="386">
        <v>10</v>
      </c>
      <c r="P86" s="387"/>
      <c r="Q86" s="385">
        <v>88</v>
      </c>
      <c r="R86" s="386">
        <v>44</v>
      </c>
      <c r="S86" s="387"/>
      <c r="T86" s="43">
        <f t="shared" si="0"/>
        <v>197</v>
      </c>
      <c r="U86" s="23">
        <f t="shared" si="1"/>
        <v>11490.5</v>
      </c>
    </row>
    <row r="87" spans="1:21" x14ac:dyDescent="0.2">
      <c r="A87" s="10">
        <v>29</v>
      </c>
      <c r="B87" s="33">
        <v>36726</v>
      </c>
      <c r="C87" s="32">
        <v>1</v>
      </c>
      <c r="D87" s="19">
        <v>11</v>
      </c>
      <c r="E87" s="385">
        <v>8</v>
      </c>
      <c r="F87" s="386">
        <v>6</v>
      </c>
      <c r="G87" s="387"/>
      <c r="H87" s="388">
        <v>8</v>
      </c>
      <c r="I87" s="386">
        <v>5</v>
      </c>
      <c r="J87" s="390"/>
      <c r="K87" s="388">
        <v>8</v>
      </c>
      <c r="L87" s="389">
        <v>5</v>
      </c>
      <c r="M87" s="387"/>
      <c r="N87" s="388">
        <v>16</v>
      </c>
      <c r="O87" s="386">
        <v>10</v>
      </c>
      <c r="P87" s="387"/>
      <c r="Q87" s="385">
        <v>88</v>
      </c>
      <c r="R87" s="386">
        <v>44</v>
      </c>
      <c r="S87" s="387"/>
      <c r="T87" s="43">
        <f t="shared" si="0"/>
        <v>198</v>
      </c>
      <c r="U87" s="23">
        <f t="shared" si="1"/>
        <v>11585.5</v>
      </c>
    </row>
    <row r="88" spans="1:21" x14ac:dyDescent="0.2">
      <c r="A88" s="10">
        <v>30</v>
      </c>
      <c r="B88" s="33">
        <v>36727</v>
      </c>
      <c r="C88" s="32">
        <v>1</v>
      </c>
      <c r="D88" s="19">
        <v>11</v>
      </c>
      <c r="E88" s="385">
        <v>8</v>
      </c>
      <c r="F88" s="386">
        <v>8</v>
      </c>
      <c r="G88" s="387"/>
      <c r="H88" s="388">
        <v>8</v>
      </c>
      <c r="I88" s="386"/>
      <c r="J88" s="390"/>
      <c r="K88" s="388">
        <v>8</v>
      </c>
      <c r="L88" s="389">
        <v>8</v>
      </c>
      <c r="M88" s="387"/>
      <c r="N88" s="388">
        <v>16</v>
      </c>
      <c r="O88" s="386">
        <v>16</v>
      </c>
      <c r="P88" s="387"/>
      <c r="Q88" s="385">
        <v>88</v>
      </c>
      <c r="R88" s="386">
        <v>78</v>
      </c>
      <c r="S88" s="387"/>
      <c r="T88" s="43">
        <f t="shared" si="0"/>
        <v>238</v>
      </c>
      <c r="U88" s="23">
        <f t="shared" si="1"/>
        <v>13606</v>
      </c>
    </row>
    <row r="89" spans="1:21" x14ac:dyDescent="0.2">
      <c r="A89" s="10">
        <v>31</v>
      </c>
      <c r="B89" s="33">
        <v>36728</v>
      </c>
      <c r="C89" s="32">
        <v>1</v>
      </c>
      <c r="D89" s="19">
        <v>11</v>
      </c>
      <c r="E89" s="385">
        <v>8</v>
      </c>
      <c r="F89" s="386">
        <v>5</v>
      </c>
      <c r="G89" s="387"/>
      <c r="H89" s="388">
        <v>8</v>
      </c>
      <c r="I89" s="386">
        <v>5</v>
      </c>
      <c r="J89" s="390"/>
      <c r="K89" s="388">
        <v>8</v>
      </c>
      <c r="L89" s="389">
        <v>5</v>
      </c>
      <c r="M89" s="387"/>
      <c r="N89" s="388">
        <v>16</v>
      </c>
      <c r="O89" s="386">
        <v>10</v>
      </c>
      <c r="P89" s="387"/>
      <c r="Q89" s="385">
        <v>96</v>
      </c>
      <c r="R89" s="386">
        <v>49</v>
      </c>
      <c r="S89" s="387"/>
      <c r="T89" s="43">
        <f t="shared" si="0"/>
        <v>210</v>
      </c>
      <c r="U89" s="23">
        <f t="shared" si="1"/>
        <v>12153.5</v>
      </c>
    </row>
    <row r="90" spans="1:21" x14ac:dyDescent="0.2">
      <c r="A90" s="10">
        <v>32</v>
      </c>
      <c r="B90" s="33">
        <v>36729</v>
      </c>
      <c r="C90" s="32">
        <v>1</v>
      </c>
      <c r="D90" s="19">
        <v>11</v>
      </c>
      <c r="E90" s="385"/>
      <c r="F90" s="386">
        <v>13</v>
      </c>
      <c r="G90" s="387"/>
      <c r="H90" s="388"/>
      <c r="I90" s="389">
        <v>13</v>
      </c>
      <c r="J90" s="387"/>
      <c r="K90" s="388"/>
      <c r="L90" s="386">
        <v>13</v>
      </c>
      <c r="M90" s="390"/>
      <c r="N90" s="388"/>
      <c r="O90" s="386">
        <v>16</v>
      </c>
      <c r="P90" s="390"/>
      <c r="Q90" s="385"/>
      <c r="R90" s="386">
        <v>116</v>
      </c>
      <c r="S90" s="387"/>
      <c r="T90" s="43">
        <f t="shared" si="0"/>
        <v>171</v>
      </c>
      <c r="U90" s="23">
        <f t="shared" si="1"/>
        <v>11888.5</v>
      </c>
    </row>
    <row r="91" spans="1:21" x14ac:dyDescent="0.2">
      <c r="A91" s="10">
        <v>33</v>
      </c>
      <c r="B91" s="33">
        <v>36730</v>
      </c>
      <c r="C91" s="32">
        <v>1</v>
      </c>
      <c r="D91" s="19">
        <v>11</v>
      </c>
      <c r="E91" s="385"/>
      <c r="F91" s="386"/>
      <c r="G91" s="387">
        <v>13</v>
      </c>
      <c r="H91" s="388"/>
      <c r="I91" s="389"/>
      <c r="J91" s="390">
        <v>13</v>
      </c>
      <c r="K91" s="388"/>
      <c r="L91" s="389"/>
      <c r="M91" s="387">
        <v>13</v>
      </c>
      <c r="N91" s="388"/>
      <c r="O91" s="389"/>
      <c r="P91" s="387"/>
      <c r="Q91" s="385"/>
      <c r="R91" s="386"/>
      <c r="S91" s="387">
        <v>52</v>
      </c>
      <c r="T91" s="43">
        <f t="shared" si="0"/>
        <v>91</v>
      </c>
      <c r="U91" s="23">
        <f t="shared" si="1"/>
        <v>9048</v>
      </c>
    </row>
    <row r="92" spans="1:21" x14ac:dyDescent="0.2">
      <c r="A92" s="10">
        <v>34</v>
      </c>
      <c r="B92" s="33">
        <v>36731</v>
      </c>
      <c r="C92" s="32">
        <v>1</v>
      </c>
      <c r="D92" s="19">
        <v>12</v>
      </c>
      <c r="E92" s="172">
        <v>8</v>
      </c>
      <c r="F92" s="170">
        <v>5</v>
      </c>
      <c r="G92" s="171"/>
      <c r="H92" s="167">
        <v>8</v>
      </c>
      <c r="I92" s="170">
        <v>5</v>
      </c>
      <c r="J92" s="169"/>
      <c r="K92" s="167">
        <v>8</v>
      </c>
      <c r="L92" s="168">
        <v>5</v>
      </c>
      <c r="M92" s="171"/>
      <c r="N92" s="172"/>
      <c r="O92" s="170"/>
      <c r="P92" s="171"/>
      <c r="Q92" s="172">
        <v>32</v>
      </c>
      <c r="R92" s="170">
        <v>16</v>
      </c>
      <c r="S92" s="171"/>
      <c r="T92" s="43">
        <f t="shared" si="0"/>
        <v>87</v>
      </c>
      <c r="U92" s="23">
        <f t="shared" si="1"/>
        <v>5864.5</v>
      </c>
    </row>
    <row r="93" spans="1:21" x14ac:dyDescent="0.2">
      <c r="A93" s="10">
        <v>35</v>
      </c>
      <c r="B93" s="33">
        <v>36732</v>
      </c>
      <c r="C93" s="32">
        <v>1</v>
      </c>
      <c r="D93" s="19">
        <v>12</v>
      </c>
      <c r="E93" s="172">
        <v>8</v>
      </c>
      <c r="F93" s="170">
        <v>5</v>
      </c>
      <c r="G93" s="171"/>
      <c r="H93" s="167">
        <v>8</v>
      </c>
      <c r="I93" s="170">
        <v>5</v>
      </c>
      <c r="J93" s="169"/>
      <c r="K93" s="167">
        <v>8</v>
      </c>
      <c r="L93" s="168">
        <v>5</v>
      </c>
      <c r="M93" s="171"/>
      <c r="N93" s="172"/>
      <c r="O93" s="170"/>
      <c r="P93" s="171"/>
      <c r="Q93" s="172">
        <v>32</v>
      </c>
      <c r="R93" s="170">
        <v>16</v>
      </c>
      <c r="S93" s="171"/>
      <c r="T93" s="43">
        <f t="shared" si="0"/>
        <v>87</v>
      </c>
      <c r="U93" s="23">
        <f t="shared" si="1"/>
        <v>5864.5</v>
      </c>
    </row>
    <row r="94" spans="1:21" x14ac:dyDescent="0.2">
      <c r="A94" s="10">
        <v>36</v>
      </c>
      <c r="B94" s="33">
        <v>36733</v>
      </c>
      <c r="C94" s="32">
        <v>1</v>
      </c>
      <c r="D94" s="19">
        <v>12</v>
      </c>
      <c r="E94" s="172">
        <v>8</v>
      </c>
      <c r="F94" s="170"/>
      <c r="G94" s="171"/>
      <c r="H94" s="167">
        <v>8</v>
      </c>
      <c r="I94" s="170">
        <v>5</v>
      </c>
      <c r="J94" s="169"/>
      <c r="K94" s="167">
        <v>8</v>
      </c>
      <c r="L94" s="168"/>
      <c r="M94" s="171"/>
      <c r="N94" s="172"/>
      <c r="O94" s="170"/>
      <c r="P94" s="171"/>
      <c r="Q94" s="172">
        <v>32</v>
      </c>
      <c r="R94" s="170">
        <v>16</v>
      </c>
      <c r="S94" s="171"/>
      <c r="T94" s="43">
        <f t="shared" si="0"/>
        <v>77</v>
      </c>
      <c r="U94" s="23">
        <f t="shared" si="1"/>
        <v>5062</v>
      </c>
    </row>
    <row r="95" spans="1:21" x14ac:dyDescent="0.2">
      <c r="A95" s="10">
        <v>37</v>
      </c>
      <c r="B95" s="33">
        <v>36734</v>
      </c>
      <c r="C95" s="32">
        <v>1</v>
      </c>
      <c r="D95" s="19">
        <v>12</v>
      </c>
      <c r="E95" s="172">
        <v>8</v>
      </c>
      <c r="F95" s="170"/>
      <c r="G95" s="171"/>
      <c r="H95" s="167">
        <v>8</v>
      </c>
      <c r="I95" s="170">
        <v>5</v>
      </c>
      <c r="J95" s="169"/>
      <c r="K95" s="167">
        <v>8</v>
      </c>
      <c r="L95" s="168"/>
      <c r="M95" s="171"/>
      <c r="N95" s="172"/>
      <c r="O95" s="170"/>
      <c r="P95" s="171"/>
      <c r="Q95" s="172">
        <v>32</v>
      </c>
      <c r="R95" s="170">
        <v>16</v>
      </c>
      <c r="S95" s="171"/>
      <c r="T95" s="43">
        <f t="shared" si="0"/>
        <v>77</v>
      </c>
      <c r="U95" s="23">
        <f t="shared" si="1"/>
        <v>5062</v>
      </c>
    </row>
    <row r="96" spans="1:21" x14ac:dyDescent="0.2">
      <c r="A96" s="10">
        <v>38</v>
      </c>
      <c r="B96" s="33">
        <v>36735</v>
      </c>
      <c r="C96" s="32">
        <v>1</v>
      </c>
      <c r="D96" s="19">
        <v>12</v>
      </c>
      <c r="E96" s="172">
        <v>8</v>
      </c>
      <c r="F96" s="170"/>
      <c r="G96" s="171"/>
      <c r="H96" s="167">
        <v>8</v>
      </c>
      <c r="I96" s="170">
        <v>5</v>
      </c>
      <c r="J96" s="169"/>
      <c r="K96" s="167">
        <v>8</v>
      </c>
      <c r="L96" s="168"/>
      <c r="M96" s="171"/>
      <c r="N96" s="172"/>
      <c r="O96" s="170"/>
      <c r="P96" s="171"/>
      <c r="Q96" s="172">
        <v>32</v>
      </c>
      <c r="R96" s="170">
        <v>16</v>
      </c>
      <c r="S96" s="171"/>
      <c r="T96" s="43">
        <f t="shared" si="0"/>
        <v>77</v>
      </c>
      <c r="U96" s="23">
        <f t="shared" si="1"/>
        <v>5062</v>
      </c>
    </row>
    <row r="97" spans="1:24" x14ac:dyDescent="0.2">
      <c r="A97" s="10">
        <v>39</v>
      </c>
      <c r="B97" s="33">
        <v>36736</v>
      </c>
      <c r="C97" s="32">
        <v>1</v>
      </c>
      <c r="D97" s="19">
        <v>12</v>
      </c>
      <c r="E97" s="172"/>
      <c r="F97" s="170"/>
      <c r="G97" s="171"/>
      <c r="H97" s="167"/>
      <c r="I97" s="170">
        <v>13</v>
      </c>
      <c r="J97" s="169"/>
      <c r="K97" s="167"/>
      <c r="L97" s="170"/>
      <c r="M97" s="171"/>
      <c r="N97" s="167"/>
      <c r="O97" s="170"/>
      <c r="P97" s="171"/>
      <c r="Q97" s="172"/>
      <c r="R97" s="170">
        <v>48</v>
      </c>
      <c r="S97" s="171"/>
      <c r="T97" s="43">
        <f t="shared" si="0"/>
        <v>61</v>
      </c>
      <c r="U97" s="23">
        <f t="shared" si="1"/>
        <v>4782</v>
      </c>
      <c r="X97" s="43"/>
    </row>
    <row r="98" spans="1:24" x14ac:dyDescent="0.2">
      <c r="A98" s="10">
        <v>40</v>
      </c>
      <c r="B98" s="33">
        <v>36737</v>
      </c>
      <c r="C98" s="32">
        <v>1</v>
      </c>
      <c r="D98" s="19">
        <v>12</v>
      </c>
      <c r="E98" s="172"/>
      <c r="F98" s="170"/>
      <c r="G98" s="171"/>
      <c r="H98" s="167"/>
      <c r="I98" s="170"/>
      <c r="J98" s="169">
        <v>13</v>
      </c>
      <c r="K98" s="167"/>
      <c r="L98" s="170"/>
      <c r="M98" s="171"/>
      <c r="N98" s="167"/>
      <c r="O98" s="170"/>
      <c r="P98" s="171"/>
      <c r="Q98" s="172"/>
      <c r="R98" s="170"/>
      <c r="S98" s="171">
        <v>48</v>
      </c>
      <c r="T98" s="43">
        <f t="shared" si="0"/>
        <v>61</v>
      </c>
      <c r="U98" s="23">
        <f t="shared" si="1"/>
        <v>6080</v>
      </c>
      <c r="X98" s="43"/>
    </row>
    <row r="99" spans="1:24" ht="6.75" customHeight="1" x14ac:dyDescent="0.2">
      <c r="E99" s="53"/>
      <c r="F99" s="54"/>
      <c r="G99" s="55"/>
      <c r="H99" s="53"/>
      <c r="I99" s="54"/>
      <c r="J99" s="55"/>
      <c r="K99" s="60"/>
      <c r="L99" s="61"/>
      <c r="M99" s="62"/>
      <c r="N99" s="60"/>
      <c r="O99" s="61"/>
      <c r="P99" s="62"/>
      <c r="Q99" s="60"/>
      <c r="R99" s="61"/>
      <c r="S99" s="62"/>
      <c r="T99" s="43"/>
      <c r="U99" s="23"/>
      <c r="X99" s="43"/>
    </row>
    <row r="100" spans="1:24" x14ac:dyDescent="0.2">
      <c r="B100" s="18" t="s">
        <v>108</v>
      </c>
      <c r="C100" s="25"/>
      <c r="D100" s="25"/>
      <c r="E100" s="45">
        <f t="shared" ref="E100:U100" si="2">SUM(E59:E99)</f>
        <v>192</v>
      </c>
      <c r="F100" s="45">
        <f t="shared" si="2"/>
        <v>159</v>
      </c>
      <c r="G100" s="45">
        <f t="shared" si="2"/>
        <v>78</v>
      </c>
      <c r="H100" s="45">
        <f t="shared" si="2"/>
        <v>128</v>
      </c>
      <c r="I100" s="45">
        <f t="shared" si="2"/>
        <v>109</v>
      </c>
      <c r="J100" s="45">
        <f t="shared" si="2"/>
        <v>39</v>
      </c>
      <c r="K100" s="45">
        <f t="shared" si="2"/>
        <v>216</v>
      </c>
      <c r="L100" s="45">
        <f t="shared" si="2"/>
        <v>183</v>
      </c>
      <c r="M100" s="45">
        <f t="shared" si="2"/>
        <v>78</v>
      </c>
      <c r="N100" s="45">
        <f t="shared" si="2"/>
        <v>324</v>
      </c>
      <c r="O100" s="45">
        <f t="shared" si="2"/>
        <v>310</v>
      </c>
      <c r="P100" s="45">
        <f t="shared" si="2"/>
        <v>130</v>
      </c>
      <c r="Q100" s="45">
        <f t="shared" si="2"/>
        <v>1926</v>
      </c>
      <c r="R100" s="45">
        <f t="shared" si="2"/>
        <v>1553</v>
      </c>
      <c r="S100" s="45">
        <f t="shared" si="2"/>
        <v>784</v>
      </c>
      <c r="T100" s="45">
        <f t="shared" si="2"/>
        <v>6209</v>
      </c>
      <c r="U100" s="20">
        <f t="shared" si="2"/>
        <v>389881.5</v>
      </c>
      <c r="X100" s="43"/>
    </row>
    <row r="101" spans="1:24" x14ac:dyDescent="0.2">
      <c r="B101" s="18" t="s">
        <v>110</v>
      </c>
      <c r="C101" s="34"/>
      <c r="D101" s="34"/>
      <c r="E101" s="20">
        <v>85</v>
      </c>
      <c r="F101" s="20">
        <v>95</v>
      </c>
      <c r="G101" s="23">
        <v>125</v>
      </c>
      <c r="H101" s="20">
        <v>100</v>
      </c>
      <c r="I101" s="20">
        <v>150</v>
      </c>
      <c r="J101" s="23">
        <v>200</v>
      </c>
      <c r="K101" s="23">
        <v>52</v>
      </c>
      <c r="L101" s="23">
        <v>65.5</v>
      </c>
      <c r="M101" s="23">
        <v>81</v>
      </c>
      <c r="N101" s="23">
        <v>48</v>
      </c>
      <c r="O101" s="23">
        <v>63</v>
      </c>
      <c r="P101" s="23">
        <v>77.5</v>
      </c>
      <c r="Q101" s="23">
        <v>46</v>
      </c>
      <c r="R101" s="23">
        <v>59</v>
      </c>
      <c r="S101" s="23">
        <v>72.5</v>
      </c>
      <c r="T101" s="23"/>
      <c r="U101" s="23"/>
      <c r="X101" s="43"/>
    </row>
    <row r="102" spans="1:24" x14ac:dyDescent="0.2">
      <c r="B102" s="18" t="s">
        <v>118</v>
      </c>
      <c r="C102" s="34"/>
      <c r="D102" s="19"/>
      <c r="E102" s="66">
        <f t="shared" ref="E102:S102" si="3">SUM(E59:E99)*E101</f>
        <v>16320</v>
      </c>
      <c r="F102" s="66">
        <f t="shared" si="3"/>
        <v>15105</v>
      </c>
      <c r="G102" s="66">
        <f t="shared" si="3"/>
        <v>9750</v>
      </c>
      <c r="H102" s="66">
        <f t="shared" si="3"/>
        <v>12800</v>
      </c>
      <c r="I102" s="66">
        <f t="shared" si="3"/>
        <v>16350</v>
      </c>
      <c r="J102" s="66">
        <f t="shared" si="3"/>
        <v>7800</v>
      </c>
      <c r="K102" s="66">
        <f t="shared" si="3"/>
        <v>11232</v>
      </c>
      <c r="L102" s="66">
        <f t="shared" si="3"/>
        <v>11986.5</v>
      </c>
      <c r="M102" s="66">
        <f t="shared" si="3"/>
        <v>6318</v>
      </c>
      <c r="N102" s="66">
        <f t="shared" si="3"/>
        <v>15552</v>
      </c>
      <c r="O102" s="66">
        <f t="shared" si="3"/>
        <v>19530</v>
      </c>
      <c r="P102" s="66">
        <f t="shared" si="3"/>
        <v>10075</v>
      </c>
      <c r="Q102" s="66">
        <f t="shared" si="3"/>
        <v>88596</v>
      </c>
      <c r="R102" s="66">
        <f t="shared" si="3"/>
        <v>91627</v>
      </c>
      <c r="S102" s="66">
        <f t="shared" si="3"/>
        <v>56840</v>
      </c>
      <c r="T102" s="43"/>
      <c r="U102" s="23">
        <f>SUM(E102:S102)</f>
        <v>389881.5</v>
      </c>
      <c r="V102" s="43"/>
      <c r="W102" s="43"/>
      <c r="X102" s="43"/>
    </row>
    <row r="103" spans="1:24" ht="7.15" customHeight="1" x14ac:dyDescent="0.2">
      <c r="B103" s="18"/>
      <c r="C103" s="19"/>
      <c r="D103" s="19"/>
      <c r="E103" s="43"/>
      <c r="F103" s="43"/>
      <c r="G103" s="43"/>
      <c r="H103" s="43"/>
      <c r="I103" s="43"/>
      <c r="J103" s="43"/>
      <c r="K103" s="43"/>
      <c r="L103" s="43"/>
      <c r="M103" s="43"/>
      <c r="N103" s="43"/>
      <c r="O103" s="43"/>
      <c r="P103" s="43"/>
      <c r="Q103" s="43"/>
      <c r="R103" s="43"/>
      <c r="S103" s="43"/>
      <c r="T103" s="43"/>
      <c r="U103" s="23"/>
    </row>
    <row r="104" spans="1:24" x14ac:dyDescent="0.2">
      <c r="B104" s="18" t="s">
        <v>126</v>
      </c>
      <c r="C104" s="19"/>
      <c r="D104" s="19"/>
      <c r="E104" s="19" t="s">
        <v>127</v>
      </c>
      <c r="F104" s="19"/>
      <c r="G104" s="43">
        <v>14</v>
      </c>
      <c r="H104" s="45" t="s">
        <v>114</v>
      </c>
      <c r="I104" s="23">
        <v>75</v>
      </c>
      <c r="J104" s="3"/>
      <c r="K104" s="45" t="s">
        <v>128</v>
      </c>
      <c r="L104" s="43">
        <v>4</v>
      </c>
      <c r="T104" s="23">
        <f>+G104*I104*L104</f>
        <v>4200</v>
      </c>
      <c r="U104" s="23"/>
    </row>
    <row r="105" spans="1:24" x14ac:dyDescent="0.2">
      <c r="B105" s="18"/>
      <c r="E105" s="19" t="s">
        <v>127</v>
      </c>
      <c r="F105" s="19"/>
      <c r="G105" s="43">
        <v>19</v>
      </c>
      <c r="H105" s="45" t="s">
        <v>114</v>
      </c>
      <c r="I105" s="23">
        <v>75</v>
      </c>
      <c r="J105" s="43"/>
      <c r="K105" s="45" t="s">
        <v>128</v>
      </c>
      <c r="L105" s="43">
        <v>2</v>
      </c>
      <c r="M105" s="43"/>
      <c r="N105" s="43"/>
      <c r="O105" s="43"/>
      <c r="S105" s="43"/>
      <c r="T105" s="23">
        <f>+G105*I105*L105</f>
        <v>2850</v>
      </c>
      <c r="U105" s="23"/>
    </row>
    <row r="106" spans="1:24" x14ac:dyDescent="0.2">
      <c r="B106" s="18"/>
      <c r="E106" s="19" t="s">
        <v>127</v>
      </c>
      <c r="F106" s="19"/>
      <c r="G106" s="43">
        <v>12</v>
      </c>
      <c r="H106" s="45" t="s">
        <v>114</v>
      </c>
      <c r="I106" s="23">
        <v>75</v>
      </c>
      <c r="J106" s="43"/>
      <c r="K106" s="45" t="s">
        <v>128</v>
      </c>
      <c r="L106" s="43">
        <v>1</v>
      </c>
      <c r="M106" s="43"/>
      <c r="N106" s="43"/>
      <c r="O106" s="43"/>
      <c r="S106" s="43"/>
      <c r="T106" s="68">
        <f>+G106*I106*L106</f>
        <v>900</v>
      </c>
      <c r="U106" s="23">
        <f>+T104+T105+T106</f>
        <v>7950</v>
      </c>
    </row>
    <row r="107" spans="1:24" x14ac:dyDescent="0.2">
      <c r="B107" s="18" t="s">
        <v>113</v>
      </c>
      <c r="C107" s="19"/>
      <c r="D107" s="19"/>
      <c r="E107" s="43"/>
      <c r="F107" s="45">
        <v>45</v>
      </c>
      <c r="G107" s="42" t="s">
        <v>114</v>
      </c>
      <c r="H107" s="24">
        <v>150</v>
      </c>
      <c r="I107" s="45"/>
      <c r="J107" s="43"/>
      <c r="K107" s="43"/>
      <c r="L107" s="43"/>
      <c r="M107" s="43"/>
      <c r="N107" s="43"/>
      <c r="O107" s="43"/>
      <c r="S107" s="19"/>
      <c r="U107" s="23">
        <f>+F107*H107</f>
        <v>6750</v>
      </c>
    </row>
    <row r="108" spans="1:24" x14ac:dyDescent="0.2">
      <c r="B108" s="18"/>
      <c r="C108" s="133" t="s">
        <v>612</v>
      </c>
      <c r="D108" s="133"/>
      <c r="E108" s="210"/>
      <c r="F108" s="210"/>
      <c r="G108" s="210"/>
      <c r="H108" s="210"/>
      <c r="I108" s="45"/>
      <c r="J108" s="391" t="s">
        <v>816</v>
      </c>
      <c r="K108" s="392"/>
      <c r="L108" s="392"/>
      <c r="M108" s="43"/>
      <c r="N108" s="43"/>
      <c r="O108" s="43"/>
      <c r="S108" s="19"/>
      <c r="U108" s="23"/>
    </row>
    <row r="109" spans="1:24" x14ac:dyDescent="0.2">
      <c r="B109" s="186" t="s">
        <v>87</v>
      </c>
      <c r="C109" s="19"/>
      <c r="D109" s="187" t="s">
        <v>116</v>
      </c>
      <c r="E109" s="43"/>
      <c r="F109" s="42" t="s">
        <v>95</v>
      </c>
      <c r="G109" s="43"/>
      <c r="H109" s="42"/>
      <c r="I109" s="42" t="s">
        <v>96</v>
      </c>
      <c r="J109" s="43"/>
      <c r="K109" s="43"/>
      <c r="L109" s="42" t="s">
        <v>97</v>
      </c>
      <c r="M109" s="43"/>
      <c r="N109" s="43"/>
      <c r="O109" s="42" t="s">
        <v>98</v>
      </c>
      <c r="P109" s="43"/>
      <c r="Q109" s="45" t="s">
        <v>88</v>
      </c>
      <c r="R109" s="20" t="s">
        <v>88</v>
      </c>
      <c r="S109" s="19"/>
    </row>
    <row r="110" spans="1:24" x14ac:dyDescent="0.2">
      <c r="E110" s="45" t="s">
        <v>102</v>
      </c>
      <c r="F110" s="45" t="s">
        <v>103</v>
      </c>
      <c r="G110" s="45" t="s">
        <v>104</v>
      </c>
      <c r="H110" s="45" t="s">
        <v>102</v>
      </c>
      <c r="I110" s="45" t="s">
        <v>103</v>
      </c>
      <c r="J110" s="45" t="s">
        <v>104</v>
      </c>
      <c r="K110" s="45" t="s">
        <v>102</v>
      </c>
      <c r="L110" s="45" t="s">
        <v>105</v>
      </c>
      <c r="M110" s="45" t="s">
        <v>104</v>
      </c>
      <c r="N110" s="45" t="s">
        <v>102</v>
      </c>
      <c r="O110" s="45" t="s">
        <v>106</v>
      </c>
      <c r="P110" s="45" t="s">
        <v>107</v>
      </c>
      <c r="Q110" s="45" t="s">
        <v>108</v>
      </c>
      <c r="R110" s="20" t="s">
        <v>109</v>
      </c>
      <c r="S110" s="19"/>
      <c r="T110" s="19"/>
      <c r="U110" s="19"/>
      <c r="V110" s="43"/>
      <c r="W110" s="43"/>
    </row>
    <row r="111" spans="1:24" x14ac:dyDescent="0.2">
      <c r="A111" s="10">
        <v>1</v>
      </c>
      <c r="B111" s="33">
        <v>36698</v>
      </c>
      <c r="C111" s="32">
        <v>1</v>
      </c>
      <c r="D111" s="32">
        <v>14</v>
      </c>
      <c r="E111" s="379"/>
      <c r="F111" s="380"/>
      <c r="G111" s="381"/>
      <c r="H111" s="382">
        <v>8</v>
      </c>
      <c r="I111" s="380"/>
      <c r="J111" s="383"/>
      <c r="K111" s="379">
        <v>16</v>
      </c>
      <c r="L111" s="384"/>
      <c r="M111" s="381"/>
      <c r="N111" s="382">
        <v>56</v>
      </c>
      <c r="O111" s="384"/>
      <c r="P111" s="381"/>
      <c r="Q111" s="43">
        <f t="shared" ref="Q111:Q150" si="4">SUM(E111:P111)</f>
        <v>80</v>
      </c>
      <c r="R111" s="23">
        <f>+(E111*100)+(F111*150)+(G111*200)+(H111*52)+(I111*65.5)+(J111*81)+(K111*48)+(L111*63)+(M111*77.5)+(N111*46)+(O111*59)+(P111*72.5)</f>
        <v>3760</v>
      </c>
      <c r="S111" s="19"/>
      <c r="T111" s="19"/>
      <c r="U111" s="19"/>
    </row>
    <row r="112" spans="1:24" x14ac:dyDescent="0.2">
      <c r="A112" s="10">
        <v>2</v>
      </c>
      <c r="B112" s="33">
        <v>36699</v>
      </c>
      <c r="C112" s="32">
        <v>1</v>
      </c>
      <c r="D112" s="32">
        <v>14</v>
      </c>
      <c r="E112" s="385"/>
      <c r="F112" s="386"/>
      <c r="G112" s="387"/>
      <c r="H112" s="388">
        <v>8</v>
      </c>
      <c r="I112" s="389">
        <v>7</v>
      </c>
      <c r="J112" s="390"/>
      <c r="K112" s="388">
        <v>16</v>
      </c>
      <c r="L112" s="389">
        <v>13</v>
      </c>
      <c r="M112" s="390"/>
      <c r="N112" s="388">
        <v>88</v>
      </c>
      <c r="O112" s="389">
        <v>42</v>
      </c>
      <c r="P112" s="387"/>
      <c r="Q112" s="43">
        <f t="shared" si="4"/>
        <v>174</v>
      </c>
      <c r="R112" s="23">
        <f t="shared" ref="R112:R150" si="5">+(E112*100)+(F112*150)+(G112*200)+(H112*52)+(I112*65.5)+(J112*81)+(K112*48)+(L112*63)+(M112*77.5)+(N112*46)+(O112*59)+(P112*72.5)</f>
        <v>8987.5</v>
      </c>
      <c r="S112" s="19"/>
      <c r="T112" s="19"/>
      <c r="U112" s="19"/>
    </row>
    <row r="113" spans="1:21" x14ac:dyDescent="0.2">
      <c r="A113" s="10">
        <v>3</v>
      </c>
      <c r="B113" s="33">
        <v>36700</v>
      </c>
      <c r="C113" s="32">
        <v>1</v>
      </c>
      <c r="D113" s="32">
        <v>14</v>
      </c>
      <c r="E113" s="385"/>
      <c r="F113" s="386"/>
      <c r="G113" s="387"/>
      <c r="H113" s="388">
        <v>8</v>
      </c>
      <c r="I113" s="389">
        <v>7</v>
      </c>
      <c r="J113" s="390"/>
      <c r="K113" s="388">
        <v>16</v>
      </c>
      <c r="L113" s="389">
        <v>10</v>
      </c>
      <c r="M113" s="390"/>
      <c r="N113" s="388">
        <v>88</v>
      </c>
      <c r="O113" s="389">
        <v>44</v>
      </c>
      <c r="P113" s="387"/>
      <c r="Q113" s="43">
        <f t="shared" si="4"/>
        <v>173</v>
      </c>
      <c r="R113" s="23">
        <f t="shared" si="5"/>
        <v>8916.5</v>
      </c>
      <c r="S113" s="19"/>
      <c r="T113" s="19"/>
      <c r="U113" s="19"/>
    </row>
    <row r="114" spans="1:21" x14ac:dyDescent="0.2">
      <c r="A114" s="10">
        <v>4</v>
      </c>
      <c r="B114" s="33">
        <v>36701</v>
      </c>
      <c r="C114" s="32">
        <v>1</v>
      </c>
      <c r="D114" s="32">
        <v>14</v>
      </c>
      <c r="E114" s="49"/>
      <c r="F114" s="50"/>
      <c r="G114" s="51"/>
      <c r="H114" s="52"/>
      <c r="I114" s="58">
        <v>13</v>
      </c>
      <c r="J114" s="51"/>
      <c r="K114" s="52"/>
      <c r="L114" s="50">
        <v>13</v>
      </c>
      <c r="M114" s="59"/>
      <c r="N114" s="52"/>
      <c r="O114" s="58">
        <v>96</v>
      </c>
      <c r="P114" s="51"/>
      <c r="Q114" s="43">
        <f t="shared" si="4"/>
        <v>122</v>
      </c>
      <c r="R114" s="23">
        <f t="shared" si="5"/>
        <v>7334.5</v>
      </c>
      <c r="S114" s="19" t="s">
        <v>102</v>
      </c>
      <c r="T114" s="43">
        <f>SUM(N109:N115)+SUM(H109:H115)+SUM(K109:K115)</f>
        <v>304</v>
      </c>
      <c r="U114" s="19"/>
    </row>
    <row r="115" spans="1:21" x14ac:dyDescent="0.2">
      <c r="A115" s="10">
        <v>5</v>
      </c>
      <c r="B115" s="33">
        <v>36702</v>
      </c>
      <c r="C115" s="32">
        <v>1</v>
      </c>
      <c r="D115" s="32">
        <v>15</v>
      </c>
      <c r="E115" s="49"/>
      <c r="F115" s="50"/>
      <c r="G115" s="51"/>
      <c r="H115" s="52"/>
      <c r="I115" s="58"/>
      <c r="J115" s="59">
        <v>13</v>
      </c>
      <c r="K115" s="52"/>
      <c r="L115" s="58"/>
      <c r="M115" s="51">
        <v>26</v>
      </c>
      <c r="N115" s="49"/>
      <c r="O115" s="50"/>
      <c r="P115" s="51">
        <v>132</v>
      </c>
      <c r="Q115" s="43">
        <f t="shared" si="4"/>
        <v>171</v>
      </c>
      <c r="R115" s="23">
        <f t="shared" si="5"/>
        <v>12638</v>
      </c>
      <c r="S115" s="19" t="s">
        <v>103</v>
      </c>
      <c r="T115" s="43">
        <f>SUM(O109:O115)+SUM(I109:I115)+SUM(L109:L115)</f>
        <v>245</v>
      </c>
      <c r="U115" s="19"/>
    </row>
    <row r="116" spans="1:21" x14ac:dyDescent="0.2">
      <c r="A116" s="10">
        <v>6</v>
      </c>
      <c r="B116" s="33">
        <v>36703</v>
      </c>
      <c r="C116" s="32">
        <v>1</v>
      </c>
      <c r="D116" s="32">
        <v>16</v>
      </c>
      <c r="E116" s="49"/>
      <c r="F116" s="50"/>
      <c r="G116" s="51"/>
      <c r="H116" s="52">
        <v>8</v>
      </c>
      <c r="I116" s="58">
        <v>5</v>
      </c>
      <c r="J116" s="59"/>
      <c r="K116" s="52">
        <v>16</v>
      </c>
      <c r="L116" s="50">
        <v>10</v>
      </c>
      <c r="M116" s="59"/>
      <c r="N116" s="52">
        <v>112</v>
      </c>
      <c r="O116" s="50">
        <v>56</v>
      </c>
      <c r="P116" s="51"/>
      <c r="Q116" s="43">
        <f t="shared" si="4"/>
        <v>207</v>
      </c>
      <c r="R116" s="23">
        <f t="shared" si="5"/>
        <v>10597.5</v>
      </c>
      <c r="S116" s="19" t="s">
        <v>104</v>
      </c>
      <c r="T116" s="43">
        <f>SUM(P109:P115)+SUM(J109:J115)+SUM(M109:M115)</f>
        <v>171</v>
      </c>
      <c r="U116" s="19"/>
    </row>
    <row r="117" spans="1:21" x14ac:dyDescent="0.2">
      <c r="A117" s="10">
        <v>7</v>
      </c>
      <c r="B117" s="33">
        <v>36704</v>
      </c>
      <c r="C117" s="32">
        <v>1</v>
      </c>
      <c r="D117" s="32">
        <v>16</v>
      </c>
      <c r="E117" s="49"/>
      <c r="F117" s="50"/>
      <c r="G117" s="51"/>
      <c r="H117" s="322">
        <v>8</v>
      </c>
      <c r="I117" s="323">
        <v>5</v>
      </c>
      <c r="J117" s="324"/>
      <c r="K117" s="322">
        <v>8</v>
      </c>
      <c r="L117" s="326">
        <v>5</v>
      </c>
      <c r="M117" s="324"/>
      <c r="N117" s="322">
        <v>72</v>
      </c>
      <c r="O117" s="326">
        <v>36</v>
      </c>
      <c r="P117" s="327"/>
      <c r="Q117" s="43">
        <f t="shared" si="4"/>
        <v>134</v>
      </c>
      <c r="R117" s="23">
        <f>+(E117*100)+(F117*150)+(H117*52)+(I117*65.5)+(J117*81)+(K117*48)+(L117*63)+(M117*77.5)+(N117*46)+(O117*59)+(P117*72.5)</f>
        <v>6878.5</v>
      </c>
      <c r="S117" s="19" t="s">
        <v>88</v>
      </c>
      <c r="T117" s="43">
        <f>SUM(Q109:Q115)</f>
        <v>720</v>
      </c>
      <c r="U117" s="19"/>
    </row>
    <row r="118" spans="1:21" x14ac:dyDescent="0.2">
      <c r="A118" s="10">
        <v>8</v>
      </c>
      <c r="B118" s="33">
        <v>36705</v>
      </c>
      <c r="C118" s="32">
        <v>1</v>
      </c>
      <c r="D118" s="32">
        <v>16</v>
      </c>
      <c r="E118" s="49"/>
      <c r="F118" s="50"/>
      <c r="G118" s="59" t="s">
        <v>762</v>
      </c>
      <c r="H118" s="167">
        <v>8</v>
      </c>
      <c r="I118" s="168">
        <v>5</v>
      </c>
      <c r="J118" s="169"/>
      <c r="K118" s="167">
        <v>16</v>
      </c>
      <c r="L118" s="170">
        <v>10</v>
      </c>
      <c r="M118" s="169"/>
      <c r="N118" s="167">
        <v>112</v>
      </c>
      <c r="O118" s="170">
        <v>56</v>
      </c>
      <c r="P118" s="171"/>
      <c r="Q118" s="43">
        <f t="shared" si="4"/>
        <v>207</v>
      </c>
      <c r="R118" s="23">
        <f>+(E118*100)+(F118*150)+(H118*52)+(I118*65.5)+(J118*81)+(K118*48)+(L118*63)+(M118*77.5)+(N118*46)+(O118*59)+(P118*72.5)</f>
        <v>10597.5</v>
      </c>
      <c r="S118" s="19" t="s">
        <v>120</v>
      </c>
      <c r="T118" s="43">
        <f>+T114+T115+T116</f>
        <v>720</v>
      </c>
      <c r="U118" s="19"/>
    </row>
    <row r="119" spans="1:21" x14ac:dyDescent="0.2">
      <c r="A119" s="10">
        <v>9</v>
      </c>
      <c r="B119" s="33">
        <v>36706</v>
      </c>
      <c r="C119" s="32">
        <v>1</v>
      </c>
      <c r="D119" s="32">
        <v>16</v>
      </c>
      <c r="E119" s="49"/>
      <c r="F119" s="50"/>
      <c r="G119" s="59" t="s">
        <v>762</v>
      </c>
      <c r="H119" s="167">
        <v>8</v>
      </c>
      <c r="I119" s="170">
        <v>5</v>
      </c>
      <c r="J119" s="171"/>
      <c r="K119" s="167">
        <v>16</v>
      </c>
      <c r="L119" s="170">
        <v>10</v>
      </c>
      <c r="M119" s="169"/>
      <c r="N119" s="167">
        <v>112</v>
      </c>
      <c r="O119" s="170">
        <v>56</v>
      </c>
      <c r="P119" s="171"/>
      <c r="Q119" s="43">
        <f t="shared" si="4"/>
        <v>207</v>
      </c>
      <c r="R119" s="23">
        <f>+(E119*100)+(F119*150)+(H119*52)+(I119*65.5)+(J119*81)+(K119*48)+(L119*63)+(M119*77.5)+(N119*46)+(O119*59)+(P119*72.5)</f>
        <v>10597.5</v>
      </c>
      <c r="S119" s="19"/>
      <c r="T119" s="19"/>
      <c r="U119" s="19"/>
    </row>
    <row r="120" spans="1:21" x14ac:dyDescent="0.2">
      <c r="A120" s="10">
        <v>10</v>
      </c>
      <c r="B120" s="33">
        <v>36707</v>
      </c>
      <c r="C120" s="32">
        <v>1</v>
      </c>
      <c r="D120" s="32">
        <v>16</v>
      </c>
      <c r="E120" s="49"/>
      <c r="F120" s="50"/>
      <c r="G120" s="59" t="s">
        <v>762</v>
      </c>
      <c r="H120" s="167">
        <v>8</v>
      </c>
      <c r="I120" s="170">
        <v>5</v>
      </c>
      <c r="J120" s="171"/>
      <c r="K120" s="167">
        <v>16</v>
      </c>
      <c r="L120" s="168">
        <v>10</v>
      </c>
      <c r="M120" s="169"/>
      <c r="N120" s="167">
        <v>112</v>
      </c>
      <c r="O120" s="170">
        <v>56</v>
      </c>
      <c r="P120" s="171"/>
      <c r="Q120" s="43">
        <f t="shared" si="4"/>
        <v>207</v>
      </c>
      <c r="R120" s="23">
        <f>+(E120*100)+(F120*150)+(H120*52)+(I120*65.5)+(J120*81)+(K120*48)+(L120*63)+(M120*77.5)+(N120*46)+(O120*59)+(P120*72.5)</f>
        <v>10597.5</v>
      </c>
      <c r="S120" s="19"/>
      <c r="T120" s="19"/>
      <c r="U120" s="19"/>
    </row>
    <row r="121" spans="1:21" x14ac:dyDescent="0.2">
      <c r="A121" s="10">
        <v>11</v>
      </c>
      <c r="B121" s="33">
        <v>36708</v>
      </c>
      <c r="C121" s="32">
        <v>1</v>
      </c>
      <c r="D121" s="32">
        <v>16</v>
      </c>
      <c r="E121" s="49"/>
      <c r="F121" s="50"/>
      <c r="G121" s="51"/>
      <c r="H121" s="52"/>
      <c r="I121" s="58">
        <v>13</v>
      </c>
      <c r="J121" s="51"/>
      <c r="K121" s="52"/>
      <c r="L121" s="50">
        <v>26</v>
      </c>
      <c r="M121" s="59"/>
      <c r="N121" s="52"/>
      <c r="O121" s="50">
        <v>168</v>
      </c>
      <c r="P121" s="51"/>
      <c r="Q121" s="43">
        <f t="shared" si="4"/>
        <v>207</v>
      </c>
      <c r="R121" s="23">
        <f t="shared" si="5"/>
        <v>12401.5</v>
      </c>
      <c r="S121" s="19" t="s">
        <v>102</v>
      </c>
      <c r="T121" s="43">
        <f>SUM(N116:N122)+SUM(H116:H122)+SUM(K116:K122)</f>
        <v>632</v>
      </c>
    </row>
    <row r="122" spans="1:21" x14ac:dyDescent="0.2">
      <c r="A122" s="10">
        <v>12</v>
      </c>
      <c r="B122" s="33">
        <v>36709</v>
      </c>
      <c r="C122" s="32">
        <v>1</v>
      </c>
      <c r="D122" s="32">
        <v>16</v>
      </c>
      <c r="E122" s="49"/>
      <c r="F122" s="50"/>
      <c r="G122" s="59" t="s">
        <v>763</v>
      </c>
      <c r="H122" s="328"/>
      <c r="I122" s="329"/>
      <c r="J122" s="330">
        <v>13</v>
      </c>
      <c r="K122" s="331"/>
      <c r="L122" s="329"/>
      <c r="M122" s="330">
        <v>26</v>
      </c>
      <c r="N122" s="328"/>
      <c r="O122" s="332"/>
      <c r="P122" s="333">
        <v>168</v>
      </c>
      <c r="Q122" s="43">
        <f t="shared" si="4"/>
        <v>207</v>
      </c>
      <c r="R122" s="23">
        <f t="shared" ref="R122:R127" si="6">+(E122*100)+(F122*150)+(H122*52)+(I122*65.5)+(J122*81)+(K122*48)+(L122*63)+(M122*77.5)+(N122*46)+(O122*59)+(P122*72.5)</f>
        <v>15248</v>
      </c>
      <c r="S122" s="19" t="s">
        <v>103</v>
      </c>
      <c r="T122" s="43">
        <f>SUM(O116:O122)+SUM(I116:I122)+SUM(L116:L122)</f>
        <v>537</v>
      </c>
      <c r="U122" s="19"/>
    </row>
    <row r="123" spans="1:21" x14ac:dyDescent="0.2">
      <c r="A123" s="10">
        <v>13</v>
      </c>
      <c r="B123" s="33">
        <v>36710</v>
      </c>
      <c r="C123" s="32">
        <v>1</v>
      </c>
      <c r="D123" s="32">
        <v>18</v>
      </c>
      <c r="E123" s="49"/>
      <c r="F123" s="50"/>
      <c r="G123" s="59" t="s">
        <v>763</v>
      </c>
      <c r="H123" s="328">
        <v>8</v>
      </c>
      <c r="I123" s="329">
        <v>5</v>
      </c>
      <c r="J123" s="330"/>
      <c r="K123" s="328">
        <v>16</v>
      </c>
      <c r="L123" s="332">
        <v>10</v>
      </c>
      <c r="M123" s="333"/>
      <c r="N123" s="331">
        <v>128</v>
      </c>
      <c r="O123" s="332">
        <v>62</v>
      </c>
      <c r="P123" s="333"/>
      <c r="Q123" s="43">
        <f t="shared" si="4"/>
        <v>229</v>
      </c>
      <c r="R123" s="23">
        <f t="shared" si="6"/>
        <v>11687.5</v>
      </c>
      <c r="S123" s="19" t="s">
        <v>104</v>
      </c>
      <c r="T123" s="43">
        <f>SUM(P116:P122)+SUM(J116:J122)+SUM(M116:M122)</f>
        <v>207</v>
      </c>
      <c r="U123" s="19"/>
    </row>
    <row r="124" spans="1:21" x14ac:dyDescent="0.2">
      <c r="A124" s="10">
        <v>14</v>
      </c>
      <c r="B124" s="33">
        <v>36711</v>
      </c>
      <c r="C124" s="32">
        <v>1</v>
      </c>
      <c r="D124" s="32">
        <v>18</v>
      </c>
      <c r="E124" s="49"/>
      <c r="F124" s="50"/>
      <c r="G124" s="59" t="s">
        <v>763</v>
      </c>
      <c r="H124" s="328"/>
      <c r="I124" s="329"/>
      <c r="J124" s="330">
        <v>16</v>
      </c>
      <c r="K124" s="328"/>
      <c r="L124" s="332"/>
      <c r="M124" s="333">
        <v>28</v>
      </c>
      <c r="N124" s="331"/>
      <c r="O124" s="332"/>
      <c r="P124" s="333">
        <v>151</v>
      </c>
      <c r="Q124" s="43">
        <f t="shared" si="4"/>
        <v>195</v>
      </c>
      <c r="R124" s="23">
        <f t="shared" si="6"/>
        <v>14413.5</v>
      </c>
      <c r="S124" s="19" t="s">
        <v>88</v>
      </c>
      <c r="T124" s="43">
        <f>SUM(Q116:Q122)</f>
        <v>1376</v>
      </c>
      <c r="U124" s="19"/>
    </row>
    <row r="125" spans="1:21" x14ac:dyDescent="0.2">
      <c r="A125" s="10">
        <v>15</v>
      </c>
      <c r="B125" s="33">
        <v>36712</v>
      </c>
      <c r="C125" s="32">
        <v>1</v>
      </c>
      <c r="D125" s="32">
        <v>18</v>
      </c>
      <c r="E125" s="49"/>
      <c r="F125" s="50"/>
      <c r="G125" s="59" t="s">
        <v>763</v>
      </c>
      <c r="H125" s="328">
        <v>8</v>
      </c>
      <c r="I125" s="329">
        <v>6</v>
      </c>
      <c r="J125" s="330"/>
      <c r="K125" s="328">
        <v>16</v>
      </c>
      <c r="L125" s="332">
        <v>10</v>
      </c>
      <c r="M125" s="330"/>
      <c r="N125" s="328">
        <v>96</v>
      </c>
      <c r="O125" s="332">
        <v>50</v>
      </c>
      <c r="P125" s="333"/>
      <c r="Q125" s="43">
        <f t="shared" si="4"/>
        <v>186</v>
      </c>
      <c r="R125" s="23">
        <f t="shared" si="6"/>
        <v>9573</v>
      </c>
      <c r="S125" s="19" t="s">
        <v>120</v>
      </c>
      <c r="T125" s="43">
        <f>+T121+T122+T123</f>
        <v>1376</v>
      </c>
      <c r="U125" s="19"/>
    </row>
    <row r="126" spans="1:21" x14ac:dyDescent="0.2">
      <c r="A126" s="10">
        <v>16</v>
      </c>
      <c r="B126" s="33">
        <v>36713</v>
      </c>
      <c r="C126" s="32">
        <v>1</v>
      </c>
      <c r="D126" s="32">
        <v>18</v>
      </c>
      <c r="E126" s="49"/>
      <c r="F126" s="50"/>
      <c r="G126" s="59" t="s">
        <v>763</v>
      </c>
      <c r="H126" s="328">
        <v>8</v>
      </c>
      <c r="I126" s="332">
        <v>5</v>
      </c>
      <c r="J126" s="333"/>
      <c r="K126" s="331">
        <v>16</v>
      </c>
      <c r="L126" s="332">
        <v>10</v>
      </c>
      <c r="M126" s="333"/>
      <c r="N126" s="331">
        <v>96</v>
      </c>
      <c r="O126" s="332">
        <v>50</v>
      </c>
      <c r="P126" s="333"/>
      <c r="Q126" s="43">
        <f t="shared" si="4"/>
        <v>185</v>
      </c>
      <c r="R126" s="23">
        <f t="shared" si="6"/>
        <v>9507.5</v>
      </c>
      <c r="S126" s="19"/>
      <c r="T126" s="19"/>
      <c r="U126" s="19"/>
    </row>
    <row r="127" spans="1:21" x14ac:dyDescent="0.2">
      <c r="A127" s="10">
        <v>17</v>
      </c>
      <c r="B127" s="33">
        <v>36714</v>
      </c>
      <c r="C127" s="32">
        <v>1</v>
      </c>
      <c r="D127" s="32">
        <v>18</v>
      </c>
      <c r="E127" s="49"/>
      <c r="F127" s="50"/>
      <c r="G127" s="59"/>
      <c r="H127" s="322">
        <v>8</v>
      </c>
      <c r="I127" s="323">
        <v>5</v>
      </c>
      <c r="J127" s="324"/>
      <c r="K127" s="322">
        <v>16</v>
      </c>
      <c r="L127" s="326">
        <v>10</v>
      </c>
      <c r="M127" s="327"/>
      <c r="N127" s="325">
        <v>136</v>
      </c>
      <c r="O127" s="326">
        <v>62</v>
      </c>
      <c r="P127" s="327"/>
      <c r="Q127" s="43">
        <f t="shared" si="4"/>
        <v>237</v>
      </c>
      <c r="R127" s="23">
        <f t="shared" si="6"/>
        <v>12055.5</v>
      </c>
      <c r="S127" s="19"/>
      <c r="T127" s="19"/>
      <c r="U127" s="19"/>
    </row>
    <row r="128" spans="1:21" x14ac:dyDescent="0.2">
      <c r="A128" s="10">
        <v>18</v>
      </c>
      <c r="B128" s="33">
        <v>36715</v>
      </c>
      <c r="C128" s="32">
        <v>1</v>
      </c>
      <c r="D128" s="32">
        <v>18</v>
      </c>
      <c r="E128" s="49"/>
      <c r="F128" s="50"/>
      <c r="G128" s="51"/>
      <c r="H128" s="52"/>
      <c r="I128" s="58">
        <v>13</v>
      </c>
      <c r="J128" s="51"/>
      <c r="K128" s="52"/>
      <c r="L128" s="50">
        <v>26</v>
      </c>
      <c r="M128" s="51"/>
      <c r="N128" s="49"/>
      <c r="O128" s="50">
        <v>206</v>
      </c>
      <c r="P128" s="51"/>
      <c r="Q128" s="43">
        <f t="shared" si="4"/>
        <v>245</v>
      </c>
      <c r="R128" s="23">
        <f t="shared" si="5"/>
        <v>14643.5</v>
      </c>
      <c r="S128" s="19" t="s">
        <v>102</v>
      </c>
      <c r="T128" s="43">
        <f>SUM(N123:N129)+SUM(H123:H129)+SUM(K123:K129)</f>
        <v>552</v>
      </c>
      <c r="U128" s="19"/>
    </row>
    <row r="129" spans="1:21" x14ac:dyDescent="0.2">
      <c r="A129" s="10">
        <v>19</v>
      </c>
      <c r="B129" s="33">
        <v>36716</v>
      </c>
      <c r="C129" s="32">
        <v>1</v>
      </c>
      <c r="D129" s="32">
        <v>18</v>
      </c>
      <c r="E129" s="49"/>
      <c r="F129" s="50"/>
      <c r="G129" s="51"/>
      <c r="H129" s="52"/>
      <c r="I129" s="58"/>
      <c r="J129" s="59">
        <v>13</v>
      </c>
      <c r="K129" s="49"/>
      <c r="L129" s="50"/>
      <c r="M129" s="51">
        <v>26</v>
      </c>
      <c r="N129" s="49"/>
      <c r="O129" s="50"/>
      <c r="P129" s="51">
        <v>206</v>
      </c>
      <c r="Q129" s="43">
        <f t="shared" si="4"/>
        <v>245</v>
      </c>
      <c r="R129" s="23">
        <f t="shared" si="5"/>
        <v>18003</v>
      </c>
      <c r="S129" s="19" t="s">
        <v>103</v>
      </c>
      <c r="T129" s="43">
        <f>SUM(O123:O129)+SUM(I123:I129)+SUM(L123:L129)</f>
        <v>530</v>
      </c>
      <c r="U129" s="19"/>
    </row>
    <row r="130" spans="1:21" x14ac:dyDescent="0.2">
      <c r="A130" s="10">
        <v>20</v>
      </c>
      <c r="B130" s="33">
        <v>36717</v>
      </c>
      <c r="C130" s="32">
        <v>1</v>
      </c>
      <c r="D130" s="19">
        <v>20</v>
      </c>
      <c r="E130" s="49">
        <v>16</v>
      </c>
      <c r="F130" s="50">
        <v>5</v>
      </c>
      <c r="G130" s="51"/>
      <c r="H130" s="52">
        <v>8</v>
      </c>
      <c r="I130" s="50">
        <v>5</v>
      </c>
      <c r="J130" s="51"/>
      <c r="K130" s="49">
        <v>16</v>
      </c>
      <c r="L130" s="50">
        <v>10</v>
      </c>
      <c r="M130" s="51"/>
      <c r="N130" s="49">
        <v>120</v>
      </c>
      <c r="O130" s="50">
        <v>62</v>
      </c>
      <c r="P130" s="51"/>
      <c r="Q130" s="43">
        <f t="shared" si="4"/>
        <v>242</v>
      </c>
      <c r="R130" s="23">
        <f t="shared" si="5"/>
        <v>13669.5</v>
      </c>
      <c r="S130" s="19" t="s">
        <v>104</v>
      </c>
      <c r="T130" s="43">
        <f>SUM(P123:P129)+SUM(J123:J129)+SUM(M123:M129)</f>
        <v>440</v>
      </c>
      <c r="U130" s="19"/>
    </row>
    <row r="131" spans="1:21" x14ac:dyDescent="0.2">
      <c r="A131" s="10">
        <v>21</v>
      </c>
      <c r="B131" s="33">
        <v>36718</v>
      </c>
      <c r="C131" s="32">
        <v>1</v>
      </c>
      <c r="D131" s="19">
        <v>20</v>
      </c>
      <c r="E131" s="52">
        <v>8</v>
      </c>
      <c r="F131" s="50">
        <v>5</v>
      </c>
      <c r="G131" s="51"/>
      <c r="H131" s="52">
        <v>8</v>
      </c>
      <c r="I131" s="50">
        <v>5</v>
      </c>
      <c r="J131" s="59"/>
      <c r="K131" s="49">
        <v>16</v>
      </c>
      <c r="L131" s="50">
        <v>10</v>
      </c>
      <c r="M131" s="51"/>
      <c r="N131" s="49">
        <v>88</v>
      </c>
      <c r="O131" s="50">
        <v>46</v>
      </c>
      <c r="P131" s="51"/>
      <c r="Q131" s="43">
        <f t="shared" si="4"/>
        <v>186</v>
      </c>
      <c r="R131" s="23">
        <f t="shared" si="5"/>
        <v>10453.5</v>
      </c>
      <c r="S131" s="19" t="s">
        <v>88</v>
      </c>
      <c r="T131" s="43">
        <f>SUM(Q123:Q129)</f>
        <v>1522</v>
      </c>
      <c r="U131" s="19"/>
    </row>
    <row r="132" spans="1:21" x14ac:dyDescent="0.2">
      <c r="A132" s="10">
        <v>22</v>
      </c>
      <c r="B132" s="33">
        <v>36719</v>
      </c>
      <c r="C132" s="32">
        <v>1</v>
      </c>
      <c r="D132" s="19">
        <v>20</v>
      </c>
      <c r="E132" s="52">
        <v>8</v>
      </c>
      <c r="F132" s="50">
        <v>5</v>
      </c>
      <c r="G132" s="51"/>
      <c r="H132" s="52">
        <v>8</v>
      </c>
      <c r="I132" s="50">
        <v>5</v>
      </c>
      <c r="J132" s="51"/>
      <c r="K132" s="49">
        <v>16</v>
      </c>
      <c r="L132" s="50">
        <v>10</v>
      </c>
      <c r="M132" s="51"/>
      <c r="N132" s="49">
        <v>96</v>
      </c>
      <c r="O132" s="50">
        <v>52</v>
      </c>
      <c r="P132" s="51"/>
      <c r="Q132" s="43">
        <f t="shared" si="4"/>
        <v>200</v>
      </c>
      <c r="R132" s="23">
        <f t="shared" si="5"/>
        <v>11175.5</v>
      </c>
      <c r="S132" s="19" t="s">
        <v>120</v>
      </c>
      <c r="T132" s="43">
        <f>+T128+T129+T130</f>
        <v>1522</v>
      </c>
      <c r="U132" s="19"/>
    </row>
    <row r="133" spans="1:21" x14ac:dyDescent="0.2">
      <c r="A133" s="10">
        <v>23</v>
      </c>
      <c r="B133" s="33">
        <v>36720</v>
      </c>
      <c r="C133" s="32">
        <v>1</v>
      </c>
      <c r="D133" s="19">
        <v>20</v>
      </c>
      <c r="E133" s="388">
        <v>8</v>
      </c>
      <c r="F133" s="386">
        <v>5</v>
      </c>
      <c r="G133" s="387"/>
      <c r="H133" s="388">
        <v>8</v>
      </c>
      <c r="I133" s="386">
        <v>5</v>
      </c>
      <c r="J133" s="387"/>
      <c r="K133" s="385">
        <v>16</v>
      </c>
      <c r="L133" s="386">
        <v>10</v>
      </c>
      <c r="M133" s="387"/>
      <c r="N133" s="385">
        <v>120</v>
      </c>
      <c r="O133" s="386">
        <v>62</v>
      </c>
      <c r="P133" s="387"/>
      <c r="Q133" s="43">
        <f t="shared" si="4"/>
        <v>234</v>
      </c>
      <c r="R133" s="23">
        <f t="shared" si="5"/>
        <v>12869.5</v>
      </c>
      <c r="S133" s="19"/>
      <c r="T133" s="19"/>
      <c r="U133" s="19"/>
    </row>
    <row r="134" spans="1:21" x14ac:dyDescent="0.2">
      <c r="A134" s="10">
        <v>24</v>
      </c>
      <c r="B134" s="33">
        <v>36721</v>
      </c>
      <c r="C134" s="32">
        <v>1</v>
      </c>
      <c r="D134" s="19">
        <v>20</v>
      </c>
      <c r="E134" s="388">
        <v>8</v>
      </c>
      <c r="F134" s="386">
        <v>5</v>
      </c>
      <c r="G134" s="387"/>
      <c r="H134" s="388">
        <v>8</v>
      </c>
      <c r="I134" s="386">
        <v>5</v>
      </c>
      <c r="J134" s="387"/>
      <c r="K134" s="385">
        <v>16</v>
      </c>
      <c r="L134" s="386">
        <v>10</v>
      </c>
      <c r="M134" s="387"/>
      <c r="N134" s="385">
        <v>120</v>
      </c>
      <c r="O134" s="386">
        <v>62</v>
      </c>
      <c r="P134" s="387"/>
      <c r="Q134" s="43">
        <f t="shared" si="4"/>
        <v>234</v>
      </c>
      <c r="R134" s="23">
        <f t="shared" si="5"/>
        <v>12869.5</v>
      </c>
      <c r="S134" s="19"/>
      <c r="T134" s="19"/>
      <c r="U134" s="19"/>
    </row>
    <row r="135" spans="1:21" x14ac:dyDescent="0.2">
      <c r="A135" s="10">
        <v>25</v>
      </c>
      <c r="B135" s="33">
        <v>36722</v>
      </c>
      <c r="C135" s="32">
        <v>1</v>
      </c>
      <c r="D135" s="19">
        <v>20</v>
      </c>
      <c r="E135" s="385"/>
      <c r="F135" s="386">
        <v>13</v>
      </c>
      <c r="G135" s="387"/>
      <c r="H135" s="388"/>
      <c r="I135" s="389">
        <v>13</v>
      </c>
      <c r="J135" s="387"/>
      <c r="K135" s="388"/>
      <c r="L135" s="386">
        <v>26</v>
      </c>
      <c r="M135" s="387"/>
      <c r="N135" s="385"/>
      <c r="O135" s="386">
        <v>182</v>
      </c>
      <c r="P135" s="387"/>
      <c r="Q135" s="43">
        <f t="shared" si="4"/>
        <v>234</v>
      </c>
      <c r="R135" s="23">
        <f t="shared" si="5"/>
        <v>15177.5</v>
      </c>
      <c r="S135" s="19" t="s">
        <v>102</v>
      </c>
      <c r="T135" s="43">
        <f>SUM(N130:N136)+SUM(H130:H136)+SUM(K130:K136)</f>
        <v>664</v>
      </c>
      <c r="U135" s="19"/>
    </row>
    <row r="136" spans="1:21" x14ac:dyDescent="0.2">
      <c r="A136" s="10">
        <v>26</v>
      </c>
      <c r="B136" s="33">
        <v>36723</v>
      </c>
      <c r="C136" s="32">
        <v>1</v>
      </c>
      <c r="D136" s="19">
        <v>20</v>
      </c>
      <c r="E136" s="385"/>
      <c r="F136" s="386"/>
      <c r="G136" s="387">
        <v>13</v>
      </c>
      <c r="H136" s="388"/>
      <c r="I136" s="389"/>
      <c r="J136" s="390">
        <v>13</v>
      </c>
      <c r="K136" s="385"/>
      <c r="L136" s="386"/>
      <c r="M136" s="387">
        <v>26</v>
      </c>
      <c r="N136" s="385"/>
      <c r="O136" s="386"/>
      <c r="P136" s="387">
        <v>182</v>
      </c>
      <c r="Q136" s="43">
        <f t="shared" si="4"/>
        <v>234</v>
      </c>
      <c r="R136" s="23">
        <f t="shared" si="5"/>
        <v>18863</v>
      </c>
      <c r="S136" s="19" t="s">
        <v>103</v>
      </c>
      <c r="T136" s="43">
        <f>SUM(O130:O136)+SUM(I130:I136)+SUM(L130:L136)</f>
        <v>580</v>
      </c>
      <c r="U136" s="19"/>
    </row>
    <row r="137" spans="1:21" x14ac:dyDescent="0.2">
      <c r="A137" s="10">
        <v>27</v>
      </c>
      <c r="B137" s="33">
        <v>36724</v>
      </c>
      <c r="C137" s="32">
        <v>1</v>
      </c>
      <c r="D137" s="19">
        <v>22</v>
      </c>
      <c r="E137" s="385">
        <v>8</v>
      </c>
      <c r="F137" s="386">
        <v>5</v>
      </c>
      <c r="G137" s="387"/>
      <c r="H137" s="388">
        <v>8</v>
      </c>
      <c r="I137" s="389">
        <v>5</v>
      </c>
      <c r="J137" s="390"/>
      <c r="K137" s="385">
        <v>16</v>
      </c>
      <c r="L137" s="386">
        <v>10</v>
      </c>
      <c r="M137" s="387"/>
      <c r="N137" s="385">
        <v>112</v>
      </c>
      <c r="O137" s="386">
        <v>57</v>
      </c>
      <c r="P137" s="387"/>
      <c r="Q137" s="43">
        <f t="shared" si="4"/>
        <v>221</v>
      </c>
      <c r="R137" s="23">
        <f t="shared" si="5"/>
        <v>12206.5</v>
      </c>
      <c r="S137" s="19" t="s">
        <v>104</v>
      </c>
      <c r="T137" s="43">
        <f>SUM(P130:P136)+SUM(J130:J136)+SUM(M130:M136)</f>
        <v>221</v>
      </c>
      <c r="U137" s="19"/>
    </row>
    <row r="138" spans="1:21" x14ac:dyDescent="0.2">
      <c r="A138" s="10">
        <v>28</v>
      </c>
      <c r="B138" s="33">
        <v>36725</v>
      </c>
      <c r="C138" s="32">
        <v>1</v>
      </c>
      <c r="D138" s="19">
        <v>22</v>
      </c>
      <c r="E138" s="385">
        <v>8</v>
      </c>
      <c r="F138" s="386">
        <v>5</v>
      </c>
      <c r="G138" s="387"/>
      <c r="H138" s="388">
        <v>8</v>
      </c>
      <c r="I138" s="386">
        <v>5</v>
      </c>
      <c r="J138" s="390"/>
      <c r="K138" s="385">
        <v>16</v>
      </c>
      <c r="L138" s="386">
        <v>10</v>
      </c>
      <c r="M138" s="387"/>
      <c r="N138" s="385">
        <v>112</v>
      </c>
      <c r="O138" s="386">
        <v>49</v>
      </c>
      <c r="P138" s="387"/>
      <c r="Q138" s="43">
        <f t="shared" si="4"/>
        <v>213</v>
      </c>
      <c r="R138" s="23">
        <f t="shared" si="5"/>
        <v>11734.5</v>
      </c>
      <c r="S138" s="19" t="s">
        <v>88</v>
      </c>
      <c r="T138" s="43">
        <f>SUM(Q130:Q136)</f>
        <v>1564</v>
      </c>
    </row>
    <row r="139" spans="1:21" x14ac:dyDescent="0.2">
      <c r="A139" s="10">
        <v>29</v>
      </c>
      <c r="B139" s="33">
        <v>36726</v>
      </c>
      <c r="C139" s="32">
        <v>1</v>
      </c>
      <c r="D139" s="19">
        <v>22</v>
      </c>
      <c r="E139" s="385">
        <v>8</v>
      </c>
      <c r="F139" s="386">
        <v>6</v>
      </c>
      <c r="G139" s="387"/>
      <c r="H139" s="388">
        <v>8</v>
      </c>
      <c r="I139" s="386">
        <v>6</v>
      </c>
      <c r="J139" s="390"/>
      <c r="K139" s="385">
        <v>16</v>
      </c>
      <c r="L139" s="386">
        <v>10</v>
      </c>
      <c r="M139" s="387"/>
      <c r="N139" s="385">
        <v>96</v>
      </c>
      <c r="O139" s="386">
        <v>62</v>
      </c>
      <c r="P139" s="387"/>
      <c r="Q139" s="43">
        <f t="shared" si="4"/>
        <v>212</v>
      </c>
      <c r="R139" s="23">
        <f t="shared" si="5"/>
        <v>11981</v>
      </c>
      <c r="S139" s="19" t="s">
        <v>120</v>
      </c>
      <c r="T139" s="43">
        <f>+T135+T136+T137</f>
        <v>1465</v>
      </c>
    </row>
    <row r="140" spans="1:21" x14ac:dyDescent="0.2">
      <c r="A140" s="10">
        <v>30</v>
      </c>
      <c r="B140" s="33">
        <v>36727</v>
      </c>
      <c r="C140" s="32">
        <v>1</v>
      </c>
      <c r="D140" s="19">
        <v>22</v>
      </c>
      <c r="E140" s="385">
        <v>8</v>
      </c>
      <c r="F140" s="386">
        <v>8</v>
      </c>
      <c r="G140" s="387"/>
      <c r="H140" s="388">
        <v>8</v>
      </c>
      <c r="I140" s="386">
        <v>8</v>
      </c>
      <c r="J140" s="390"/>
      <c r="K140" s="385">
        <v>16</v>
      </c>
      <c r="L140" s="386">
        <v>16</v>
      </c>
      <c r="M140" s="387"/>
      <c r="N140" s="385">
        <v>96</v>
      </c>
      <c r="O140" s="386">
        <v>96</v>
      </c>
      <c r="P140" s="387"/>
      <c r="Q140" s="43">
        <f t="shared" si="4"/>
        <v>256</v>
      </c>
      <c r="R140" s="23">
        <f t="shared" si="5"/>
        <v>14796</v>
      </c>
    </row>
    <row r="141" spans="1:21" x14ac:dyDescent="0.2">
      <c r="A141" s="10">
        <v>31</v>
      </c>
      <c r="B141" s="33">
        <v>36728</v>
      </c>
      <c r="C141" s="32">
        <v>1</v>
      </c>
      <c r="D141" s="19">
        <v>22</v>
      </c>
      <c r="E141" s="385"/>
      <c r="F141" s="386"/>
      <c r="G141" s="387"/>
      <c r="H141" s="388">
        <v>8</v>
      </c>
      <c r="I141" s="386">
        <v>5</v>
      </c>
      <c r="J141" s="390"/>
      <c r="K141" s="385">
        <v>16</v>
      </c>
      <c r="L141" s="386">
        <v>10</v>
      </c>
      <c r="M141" s="387"/>
      <c r="N141" s="385">
        <v>88</v>
      </c>
      <c r="O141" s="386">
        <v>44</v>
      </c>
      <c r="P141" s="387"/>
      <c r="Q141" s="43">
        <f t="shared" si="4"/>
        <v>171</v>
      </c>
      <c r="R141" s="23">
        <f t="shared" si="5"/>
        <v>8785.5</v>
      </c>
    </row>
    <row r="142" spans="1:21" x14ac:dyDescent="0.2">
      <c r="A142" s="10">
        <v>32</v>
      </c>
      <c r="B142" s="33">
        <v>36729</v>
      </c>
      <c r="C142" s="32">
        <v>1</v>
      </c>
      <c r="D142" s="19">
        <v>22</v>
      </c>
      <c r="E142" s="385"/>
      <c r="F142" s="386"/>
      <c r="G142" s="387"/>
      <c r="H142" s="388"/>
      <c r="I142" s="389">
        <v>13</v>
      </c>
      <c r="J142" s="387"/>
      <c r="K142" s="388"/>
      <c r="L142" s="386">
        <v>26</v>
      </c>
      <c r="M142" s="387"/>
      <c r="N142" s="385"/>
      <c r="O142" s="386">
        <v>105</v>
      </c>
      <c r="P142" s="387"/>
      <c r="Q142" s="43">
        <f t="shared" si="4"/>
        <v>144</v>
      </c>
      <c r="R142" s="23">
        <f t="shared" si="5"/>
        <v>8684.5</v>
      </c>
      <c r="S142" s="19" t="s">
        <v>102</v>
      </c>
      <c r="T142" s="43">
        <f>SUM(N137:N143)+SUM(H137:H143)+SUM(K137:K143)</f>
        <v>624</v>
      </c>
    </row>
    <row r="143" spans="1:21" x14ac:dyDescent="0.2">
      <c r="A143" s="10">
        <v>33</v>
      </c>
      <c r="B143" s="33">
        <v>36730</v>
      </c>
      <c r="C143" s="32">
        <v>1</v>
      </c>
      <c r="D143" s="19">
        <v>22</v>
      </c>
      <c r="E143" s="385"/>
      <c r="F143" s="386"/>
      <c r="G143" s="387"/>
      <c r="H143" s="388"/>
      <c r="I143" s="389"/>
      <c r="J143" s="390">
        <v>13</v>
      </c>
      <c r="K143" s="388"/>
      <c r="L143" s="386"/>
      <c r="M143" s="387">
        <v>26</v>
      </c>
      <c r="N143" s="385"/>
      <c r="O143" s="386"/>
      <c r="P143" s="387">
        <v>49</v>
      </c>
      <c r="Q143" s="43">
        <f t="shared" si="4"/>
        <v>88</v>
      </c>
      <c r="R143" s="23">
        <f t="shared" si="5"/>
        <v>6620.5</v>
      </c>
      <c r="S143" s="19" t="s">
        <v>103</v>
      </c>
      <c r="T143" s="43">
        <f>SUM(O137:O143)+SUM(I137:I143)+SUM(L137:L143)</f>
        <v>537</v>
      </c>
    </row>
    <row r="144" spans="1:21" x14ac:dyDescent="0.2">
      <c r="A144" s="10">
        <v>34</v>
      </c>
      <c r="B144" s="33">
        <v>36731</v>
      </c>
      <c r="C144" s="32">
        <v>1</v>
      </c>
      <c r="D144" s="19">
        <v>23</v>
      </c>
      <c r="E144" s="49"/>
      <c r="F144" s="50"/>
      <c r="G144" s="51"/>
      <c r="H144" s="167">
        <v>8</v>
      </c>
      <c r="I144" s="170"/>
      <c r="J144" s="169"/>
      <c r="K144" s="172">
        <v>16</v>
      </c>
      <c r="L144" s="170">
        <v>10</v>
      </c>
      <c r="M144" s="171"/>
      <c r="N144" s="172">
        <v>24</v>
      </c>
      <c r="O144" s="170">
        <v>8</v>
      </c>
      <c r="P144" s="51"/>
      <c r="Q144" s="43">
        <f t="shared" si="4"/>
        <v>66</v>
      </c>
      <c r="R144" s="23">
        <f t="shared" si="5"/>
        <v>3390</v>
      </c>
      <c r="S144" s="19" t="s">
        <v>104</v>
      </c>
      <c r="T144" s="43">
        <f>SUM(P137:P143)+SUM(J137:J143)+SUM(M137:M143)</f>
        <v>88</v>
      </c>
    </row>
    <row r="145" spans="1:21" x14ac:dyDescent="0.2">
      <c r="A145" s="10">
        <v>35</v>
      </c>
      <c r="B145" s="33">
        <v>36732</v>
      </c>
      <c r="C145" s="32">
        <v>1</v>
      </c>
      <c r="D145" s="19">
        <v>23</v>
      </c>
      <c r="E145" s="49"/>
      <c r="F145" s="50"/>
      <c r="G145" s="51"/>
      <c r="H145" s="52"/>
      <c r="I145" s="58"/>
      <c r="J145" s="59"/>
      <c r="K145" s="172">
        <v>16</v>
      </c>
      <c r="L145" s="170">
        <v>10</v>
      </c>
      <c r="M145" s="171"/>
      <c r="N145" s="172">
        <v>16</v>
      </c>
      <c r="O145" s="170">
        <v>8</v>
      </c>
      <c r="P145" s="51"/>
      <c r="Q145" s="43">
        <f t="shared" si="4"/>
        <v>50</v>
      </c>
      <c r="R145" s="23">
        <f t="shared" si="5"/>
        <v>2606</v>
      </c>
      <c r="S145" s="19" t="s">
        <v>88</v>
      </c>
      <c r="T145" s="43">
        <f>SUM(Q137:Q143)</f>
        <v>1305</v>
      </c>
    </row>
    <row r="146" spans="1:21" x14ac:dyDescent="0.2">
      <c r="A146" s="10">
        <v>36</v>
      </c>
      <c r="B146" s="33">
        <v>36733</v>
      </c>
      <c r="C146" s="32">
        <v>1</v>
      </c>
      <c r="D146" s="19">
        <v>23</v>
      </c>
      <c r="E146" s="49"/>
      <c r="F146" s="50"/>
      <c r="G146" s="51"/>
      <c r="H146" s="52"/>
      <c r="I146" s="50"/>
      <c r="J146" s="59"/>
      <c r="K146" s="172">
        <v>16</v>
      </c>
      <c r="L146" s="170">
        <v>10</v>
      </c>
      <c r="M146" s="171"/>
      <c r="N146" s="172">
        <v>16</v>
      </c>
      <c r="O146" s="170">
        <v>8</v>
      </c>
      <c r="P146" s="51"/>
      <c r="Q146" s="43">
        <f t="shared" si="4"/>
        <v>50</v>
      </c>
      <c r="R146" s="23">
        <f t="shared" si="5"/>
        <v>2606</v>
      </c>
      <c r="S146" s="19" t="s">
        <v>120</v>
      </c>
      <c r="T146" s="43">
        <f>+T142+T143+T144</f>
        <v>1249</v>
      </c>
    </row>
    <row r="147" spans="1:21" x14ac:dyDescent="0.2">
      <c r="A147" s="10">
        <v>37</v>
      </c>
      <c r="B147" s="33">
        <v>36734</v>
      </c>
      <c r="C147" s="32">
        <v>1</v>
      </c>
      <c r="D147" s="19">
        <v>23</v>
      </c>
      <c r="E147" s="49"/>
      <c r="F147" s="50"/>
      <c r="G147" s="51"/>
      <c r="H147" s="52"/>
      <c r="I147" s="50"/>
      <c r="J147" s="59"/>
      <c r="K147" s="172">
        <v>16</v>
      </c>
      <c r="L147" s="170">
        <v>10</v>
      </c>
      <c r="M147" s="171"/>
      <c r="N147" s="172">
        <v>16</v>
      </c>
      <c r="O147" s="170">
        <v>8</v>
      </c>
      <c r="P147" s="51"/>
      <c r="Q147" s="43">
        <f t="shared" si="4"/>
        <v>50</v>
      </c>
      <c r="R147" s="23">
        <f t="shared" si="5"/>
        <v>2606</v>
      </c>
    </row>
    <row r="148" spans="1:21" x14ac:dyDescent="0.2">
      <c r="A148" s="10">
        <v>38</v>
      </c>
      <c r="B148" s="33">
        <v>36735</v>
      </c>
      <c r="C148" s="32">
        <v>1</v>
      </c>
      <c r="D148" s="19">
        <v>23</v>
      </c>
      <c r="E148" s="49"/>
      <c r="F148" s="50"/>
      <c r="G148" s="51"/>
      <c r="H148" s="52"/>
      <c r="I148" s="50"/>
      <c r="J148" s="59"/>
      <c r="K148" s="172">
        <v>16</v>
      </c>
      <c r="L148" s="170">
        <v>10</v>
      </c>
      <c r="M148" s="171"/>
      <c r="N148" s="172">
        <v>16</v>
      </c>
      <c r="O148" s="170">
        <v>8</v>
      </c>
      <c r="P148" s="51"/>
      <c r="Q148" s="43">
        <f t="shared" si="4"/>
        <v>50</v>
      </c>
      <c r="R148" s="23">
        <f t="shared" si="5"/>
        <v>2606</v>
      </c>
    </row>
    <row r="149" spans="1:21" x14ac:dyDescent="0.2">
      <c r="A149" s="10">
        <v>39</v>
      </c>
      <c r="B149" s="33">
        <v>36736</v>
      </c>
      <c r="C149" s="32">
        <v>1</v>
      </c>
      <c r="D149" s="19">
        <v>23</v>
      </c>
      <c r="E149" s="49"/>
      <c r="F149" s="50"/>
      <c r="G149" s="51"/>
      <c r="H149" s="52"/>
      <c r="I149" s="50"/>
      <c r="J149" s="59"/>
      <c r="K149" s="167"/>
      <c r="L149" s="170">
        <v>26</v>
      </c>
      <c r="M149" s="171"/>
      <c r="N149" s="172"/>
      <c r="O149" s="170">
        <v>24</v>
      </c>
      <c r="P149" s="51"/>
      <c r="Q149" s="43">
        <f t="shared" si="4"/>
        <v>50</v>
      </c>
      <c r="R149" s="23">
        <f t="shared" si="5"/>
        <v>3054</v>
      </c>
      <c r="S149" s="19" t="s">
        <v>102</v>
      </c>
      <c r="T149" s="43">
        <f>SUM(N144:N150)+SUM(H144:H150)+SUM(K144:K150)</f>
        <v>176</v>
      </c>
    </row>
    <row r="150" spans="1:21" x14ac:dyDescent="0.2">
      <c r="A150" s="10">
        <v>40</v>
      </c>
      <c r="B150" s="33">
        <v>36737</v>
      </c>
      <c r="C150" s="32">
        <v>1</v>
      </c>
      <c r="D150" s="19">
        <v>23</v>
      </c>
      <c r="E150" s="49"/>
      <c r="F150" s="50"/>
      <c r="G150" s="51"/>
      <c r="H150" s="52"/>
      <c r="I150" s="50"/>
      <c r="J150" s="59"/>
      <c r="K150" s="52"/>
      <c r="L150" s="50"/>
      <c r="M150" s="171">
        <v>26</v>
      </c>
      <c r="N150" s="172"/>
      <c r="O150" s="170"/>
      <c r="P150" s="171">
        <v>24</v>
      </c>
      <c r="Q150" s="43">
        <f t="shared" si="4"/>
        <v>50</v>
      </c>
      <c r="R150" s="23">
        <f t="shared" si="5"/>
        <v>3755</v>
      </c>
      <c r="S150" s="19" t="s">
        <v>103</v>
      </c>
      <c r="T150" s="43">
        <f>SUM(O144:O150)+SUM(I144:I150)+SUM(L144:L150)</f>
        <v>140</v>
      </c>
    </row>
    <row r="151" spans="1:21" x14ac:dyDescent="0.2">
      <c r="E151" s="53"/>
      <c r="F151" s="54"/>
      <c r="G151" s="55"/>
      <c r="H151" s="60"/>
      <c r="I151" s="61"/>
      <c r="J151" s="62"/>
      <c r="K151" s="60"/>
      <c r="L151" s="61"/>
      <c r="M151" s="62"/>
      <c r="N151" s="60"/>
      <c r="O151" s="61"/>
      <c r="P151" s="62"/>
      <c r="Q151" s="43"/>
      <c r="R151" s="23"/>
      <c r="S151" s="19" t="s">
        <v>104</v>
      </c>
      <c r="T151" s="43">
        <f>SUM(P144:P150)+SUM(J144:J150)+SUM(M144:M150)</f>
        <v>50</v>
      </c>
    </row>
    <row r="152" spans="1:21" x14ac:dyDescent="0.2">
      <c r="B152" s="18" t="s">
        <v>108</v>
      </c>
      <c r="C152" s="25"/>
      <c r="D152" s="25"/>
      <c r="E152" s="45">
        <f t="shared" ref="E152:R152" si="7">SUM(E111:E151)</f>
        <v>80</v>
      </c>
      <c r="F152" s="45">
        <f t="shared" si="7"/>
        <v>62</v>
      </c>
      <c r="G152" s="45">
        <f t="shared" si="7"/>
        <v>13</v>
      </c>
      <c r="H152" s="45">
        <f t="shared" si="7"/>
        <v>184</v>
      </c>
      <c r="I152" s="45">
        <f t="shared" si="7"/>
        <v>179</v>
      </c>
      <c r="J152" s="45">
        <f t="shared" si="7"/>
        <v>81</v>
      </c>
      <c r="K152" s="45">
        <f t="shared" si="7"/>
        <v>424</v>
      </c>
      <c r="L152" s="45">
        <f t="shared" si="7"/>
        <v>407</v>
      </c>
      <c r="M152" s="45">
        <f t="shared" si="7"/>
        <v>184</v>
      </c>
      <c r="N152" s="45">
        <f t="shared" si="7"/>
        <v>2344</v>
      </c>
      <c r="O152" s="45">
        <f t="shared" si="7"/>
        <v>1983</v>
      </c>
      <c r="P152" s="45">
        <f t="shared" si="7"/>
        <v>912</v>
      </c>
      <c r="Q152" s="45">
        <f t="shared" si="7"/>
        <v>6853</v>
      </c>
      <c r="R152" s="20">
        <f t="shared" si="7"/>
        <v>398947.5</v>
      </c>
      <c r="S152" s="19" t="s">
        <v>88</v>
      </c>
      <c r="T152" s="43">
        <f>SUM(Q144:Q150)</f>
        <v>366</v>
      </c>
    </row>
    <row r="153" spans="1:21" x14ac:dyDescent="0.2">
      <c r="B153" s="18" t="s">
        <v>110</v>
      </c>
      <c r="C153" s="34"/>
      <c r="D153" s="34"/>
      <c r="E153" s="20">
        <v>100</v>
      </c>
      <c r="F153" s="20">
        <v>150</v>
      </c>
      <c r="G153" s="23">
        <v>200</v>
      </c>
      <c r="H153" s="23">
        <v>52</v>
      </c>
      <c r="I153" s="23">
        <v>65.5</v>
      </c>
      <c r="J153" s="23">
        <v>81</v>
      </c>
      <c r="K153" s="23">
        <v>48</v>
      </c>
      <c r="L153" s="23">
        <v>63</v>
      </c>
      <c r="M153" s="23">
        <v>77.5</v>
      </c>
      <c r="N153" s="23">
        <v>46</v>
      </c>
      <c r="O153" s="23">
        <v>59</v>
      </c>
      <c r="P153" s="23">
        <v>72.5</v>
      </c>
      <c r="Q153" s="23"/>
      <c r="R153" s="23"/>
      <c r="S153" s="19" t="s">
        <v>120</v>
      </c>
      <c r="T153" s="43">
        <f>+T149+T150+T151</f>
        <v>366</v>
      </c>
    </row>
    <row r="154" spans="1:21" x14ac:dyDescent="0.2">
      <c r="B154" s="18" t="s">
        <v>118</v>
      </c>
      <c r="C154" s="34"/>
      <c r="D154" s="19"/>
      <c r="E154" s="66">
        <f t="shared" ref="E154:P154" si="8">SUM(E111:E151)*E153</f>
        <v>8000</v>
      </c>
      <c r="F154" s="66">
        <f t="shared" si="8"/>
        <v>9300</v>
      </c>
      <c r="G154" s="66">
        <f t="shared" si="8"/>
        <v>2600</v>
      </c>
      <c r="H154" s="66">
        <f t="shared" si="8"/>
        <v>9568</v>
      </c>
      <c r="I154" s="66">
        <f t="shared" si="8"/>
        <v>11724.5</v>
      </c>
      <c r="J154" s="66">
        <f t="shared" si="8"/>
        <v>6561</v>
      </c>
      <c r="K154" s="66">
        <f t="shared" si="8"/>
        <v>20352</v>
      </c>
      <c r="L154" s="66">
        <f t="shared" si="8"/>
        <v>25641</v>
      </c>
      <c r="M154" s="66">
        <f t="shared" si="8"/>
        <v>14260</v>
      </c>
      <c r="N154" s="66">
        <f t="shared" si="8"/>
        <v>107824</v>
      </c>
      <c r="O154" s="66">
        <f t="shared" si="8"/>
        <v>116997</v>
      </c>
      <c r="P154" s="66">
        <f t="shared" si="8"/>
        <v>66120</v>
      </c>
      <c r="Q154" s="43"/>
      <c r="R154" s="23">
        <f>SUM(E154:Q154)</f>
        <v>398947.5</v>
      </c>
    </row>
    <row r="155" spans="1:21" x14ac:dyDescent="0.2">
      <c r="B155" s="18"/>
      <c r="C155" s="19"/>
      <c r="D155" s="19"/>
      <c r="E155" s="43"/>
      <c r="F155" s="43"/>
      <c r="G155" s="43"/>
      <c r="Q155" s="43"/>
      <c r="R155" s="23"/>
    </row>
    <row r="156" spans="1:21" x14ac:dyDescent="0.2">
      <c r="C156" s="18"/>
      <c r="D156" s="19"/>
      <c r="E156" s="43"/>
      <c r="F156" s="43"/>
      <c r="G156" s="43"/>
      <c r="H156" s="43"/>
      <c r="I156" s="43"/>
      <c r="J156" s="43"/>
      <c r="K156" s="43"/>
      <c r="L156" s="43"/>
      <c r="P156" s="43"/>
      <c r="Q156" s="43"/>
      <c r="R156" s="23"/>
    </row>
    <row r="157" spans="1:21" x14ac:dyDescent="0.2">
      <c r="B157" s="18" t="s">
        <v>113</v>
      </c>
      <c r="C157" s="19"/>
      <c r="D157" s="19"/>
      <c r="E157" s="43"/>
      <c r="F157" s="45">
        <v>40</v>
      </c>
      <c r="G157" s="42" t="s">
        <v>114</v>
      </c>
      <c r="H157" s="24">
        <v>150</v>
      </c>
      <c r="I157" s="45"/>
      <c r="J157" s="43"/>
      <c r="K157" s="43"/>
      <c r="L157" s="43"/>
      <c r="P157" s="43"/>
      <c r="Q157" s="43"/>
      <c r="R157" s="23">
        <f>+F157*H157</f>
        <v>6000</v>
      </c>
    </row>
    <row r="158" spans="1:21" x14ac:dyDescent="0.2">
      <c r="B158" s="18"/>
      <c r="C158" s="19"/>
      <c r="D158" s="19"/>
      <c r="E158" s="43"/>
      <c r="F158" s="45"/>
      <c r="G158" s="42"/>
      <c r="H158" s="24"/>
      <c r="I158" s="45"/>
      <c r="J158" s="43"/>
      <c r="K158" s="43"/>
      <c r="L158" s="43"/>
      <c r="P158" s="43"/>
      <c r="Q158" s="43"/>
      <c r="R158" s="23"/>
    </row>
    <row r="159" spans="1:21" x14ac:dyDescent="0.2">
      <c r="B159" s="18"/>
      <c r="C159" s="133" t="s">
        <v>612</v>
      </c>
      <c r="D159" s="133"/>
      <c r="E159" s="210"/>
      <c r="F159" s="210"/>
      <c r="G159" s="210"/>
      <c r="H159" s="210"/>
      <c r="I159" s="45"/>
      <c r="J159" s="43"/>
      <c r="K159" s="43"/>
      <c r="L159" s="43"/>
      <c r="M159" s="43"/>
      <c r="P159" s="43"/>
      <c r="Q159" s="43"/>
      <c r="R159" s="23"/>
    </row>
    <row r="160" spans="1:21" x14ac:dyDescent="0.2">
      <c r="B160" s="186" t="s">
        <v>86</v>
      </c>
      <c r="C160" s="19"/>
      <c r="D160" s="187" t="s">
        <v>90</v>
      </c>
      <c r="E160" s="43"/>
      <c r="F160" s="67" t="s">
        <v>119</v>
      </c>
      <c r="G160" s="43"/>
      <c r="H160" s="43"/>
      <c r="I160" s="67" t="s">
        <v>95</v>
      </c>
      <c r="J160" s="43"/>
      <c r="K160" s="42"/>
      <c r="L160" s="67" t="s">
        <v>96</v>
      </c>
      <c r="M160" s="43"/>
      <c r="N160" s="43"/>
      <c r="O160" s="67" t="s">
        <v>97</v>
      </c>
      <c r="P160" s="43"/>
      <c r="Q160" s="43"/>
      <c r="R160" s="67" t="s">
        <v>98</v>
      </c>
      <c r="S160" s="43"/>
      <c r="T160" s="45" t="s">
        <v>88</v>
      </c>
      <c r="U160" s="20" t="s">
        <v>88</v>
      </c>
    </row>
    <row r="161" spans="1:21" x14ac:dyDescent="0.2">
      <c r="B161" s="18" t="s">
        <v>99</v>
      </c>
      <c r="C161" s="32" t="s">
        <v>100</v>
      </c>
      <c r="D161" s="32" t="s">
        <v>101</v>
      </c>
      <c r="E161" s="45" t="s">
        <v>102</v>
      </c>
      <c r="F161" s="45" t="s">
        <v>103</v>
      </c>
      <c r="G161" s="45" t="s">
        <v>104</v>
      </c>
      <c r="H161" s="45" t="s">
        <v>102</v>
      </c>
      <c r="I161" s="45" t="s">
        <v>103</v>
      </c>
      <c r="J161" s="45" t="s">
        <v>104</v>
      </c>
      <c r="K161" s="45" t="s">
        <v>102</v>
      </c>
      <c r="L161" s="45" t="s">
        <v>103</v>
      </c>
      <c r="M161" s="45" t="s">
        <v>104</v>
      </c>
      <c r="N161" s="45" t="s">
        <v>102</v>
      </c>
      <c r="O161" s="45" t="s">
        <v>105</v>
      </c>
      <c r="P161" s="45" t="s">
        <v>104</v>
      </c>
      <c r="Q161" s="45" t="s">
        <v>102</v>
      </c>
      <c r="R161" s="45" t="s">
        <v>106</v>
      </c>
      <c r="S161" s="45" t="s">
        <v>107</v>
      </c>
      <c r="T161" s="45" t="s">
        <v>108</v>
      </c>
      <c r="U161" s="20" t="s">
        <v>109</v>
      </c>
    </row>
    <row r="162" spans="1:21" x14ac:dyDescent="0.2">
      <c r="A162" s="10">
        <v>1</v>
      </c>
      <c r="B162" s="33">
        <v>36701</v>
      </c>
      <c r="C162" s="32">
        <v>2</v>
      </c>
      <c r="D162" s="32">
        <v>3</v>
      </c>
      <c r="E162" s="46"/>
      <c r="F162" s="47"/>
      <c r="G162" s="48"/>
      <c r="H162" s="56"/>
      <c r="I162" s="47"/>
      <c r="J162" s="57"/>
      <c r="K162" s="173"/>
      <c r="L162" s="174"/>
      <c r="M162" s="175"/>
      <c r="N162" s="173"/>
      <c r="O162" s="174"/>
      <c r="P162" s="175"/>
      <c r="Q162" s="176"/>
      <c r="R162" s="174">
        <v>24</v>
      </c>
      <c r="S162" s="175"/>
      <c r="T162" s="43">
        <f>SUM(E162:S162)</f>
        <v>24</v>
      </c>
      <c r="U162" s="23">
        <f>+(E162*85)+(F162*95)+(G162*125)+(H162*100)+(I162*150)+(J162*200)+(K162*52)+(L162*65.5)+(M162*81)+(N162*48)+(O162*63)+(P162*77.5)+(Q162*46)+(R162*59)+(S162*72.5)</f>
        <v>1416</v>
      </c>
    </row>
    <row r="163" spans="1:21" x14ac:dyDescent="0.2">
      <c r="A163" s="10">
        <v>2</v>
      </c>
      <c r="B163" s="33">
        <v>36704</v>
      </c>
      <c r="C163" s="32">
        <v>2</v>
      </c>
      <c r="D163" s="32">
        <v>5</v>
      </c>
      <c r="E163" s="49"/>
      <c r="F163" s="50"/>
      <c r="G163" s="51"/>
      <c r="H163" s="52"/>
      <c r="I163" s="58"/>
      <c r="J163" s="59"/>
      <c r="K163" s="167"/>
      <c r="L163" s="168"/>
      <c r="M163" s="169"/>
      <c r="N163" s="167">
        <v>8</v>
      </c>
      <c r="O163" s="170">
        <v>5</v>
      </c>
      <c r="P163" s="169"/>
      <c r="Q163" s="167">
        <v>40</v>
      </c>
      <c r="R163" s="170">
        <v>20</v>
      </c>
      <c r="S163" s="171"/>
      <c r="T163" s="43">
        <f t="shared" ref="T163:T169" si="9">SUM(E163:S163)</f>
        <v>73</v>
      </c>
      <c r="U163" s="23">
        <f t="shared" ref="U163:U169" si="10">+(E163*85)+(F163*95)+(G163*125)+(H163*100)+(I163*150)+(J163*200)+(K163*52)+(L163*65.5)+(M163*81)+(N163*48)+(O163*63)+(P163*77.5)+(Q163*46)+(R163*59)+(S163*72.5)</f>
        <v>3719</v>
      </c>
    </row>
    <row r="164" spans="1:21" x14ac:dyDescent="0.2">
      <c r="A164" s="10">
        <v>3</v>
      </c>
      <c r="B164" s="33">
        <v>36705</v>
      </c>
      <c r="C164" s="32">
        <v>2</v>
      </c>
      <c r="D164" s="32">
        <v>5</v>
      </c>
      <c r="E164" s="49"/>
      <c r="F164" s="50"/>
      <c r="G164" s="51"/>
      <c r="H164" s="52"/>
      <c r="I164" s="58"/>
      <c r="J164" s="59"/>
      <c r="K164" s="167"/>
      <c r="L164" s="168"/>
      <c r="M164" s="169"/>
      <c r="N164" s="167">
        <v>4</v>
      </c>
      <c r="O164" s="170"/>
      <c r="P164" s="169"/>
      <c r="Q164" s="167">
        <v>20</v>
      </c>
      <c r="R164" s="170"/>
      <c r="S164" s="171"/>
      <c r="T164" s="43">
        <f t="shared" si="9"/>
        <v>24</v>
      </c>
      <c r="U164" s="23">
        <f t="shared" si="10"/>
        <v>1112</v>
      </c>
    </row>
    <row r="165" spans="1:21" x14ac:dyDescent="0.2">
      <c r="A165" s="10">
        <v>4</v>
      </c>
      <c r="B165" s="33">
        <v>36738</v>
      </c>
      <c r="C165" s="32">
        <v>2</v>
      </c>
      <c r="D165" s="19">
        <v>13</v>
      </c>
      <c r="E165" s="49"/>
      <c r="F165" s="50"/>
      <c r="G165" s="51"/>
      <c r="H165" s="52"/>
      <c r="I165" s="50"/>
      <c r="J165" s="59"/>
      <c r="K165" s="167">
        <v>8</v>
      </c>
      <c r="L165" s="168">
        <v>5</v>
      </c>
      <c r="M165" s="171"/>
      <c r="N165" s="172">
        <v>8</v>
      </c>
      <c r="O165" s="170">
        <v>5</v>
      </c>
      <c r="P165" s="171"/>
      <c r="Q165" s="172">
        <v>56</v>
      </c>
      <c r="R165" s="170">
        <v>16</v>
      </c>
      <c r="S165" s="171"/>
      <c r="T165" s="43">
        <f t="shared" si="9"/>
        <v>98</v>
      </c>
      <c r="U165" s="23">
        <f t="shared" si="10"/>
        <v>4962.5</v>
      </c>
    </row>
    <row r="166" spans="1:21" x14ac:dyDescent="0.2">
      <c r="A166" s="10">
        <v>5</v>
      </c>
      <c r="B166" s="33">
        <v>36739</v>
      </c>
      <c r="C166" s="32">
        <v>2</v>
      </c>
      <c r="D166" s="19">
        <v>13</v>
      </c>
      <c r="E166" s="49"/>
      <c r="F166" s="50"/>
      <c r="G166" s="51"/>
      <c r="H166" s="52"/>
      <c r="I166" s="50"/>
      <c r="J166" s="59"/>
      <c r="K166" s="167">
        <v>8</v>
      </c>
      <c r="L166" s="168">
        <v>4</v>
      </c>
      <c r="M166" s="171"/>
      <c r="N166" s="172">
        <v>8</v>
      </c>
      <c r="O166" s="170">
        <v>4</v>
      </c>
      <c r="P166" s="171"/>
      <c r="Q166" s="172">
        <v>32</v>
      </c>
      <c r="R166" s="170">
        <v>16</v>
      </c>
      <c r="S166" s="171"/>
      <c r="T166" s="43">
        <f t="shared" si="9"/>
        <v>72</v>
      </c>
      <c r="U166" s="23">
        <f t="shared" si="10"/>
        <v>3730</v>
      </c>
    </row>
    <row r="167" spans="1:21" x14ac:dyDescent="0.2">
      <c r="A167" s="10">
        <v>6</v>
      </c>
      <c r="B167" s="33">
        <v>36740</v>
      </c>
      <c r="C167" s="32">
        <v>2</v>
      </c>
      <c r="D167" s="19">
        <v>13</v>
      </c>
      <c r="E167" s="49"/>
      <c r="F167" s="50"/>
      <c r="G167" s="51"/>
      <c r="H167" s="52"/>
      <c r="I167" s="50"/>
      <c r="J167" s="59"/>
      <c r="K167" s="167">
        <v>8</v>
      </c>
      <c r="L167" s="168">
        <v>4</v>
      </c>
      <c r="M167" s="171"/>
      <c r="N167" s="172">
        <v>8</v>
      </c>
      <c r="O167" s="170">
        <v>4</v>
      </c>
      <c r="P167" s="171"/>
      <c r="Q167" s="172">
        <v>32</v>
      </c>
      <c r="R167" s="170">
        <v>16</v>
      </c>
      <c r="S167" s="171"/>
      <c r="T167" s="43">
        <f t="shared" si="9"/>
        <v>72</v>
      </c>
      <c r="U167" s="23">
        <f t="shared" si="10"/>
        <v>3730</v>
      </c>
    </row>
    <row r="168" spans="1:21" x14ac:dyDescent="0.2">
      <c r="A168" s="10">
        <v>7</v>
      </c>
      <c r="B168" s="33">
        <v>36741</v>
      </c>
      <c r="C168" s="32">
        <v>2</v>
      </c>
      <c r="D168" s="19">
        <v>13</v>
      </c>
      <c r="E168" s="49"/>
      <c r="F168" s="50"/>
      <c r="G168" s="51"/>
      <c r="H168" s="52"/>
      <c r="I168" s="50"/>
      <c r="J168" s="59"/>
      <c r="K168" s="167">
        <v>8</v>
      </c>
      <c r="L168" s="168">
        <v>4</v>
      </c>
      <c r="M168" s="171"/>
      <c r="N168" s="172">
        <v>8</v>
      </c>
      <c r="O168" s="170">
        <v>4</v>
      </c>
      <c r="P168" s="171"/>
      <c r="Q168" s="172">
        <v>32</v>
      </c>
      <c r="R168" s="170">
        <v>16</v>
      </c>
      <c r="S168" s="171"/>
      <c r="T168" s="43">
        <f t="shared" si="9"/>
        <v>72</v>
      </c>
      <c r="U168" s="23">
        <f t="shared" si="10"/>
        <v>3730</v>
      </c>
    </row>
    <row r="169" spans="1:21" x14ac:dyDescent="0.2">
      <c r="A169" s="10">
        <v>8</v>
      </c>
      <c r="B169" s="33">
        <v>36742</v>
      </c>
      <c r="C169" s="32">
        <v>2</v>
      </c>
      <c r="D169" s="19">
        <v>13</v>
      </c>
      <c r="E169" s="49"/>
      <c r="F169" s="50"/>
      <c r="G169" s="51"/>
      <c r="H169" s="52"/>
      <c r="I169" s="50"/>
      <c r="J169" s="59"/>
      <c r="K169" s="167">
        <v>16</v>
      </c>
      <c r="L169" s="170">
        <v>4</v>
      </c>
      <c r="M169" s="171"/>
      <c r="N169" s="167">
        <v>16</v>
      </c>
      <c r="O169" s="170">
        <v>4</v>
      </c>
      <c r="P169" s="171"/>
      <c r="Q169" s="172">
        <v>72</v>
      </c>
      <c r="R169" s="170">
        <v>16</v>
      </c>
      <c r="S169" s="171"/>
      <c r="T169" s="43">
        <f t="shared" si="9"/>
        <v>128</v>
      </c>
      <c r="U169" s="23">
        <f t="shared" si="10"/>
        <v>6370</v>
      </c>
    </row>
    <row r="170" spans="1:21" x14ac:dyDescent="0.2">
      <c r="E170" s="53"/>
      <c r="F170" s="54"/>
      <c r="G170" s="55"/>
      <c r="H170" s="53"/>
      <c r="I170" s="54"/>
      <c r="J170" s="55"/>
      <c r="K170" s="177"/>
      <c r="L170" s="178"/>
      <c r="M170" s="179"/>
      <c r="N170" s="177"/>
      <c r="O170" s="178"/>
      <c r="P170" s="179"/>
      <c r="Q170" s="177"/>
      <c r="R170" s="178"/>
      <c r="S170" s="179"/>
      <c r="T170" s="43"/>
      <c r="U170" s="23"/>
    </row>
    <row r="171" spans="1:21" x14ac:dyDescent="0.2">
      <c r="B171" s="18" t="s">
        <v>108</v>
      </c>
      <c r="C171" s="25"/>
      <c r="D171" s="25"/>
      <c r="E171" s="45">
        <f t="shared" ref="E171:U171" si="11">SUM(E162:E170)</f>
        <v>0</v>
      </c>
      <c r="F171" s="45">
        <f t="shared" si="11"/>
        <v>0</v>
      </c>
      <c r="G171" s="45">
        <f t="shared" si="11"/>
        <v>0</v>
      </c>
      <c r="H171" s="45">
        <f t="shared" si="11"/>
        <v>0</v>
      </c>
      <c r="I171" s="45">
        <f t="shared" si="11"/>
        <v>0</v>
      </c>
      <c r="J171" s="45">
        <f t="shared" si="11"/>
        <v>0</v>
      </c>
      <c r="K171" s="45">
        <f t="shared" si="11"/>
        <v>48</v>
      </c>
      <c r="L171" s="45">
        <f t="shared" si="11"/>
        <v>21</v>
      </c>
      <c r="M171" s="45">
        <f t="shared" si="11"/>
        <v>0</v>
      </c>
      <c r="N171" s="45">
        <f t="shared" si="11"/>
        <v>60</v>
      </c>
      <c r="O171" s="45">
        <f t="shared" si="11"/>
        <v>26</v>
      </c>
      <c r="P171" s="45">
        <f t="shared" si="11"/>
        <v>0</v>
      </c>
      <c r="Q171" s="45">
        <f t="shared" si="11"/>
        <v>284</v>
      </c>
      <c r="R171" s="45">
        <f t="shared" si="11"/>
        <v>124</v>
      </c>
      <c r="S171" s="45">
        <f t="shared" si="11"/>
        <v>0</v>
      </c>
      <c r="T171" s="45">
        <f t="shared" si="11"/>
        <v>563</v>
      </c>
      <c r="U171" s="20">
        <f t="shared" si="11"/>
        <v>28769.5</v>
      </c>
    </row>
    <row r="172" spans="1:21" x14ac:dyDescent="0.2">
      <c r="B172" s="18" t="s">
        <v>110</v>
      </c>
      <c r="C172" s="34"/>
      <c r="D172" s="34"/>
      <c r="E172" s="20">
        <v>85</v>
      </c>
      <c r="F172" s="20">
        <v>95</v>
      </c>
      <c r="G172" s="23">
        <v>125</v>
      </c>
      <c r="H172" s="20">
        <v>100</v>
      </c>
      <c r="I172" s="20">
        <v>150</v>
      </c>
      <c r="J172" s="23">
        <v>200</v>
      </c>
      <c r="K172" s="23">
        <v>52</v>
      </c>
      <c r="L172" s="23">
        <v>65.5</v>
      </c>
      <c r="M172" s="23">
        <v>81</v>
      </c>
      <c r="N172" s="23">
        <v>48</v>
      </c>
      <c r="O172" s="23">
        <v>63</v>
      </c>
      <c r="P172" s="23">
        <v>77.5</v>
      </c>
      <c r="Q172" s="23">
        <v>46</v>
      </c>
      <c r="R172" s="23">
        <v>59</v>
      </c>
      <c r="S172" s="23">
        <v>72.5</v>
      </c>
      <c r="T172" s="23"/>
      <c r="U172" s="23"/>
    </row>
    <row r="173" spans="1:21" x14ac:dyDescent="0.2">
      <c r="B173" s="18" t="s">
        <v>118</v>
      </c>
      <c r="E173" s="66">
        <f t="shared" ref="E173:P173" si="12">SUM(E162:E170)*E172</f>
        <v>0</v>
      </c>
      <c r="F173" s="66">
        <f t="shared" si="12"/>
        <v>0</v>
      </c>
      <c r="G173" s="66">
        <f t="shared" si="12"/>
        <v>0</v>
      </c>
      <c r="H173" s="66">
        <f t="shared" si="12"/>
        <v>0</v>
      </c>
      <c r="I173" s="66">
        <f t="shared" si="12"/>
        <v>0</v>
      </c>
      <c r="J173" s="66">
        <f t="shared" si="12"/>
        <v>0</v>
      </c>
      <c r="K173" s="66">
        <f t="shared" si="12"/>
        <v>2496</v>
      </c>
      <c r="L173" s="66">
        <f t="shared" si="12"/>
        <v>1375.5</v>
      </c>
      <c r="M173" s="66">
        <f t="shared" si="12"/>
        <v>0</v>
      </c>
      <c r="N173" s="66">
        <f t="shared" si="12"/>
        <v>2880</v>
      </c>
      <c r="O173" s="66">
        <f t="shared" si="12"/>
        <v>1638</v>
      </c>
      <c r="P173" s="66">
        <f t="shared" si="12"/>
        <v>0</v>
      </c>
      <c r="Q173" s="43"/>
      <c r="R173" s="23">
        <f>SUM(E173:Q173)</f>
        <v>8389.5</v>
      </c>
    </row>
    <row r="177" spans="1:21" x14ac:dyDescent="0.2">
      <c r="B177" s="186" t="s">
        <v>87</v>
      </c>
      <c r="C177" s="19"/>
      <c r="D177" s="187" t="s">
        <v>90</v>
      </c>
      <c r="E177" s="43"/>
      <c r="F177" s="42" t="s">
        <v>95</v>
      </c>
      <c r="G177" s="43"/>
      <c r="H177" s="42"/>
      <c r="I177" s="42" t="s">
        <v>96</v>
      </c>
      <c r="J177" s="43"/>
      <c r="K177" s="43"/>
      <c r="L177" s="42" t="s">
        <v>97</v>
      </c>
      <c r="M177" s="43"/>
      <c r="N177" s="43"/>
      <c r="O177" s="42" t="s">
        <v>98</v>
      </c>
      <c r="P177" s="43"/>
      <c r="Q177" s="45" t="s">
        <v>88</v>
      </c>
      <c r="R177" s="20" t="s">
        <v>88</v>
      </c>
    </row>
    <row r="178" spans="1:21" x14ac:dyDescent="0.2">
      <c r="B178" s="18" t="s">
        <v>99</v>
      </c>
      <c r="C178" s="32" t="s">
        <v>100</v>
      </c>
      <c r="D178" s="32" t="s">
        <v>101</v>
      </c>
      <c r="E178" s="45" t="s">
        <v>102</v>
      </c>
      <c r="F178" s="45" t="s">
        <v>103</v>
      </c>
      <c r="G178" s="45" t="s">
        <v>104</v>
      </c>
      <c r="H178" s="45" t="s">
        <v>102</v>
      </c>
      <c r="I178" s="45" t="s">
        <v>103</v>
      </c>
      <c r="J178" s="45" t="s">
        <v>104</v>
      </c>
      <c r="K178" s="45" t="s">
        <v>102</v>
      </c>
      <c r="L178" s="45" t="s">
        <v>105</v>
      </c>
      <c r="M178" s="45" t="s">
        <v>104</v>
      </c>
      <c r="N178" s="45" t="s">
        <v>102</v>
      </c>
      <c r="O178" s="45" t="s">
        <v>106</v>
      </c>
      <c r="P178" s="45" t="s">
        <v>107</v>
      </c>
      <c r="Q178" s="45" t="s">
        <v>108</v>
      </c>
      <c r="R178" s="20" t="s">
        <v>109</v>
      </c>
    </row>
    <row r="179" spans="1:21" x14ac:dyDescent="0.2">
      <c r="A179" s="10">
        <v>1</v>
      </c>
      <c r="B179" s="33">
        <v>36704</v>
      </c>
      <c r="C179" s="32">
        <v>2</v>
      </c>
      <c r="D179" s="32">
        <v>17</v>
      </c>
      <c r="E179" s="46"/>
      <c r="F179" s="47"/>
      <c r="G179" s="48"/>
      <c r="H179" s="56"/>
      <c r="I179" s="47"/>
      <c r="J179" s="57"/>
      <c r="K179" s="173">
        <v>8</v>
      </c>
      <c r="L179" s="174">
        <v>5</v>
      </c>
      <c r="M179" s="175"/>
      <c r="N179" s="176">
        <v>40</v>
      </c>
      <c r="O179" s="174">
        <v>20</v>
      </c>
      <c r="P179" s="175"/>
      <c r="Q179" s="43">
        <f>SUM(E179:P179)</f>
        <v>73</v>
      </c>
      <c r="R179" s="23">
        <f>+(E179*100)+(F179*150)+(G179*200)+(H179*52)+(I179*65.5)+(J179*81)+(K179*48)+(L179*63)+(M179*77.5)+(N179*46)+(O179*59)+(P179*72.5)</f>
        <v>3719</v>
      </c>
    </row>
    <row r="180" spans="1:21" x14ac:dyDescent="0.2">
      <c r="E180" s="53"/>
      <c r="F180" s="54"/>
      <c r="G180" s="55"/>
      <c r="H180" s="60"/>
      <c r="I180" s="61"/>
      <c r="J180" s="62"/>
      <c r="K180" s="60"/>
      <c r="L180" s="61"/>
      <c r="M180" s="62"/>
      <c r="N180" s="60"/>
      <c r="O180" s="61"/>
      <c r="P180" s="62"/>
      <c r="Q180" s="43"/>
      <c r="R180" s="23"/>
    </row>
    <row r="181" spans="1:21" x14ac:dyDescent="0.2">
      <c r="B181" s="18" t="s">
        <v>108</v>
      </c>
      <c r="C181" s="25"/>
      <c r="D181" s="25"/>
      <c r="E181" s="45">
        <f t="shared" ref="E181:R181" si="13">SUM(E179:E180)</f>
        <v>0</v>
      </c>
      <c r="F181" s="45">
        <f t="shared" si="13"/>
        <v>0</v>
      </c>
      <c r="G181" s="45">
        <f t="shared" si="13"/>
        <v>0</v>
      </c>
      <c r="H181" s="45">
        <f t="shared" si="13"/>
        <v>0</v>
      </c>
      <c r="I181" s="45">
        <f t="shared" si="13"/>
        <v>0</v>
      </c>
      <c r="J181" s="45">
        <f t="shared" si="13"/>
        <v>0</v>
      </c>
      <c r="K181" s="45">
        <f t="shared" si="13"/>
        <v>8</v>
      </c>
      <c r="L181" s="45">
        <f t="shared" si="13"/>
        <v>5</v>
      </c>
      <c r="M181" s="45">
        <f t="shared" si="13"/>
        <v>0</v>
      </c>
      <c r="N181" s="45">
        <f t="shared" si="13"/>
        <v>40</v>
      </c>
      <c r="O181" s="45">
        <f t="shared" si="13"/>
        <v>20</v>
      </c>
      <c r="P181" s="45">
        <f t="shared" si="13"/>
        <v>0</v>
      </c>
      <c r="Q181" s="45">
        <f t="shared" si="13"/>
        <v>73</v>
      </c>
      <c r="R181" s="20">
        <f t="shared" si="13"/>
        <v>3719</v>
      </c>
    </row>
    <row r="182" spans="1:21" x14ac:dyDescent="0.2">
      <c r="B182" s="18" t="s">
        <v>110</v>
      </c>
      <c r="C182" s="34"/>
      <c r="D182" s="34"/>
      <c r="E182" s="20">
        <v>100</v>
      </c>
      <c r="F182" s="20">
        <v>150</v>
      </c>
      <c r="G182" s="23">
        <v>200</v>
      </c>
      <c r="H182" s="23">
        <v>52</v>
      </c>
      <c r="I182" s="23">
        <v>65.5</v>
      </c>
      <c r="J182" s="23">
        <v>81</v>
      </c>
      <c r="K182" s="23">
        <v>48</v>
      </c>
      <c r="L182" s="23">
        <v>63</v>
      </c>
      <c r="M182" s="23">
        <v>77.5</v>
      </c>
      <c r="N182" s="23">
        <v>46</v>
      </c>
      <c r="O182" s="23">
        <v>59</v>
      </c>
      <c r="P182" s="23">
        <v>72.5</v>
      </c>
      <c r="Q182" s="23"/>
      <c r="R182" s="23"/>
    </row>
    <row r="183" spans="1:21" x14ac:dyDescent="0.2">
      <c r="B183" s="18" t="s">
        <v>118</v>
      </c>
      <c r="E183" s="66">
        <f>SUM(E179:E180)*E182</f>
        <v>0</v>
      </c>
      <c r="F183" s="66">
        <f t="shared" ref="F183:P183" si="14">SUM(F179:F180)*F182</f>
        <v>0</v>
      </c>
      <c r="G183" s="66">
        <f t="shared" si="14"/>
        <v>0</v>
      </c>
      <c r="H183" s="66">
        <f t="shared" si="14"/>
        <v>0</v>
      </c>
      <c r="I183" s="66">
        <f t="shared" si="14"/>
        <v>0</v>
      </c>
      <c r="J183" s="66">
        <f t="shared" si="14"/>
        <v>0</v>
      </c>
      <c r="K183" s="66">
        <f t="shared" si="14"/>
        <v>384</v>
      </c>
      <c r="L183" s="66">
        <f t="shared" si="14"/>
        <v>315</v>
      </c>
      <c r="M183" s="66">
        <f t="shared" si="14"/>
        <v>0</v>
      </c>
      <c r="N183" s="66">
        <f t="shared" si="14"/>
        <v>1840</v>
      </c>
      <c r="O183" s="66">
        <f t="shared" si="14"/>
        <v>1180</v>
      </c>
      <c r="P183" s="66">
        <f t="shared" si="14"/>
        <v>0</v>
      </c>
      <c r="Q183" s="43"/>
      <c r="R183" s="23">
        <f>SUM(E183:Q183)</f>
        <v>3719</v>
      </c>
    </row>
    <row r="186" spans="1:21" x14ac:dyDescent="0.2">
      <c r="C186" s="133" t="s">
        <v>612</v>
      </c>
      <c r="D186" s="133"/>
      <c r="E186" s="210"/>
      <c r="F186" s="210"/>
      <c r="G186" s="210"/>
      <c r="H186" s="210"/>
    </row>
    <row r="187" spans="1:21" x14ac:dyDescent="0.2">
      <c r="B187" s="186" t="s">
        <v>86</v>
      </c>
      <c r="C187" s="19"/>
      <c r="D187" s="187" t="s">
        <v>91</v>
      </c>
      <c r="E187" s="43"/>
      <c r="F187" s="67" t="s">
        <v>119</v>
      </c>
      <c r="G187" s="43"/>
      <c r="H187" s="43"/>
      <c r="I187" s="67" t="s">
        <v>95</v>
      </c>
      <c r="J187" s="43"/>
      <c r="K187" s="42"/>
      <c r="L187" s="67" t="s">
        <v>96</v>
      </c>
      <c r="M187" s="43"/>
      <c r="N187" s="43"/>
      <c r="O187" s="67" t="s">
        <v>97</v>
      </c>
      <c r="P187" s="43"/>
      <c r="Q187" s="43"/>
      <c r="R187" s="67" t="s">
        <v>98</v>
      </c>
      <c r="S187" s="43"/>
      <c r="T187" s="45" t="s">
        <v>88</v>
      </c>
      <c r="U187" s="20" t="s">
        <v>88</v>
      </c>
    </row>
    <row r="188" spans="1:21" x14ac:dyDescent="0.2">
      <c r="B188" s="18" t="s">
        <v>99</v>
      </c>
      <c r="C188" s="32" t="s">
        <v>100</v>
      </c>
      <c r="D188" s="32" t="s">
        <v>101</v>
      </c>
      <c r="E188" s="45" t="s">
        <v>102</v>
      </c>
      <c r="F188" s="45" t="s">
        <v>103</v>
      </c>
      <c r="G188" s="45" t="s">
        <v>104</v>
      </c>
      <c r="H188" s="45" t="s">
        <v>102</v>
      </c>
      <c r="I188" s="45" t="s">
        <v>103</v>
      </c>
      <c r="J188" s="45" t="s">
        <v>104</v>
      </c>
      <c r="K188" s="45" t="s">
        <v>102</v>
      </c>
      <c r="L188" s="45" t="s">
        <v>103</v>
      </c>
      <c r="M188" s="45" t="s">
        <v>104</v>
      </c>
      <c r="N188" s="45" t="s">
        <v>102</v>
      </c>
      <c r="O188" s="45" t="s">
        <v>105</v>
      </c>
      <c r="P188" s="45" t="s">
        <v>104</v>
      </c>
      <c r="Q188" s="45" t="s">
        <v>102</v>
      </c>
      <c r="R188" s="45" t="s">
        <v>106</v>
      </c>
      <c r="S188" s="45" t="s">
        <v>107</v>
      </c>
      <c r="T188" s="45" t="s">
        <v>108</v>
      </c>
      <c r="U188" s="20" t="s">
        <v>109</v>
      </c>
    </row>
    <row r="189" spans="1:21" x14ac:dyDescent="0.2">
      <c r="A189" s="10">
        <v>1</v>
      </c>
      <c r="B189" s="33">
        <v>36701</v>
      </c>
      <c r="C189" s="32">
        <v>3</v>
      </c>
      <c r="D189" s="32">
        <v>2</v>
      </c>
      <c r="E189" s="46"/>
      <c r="F189" s="47"/>
      <c r="G189" s="48"/>
      <c r="H189" s="56"/>
      <c r="I189" s="47"/>
      <c r="J189" s="57"/>
      <c r="K189" s="46"/>
      <c r="L189" s="63"/>
      <c r="M189" s="48"/>
      <c r="N189" s="173"/>
      <c r="O189" s="174">
        <v>13</v>
      </c>
      <c r="P189" s="175"/>
      <c r="Q189" s="176"/>
      <c r="R189" s="174">
        <v>112</v>
      </c>
      <c r="S189" s="175"/>
      <c r="T189" s="43">
        <f>SUM(E189:S189)</f>
        <v>125</v>
      </c>
      <c r="U189" s="23">
        <f>+(E189*85)+(F189*95)+(G189*125)+(H189*100)+(I189*150)+(J189*200)+(K189*52)+(L189*65.5)+(M189*81)+(N189*48)+(O189*63)+(P189*77.5)+(Q189*46)+(R189*59)+(S189*72.5)</f>
        <v>7427</v>
      </c>
    </row>
    <row r="190" spans="1:21" x14ac:dyDescent="0.2">
      <c r="A190" s="10">
        <v>2</v>
      </c>
      <c r="B190" s="33">
        <v>36702</v>
      </c>
      <c r="C190" s="32">
        <v>3</v>
      </c>
      <c r="D190" s="32">
        <v>2</v>
      </c>
      <c r="E190" s="49"/>
      <c r="F190" s="50"/>
      <c r="G190" s="51"/>
      <c r="H190" s="52"/>
      <c r="I190" s="58"/>
      <c r="J190" s="59"/>
      <c r="K190" s="52"/>
      <c r="L190" s="58"/>
      <c r="M190" s="59"/>
      <c r="N190" s="167"/>
      <c r="O190" s="168"/>
      <c r="P190" s="169"/>
      <c r="Q190" s="167"/>
      <c r="R190" s="168"/>
      <c r="S190" s="171">
        <v>36</v>
      </c>
      <c r="T190" s="43">
        <f t="shared" ref="T190:T196" si="15">SUM(E190:S190)</f>
        <v>36</v>
      </c>
      <c r="U190" s="23">
        <f t="shared" ref="U190:U196" si="16">+(E190*85)+(F190*95)+(G190*125)+(H190*100)+(I190*150)+(J190*200)+(K190*52)+(L190*65.5)+(M190*81)+(N190*48)+(O190*63)+(P190*77.5)+(Q190*46)+(R190*59)+(S190*72.5)</f>
        <v>2610</v>
      </c>
    </row>
    <row r="191" spans="1:21" x14ac:dyDescent="0.2">
      <c r="A191" s="10">
        <v>3</v>
      </c>
      <c r="B191" s="33">
        <v>36703</v>
      </c>
      <c r="C191" s="32">
        <v>3</v>
      </c>
      <c r="D191" s="32">
        <v>6</v>
      </c>
      <c r="E191" s="49"/>
      <c r="F191" s="50"/>
      <c r="G191" s="51"/>
      <c r="H191" s="52"/>
      <c r="I191" s="58"/>
      <c r="J191" s="59"/>
      <c r="K191" s="52"/>
      <c r="L191" s="58"/>
      <c r="M191" s="59"/>
      <c r="N191" s="167">
        <v>16</v>
      </c>
      <c r="O191" s="170">
        <v>8</v>
      </c>
      <c r="P191" s="169"/>
      <c r="Q191" s="167">
        <v>70</v>
      </c>
      <c r="R191" s="170">
        <v>16</v>
      </c>
      <c r="S191" s="171"/>
      <c r="T191" s="43">
        <f t="shared" si="15"/>
        <v>110</v>
      </c>
      <c r="U191" s="23">
        <f t="shared" si="16"/>
        <v>5436</v>
      </c>
    </row>
    <row r="192" spans="1:21" x14ac:dyDescent="0.2">
      <c r="A192" s="10">
        <v>4</v>
      </c>
      <c r="B192" s="33">
        <v>36712</v>
      </c>
      <c r="C192" s="32">
        <v>3</v>
      </c>
      <c r="D192" s="32">
        <v>8</v>
      </c>
      <c r="E192" s="49"/>
      <c r="F192" s="50"/>
      <c r="G192" s="51"/>
      <c r="H192" s="52"/>
      <c r="I192" s="58"/>
      <c r="J192" s="59"/>
      <c r="K192" s="52"/>
      <c r="L192" s="58"/>
      <c r="M192" s="59"/>
      <c r="N192" s="167"/>
      <c r="O192" s="170"/>
      <c r="P192" s="169"/>
      <c r="Q192" s="167">
        <v>24</v>
      </c>
      <c r="R192" s="170">
        <v>12</v>
      </c>
      <c r="S192" s="171"/>
      <c r="T192" s="43">
        <f t="shared" si="15"/>
        <v>36</v>
      </c>
      <c r="U192" s="23">
        <f t="shared" si="16"/>
        <v>1812</v>
      </c>
    </row>
    <row r="193" spans="1:21" x14ac:dyDescent="0.2">
      <c r="A193" s="10">
        <v>5</v>
      </c>
      <c r="B193" s="33">
        <v>36713</v>
      </c>
      <c r="C193" s="32">
        <v>3</v>
      </c>
      <c r="D193" s="32">
        <v>8</v>
      </c>
      <c r="E193" s="49"/>
      <c r="F193" s="50"/>
      <c r="G193" s="51"/>
      <c r="H193" s="52"/>
      <c r="I193" s="50"/>
      <c r="J193" s="51"/>
      <c r="K193" s="52"/>
      <c r="L193" s="58"/>
      <c r="M193" s="51"/>
      <c r="N193" s="167"/>
      <c r="O193" s="170"/>
      <c r="P193" s="171"/>
      <c r="Q193" s="172">
        <v>24</v>
      </c>
      <c r="R193" s="170">
        <v>12</v>
      </c>
      <c r="S193" s="171"/>
      <c r="T193" s="43">
        <f t="shared" si="15"/>
        <v>36</v>
      </c>
      <c r="U193" s="23">
        <f t="shared" si="16"/>
        <v>1812</v>
      </c>
    </row>
    <row r="194" spans="1:21" x14ac:dyDescent="0.2">
      <c r="A194" s="10">
        <v>6</v>
      </c>
      <c r="B194" s="33">
        <v>36714</v>
      </c>
      <c r="C194" s="32">
        <v>3</v>
      </c>
      <c r="D194" s="32">
        <v>8</v>
      </c>
      <c r="E194" s="49"/>
      <c r="F194" s="50"/>
      <c r="G194" s="51"/>
      <c r="H194" s="52"/>
      <c r="I194" s="58"/>
      <c r="J194" s="59"/>
      <c r="K194" s="52"/>
      <c r="L194" s="58"/>
      <c r="M194" s="51"/>
      <c r="N194" s="167"/>
      <c r="O194" s="170"/>
      <c r="P194" s="171"/>
      <c r="Q194" s="172">
        <v>16</v>
      </c>
      <c r="R194" s="170">
        <v>8</v>
      </c>
      <c r="S194" s="171"/>
      <c r="T194" s="43">
        <f t="shared" si="15"/>
        <v>24</v>
      </c>
      <c r="U194" s="23">
        <f t="shared" si="16"/>
        <v>1208</v>
      </c>
    </row>
    <row r="195" spans="1:21" x14ac:dyDescent="0.2">
      <c r="A195" s="10">
        <v>7</v>
      </c>
      <c r="B195" s="33">
        <v>36719</v>
      </c>
      <c r="C195" s="32">
        <v>3</v>
      </c>
      <c r="D195" s="19">
        <v>10</v>
      </c>
      <c r="E195" s="49"/>
      <c r="F195" s="50"/>
      <c r="G195" s="51"/>
      <c r="H195" s="52"/>
      <c r="I195" s="50"/>
      <c r="J195" s="51"/>
      <c r="K195" s="52"/>
      <c r="L195" s="58"/>
      <c r="M195" s="51"/>
      <c r="N195" s="167"/>
      <c r="O195" s="170"/>
      <c r="P195" s="171"/>
      <c r="Q195" s="172">
        <v>40</v>
      </c>
      <c r="R195" s="170">
        <v>20</v>
      </c>
      <c r="S195" s="171"/>
      <c r="T195" s="43">
        <f t="shared" si="15"/>
        <v>60</v>
      </c>
      <c r="U195" s="23">
        <f t="shared" si="16"/>
        <v>3020</v>
      </c>
    </row>
    <row r="196" spans="1:21" x14ac:dyDescent="0.2">
      <c r="A196" s="10">
        <v>8</v>
      </c>
      <c r="B196" s="33">
        <v>36720</v>
      </c>
      <c r="C196" s="32">
        <v>3</v>
      </c>
      <c r="D196" s="19">
        <v>10</v>
      </c>
      <c r="E196" s="49"/>
      <c r="F196" s="50"/>
      <c r="G196" s="51"/>
      <c r="H196" s="52"/>
      <c r="I196" s="50"/>
      <c r="J196" s="51"/>
      <c r="K196" s="52"/>
      <c r="L196" s="58"/>
      <c r="M196" s="51"/>
      <c r="N196" s="167"/>
      <c r="O196" s="170"/>
      <c r="P196" s="171"/>
      <c r="Q196" s="172">
        <v>32</v>
      </c>
      <c r="R196" s="170">
        <v>16</v>
      </c>
      <c r="S196" s="171"/>
      <c r="T196" s="43">
        <f t="shared" si="15"/>
        <v>48</v>
      </c>
      <c r="U196" s="23">
        <f t="shared" si="16"/>
        <v>2416</v>
      </c>
    </row>
    <row r="197" spans="1:21" x14ac:dyDescent="0.2">
      <c r="E197" s="53"/>
      <c r="F197" s="54"/>
      <c r="G197" s="55"/>
      <c r="H197" s="53"/>
      <c r="I197" s="54"/>
      <c r="J197" s="55"/>
      <c r="K197" s="60"/>
      <c r="L197" s="61"/>
      <c r="M197" s="62"/>
      <c r="N197" s="60"/>
      <c r="O197" s="61"/>
      <c r="P197" s="62"/>
      <c r="Q197" s="60"/>
      <c r="R197" s="61"/>
      <c r="S197" s="62"/>
      <c r="T197" s="43"/>
      <c r="U197" s="23"/>
    </row>
    <row r="198" spans="1:21" x14ac:dyDescent="0.2">
      <c r="B198" s="18" t="s">
        <v>108</v>
      </c>
      <c r="C198" s="25"/>
      <c r="D198" s="25"/>
      <c r="E198" s="45">
        <f t="shared" ref="E198:U198" si="17">SUM(E189:E197)</f>
        <v>0</v>
      </c>
      <c r="F198" s="45">
        <f t="shared" si="17"/>
        <v>0</v>
      </c>
      <c r="G198" s="45">
        <f t="shared" si="17"/>
        <v>0</v>
      </c>
      <c r="H198" s="45">
        <f t="shared" si="17"/>
        <v>0</v>
      </c>
      <c r="I198" s="45">
        <f t="shared" si="17"/>
        <v>0</v>
      </c>
      <c r="J198" s="45">
        <f t="shared" si="17"/>
        <v>0</v>
      </c>
      <c r="K198" s="45">
        <f t="shared" si="17"/>
        <v>0</v>
      </c>
      <c r="L198" s="45">
        <f t="shared" si="17"/>
        <v>0</v>
      </c>
      <c r="M198" s="45">
        <f t="shared" si="17"/>
        <v>0</v>
      </c>
      <c r="N198" s="45">
        <f t="shared" si="17"/>
        <v>16</v>
      </c>
      <c r="O198" s="45">
        <f t="shared" si="17"/>
        <v>21</v>
      </c>
      <c r="P198" s="45">
        <f t="shared" si="17"/>
        <v>0</v>
      </c>
      <c r="Q198" s="45">
        <f t="shared" si="17"/>
        <v>206</v>
      </c>
      <c r="R198" s="45">
        <f t="shared" si="17"/>
        <v>196</v>
      </c>
      <c r="S198" s="45">
        <f t="shared" si="17"/>
        <v>36</v>
      </c>
      <c r="T198" s="45">
        <f t="shared" si="17"/>
        <v>475</v>
      </c>
      <c r="U198" s="20">
        <f t="shared" si="17"/>
        <v>25741</v>
      </c>
    </row>
    <row r="199" spans="1:21" x14ac:dyDescent="0.2">
      <c r="B199" s="18" t="s">
        <v>110</v>
      </c>
      <c r="C199" s="34"/>
      <c r="D199" s="34"/>
      <c r="E199" s="20">
        <v>85</v>
      </c>
      <c r="F199" s="20">
        <v>95</v>
      </c>
      <c r="G199" s="23">
        <v>125</v>
      </c>
      <c r="H199" s="20">
        <v>100</v>
      </c>
      <c r="I199" s="20">
        <v>150</v>
      </c>
      <c r="J199" s="23">
        <v>200</v>
      </c>
      <c r="K199" s="23">
        <v>52</v>
      </c>
      <c r="L199" s="23">
        <v>65.5</v>
      </c>
      <c r="M199" s="23">
        <v>81</v>
      </c>
      <c r="N199" s="23">
        <v>48</v>
      </c>
      <c r="O199" s="23">
        <v>63</v>
      </c>
      <c r="P199" s="23">
        <v>77.5</v>
      </c>
      <c r="Q199" s="23">
        <v>46</v>
      </c>
      <c r="R199" s="23">
        <v>59</v>
      </c>
      <c r="S199" s="23">
        <v>72.5</v>
      </c>
      <c r="T199" s="23"/>
      <c r="U199" s="23"/>
    </row>
    <row r="200" spans="1:21" x14ac:dyDescent="0.2">
      <c r="B200" s="18" t="s">
        <v>118</v>
      </c>
      <c r="E200" s="66">
        <f t="shared" ref="E200:P200" si="18">SUM(E189:E197)*E199</f>
        <v>0</v>
      </c>
      <c r="F200" s="66">
        <f t="shared" si="18"/>
        <v>0</v>
      </c>
      <c r="G200" s="66">
        <f t="shared" si="18"/>
        <v>0</v>
      </c>
      <c r="H200" s="66">
        <f t="shared" si="18"/>
        <v>0</v>
      </c>
      <c r="I200" s="66">
        <f t="shared" si="18"/>
        <v>0</v>
      </c>
      <c r="J200" s="66">
        <f t="shared" si="18"/>
        <v>0</v>
      </c>
      <c r="K200" s="66">
        <f t="shared" si="18"/>
        <v>0</v>
      </c>
      <c r="L200" s="66">
        <f t="shared" si="18"/>
        <v>0</v>
      </c>
      <c r="M200" s="66">
        <f t="shared" si="18"/>
        <v>0</v>
      </c>
      <c r="N200" s="66">
        <f t="shared" si="18"/>
        <v>768</v>
      </c>
      <c r="O200" s="66">
        <f t="shared" si="18"/>
        <v>1323</v>
      </c>
      <c r="P200" s="66">
        <f t="shared" si="18"/>
        <v>0</v>
      </c>
      <c r="Q200" s="43"/>
      <c r="R200" s="23">
        <f>SUM(E200:Q200)</f>
        <v>2091</v>
      </c>
    </row>
    <row r="203" spans="1:21" x14ac:dyDescent="0.2">
      <c r="B203" s="186" t="s">
        <v>87</v>
      </c>
      <c r="C203" s="19"/>
      <c r="D203" s="187" t="s">
        <v>91</v>
      </c>
      <c r="E203" s="43"/>
      <c r="F203" s="42" t="s">
        <v>95</v>
      </c>
      <c r="G203" s="43"/>
      <c r="H203" s="42"/>
      <c r="I203" s="42" t="s">
        <v>96</v>
      </c>
      <c r="J203" s="43"/>
      <c r="K203" s="43"/>
      <c r="L203" s="42" t="s">
        <v>97</v>
      </c>
      <c r="M203" s="43"/>
      <c r="N203" s="43"/>
      <c r="O203" s="42" t="s">
        <v>98</v>
      </c>
      <c r="P203" s="43"/>
      <c r="Q203" s="45" t="s">
        <v>88</v>
      </c>
      <c r="R203" s="20" t="s">
        <v>88</v>
      </c>
    </row>
    <row r="204" spans="1:21" x14ac:dyDescent="0.2">
      <c r="B204" s="18" t="s">
        <v>99</v>
      </c>
      <c r="C204" s="32" t="s">
        <v>100</v>
      </c>
      <c r="D204" s="32" t="s">
        <v>101</v>
      </c>
      <c r="E204" s="45" t="s">
        <v>102</v>
      </c>
      <c r="F204" s="45" t="s">
        <v>103</v>
      </c>
      <c r="G204" s="45" t="s">
        <v>104</v>
      </c>
      <c r="H204" s="45" t="s">
        <v>102</v>
      </c>
      <c r="I204" s="45" t="s">
        <v>103</v>
      </c>
      <c r="J204" s="45" t="s">
        <v>104</v>
      </c>
      <c r="K204" s="45" t="s">
        <v>102</v>
      </c>
      <c r="L204" s="45" t="s">
        <v>105</v>
      </c>
      <c r="M204" s="45" t="s">
        <v>104</v>
      </c>
      <c r="N204" s="45" t="s">
        <v>102</v>
      </c>
      <c r="O204" s="45" t="s">
        <v>106</v>
      </c>
      <c r="P204" s="45" t="s">
        <v>107</v>
      </c>
      <c r="Q204" s="45" t="s">
        <v>108</v>
      </c>
      <c r="R204" s="20" t="s">
        <v>109</v>
      </c>
    </row>
    <row r="205" spans="1:21" x14ac:dyDescent="0.2">
      <c r="A205" s="10">
        <v>1</v>
      </c>
      <c r="B205" s="33">
        <v>36701</v>
      </c>
      <c r="C205" s="32">
        <v>3</v>
      </c>
      <c r="D205" s="32">
        <v>15</v>
      </c>
      <c r="E205" s="46"/>
      <c r="F205" s="47"/>
      <c r="G205" s="48"/>
      <c r="H205" s="56"/>
      <c r="I205" s="47"/>
      <c r="J205" s="57"/>
      <c r="K205" s="46"/>
      <c r="L205" s="63">
        <v>13</v>
      </c>
      <c r="M205" s="48"/>
      <c r="N205" s="176"/>
      <c r="O205" s="174">
        <v>36</v>
      </c>
      <c r="P205" s="175"/>
      <c r="Q205" s="43">
        <f t="shared" ref="Q205:Q210" si="19">SUM(E205:P205)</f>
        <v>49</v>
      </c>
      <c r="R205" s="23">
        <f t="shared" ref="R205:R210" si="20">+(E205*100)+(F205*150)+(G205*200)+(H205*52)+(I205*65.5)+(J205*81)+(K205*48)+(L205*63)+(M205*77.5)+(N205*46)+(O205*59)+(P205*72.5)</f>
        <v>2943</v>
      </c>
    </row>
    <row r="206" spans="1:21" x14ac:dyDescent="0.2">
      <c r="A206" s="10">
        <v>2</v>
      </c>
      <c r="B206" s="33">
        <v>36711</v>
      </c>
      <c r="C206" s="32">
        <v>3</v>
      </c>
      <c r="D206" s="32">
        <v>19</v>
      </c>
      <c r="E206" s="49"/>
      <c r="F206" s="50"/>
      <c r="G206" s="51"/>
      <c r="H206" s="52"/>
      <c r="I206" s="58"/>
      <c r="J206" s="59"/>
      <c r="K206" s="52"/>
      <c r="L206" s="50"/>
      <c r="M206" s="51"/>
      <c r="N206" s="172"/>
      <c r="O206" s="170"/>
      <c r="P206" s="171">
        <v>36</v>
      </c>
      <c r="Q206" s="43">
        <f t="shared" si="19"/>
        <v>36</v>
      </c>
      <c r="R206" s="23">
        <f t="shared" si="20"/>
        <v>2610</v>
      </c>
    </row>
    <row r="207" spans="1:21" x14ac:dyDescent="0.2">
      <c r="A207" s="10">
        <v>3</v>
      </c>
      <c r="B207" s="33">
        <v>36712</v>
      </c>
      <c r="C207" s="32">
        <v>3</v>
      </c>
      <c r="D207" s="32">
        <v>19</v>
      </c>
      <c r="E207" s="49"/>
      <c r="F207" s="50"/>
      <c r="G207" s="51"/>
      <c r="H207" s="52"/>
      <c r="I207" s="58"/>
      <c r="J207" s="59"/>
      <c r="K207" s="52"/>
      <c r="L207" s="50"/>
      <c r="M207" s="59"/>
      <c r="N207" s="167">
        <v>24</v>
      </c>
      <c r="O207" s="170">
        <v>12</v>
      </c>
      <c r="P207" s="171"/>
      <c r="Q207" s="43">
        <f t="shared" si="19"/>
        <v>36</v>
      </c>
      <c r="R207" s="23">
        <f t="shared" si="20"/>
        <v>1812</v>
      </c>
    </row>
    <row r="208" spans="1:21" x14ac:dyDescent="0.2">
      <c r="A208" s="10">
        <v>4</v>
      </c>
      <c r="B208" s="33">
        <v>36713</v>
      </c>
      <c r="C208" s="32">
        <v>3</v>
      </c>
      <c r="D208" s="32">
        <v>19</v>
      </c>
      <c r="E208" s="49"/>
      <c r="F208" s="50"/>
      <c r="G208" s="51"/>
      <c r="H208" s="52"/>
      <c r="I208" s="50"/>
      <c r="J208" s="51"/>
      <c r="K208" s="49"/>
      <c r="L208" s="50"/>
      <c r="M208" s="51"/>
      <c r="N208" s="172">
        <v>24</v>
      </c>
      <c r="O208" s="170">
        <v>12</v>
      </c>
      <c r="P208" s="171"/>
      <c r="Q208" s="43">
        <f t="shared" si="19"/>
        <v>36</v>
      </c>
      <c r="R208" s="23">
        <f t="shared" si="20"/>
        <v>1812</v>
      </c>
    </row>
    <row r="209" spans="1:21" x14ac:dyDescent="0.2">
      <c r="A209" s="10">
        <v>5</v>
      </c>
      <c r="B209" s="33">
        <v>36718</v>
      </c>
      <c r="C209" s="32">
        <v>3</v>
      </c>
      <c r="D209" s="19">
        <v>21</v>
      </c>
      <c r="E209" s="52"/>
      <c r="F209" s="50"/>
      <c r="G209" s="51"/>
      <c r="H209" s="52"/>
      <c r="I209" s="50"/>
      <c r="J209" s="59"/>
      <c r="K209" s="49"/>
      <c r="L209" s="50"/>
      <c r="M209" s="51"/>
      <c r="N209" s="172">
        <v>32</v>
      </c>
      <c r="O209" s="170">
        <v>16</v>
      </c>
      <c r="P209" s="171"/>
      <c r="Q209" s="43">
        <f t="shared" si="19"/>
        <v>48</v>
      </c>
      <c r="R209" s="23">
        <f t="shared" si="20"/>
        <v>2416</v>
      </c>
    </row>
    <row r="210" spans="1:21" x14ac:dyDescent="0.2">
      <c r="A210" s="10">
        <v>6</v>
      </c>
      <c r="B210" s="33">
        <v>36719</v>
      </c>
      <c r="C210" s="32">
        <v>3</v>
      </c>
      <c r="D210" s="19">
        <v>21</v>
      </c>
      <c r="E210" s="52"/>
      <c r="F210" s="50"/>
      <c r="G210" s="51"/>
      <c r="H210" s="52"/>
      <c r="I210" s="50"/>
      <c r="J210" s="51"/>
      <c r="K210" s="49"/>
      <c r="L210" s="50"/>
      <c r="M210" s="51"/>
      <c r="N210" s="172">
        <v>24</v>
      </c>
      <c r="O210" s="170">
        <v>12</v>
      </c>
      <c r="P210" s="171"/>
      <c r="Q210" s="43">
        <f t="shared" si="19"/>
        <v>36</v>
      </c>
      <c r="R210" s="23">
        <f t="shared" si="20"/>
        <v>1812</v>
      </c>
    </row>
    <row r="211" spans="1:21" x14ac:dyDescent="0.2">
      <c r="E211" s="53"/>
      <c r="F211" s="54"/>
      <c r="G211" s="55"/>
      <c r="H211" s="60"/>
      <c r="I211" s="61"/>
      <c r="J211" s="62"/>
      <c r="K211" s="60"/>
      <c r="L211" s="61"/>
      <c r="M211" s="62"/>
      <c r="N211" s="60"/>
      <c r="O211" s="61"/>
      <c r="P211" s="62"/>
      <c r="Q211" s="43"/>
      <c r="R211" s="23"/>
    </row>
    <row r="212" spans="1:21" x14ac:dyDescent="0.2">
      <c r="B212" s="18" t="s">
        <v>108</v>
      </c>
      <c r="C212" s="25"/>
      <c r="D212" s="25"/>
      <c r="E212" s="45">
        <f t="shared" ref="E212:R212" si="21">SUM(E205:E211)</f>
        <v>0</v>
      </c>
      <c r="F212" s="45">
        <f t="shared" si="21"/>
        <v>0</v>
      </c>
      <c r="G212" s="45">
        <f t="shared" si="21"/>
        <v>0</v>
      </c>
      <c r="H212" s="45">
        <f t="shared" si="21"/>
        <v>0</v>
      </c>
      <c r="I212" s="45">
        <f t="shared" si="21"/>
        <v>0</v>
      </c>
      <c r="J212" s="45">
        <f t="shared" si="21"/>
        <v>0</v>
      </c>
      <c r="K212" s="45">
        <f t="shared" si="21"/>
        <v>0</v>
      </c>
      <c r="L212" s="45">
        <f t="shared" si="21"/>
        <v>13</v>
      </c>
      <c r="M212" s="45">
        <f t="shared" si="21"/>
        <v>0</v>
      </c>
      <c r="N212" s="45">
        <f t="shared" si="21"/>
        <v>104</v>
      </c>
      <c r="O212" s="45">
        <f t="shared" si="21"/>
        <v>88</v>
      </c>
      <c r="P212" s="45">
        <f t="shared" si="21"/>
        <v>36</v>
      </c>
      <c r="Q212" s="45">
        <f t="shared" si="21"/>
        <v>241</v>
      </c>
      <c r="R212" s="20">
        <f t="shared" si="21"/>
        <v>13405</v>
      </c>
    </row>
    <row r="213" spans="1:21" x14ac:dyDescent="0.2">
      <c r="A213" s="10">
        <f>+A210+A196+A179+A150+A98</f>
        <v>95</v>
      </c>
      <c r="B213" s="18" t="s">
        <v>110</v>
      </c>
      <c r="C213" s="34"/>
      <c r="D213" s="34"/>
      <c r="E213" s="20">
        <v>100</v>
      </c>
      <c r="F213" s="20">
        <v>150</v>
      </c>
      <c r="G213" s="23">
        <v>200</v>
      </c>
      <c r="H213" s="23">
        <v>52</v>
      </c>
      <c r="I213" s="23">
        <v>65.5</v>
      </c>
      <c r="J213" s="23">
        <v>81</v>
      </c>
      <c r="K213" s="23">
        <v>48</v>
      </c>
      <c r="L213" s="23">
        <v>63</v>
      </c>
      <c r="M213" s="23">
        <v>77.5</v>
      </c>
      <c r="N213" s="23">
        <v>46</v>
      </c>
      <c r="O213" s="23">
        <v>59</v>
      </c>
      <c r="P213" s="23">
        <v>72.5</v>
      </c>
      <c r="Q213" s="23"/>
      <c r="R213" s="23"/>
    </row>
    <row r="214" spans="1:21" x14ac:dyDescent="0.2">
      <c r="B214" s="18" t="s">
        <v>118</v>
      </c>
      <c r="E214" s="66">
        <f t="shared" ref="E214:P214" si="22">SUM(E205:E211)*E213</f>
        <v>0</v>
      </c>
      <c r="F214" s="66">
        <f t="shared" si="22"/>
        <v>0</v>
      </c>
      <c r="G214" s="66">
        <f t="shared" si="22"/>
        <v>0</v>
      </c>
      <c r="H214" s="66">
        <f t="shared" si="22"/>
        <v>0</v>
      </c>
      <c r="I214" s="66">
        <f t="shared" si="22"/>
        <v>0</v>
      </c>
      <c r="J214" s="66">
        <f t="shared" si="22"/>
        <v>0</v>
      </c>
      <c r="K214" s="66">
        <f t="shared" si="22"/>
        <v>0</v>
      </c>
      <c r="L214" s="66">
        <f t="shared" si="22"/>
        <v>819</v>
      </c>
      <c r="M214" s="66">
        <f t="shared" si="22"/>
        <v>0</v>
      </c>
      <c r="N214" s="66">
        <f t="shared" si="22"/>
        <v>4784</v>
      </c>
      <c r="O214" s="66">
        <f t="shared" si="22"/>
        <v>5192</v>
      </c>
      <c r="P214" s="66">
        <f t="shared" si="22"/>
        <v>2610</v>
      </c>
      <c r="Q214" s="43"/>
      <c r="R214" s="23">
        <f>SUM(E214:Q214)</f>
        <v>13405</v>
      </c>
    </row>
    <row r="215" spans="1:21" x14ac:dyDescent="0.2">
      <c r="B215" s="18"/>
      <c r="E215" s="66"/>
      <c r="F215" s="66"/>
      <c r="G215" s="66"/>
      <c r="H215" s="66"/>
      <c r="I215" s="66"/>
      <c r="J215" s="66"/>
      <c r="K215" s="66"/>
      <c r="L215" s="66"/>
      <c r="M215" s="66"/>
      <c r="N215" s="66"/>
      <c r="O215" s="66"/>
      <c r="P215" s="66"/>
      <c r="Q215" s="43"/>
      <c r="R215" s="23"/>
    </row>
    <row r="216" spans="1:21" x14ac:dyDescent="0.2">
      <c r="A216" s="125" t="s">
        <v>589</v>
      </c>
      <c r="B216" s="18"/>
      <c r="E216" s="66"/>
      <c r="F216" s="66"/>
      <c r="G216" s="66"/>
      <c r="H216" s="66"/>
      <c r="I216" s="66"/>
      <c r="J216" s="66"/>
      <c r="K216" s="66"/>
      <c r="L216" s="66"/>
      <c r="M216" s="66"/>
      <c r="N216" s="66"/>
      <c r="O216" s="66"/>
      <c r="P216" s="66"/>
      <c r="Q216" s="43"/>
      <c r="R216" s="23"/>
    </row>
    <row r="217" spans="1:21" x14ac:dyDescent="0.2">
      <c r="B217" s="18"/>
      <c r="E217" s="43" t="s">
        <v>616</v>
      </c>
      <c r="F217" s="67"/>
      <c r="G217" s="43"/>
      <c r="H217" s="43"/>
      <c r="I217" s="67" t="s">
        <v>95</v>
      </c>
      <c r="J217" s="43"/>
      <c r="K217" s="42"/>
      <c r="L217" s="67" t="s">
        <v>96</v>
      </c>
      <c r="M217" s="43"/>
      <c r="N217" s="43"/>
      <c r="O217" s="67" t="s">
        <v>97</v>
      </c>
      <c r="P217" s="43"/>
      <c r="Q217" s="43"/>
      <c r="R217" s="67" t="s">
        <v>98</v>
      </c>
      <c r="S217" s="43"/>
    </row>
    <row r="218" spans="1:21" x14ac:dyDescent="0.2">
      <c r="A218" s="3"/>
      <c r="E218" s="45" t="s">
        <v>617</v>
      </c>
      <c r="F218" s="45"/>
      <c r="G218" s="45"/>
      <c r="H218" s="45" t="s">
        <v>102</v>
      </c>
      <c r="I218" s="45" t="s">
        <v>103</v>
      </c>
      <c r="J218" s="45" t="s">
        <v>104</v>
      </c>
      <c r="K218" s="45" t="s">
        <v>102</v>
      </c>
      <c r="L218" s="45" t="s">
        <v>103</v>
      </c>
      <c r="M218" s="45" t="s">
        <v>104</v>
      </c>
      <c r="N218" s="45" t="s">
        <v>102</v>
      </c>
      <c r="O218" s="45" t="s">
        <v>105</v>
      </c>
      <c r="P218" s="45" t="s">
        <v>104</v>
      </c>
      <c r="Q218" s="45" t="s">
        <v>102</v>
      </c>
      <c r="R218" s="45" t="s">
        <v>106</v>
      </c>
      <c r="S218" s="45" t="s">
        <v>107</v>
      </c>
    </row>
    <row r="219" spans="1:21" x14ac:dyDescent="0.2">
      <c r="B219" s="186" t="s">
        <v>86</v>
      </c>
      <c r="C219" s="19"/>
      <c r="D219" s="187" t="s">
        <v>116</v>
      </c>
      <c r="F219" s="209" t="s">
        <v>766</v>
      </c>
      <c r="H219" s="3"/>
      <c r="I219" s="3"/>
      <c r="J219" s="3"/>
      <c r="K219" s="3"/>
      <c r="L219" s="3"/>
      <c r="M219" s="3"/>
      <c r="N219" s="3"/>
      <c r="O219" s="3"/>
      <c r="P219" s="3"/>
      <c r="Q219" s="3"/>
      <c r="R219" s="3"/>
    </row>
    <row r="220" spans="1:21" x14ac:dyDescent="0.2">
      <c r="B220" s="18" t="s">
        <v>108</v>
      </c>
      <c r="C220" s="19"/>
      <c r="D220" s="165"/>
      <c r="E220" s="40">
        <f>+(N220+Q220)/8</f>
        <v>19.5</v>
      </c>
      <c r="H220" s="3"/>
      <c r="I220" s="3"/>
      <c r="J220" s="3"/>
      <c r="K220" s="43">
        <f>+K69+ ((K71+K72+K73+K74)*0.5)</f>
        <v>12</v>
      </c>
      <c r="L220" s="43">
        <f t="shared" ref="L220:S220" si="23">+L69+ ((L71+L72+L73+L74)*0.5)</f>
        <v>20.5</v>
      </c>
      <c r="M220" s="43">
        <f t="shared" si="23"/>
        <v>6.5</v>
      </c>
      <c r="N220" s="43">
        <f t="shared" si="23"/>
        <v>24</v>
      </c>
      <c r="O220" s="43">
        <f t="shared" si="23"/>
        <v>41</v>
      </c>
      <c r="P220" s="43">
        <f t="shared" si="23"/>
        <v>13</v>
      </c>
      <c r="Q220" s="43">
        <f t="shared" si="23"/>
        <v>132</v>
      </c>
      <c r="R220" s="43">
        <f t="shared" si="23"/>
        <v>210</v>
      </c>
      <c r="S220" s="43">
        <f t="shared" si="23"/>
        <v>78</v>
      </c>
      <c r="T220" s="37">
        <f>SUM(K220:S220)</f>
        <v>537</v>
      </c>
    </row>
    <row r="221" spans="1:21" x14ac:dyDescent="0.2">
      <c r="B221" s="18" t="s">
        <v>110</v>
      </c>
      <c r="C221" s="19"/>
      <c r="D221" s="165"/>
      <c r="H221" s="3"/>
      <c r="I221" s="3"/>
      <c r="J221" s="3"/>
      <c r="K221" s="152">
        <v>52</v>
      </c>
      <c r="L221" s="152">
        <v>65.5</v>
      </c>
      <c r="M221" s="152">
        <v>81</v>
      </c>
      <c r="N221" s="152">
        <v>48</v>
      </c>
      <c r="O221" s="152">
        <v>63</v>
      </c>
      <c r="P221" s="152">
        <v>77.5</v>
      </c>
      <c r="Q221" s="152">
        <v>46</v>
      </c>
      <c r="R221" s="152">
        <v>59</v>
      </c>
      <c r="S221" s="152">
        <v>72.5</v>
      </c>
    </row>
    <row r="222" spans="1:21" x14ac:dyDescent="0.2">
      <c r="B222" s="18" t="s">
        <v>118</v>
      </c>
      <c r="C222" s="19"/>
      <c r="D222" s="165"/>
      <c r="H222" s="3"/>
      <c r="I222" s="3"/>
      <c r="J222" s="3"/>
      <c r="K222" s="181">
        <f>+K220*K221</f>
        <v>624</v>
      </c>
      <c r="L222" s="181">
        <f t="shared" ref="L222:S222" si="24">+L220*L221</f>
        <v>1342.75</v>
      </c>
      <c r="M222" s="181">
        <f t="shared" si="24"/>
        <v>526.5</v>
      </c>
      <c r="N222" s="181">
        <f t="shared" si="24"/>
        <v>1152</v>
      </c>
      <c r="O222" s="181">
        <f t="shared" si="24"/>
        <v>2583</v>
      </c>
      <c r="P222" s="181">
        <f t="shared" si="24"/>
        <v>1007.5</v>
      </c>
      <c r="Q222" s="181">
        <f t="shared" si="24"/>
        <v>6072</v>
      </c>
      <c r="R222" s="181">
        <f t="shared" si="24"/>
        <v>12390</v>
      </c>
      <c r="S222" s="181">
        <f t="shared" si="24"/>
        <v>5655</v>
      </c>
      <c r="T222" s="426">
        <f>SUM(K222:S222)</f>
        <v>31352.75</v>
      </c>
      <c r="U222" s="434"/>
    </row>
    <row r="223" spans="1:21" x14ac:dyDescent="0.2">
      <c r="B223" s="18"/>
      <c r="C223" s="19"/>
      <c r="D223" s="165"/>
      <c r="H223" s="3"/>
      <c r="I223" s="3"/>
      <c r="J223" s="3"/>
      <c r="K223" s="181"/>
      <c r="L223" s="181"/>
      <c r="M223" s="181"/>
      <c r="N223" s="181"/>
      <c r="O223" s="181"/>
      <c r="P223" s="181"/>
      <c r="Q223" s="181"/>
      <c r="R223" s="181"/>
      <c r="S223" s="181"/>
      <c r="T223" s="26"/>
      <c r="U223" s="129"/>
    </row>
    <row r="224" spans="1:21" x14ac:dyDescent="0.2">
      <c r="B224" s="186" t="s">
        <v>87</v>
      </c>
      <c r="C224" s="19"/>
      <c r="D224" s="187" t="s">
        <v>116</v>
      </c>
      <c r="F224" s="209" t="s">
        <v>767</v>
      </c>
      <c r="H224" s="3"/>
      <c r="I224" s="3"/>
      <c r="J224" s="3"/>
      <c r="K224" s="3"/>
      <c r="L224" s="3"/>
      <c r="M224" s="3"/>
      <c r="N224" s="3"/>
      <c r="O224" s="3"/>
      <c r="P224" s="3"/>
      <c r="Q224" s="3"/>
      <c r="R224" s="3"/>
    </row>
    <row r="225" spans="2:21" x14ac:dyDescent="0.2">
      <c r="B225" s="18" t="s">
        <v>108</v>
      </c>
      <c r="E225" s="40">
        <f>+(N225+Q225)/8</f>
        <v>71</v>
      </c>
      <c r="H225" s="3"/>
      <c r="I225" s="3"/>
      <c r="J225" s="3"/>
      <c r="K225" s="43">
        <f>+((H122+H123+H124+H125+H126)*0.5)+H118+H119+H120</f>
        <v>36</v>
      </c>
      <c r="L225" s="43">
        <f t="shared" ref="L225:S225" si="25">+((I122+I123+I124+I125+I126)*0.5)+I118+I119+I120</f>
        <v>23</v>
      </c>
      <c r="M225" s="43">
        <f t="shared" si="25"/>
        <v>14.5</v>
      </c>
      <c r="N225" s="43">
        <f t="shared" si="25"/>
        <v>72</v>
      </c>
      <c r="O225" s="43">
        <f t="shared" si="25"/>
        <v>45</v>
      </c>
      <c r="P225" s="43">
        <f t="shared" si="25"/>
        <v>27</v>
      </c>
      <c r="Q225" s="43">
        <f t="shared" si="25"/>
        <v>496</v>
      </c>
      <c r="R225" s="43">
        <f t="shared" si="25"/>
        <v>249</v>
      </c>
      <c r="S225" s="43">
        <f t="shared" si="25"/>
        <v>159.5</v>
      </c>
      <c r="T225" s="37">
        <f>SUM(K225:S225)</f>
        <v>1122</v>
      </c>
    </row>
    <row r="226" spans="2:21" x14ac:dyDescent="0.2">
      <c r="B226" s="18" t="s">
        <v>110</v>
      </c>
      <c r="K226" s="152">
        <v>52</v>
      </c>
      <c r="L226" s="152">
        <v>65.5</v>
      </c>
      <c r="M226" s="152">
        <v>81</v>
      </c>
      <c r="N226" s="152">
        <v>48</v>
      </c>
      <c r="O226" s="152">
        <v>63</v>
      </c>
      <c r="P226" s="152">
        <v>77.5</v>
      </c>
      <c r="Q226" s="152">
        <v>46</v>
      </c>
      <c r="R226" s="152">
        <v>59</v>
      </c>
      <c r="S226" s="152">
        <v>72.5</v>
      </c>
    </row>
    <row r="227" spans="2:21" x14ac:dyDescent="0.2">
      <c r="B227" s="18" t="s">
        <v>118</v>
      </c>
      <c r="K227" s="181">
        <f>+K225*K226</f>
        <v>1872</v>
      </c>
      <c r="L227" s="181">
        <f t="shared" ref="L227:S227" si="26">+L225*L226</f>
        <v>1506.5</v>
      </c>
      <c r="M227" s="181">
        <f t="shared" si="26"/>
        <v>1174.5</v>
      </c>
      <c r="N227" s="181">
        <f t="shared" si="26"/>
        <v>3456</v>
      </c>
      <c r="O227" s="181">
        <f t="shared" si="26"/>
        <v>2835</v>
      </c>
      <c r="P227" s="181">
        <f t="shared" si="26"/>
        <v>2092.5</v>
      </c>
      <c r="Q227" s="181">
        <f t="shared" si="26"/>
        <v>22816</v>
      </c>
      <c r="R227" s="181">
        <f t="shared" si="26"/>
        <v>14691</v>
      </c>
      <c r="S227" s="181">
        <f t="shared" si="26"/>
        <v>11563.75</v>
      </c>
      <c r="T227" s="426">
        <f>SUM(K227:S227)</f>
        <v>62007.25</v>
      </c>
      <c r="U227" s="434"/>
    </row>
    <row r="228" spans="2:21" x14ac:dyDescent="0.2">
      <c r="B228" s="18"/>
      <c r="K228" s="181"/>
      <c r="L228" s="181"/>
      <c r="M228" s="181"/>
      <c r="N228" s="181"/>
      <c r="O228" s="181"/>
      <c r="P228" s="181"/>
      <c r="Q228" s="181"/>
      <c r="R228" s="181"/>
      <c r="S228" s="181"/>
      <c r="T228" s="26"/>
      <c r="U228" s="129"/>
    </row>
    <row r="229" spans="2:21" x14ac:dyDescent="0.2">
      <c r="B229" s="186" t="s">
        <v>86</v>
      </c>
      <c r="C229" s="19"/>
      <c r="D229" s="187" t="s">
        <v>90</v>
      </c>
      <c r="F229" s="209" t="s">
        <v>768</v>
      </c>
      <c r="K229" s="180"/>
      <c r="L229" s="180"/>
      <c r="M229" s="180"/>
      <c r="N229" s="180"/>
      <c r="O229" s="180"/>
      <c r="P229" s="180"/>
      <c r="Q229" s="180"/>
      <c r="R229" s="180"/>
      <c r="S229" s="180"/>
      <c r="T229" s="37"/>
    </row>
    <row r="230" spans="2:21" x14ac:dyDescent="0.2">
      <c r="B230" s="18" t="s">
        <v>108</v>
      </c>
      <c r="C230" s="19"/>
      <c r="D230" s="165"/>
      <c r="E230" s="40">
        <f>+(N230+Q230)/8</f>
        <v>62</v>
      </c>
      <c r="K230" s="37">
        <f>+K162+K163+K164+K165+K166+K167+K168+K169+K65+K66</f>
        <v>64</v>
      </c>
      <c r="L230" s="37">
        <f t="shared" ref="L230:S230" si="27">+L162+L163+L164+L165+L166+L167+L168+L169+L65+L66</f>
        <v>31</v>
      </c>
      <c r="M230" s="37">
        <f t="shared" si="27"/>
        <v>0</v>
      </c>
      <c r="N230" s="37">
        <f t="shared" si="27"/>
        <v>80</v>
      </c>
      <c r="O230" s="37">
        <f t="shared" si="27"/>
        <v>41</v>
      </c>
      <c r="P230" s="37">
        <f t="shared" si="27"/>
        <v>0</v>
      </c>
      <c r="Q230" s="37">
        <f t="shared" si="27"/>
        <v>416</v>
      </c>
      <c r="R230" s="37">
        <f t="shared" si="27"/>
        <v>200</v>
      </c>
      <c r="S230" s="37">
        <f t="shared" si="27"/>
        <v>0</v>
      </c>
      <c r="T230" s="37">
        <f>SUM(K230:S230)</f>
        <v>832</v>
      </c>
    </row>
    <row r="231" spans="2:21" x14ac:dyDescent="0.2">
      <c r="B231" s="18" t="s">
        <v>110</v>
      </c>
      <c r="C231" s="19"/>
      <c r="D231" s="165"/>
      <c r="K231" s="152">
        <v>52</v>
      </c>
      <c r="L231" s="152">
        <v>65.5</v>
      </c>
      <c r="M231" s="152">
        <v>81</v>
      </c>
      <c r="N231" s="152">
        <v>48</v>
      </c>
      <c r="O231" s="152">
        <v>63</v>
      </c>
      <c r="P231" s="152">
        <v>77.5</v>
      </c>
      <c r="Q231" s="152">
        <v>46</v>
      </c>
      <c r="R231" s="152">
        <v>59</v>
      </c>
      <c r="S231" s="152">
        <v>72.5</v>
      </c>
    </row>
    <row r="232" spans="2:21" x14ac:dyDescent="0.2">
      <c r="B232" s="18" t="s">
        <v>118</v>
      </c>
      <c r="C232" s="19"/>
      <c r="D232" s="165"/>
      <c r="K232" s="181">
        <f t="shared" ref="K232:S232" si="28">+K230*K231</f>
        <v>3328</v>
      </c>
      <c r="L232" s="181">
        <f t="shared" si="28"/>
        <v>2030.5</v>
      </c>
      <c r="M232" s="181">
        <f t="shared" si="28"/>
        <v>0</v>
      </c>
      <c r="N232" s="181">
        <f t="shared" si="28"/>
        <v>3840</v>
      </c>
      <c r="O232" s="181">
        <f t="shared" si="28"/>
        <v>2583</v>
      </c>
      <c r="P232" s="181">
        <f t="shared" si="28"/>
        <v>0</v>
      </c>
      <c r="Q232" s="181">
        <f t="shared" si="28"/>
        <v>19136</v>
      </c>
      <c r="R232" s="181">
        <f t="shared" si="28"/>
        <v>11800</v>
      </c>
      <c r="S232" s="181">
        <f t="shared" si="28"/>
        <v>0</v>
      </c>
      <c r="T232" s="426">
        <f>SUM(K232:S232)</f>
        <v>42717.5</v>
      </c>
      <c r="U232" s="434"/>
    </row>
    <row r="233" spans="2:21" x14ac:dyDescent="0.2">
      <c r="B233" s="18"/>
      <c r="C233" s="19"/>
      <c r="D233" s="165"/>
      <c r="K233" s="181"/>
      <c r="L233" s="181"/>
      <c r="M233" s="181"/>
      <c r="N233" s="181"/>
      <c r="O233" s="181"/>
      <c r="P233" s="181"/>
      <c r="Q233" s="181"/>
      <c r="R233" s="181"/>
      <c r="S233" s="181"/>
      <c r="T233" s="26"/>
      <c r="U233" s="129"/>
    </row>
    <row r="234" spans="2:21" x14ac:dyDescent="0.2">
      <c r="B234" s="186" t="s">
        <v>87</v>
      </c>
      <c r="C234" s="19"/>
      <c r="D234" s="187" t="s">
        <v>90</v>
      </c>
      <c r="F234" s="209" t="s">
        <v>764</v>
      </c>
    </row>
    <row r="235" spans="2:21" x14ac:dyDescent="0.2">
      <c r="B235" s="18" t="s">
        <v>108</v>
      </c>
      <c r="E235" s="40">
        <f>+(N235+Q235)/8</f>
        <v>6</v>
      </c>
      <c r="F235" s="3"/>
      <c r="N235" s="37">
        <f t="shared" ref="N235:S235" si="29">+K179</f>
        <v>8</v>
      </c>
      <c r="O235" s="37">
        <f t="shared" si="29"/>
        <v>5</v>
      </c>
      <c r="P235" s="37">
        <f t="shared" si="29"/>
        <v>0</v>
      </c>
      <c r="Q235" s="37">
        <f t="shared" si="29"/>
        <v>40</v>
      </c>
      <c r="R235" s="37">
        <f t="shared" si="29"/>
        <v>20</v>
      </c>
      <c r="S235" s="37">
        <f t="shared" si="29"/>
        <v>0</v>
      </c>
      <c r="T235" s="37">
        <f>SUM(N235:S235)</f>
        <v>73</v>
      </c>
    </row>
    <row r="236" spans="2:21" x14ac:dyDescent="0.2">
      <c r="B236" s="18" t="s">
        <v>110</v>
      </c>
      <c r="N236" s="152">
        <v>48</v>
      </c>
      <c r="O236" s="152">
        <v>63</v>
      </c>
      <c r="P236" s="152">
        <v>77.5</v>
      </c>
      <c r="Q236" s="152">
        <v>46</v>
      </c>
      <c r="R236" s="152">
        <v>59</v>
      </c>
      <c r="S236" s="152">
        <v>72.5</v>
      </c>
    </row>
    <row r="237" spans="2:21" x14ac:dyDescent="0.2">
      <c r="B237" s="18" t="s">
        <v>118</v>
      </c>
      <c r="N237" s="181">
        <f t="shared" ref="N237:S237" si="30">+N235*N236</f>
        <v>384</v>
      </c>
      <c r="O237" s="181">
        <f t="shared" si="30"/>
        <v>315</v>
      </c>
      <c r="P237" s="181">
        <f t="shared" si="30"/>
        <v>0</v>
      </c>
      <c r="Q237" s="181">
        <f t="shared" si="30"/>
        <v>1840</v>
      </c>
      <c r="R237" s="181">
        <f t="shared" si="30"/>
        <v>1180</v>
      </c>
      <c r="S237" s="181">
        <f t="shared" si="30"/>
        <v>0</v>
      </c>
      <c r="T237" s="426">
        <f>SUM(K237:S237)</f>
        <v>3719</v>
      </c>
      <c r="U237" s="434"/>
    </row>
    <row r="238" spans="2:21" x14ac:dyDescent="0.2">
      <c r="B238" s="18"/>
      <c r="N238" s="181"/>
      <c r="O238" s="181"/>
      <c r="P238" s="181"/>
      <c r="Q238" s="181"/>
      <c r="R238" s="181"/>
      <c r="S238" s="181"/>
      <c r="T238" s="26"/>
      <c r="U238" s="129"/>
    </row>
    <row r="239" spans="2:21" x14ac:dyDescent="0.2">
      <c r="B239" s="186" t="s">
        <v>86</v>
      </c>
      <c r="C239" s="19"/>
      <c r="D239" s="187" t="s">
        <v>91</v>
      </c>
      <c r="F239" s="209" t="s">
        <v>765</v>
      </c>
    </row>
    <row r="240" spans="2:21" x14ac:dyDescent="0.2">
      <c r="B240" s="18" t="s">
        <v>108</v>
      </c>
      <c r="C240" s="19"/>
      <c r="D240" s="165"/>
      <c r="E240" s="40">
        <v>27</v>
      </c>
      <c r="N240" s="37">
        <f t="shared" ref="N240:S240" si="31">+N189+N190+N191+N192+N193+N194+N195+N196</f>
        <v>16</v>
      </c>
      <c r="O240" s="37">
        <f t="shared" si="31"/>
        <v>21</v>
      </c>
      <c r="P240" s="37">
        <f t="shared" si="31"/>
        <v>0</v>
      </c>
      <c r="Q240" s="37">
        <f t="shared" si="31"/>
        <v>206</v>
      </c>
      <c r="R240" s="37">
        <f t="shared" si="31"/>
        <v>196</v>
      </c>
      <c r="S240" s="37">
        <f t="shared" si="31"/>
        <v>36</v>
      </c>
      <c r="T240" s="37">
        <f>SUM(N240:S240)</f>
        <v>475</v>
      </c>
    </row>
    <row r="241" spans="2:21" x14ac:dyDescent="0.2">
      <c r="B241" s="18" t="s">
        <v>110</v>
      </c>
      <c r="C241" s="19"/>
      <c r="D241" s="165"/>
      <c r="N241" s="152">
        <v>48</v>
      </c>
      <c r="O241" s="152">
        <v>63</v>
      </c>
      <c r="P241" s="152">
        <v>77.5</v>
      </c>
      <c r="Q241" s="152">
        <v>46</v>
      </c>
      <c r="R241" s="152">
        <v>59</v>
      </c>
      <c r="S241" s="152">
        <v>72.5</v>
      </c>
    </row>
    <row r="242" spans="2:21" x14ac:dyDescent="0.2">
      <c r="B242" s="18" t="s">
        <v>118</v>
      </c>
      <c r="C242" s="19"/>
      <c r="D242" s="165"/>
      <c r="N242" s="181">
        <f t="shared" ref="N242:S242" si="32">+N240*N241</f>
        <v>768</v>
      </c>
      <c r="O242" s="181">
        <f t="shared" si="32"/>
        <v>1323</v>
      </c>
      <c r="P242" s="181">
        <f t="shared" si="32"/>
        <v>0</v>
      </c>
      <c r="Q242" s="181">
        <f t="shared" si="32"/>
        <v>9476</v>
      </c>
      <c r="R242" s="181">
        <f t="shared" si="32"/>
        <v>11564</v>
      </c>
      <c r="S242" s="181">
        <f t="shared" si="32"/>
        <v>2610</v>
      </c>
      <c r="T242" s="426">
        <f>SUM(K242:S242)</f>
        <v>25741</v>
      </c>
      <c r="U242" s="434"/>
    </row>
    <row r="243" spans="2:21" x14ac:dyDescent="0.2">
      <c r="B243" s="18"/>
      <c r="C243" s="19"/>
      <c r="D243" s="165"/>
      <c r="N243" s="181"/>
      <c r="O243" s="181"/>
      <c r="P243" s="181"/>
      <c r="Q243" s="181"/>
      <c r="R243" s="181"/>
      <c r="S243" s="181"/>
      <c r="T243" s="26"/>
      <c r="U243" s="129"/>
    </row>
    <row r="244" spans="2:21" x14ac:dyDescent="0.2">
      <c r="B244" s="186" t="s">
        <v>87</v>
      </c>
      <c r="C244" s="19"/>
      <c r="D244" s="187" t="s">
        <v>91</v>
      </c>
      <c r="F244" s="209" t="s">
        <v>765</v>
      </c>
    </row>
    <row r="245" spans="2:21" x14ac:dyDescent="0.2">
      <c r="B245" s="18" t="s">
        <v>108</v>
      </c>
      <c r="E245" s="40">
        <f>+(N245+Q245)/8</f>
        <v>13</v>
      </c>
      <c r="Q245" s="37">
        <f>+N205+N206+N207+N208+N209+N210</f>
        <v>104</v>
      </c>
      <c r="R245" s="37">
        <f>+O205+O206+O207+O208+O209+O210</f>
        <v>88</v>
      </c>
      <c r="S245" s="37">
        <f>+P205+P206+P207+P208+P209+P210</f>
        <v>36</v>
      </c>
      <c r="T245" s="37">
        <f>SUM(Q245:S245)</f>
        <v>228</v>
      </c>
    </row>
    <row r="246" spans="2:21" x14ac:dyDescent="0.2">
      <c r="B246" s="18" t="s">
        <v>110</v>
      </c>
      <c r="N246" s="152">
        <v>48</v>
      </c>
      <c r="O246" s="152">
        <v>63</v>
      </c>
      <c r="P246" s="152">
        <v>77.5</v>
      </c>
      <c r="Q246" s="152">
        <v>46</v>
      </c>
      <c r="R246" s="152">
        <v>59</v>
      </c>
      <c r="S246" s="152">
        <v>72.5</v>
      </c>
    </row>
    <row r="247" spans="2:21" x14ac:dyDescent="0.2">
      <c r="B247" s="18" t="s">
        <v>118</v>
      </c>
      <c r="N247" s="181">
        <f t="shared" ref="N247:S247" si="33">+N245*N246</f>
        <v>0</v>
      </c>
      <c r="O247" s="181">
        <f t="shared" si="33"/>
        <v>0</v>
      </c>
      <c r="P247" s="181">
        <f t="shared" si="33"/>
        <v>0</v>
      </c>
      <c r="Q247" s="181">
        <f t="shared" si="33"/>
        <v>4784</v>
      </c>
      <c r="R247" s="181">
        <f t="shared" si="33"/>
        <v>5192</v>
      </c>
      <c r="S247" s="181">
        <f t="shared" si="33"/>
        <v>2610</v>
      </c>
      <c r="T247" s="426">
        <f>SUM(K247:S247)</f>
        <v>12586</v>
      </c>
      <c r="U247" s="434"/>
    </row>
    <row r="249" spans="2:21" x14ac:dyDescent="0.2">
      <c r="B249" s="186" t="s">
        <v>86</v>
      </c>
      <c r="C249" s="19"/>
      <c r="D249" s="187" t="s">
        <v>116</v>
      </c>
      <c r="F249" s="209" t="s">
        <v>613</v>
      </c>
      <c r="H249" s="3"/>
      <c r="I249" s="3"/>
      <c r="J249" s="3"/>
      <c r="K249" s="3"/>
      <c r="L249" s="3"/>
      <c r="M249" s="3"/>
      <c r="N249" s="3"/>
      <c r="O249" s="3"/>
      <c r="P249" s="3"/>
      <c r="Q249" s="3"/>
      <c r="R249" s="3"/>
    </row>
    <row r="250" spans="2:21" x14ac:dyDescent="0.2">
      <c r="B250" s="18" t="s">
        <v>108</v>
      </c>
      <c r="C250" s="19"/>
      <c r="D250" s="165"/>
      <c r="E250" s="40">
        <f>+(N250+Q250)/8</f>
        <v>20</v>
      </c>
      <c r="H250" s="43">
        <f>+H92+H93+H94+H95+H96+H97+H98</f>
        <v>40</v>
      </c>
      <c r="I250" s="43">
        <f>+I92+I93+I94+I95+I96+I97+I98</f>
        <v>38</v>
      </c>
      <c r="J250" s="43">
        <f>+J92+J93+J94+J95+J96+J97+J98</f>
        <v>13</v>
      </c>
      <c r="K250" s="43">
        <f>+K92+K93+K94+K95+K96+K97+K98</f>
        <v>40</v>
      </c>
      <c r="L250" s="43">
        <f t="shared" ref="L250:S250" si="34">+L92+L93+L94+L95+L96+L97+L98</f>
        <v>10</v>
      </c>
      <c r="M250" s="43">
        <f t="shared" si="34"/>
        <v>0</v>
      </c>
      <c r="N250" s="43">
        <f t="shared" si="34"/>
        <v>0</v>
      </c>
      <c r="O250" s="43">
        <f t="shared" si="34"/>
        <v>0</v>
      </c>
      <c r="P250" s="43">
        <f t="shared" si="34"/>
        <v>0</v>
      </c>
      <c r="Q250" s="43">
        <f t="shared" si="34"/>
        <v>160</v>
      </c>
      <c r="R250" s="43">
        <f t="shared" si="34"/>
        <v>128</v>
      </c>
      <c r="S250" s="43">
        <f t="shared" si="34"/>
        <v>48</v>
      </c>
      <c r="T250" s="37">
        <f>SUM(H250:S250)</f>
        <v>477</v>
      </c>
    </row>
    <row r="251" spans="2:21" x14ac:dyDescent="0.2">
      <c r="B251" s="18" t="s">
        <v>110</v>
      </c>
      <c r="C251" s="19"/>
      <c r="D251" s="165"/>
      <c r="H251" s="152">
        <v>52</v>
      </c>
      <c r="I251" s="152">
        <v>65.5</v>
      </c>
      <c r="J251" s="152">
        <v>81</v>
      </c>
      <c r="K251" s="152">
        <v>52</v>
      </c>
      <c r="L251" s="152">
        <v>65.5</v>
      </c>
      <c r="M251" s="152">
        <v>81</v>
      </c>
      <c r="N251" s="152">
        <v>48</v>
      </c>
      <c r="O251" s="152">
        <v>63</v>
      </c>
      <c r="P251" s="152">
        <v>77.5</v>
      </c>
      <c r="Q251" s="152">
        <v>46</v>
      </c>
      <c r="R251" s="152">
        <v>59</v>
      </c>
      <c r="S251" s="152">
        <v>72.5</v>
      </c>
    </row>
    <row r="252" spans="2:21" x14ac:dyDescent="0.2">
      <c r="B252" s="18" t="s">
        <v>118</v>
      </c>
      <c r="C252" s="19"/>
      <c r="D252" s="165"/>
      <c r="H252" s="181">
        <f t="shared" ref="H252:S252" si="35">+H250*H251</f>
        <v>2080</v>
      </c>
      <c r="I252" s="181">
        <f t="shared" si="35"/>
        <v>2489</v>
      </c>
      <c r="J252" s="181">
        <f t="shared" si="35"/>
        <v>1053</v>
      </c>
      <c r="K252" s="181">
        <f t="shared" si="35"/>
        <v>2080</v>
      </c>
      <c r="L252" s="181">
        <f t="shared" si="35"/>
        <v>655</v>
      </c>
      <c r="M252" s="181">
        <f t="shared" si="35"/>
        <v>0</v>
      </c>
      <c r="N252" s="181">
        <f t="shared" si="35"/>
        <v>0</v>
      </c>
      <c r="O252" s="181">
        <f t="shared" si="35"/>
        <v>0</v>
      </c>
      <c r="P252" s="181">
        <f t="shared" si="35"/>
        <v>0</v>
      </c>
      <c r="Q252" s="181">
        <f t="shared" si="35"/>
        <v>7360</v>
      </c>
      <c r="R252" s="181">
        <f t="shared" si="35"/>
        <v>7552</v>
      </c>
      <c r="S252" s="181">
        <f t="shared" si="35"/>
        <v>3480</v>
      </c>
      <c r="T252" s="426">
        <f>SUM(H252:S252)</f>
        <v>26749</v>
      </c>
      <c r="U252" s="434"/>
    </row>
    <row r="253" spans="2:21" x14ac:dyDescent="0.2">
      <c r="B253" s="18"/>
      <c r="C253" s="19"/>
      <c r="D253" s="165"/>
      <c r="H253" s="3"/>
      <c r="I253" s="3"/>
      <c r="J253" s="3"/>
      <c r="K253" s="181"/>
      <c r="L253" s="181"/>
      <c r="M253" s="181"/>
      <c r="N253" s="181"/>
      <c r="O253" s="181"/>
      <c r="P253" s="181"/>
      <c r="Q253" s="181"/>
      <c r="R253" s="181"/>
      <c r="S253" s="181"/>
      <c r="T253" s="26"/>
      <c r="U253" s="129"/>
    </row>
    <row r="254" spans="2:21" x14ac:dyDescent="0.2">
      <c r="B254" s="186" t="s">
        <v>87</v>
      </c>
      <c r="C254" s="19"/>
      <c r="D254" s="187" t="s">
        <v>116</v>
      </c>
      <c r="F254" s="209" t="s">
        <v>613</v>
      </c>
      <c r="H254" s="3"/>
      <c r="I254" s="3"/>
      <c r="J254" s="3"/>
      <c r="K254" s="3"/>
      <c r="L254" s="3"/>
      <c r="M254" s="3"/>
      <c r="N254" s="3"/>
      <c r="O254" s="3"/>
      <c r="P254" s="3"/>
      <c r="Q254" s="3"/>
      <c r="R254" s="3"/>
    </row>
    <row r="255" spans="2:21" x14ac:dyDescent="0.2">
      <c r="B255" s="18" t="s">
        <v>108</v>
      </c>
      <c r="E255" s="40">
        <f>+(N255+Q255)/8</f>
        <v>21</v>
      </c>
      <c r="K255" s="43">
        <f t="shared" ref="K255:S255" si="36">+H144+H145+H146+H147+H148+H149+H150</f>
        <v>8</v>
      </c>
      <c r="L255" s="43">
        <f t="shared" si="36"/>
        <v>0</v>
      </c>
      <c r="M255" s="43">
        <f t="shared" si="36"/>
        <v>0</v>
      </c>
      <c r="N255" s="43">
        <f t="shared" si="36"/>
        <v>80</v>
      </c>
      <c r="O255" s="43">
        <f t="shared" si="36"/>
        <v>76</v>
      </c>
      <c r="P255" s="43">
        <f t="shared" si="36"/>
        <v>26</v>
      </c>
      <c r="Q255" s="43">
        <f t="shared" si="36"/>
        <v>88</v>
      </c>
      <c r="R255" s="43">
        <f t="shared" si="36"/>
        <v>64</v>
      </c>
      <c r="S255" s="43">
        <f t="shared" si="36"/>
        <v>24</v>
      </c>
      <c r="T255" s="37">
        <f>SUM(K255:S255)</f>
        <v>366</v>
      </c>
    </row>
    <row r="256" spans="2:21" x14ac:dyDescent="0.2">
      <c r="B256" s="18" t="s">
        <v>110</v>
      </c>
      <c r="K256" s="152">
        <v>52</v>
      </c>
      <c r="L256" s="152">
        <v>65.5</v>
      </c>
      <c r="M256" s="152">
        <v>81</v>
      </c>
      <c r="N256" s="152">
        <v>52</v>
      </c>
      <c r="O256" s="152">
        <v>65.5</v>
      </c>
      <c r="P256" s="152">
        <v>81</v>
      </c>
      <c r="Q256" s="152">
        <v>48</v>
      </c>
      <c r="R256" s="152">
        <v>63</v>
      </c>
      <c r="S256" s="152">
        <v>77.5</v>
      </c>
    </row>
    <row r="257" spans="1:21" x14ac:dyDescent="0.2">
      <c r="B257" s="18" t="s">
        <v>118</v>
      </c>
      <c r="K257" s="181">
        <f t="shared" ref="K257:S257" si="37">+K255*K256</f>
        <v>416</v>
      </c>
      <c r="L257" s="181">
        <f t="shared" si="37"/>
        <v>0</v>
      </c>
      <c r="M257" s="181">
        <f t="shared" si="37"/>
        <v>0</v>
      </c>
      <c r="N257" s="181">
        <f t="shared" si="37"/>
        <v>4160</v>
      </c>
      <c r="O257" s="181">
        <f t="shared" si="37"/>
        <v>4978</v>
      </c>
      <c r="P257" s="181">
        <f t="shared" si="37"/>
        <v>2106</v>
      </c>
      <c r="Q257" s="181">
        <f t="shared" si="37"/>
        <v>4224</v>
      </c>
      <c r="R257" s="181">
        <f t="shared" si="37"/>
        <v>4032</v>
      </c>
      <c r="S257" s="181">
        <f t="shared" si="37"/>
        <v>1860</v>
      </c>
      <c r="T257" s="426">
        <f>SUM(K257:S257)</f>
        <v>21776</v>
      </c>
      <c r="U257" s="434"/>
    </row>
    <row r="258" spans="1:21" x14ac:dyDescent="0.2">
      <c r="B258" s="18"/>
      <c r="K258" s="181"/>
      <c r="L258" s="181"/>
      <c r="M258" s="181"/>
      <c r="N258" s="181"/>
      <c r="O258" s="181"/>
      <c r="P258" s="181"/>
      <c r="Q258" s="181"/>
      <c r="R258" s="181"/>
      <c r="S258" s="181"/>
      <c r="T258" s="26"/>
      <c r="U258" s="129"/>
    </row>
    <row r="259" spans="1:21" x14ac:dyDescent="0.2">
      <c r="A259" s="7" t="s">
        <v>618</v>
      </c>
      <c r="E259" s="40">
        <f>SUM(E220:E257)</f>
        <v>239.5</v>
      </c>
      <c r="T259" s="99"/>
    </row>
    <row r="260" spans="1:21" x14ac:dyDescent="0.2">
      <c r="A260" s="8" t="s">
        <v>614</v>
      </c>
      <c r="H260" s="40">
        <f>+H250</f>
        <v>40</v>
      </c>
      <c r="I260" s="37">
        <f>+I250</f>
        <v>38</v>
      </c>
      <c r="J260" s="37">
        <f>+J250</f>
        <v>13</v>
      </c>
      <c r="K260" s="37">
        <f>+K220+K225+K230+K250+K255</f>
        <v>160</v>
      </c>
      <c r="L260" s="37">
        <f>+L220+L225+L230+L250+L255</f>
        <v>84.5</v>
      </c>
      <c r="M260" s="37">
        <f>+M220+M225+M230+M250+M255</f>
        <v>21</v>
      </c>
      <c r="N260" s="37">
        <f t="shared" ref="N260:S260" si="38">+N220+N225+N230+N235+N240+N245+N250+N255</f>
        <v>280</v>
      </c>
      <c r="O260" s="37">
        <f t="shared" si="38"/>
        <v>229</v>
      </c>
      <c r="P260" s="37">
        <f t="shared" si="38"/>
        <v>66</v>
      </c>
      <c r="Q260" s="37">
        <f t="shared" si="38"/>
        <v>1642</v>
      </c>
      <c r="R260" s="37">
        <f t="shared" si="38"/>
        <v>1155</v>
      </c>
      <c r="S260" s="37">
        <f t="shared" si="38"/>
        <v>381.5</v>
      </c>
      <c r="T260" s="37">
        <f>SUM(H260:S260)</f>
        <v>4110</v>
      </c>
    </row>
    <row r="261" spans="1:21" x14ac:dyDescent="0.2">
      <c r="A261" s="7" t="s">
        <v>615</v>
      </c>
      <c r="H261" s="211">
        <f>+H252</f>
        <v>2080</v>
      </c>
      <c r="I261" s="212">
        <f>+I252</f>
        <v>2489</v>
      </c>
      <c r="J261" s="212">
        <f>+J252</f>
        <v>1053</v>
      </c>
      <c r="K261" s="212">
        <f>+K222+K227+K232+K252+K257</f>
        <v>8320</v>
      </c>
      <c r="L261" s="212">
        <f>+L222+L227+L232+L252+L257</f>
        <v>5534.75</v>
      </c>
      <c r="M261" s="212">
        <f>+M222+M227+M232+M252+M257</f>
        <v>1701</v>
      </c>
      <c r="N261" s="212">
        <f t="shared" ref="N261:S261" si="39">+N222+N227+N232+N237+N242+N247+N252+N257</f>
        <v>13760</v>
      </c>
      <c r="O261" s="212">
        <f t="shared" si="39"/>
        <v>14617</v>
      </c>
      <c r="P261" s="212">
        <f t="shared" si="39"/>
        <v>5206</v>
      </c>
      <c r="Q261" s="212">
        <f t="shared" si="39"/>
        <v>75708</v>
      </c>
      <c r="R261" s="212">
        <f t="shared" si="39"/>
        <v>68401</v>
      </c>
      <c r="S261" s="212">
        <f t="shared" si="39"/>
        <v>27778.75</v>
      </c>
      <c r="T261" s="430">
        <f>+T222+T227+T232+T237+T242+T247+T252+T257</f>
        <v>226648.5</v>
      </c>
      <c r="U261" s="430"/>
    </row>
    <row r="262" spans="1:21" x14ac:dyDescent="0.2">
      <c r="S262" s="3" t="s">
        <v>55</v>
      </c>
      <c r="T262" s="430">
        <f>+T222+T232+T242+T252</f>
        <v>126560.25</v>
      </c>
      <c r="U262" s="431"/>
    </row>
    <row r="263" spans="1:21" x14ac:dyDescent="0.2">
      <c r="S263" s="3" t="s">
        <v>65</v>
      </c>
      <c r="T263" s="430">
        <f>+T227+T237+T247+T257</f>
        <v>100088.25</v>
      </c>
      <c r="U263" s="431"/>
    </row>
    <row r="270" spans="1:21" x14ac:dyDescent="0.2">
      <c r="B270" s="7" t="s">
        <v>822</v>
      </c>
    </row>
    <row r="272" spans="1:21" x14ac:dyDescent="0.2">
      <c r="E272" s="37" t="s">
        <v>55</v>
      </c>
      <c r="G272" s="37"/>
      <c r="H272" s="8"/>
    </row>
    <row r="273" spans="5:12" x14ac:dyDescent="0.2">
      <c r="F273" s="43"/>
      <c r="G273" s="45" t="s">
        <v>820</v>
      </c>
      <c r="K273" s="427">
        <f>SUM(U81:U91)</f>
        <v>133391</v>
      </c>
      <c r="L273" s="427"/>
    </row>
    <row r="274" spans="5:12" x14ac:dyDescent="0.2">
      <c r="F274" s="43"/>
      <c r="G274" s="45" t="s">
        <v>821</v>
      </c>
      <c r="K274" s="427">
        <f>SUM(U59:U61)</f>
        <v>26054</v>
      </c>
      <c r="L274" s="427"/>
    </row>
    <row r="275" spans="5:12" x14ac:dyDescent="0.2">
      <c r="F275" s="43"/>
      <c r="G275" s="45" t="s">
        <v>817</v>
      </c>
      <c r="K275" s="430">
        <f>14*150</f>
        <v>2100</v>
      </c>
      <c r="L275" s="430"/>
    </row>
    <row r="276" spans="5:12" x14ac:dyDescent="0.2">
      <c r="F276" s="43"/>
      <c r="G276" s="45" t="s">
        <v>819</v>
      </c>
      <c r="K276" s="430">
        <f>15*2*75</f>
        <v>2250</v>
      </c>
      <c r="L276" s="430"/>
    </row>
    <row r="277" spans="5:12" x14ac:dyDescent="0.2">
      <c r="E277" s="37" t="s">
        <v>65</v>
      </c>
      <c r="G277" s="37"/>
    </row>
    <row r="278" spans="5:12" x14ac:dyDescent="0.2">
      <c r="F278" s="43"/>
      <c r="G278" s="45" t="s">
        <v>820</v>
      </c>
      <c r="K278" s="427">
        <f>SUM(R111:R113)</f>
        <v>21664</v>
      </c>
      <c r="L278" s="427"/>
    </row>
    <row r="279" spans="5:12" x14ac:dyDescent="0.2">
      <c r="F279" s="43"/>
      <c r="G279" s="45" t="s">
        <v>821</v>
      </c>
      <c r="K279" s="427">
        <f>SUM(R133:R143)</f>
        <v>134588</v>
      </c>
      <c r="L279" s="427"/>
    </row>
    <row r="280" spans="5:12" x14ac:dyDescent="0.2">
      <c r="F280" s="43"/>
      <c r="G280" s="45" t="s">
        <v>817</v>
      </c>
      <c r="K280" s="427">
        <f>14*150</f>
        <v>2100</v>
      </c>
      <c r="L280" s="427"/>
    </row>
    <row r="281" spans="5:12" x14ac:dyDescent="0.2">
      <c r="G281" s="45" t="s">
        <v>818</v>
      </c>
      <c r="K281" s="40"/>
      <c r="L281" s="45" t="s">
        <v>823</v>
      </c>
    </row>
    <row r="283" spans="5:12" x14ac:dyDescent="0.2">
      <c r="E283" s="40" t="s">
        <v>824</v>
      </c>
    </row>
    <row r="284" spans="5:12" x14ac:dyDescent="0.2">
      <c r="F284" s="40">
        <v>389</v>
      </c>
      <c r="G284" s="40" t="s">
        <v>825</v>
      </c>
    </row>
    <row r="285" spans="5:12" x14ac:dyDescent="0.2">
      <c r="F285" s="40">
        <v>80</v>
      </c>
      <c r="G285" s="40" t="s">
        <v>826</v>
      </c>
      <c r="K285" s="424">
        <f>+F284*F285</f>
        <v>31120</v>
      </c>
      <c r="L285" s="424"/>
    </row>
    <row r="287" spans="5:12" x14ac:dyDescent="0.2">
      <c r="E287" s="18" t="s">
        <v>70</v>
      </c>
      <c r="F287" s="19"/>
      <c r="G287" s="428">
        <v>2508.48</v>
      </c>
      <c r="H287" s="428"/>
      <c r="J287" s="3"/>
      <c r="K287" s="3"/>
    </row>
    <row r="288" spans="5:12" x14ac:dyDescent="0.2">
      <c r="E288" s="18" t="s">
        <v>71</v>
      </c>
      <c r="F288" s="19"/>
      <c r="G288" s="428">
        <v>7729.02</v>
      </c>
      <c r="H288" s="428"/>
      <c r="J288" s="3"/>
      <c r="K288" s="3"/>
    </row>
    <row r="289" spans="5:12" x14ac:dyDescent="0.2">
      <c r="E289" s="18" t="s">
        <v>72</v>
      </c>
      <c r="F289" s="19"/>
      <c r="G289" s="428">
        <v>10907.57</v>
      </c>
      <c r="H289" s="428"/>
      <c r="J289" s="3"/>
      <c r="K289" s="3"/>
    </row>
    <row r="290" spans="5:12" x14ac:dyDescent="0.2">
      <c r="E290" s="18" t="s">
        <v>73</v>
      </c>
      <c r="F290" s="19"/>
      <c r="G290" s="429">
        <v>1780.43</v>
      </c>
      <c r="H290" s="429"/>
      <c r="J290" s="3"/>
      <c r="K290" s="3"/>
    </row>
    <row r="291" spans="5:12" ht="13.15" customHeight="1" x14ac:dyDescent="0.2">
      <c r="E291" s="64" t="s">
        <v>828</v>
      </c>
      <c r="F291" s="64"/>
      <c r="G291" s="426">
        <v>22925.5</v>
      </c>
      <c r="H291" s="426"/>
      <c r="J291" s="64"/>
      <c r="K291" s="64"/>
    </row>
    <row r="292" spans="5:12" x14ac:dyDescent="0.2">
      <c r="E292" s="40" t="s">
        <v>829</v>
      </c>
      <c r="G292" s="424">
        <f>+G291*0.5</f>
        <v>11462.75</v>
      </c>
      <c r="H292" s="424"/>
      <c r="K292" s="425">
        <f>+G292</f>
        <v>11462.75</v>
      </c>
      <c r="L292" s="425"/>
    </row>
    <row r="294" spans="5:12" x14ac:dyDescent="0.2">
      <c r="E294" s="40" t="s">
        <v>830</v>
      </c>
      <c r="K294" s="423">
        <f>SUM(K273:L292)</f>
        <v>364729.75</v>
      </c>
      <c r="L294" s="423"/>
    </row>
    <row r="295" spans="5:12" x14ac:dyDescent="0.2">
      <c r="E295" s="40" t="s">
        <v>850</v>
      </c>
    </row>
    <row r="296" spans="5:12" x14ac:dyDescent="0.2">
      <c r="E296" s="40" t="s">
        <v>831</v>
      </c>
      <c r="K296" s="425">
        <f>+K294*-0.5</f>
        <v>-182364.875</v>
      </c>
      <c r="L296" s="425"/>
    </row>
    <row r="297" spans="5:12" x14ac:dyDescent="0.2">
      <c r="E297" s="40" t="s">
        <v>832</v>
      </c>
      <c r="K297" s="423">
        <f>+K294+K296</f>
        <v>182364.875</v>
      </c>
      <c r="L297" s="423"/>
    </row>
  </sheetData>
  <mergeCells count="147">
    <mergeCell ref="S36:T36"/>
    <mergeCell ref="T50:U50"/>
    <mergeCell ref="T51:U51"/>
    <mergeCell ref="T49:U49"/>
    <mergeCell ref="S47:T47"/>
    <mergeCell ref="S41:T41"/>
    <mergeCell ref="S40:T40"/>
    <mergeCell ref="S42:T42"/>
    <mergeCell ref="O43:P43"/>
    <mergeCell ref="O47:P47"/>
    <mergeCell ref="O36:P36"/>
    <mergeCell ref="Q34:R34"/>
    <mergeCell ref="Q41:R41"/>
    <mergeCell ref="Q40:R40"/>
    <mergeCell ref="Q42:R42"/>
    <mergeCell ref="Q45:R45"/>
    <mergeCell ref="Q46:R46"/>
    <mergeCell ref="Q43:R43"/>
    <mergeCell ref="G28:H28"/>
    <mergeCell ref="H35:I35"/>
    <mergeCell ref="H36:I36"/>
    <mergeCell ref="H29:I29"/>
    <mergeCell ref="L46:M46"/>
    <mergeCell ref="L43:M43"/>
    <mergeCell ref="L36:M36"/>
    <mergeCell ref="K40:P40"/>
    <mergeCell ref="O37:P37"/>
    <mergeCell ref="O41:P41"/>
    <mergeCell ref="K19:L19"/>
    <mergeCell ref="K21:L21"/>
    <mergeCell ref="K23:L23"/>
    <mergeCell ref="K25:L25"/>
    <mergeCell ref="I19:J19"/>
    <mergeCell ref="I21:J21"/>
    <mergeCell ref="I23:J23"/>
    <mergeCell ref="I25:J25"/>
    <mergeCell ref="G6:H6"/>
    <mergeCell ref="G8:H8"/>
    <mergeCell ref="G10:H10"/>
    <mergeCell ref="G12:H12"/>
    <mergeCell ref="I6:J6"/>
    <mergeCell ref="I12:J12"/>
    <mergeCell ref="I10:J10"/>
    <mergeCell ref="I8:J8"/>
    <mergeCell ref="Q36:R36"/>
    <mergeCell ref="L32:M32"/>
    <mergeCell ref="O32:P32"/>
    <mergeCell ref="Q32:R32"/>
    <mergeCell ref="S32:T32"/>
    <mergeCell ref="J3:K3"/>
    <mergeCell ref="K12:L12"/>
    <mergeCell ref="K6:L6"/>
    <mergeCell ref="K8:L8"/>
    <mergeCell ref="K10:L10"/>
    <mergeCell ref="L33:M33"/>
    <mergeCell ref="O33:P33"/>
    <mergeCell ref="Q33:R33"/>
    <mergeCell ref="S33:T33"/>
    <mergeCell ref="L34:M34"/>
    <mergeCell ref="O34:P34"/>
    <mergeCell ref="L41:M41"/>
    <mergeCell ref="L49:M49"/>
    <mergeCell ref="L42:M42"/>
    <mergeCell ref="L45:M45"/>
    <mergeCell ref="Q37:R37"/>
    <mergeCell ref="S37:T37"/>
    <mergeCell ref="L47:M47"/>
    <mergeCell ref="O42:P42"/>
    <mergeCell ref="O45:P45"/>
    <mergeCell ref="O46:P46"/>
    <mergeCell ref="H33:I33"/>
    <mergeCell ref="H41:I41"/>
    <mergeCell ref="H49:I49"/>
    <mergeCell ref="M12:N12"/>
    <mergeCell ref="T222:U222"/>
    <mergeCell ref="T232:U232"/>
    <mergeCell ref="L38:M38"/>
    <mergeCell ref="O38:P38"/>
    <mergeCell ref="Q38:R38"/>
    <mergeCell ref="S38:T38"/>
    <mergeCell ref="R6:S6"/>
    <mergeCell ref="R8:S8"/>
    <mergeCell ref="R10:S10"/>
    <mergeCell ref="T237:U237"/>
    <mergeCell ref="T227:U227"/>
    <mergeCell ref="S34:T34"/>
    <mergeCell ref="Q47:R47"/>
    <mergeCell ref="S45:T45"/>
    <mergeCell ref="S46:T46"/>
    <mergeCell ref="S43:T43"/>
    <mergeCell ref="M5:N5"/>
    <mergeCell ref="T5:U5"/>
    <mergeCell ref="T6:U6"/>
    <mergeCell ref="T8:U8"/>
    <mergeCell ref="P5:Q5"/>
    <mergeCell ref="P6:Q6"/>
    <mergeCell ref="P8:Q8"/>
    <mergeCell ref="M6:N6"/>
    <mergeCell ref="M8:N8"/>
    <mergeCell ref="R5:S5"/>
    <mergeCell ref="T10:U10"/>
    <mergeCell ref="T12:U12"/>
    <mergeCell ref="H37:I37"/>
    <mergeCell ref="H46:I46"/>
    <mergeCell ref="G43:H43"/>
    <mergeCell ref="R12:S12"/>
    <mergeCell ref="P12:Q12"/>
    <mergeCell ref="P10:Q10"/>
    <mergeCell ref="L37:M37"/>
    <mergeCell ref="M10:N10"/>
    <mergeCell ref="H52:I52"/>
    <mergeCell ref="T53:U53"/>
    <mergeCell ref="T52:U52"/>
    <mergeCell ref="E53:F53"/>
    <mergeCell ref="L48:M48"/>
    <mergeCell ref="O48:P48"/>
    <mergeCell ref="Q48:R48"/>
    <mergeCell ref="O49:R49"/>
    <mergeCell ref="E51:F51"/>
    <mergeCell ref="H50:I50"/>
    <mergeCell ref="T261:U261"/>
    <mergeCell ref="T262:U262"/>
    <mergeCell ref="T263:U263"/>
    <mergeCell ref="E54:F54"/>
    <mergeCell ref="T252:U252"/>
    <mergeCell ref="T257:U257"/>
    <mergeCell ref="T242:U242"/>
    <mergeCell ref="T247:U247"/>
    <mergeCell ref="T54:U54"/>
    <mergeCell ref="G289:H289"/>
    <mergeCell ref="G290:H290"/>
    <mergeCell ref="K273:L273"/>
    <mergeCell ref="K274:L274"/>
    <mergeCell ref="K275:L275"/>
    <mergeCell ref="K276:L276"/>
    <mergeCell ref="K278:L278"/>
    <mergeCell ref="K279:L279"/>
    <mergeCell ref="K280:L280"/>
    <mergeCell ref="K285:L285"/>
    <mergeCell ref="G287:H287"/>
    <mergeCell ref="G288:H288"/>
    <mergeCell ref="K297:L297"/>
    <mergeCell ref="G292:H292"/>
    <mergeCell ref="K292:L292"/>
    <mergeCell ref="K294:L294"/>
    <mergeCell ref="K296:L296"/>
    <mergeCell ref="G291:H291"/>
  </mergeCells>
  <pageMargins left="0.19" right="0.18" top="0.46" bottom="0.37" header="0.2" footer="0.18"/>
  <pageSetup scale="75" fitToHeight="3" orientation="landscape" r:id="rId1"/>
  <headerFooter alignWithMargins="0">
    <oddHeader>&amp;L&amp;"Arial,Bold"&amp;12Doyle Power, LCC - Principal Insured&amp;C&amp;"Arial,Bold"&amp;12Schedule 1(Labor)&amp;R&amp;"Arial,Regular"Thru: &amp;D
Page &amp;P</oddHeader>
    <oddFooter>&amp;L&amp;"Arial,Regular"&amp;F&amp;R&amp;"Arial,Regular"&amp;A</oddFooter>
  </headerFooter>
  <rowBreaks count="5" manualBreakCount="5">
    <brk id="55" max="16383" man="1"/>
    <brk id="107" max="16383" man="1"/>
    <brk id="157" max="16383" man="1"/>
    <brk id="184" max="16383" man="1"/>
    <brk id="21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view="pageBreakPreview" zoomScale="75" zoomScaleNormal="50" zoomScaleSheetLayoutView="75" workbookViewId="0">
      <selection activeCell="D6" sqref="D6"/>
    </sheetView>
  </sheetViews>
  <sheetFormatPr defaultColWidth="10.28515625" defaultRowHeight="12.75" x14ac:dyDescent="0.2"/>
  <cols>
    <col min="1" max="1" width="5.5703125" style="7" customWidth="1"/>
    <col min="2" max="2" width="6" style="7" customWidth="1"/>
    <col min="3" max="3" width="4.28515625" style="7" customWidth="1"/>
    <col min="4" max="4" width="6" style="7" customWidth="1"/>
    <col min="5" max="5" width="2" style="7" customWidth="1"/>
    <col min="6" max="6" width="3.140625" style="7" customWidth="1"/>
    <col min="7" max="7" width="2" style="3" customWidth="1"/>
    <col min="8" max="8" width="5" style="3" customWidth="1"/>
    <col min="9" max="9" width="11.5703125" style="3" customWidth="1"/>
    <col min="10" max="10" width="11.140625" style="3" customWidth="1"/>
    <col min="11" max="11" width="13.7109375" style="8" customWidth="1"/>
    <col min="12" max="12" width="11.42578125" style="8" customWidth="1"/>
    <col min="13" max="13" width="10.5703125" style="3" customWidth="1"/>
    <col min="14" max="14" width="12.140625" style="3" customWidth="1"/>
    <col min="15" max="16384" width="10.28515625" style="3"/>
  </cols>
  <sheetData>
    <row r="1" spans="1:14" ht="15.75" x14ac:dyDescent="0.2">
      <c r="B1" s="2" t="s">
        <v>6</v>
      </c>
      <c r="C1" s="2"/>
      <c r="D1" s="2"/>
      <c r="E1" s="2"/>
      <c r="F1" s="2"/>
      <c r="G1" s="2"/>
      <c r="J1" s="6" t="s">
        <v>530</v>
      </c>
    </row>
    <row r="2" spans="1:14" x14ac:dyDescent="0.2">
      <c r="B2" s="3" t="s">
        <v>7</v>
      </c>
      <c r="C2" s="3"/>
      <c r="D2" s="3"/>
      <c r="E2" s="3"/>
      <c r="F2" s="3"/>
    </row>
    <row r="3" spans="1:14" ht="4.9000000000000004" customHeight="1" x14ac:dyDescent="0.2">
      <c r="B3" s="3"/>
      <c r="C3" s="3"/>
      <c r="D3" s="3"/>
      <c r="E3" s="3"/>
      <c r="F3" s="3"/>
    </row>
    <row r="4" spans="1:14" s="30" customFormat="1" ht="18.600000000000001" customHeight="1" x14ac:dyDescent="0.2">
      <c r="A4" s="29" t="s">
        <v>2</v>
      </c>
      <c r="C4" s="29" t="s">
        <v>3</v>
      </c>
      <c r="D4" s="29"/>
      <c r="E4" s="29"/>
      <c r="F4" s="31"/>
      <c r="G4" s="31"/>
      <c r="K4" s="28" t="s">
        <v>8</v>
      </c>
      <c r="L4" s="470" t="s">
        <v>9</v>
      </c>
      <c r="M4" s="471"/>
      <c r="N4" s="28" t="s">
        <v>536</v>
      </c>
    </row>
    <row r="5" spans="1:14" x14ac:dyDescent="0.2">
      <c r="A5" s="17" t="s">
        <v>53</v>
      </c>
      <c r="K5" s="3"/>
      <c r="M5" s="8"/>
    </row>
    <row r="6" spans="1:14" x14ac:dyDescent="0.2">
      <c r="A6" s="7" t="s">
        <v>54</v>
      </c>
      <c r="H6" s="419">
        <v>36796</v>
      </c>
      <c r="I6" s="420"/>
      <c r="M6" s="8"/>
    </row>
    <row r="7" spans="1:14" x14ac:dyDescent="0.2">
      <c r="A7" s="10">
        <v>3</v>
      </c>
      <c r="B7" s="18" t="s">
        <v>77</v>
      </c>
      <c r="C7" s="19"/>
      <c r="D7" s="19"/>
      <c r="E7" s="19"/>
      <c r="F7" s="19"/>
      <c r="K7" s="3"/>
      <c r="M7" s="8"/>
    </row>
    <row r="8" spans="1:14" x14ac:dyDescent="0.2">
      <c r="A8" s="10"/>
      <c r="B8" s="18" t="s">
        <v>78</v>
      </c>
      <c r="C8" s="19"/>
      <c r="D8" s="19"/>
      <c r="E8" s="19"/>
      <c r="F8" s="19"/>
      <c r="K8" s="3"/>
      <c r="M8" s="8"/>
    </row>
    <row r="9" spans="1:14" x14ac:dyDescent="0.2">
      <c r="A9" s="10"/>
      <c r="B9" s="18" t="s">
        <v>67</v>
      </c>
      <c r="C9" s="19"/>
      <c r="D9" s="19"/>
      <c r="E9" s="19"/>
      <c r="F9" s="19"/>
      <c r="K9" s="3"/>
      <c r="M9" s="8"/>
    </row>
    <row r="10" spans="1:14" ht="24.75" customHeight="1" x14ac:dyDescent="0.2">
      <c r="A10" s="10"/>
      <c r="B10" s="421" t="s">
        <v>79</v>
      </c>
      <c r="C10" s="422"/>
      <c r="D10" s="422"/>
      <c r="E10" s="422"/>
      <c r="F10" s="422"/>
      <c r="G10" s="422"/>
      <c r="H10" s="422"/>
      <c r="I10" s="20">
        <v>121188.61</v>
      </c>
      <c r="J10" s="126" t="str">
        <f>+D96</f>
        <v>50% during alignment Adjustments</v>
      </c>
      <c r="K10" s="23"/>
      <c r="L10" s="469">
        <f>-I10</f>
        <v>-121188.61</v>
      </c>
      <c r="M10" s="469"/>
    </row>
    <row r="11" spans="1:14" x14ac:dyDescent="0.2">
      <c r="A11" s="10"/>
      <c r="B11" s="18" t="s">
        <v>80</v>
      </c>
      <c r="C11" s="19"/>
      <c r="D11" s="19"/>
      <c r="I11" s="20">
        <v>30522.99</v>
      </c>
      <c r="J11" s="126" t="str">
        <f>+D99</f>
        <v>Associated with Mis-alignment</v>
      </c>
      <c r="K11" s="23"/>
      <c r="L11" s="469">
        <f>+I11*-0.5</f>
        <v>-15261.495000000001</v>
      </c>
      <c r="M11" s="469"/>
    </row>
    <row r="12" spans="1:14" x14ac:dyDescent="0.2">
      <c r="A12" s="10"/>
      <c r="B12" s="18" t="s">
        <v>81</v>
      </c>
      <c r="C12" s="19"/>
      <c r="D12" s="19"/>
      <c r="I12" s="20">
        <v>24263.32</v>
      </c>
      <c r="K12" s="23"/>
      <c r="L12" s="469"/>
      <c r="M12" s="469"/>
    </row>
    <row r="13" spans="1:14" x14ac:dyDescent="0.2">
      <c r="A13" s="10"/>
      <c r="B13" s="18" t="s">
        <v>68</v>
      </c>
      <c r="C13" s="19"/>
      <c r="D13" s="19"/>
      <c r="I13" s="21">
        <v>2265.5</v>
      </c>
      <c r="K13" s="19"/>
      <c r="L13" s="469">
        <f>-I13</f>
        <v>-2265.5</v>
      </c>
      <c r="M13" s="469"/>
    </row>
    <row r="14" spans="1:14" x14ac:dyDescent="0.2">
      <c r="A14" s="10"/>
      <c r="B14" s="19"/>
      <c r="C14" s="18" t="s">
        <v>69</v>
      </c>
      <c r="D14" s="19"/>
      <c r="I14" s="20">
        <v>178240.42</v>
      </c>
      <c r="K14" s="23"/>
      <c r="M14" s="8"/>
    </row>
    <row r="15" spans="1:14" x14ac:dyDescent="0.2">
      <c r="A15" s="10"/>
      <c r="B15" s="19"/>
      <c r="C15" s="19"/>
      <c r="D15" s="19"/>
      <c r="I15" s="23"/>
      <c r="K15" s="23"/>
      <c r="M15" s="8"/>
    </row>
    <row r="16" spans="1:14" x14ac:dyDescent="0.2">
      <c r="A16" s="10"/>
      <c r="B16" s="18" t="s">
        <v>70</v>
      </c>
      <c r="C16" s="19"/>
      <c r="D16" s="19"/>
      <c r="I16" s="20">
        <v>2508.48</v>
      </c>
      <c r="K16" s="19"/>
      <c r="M16" s="8"/>
    </row>
    <row r="17" spans="1:14" x14ac:dyDescent="0.2">
      <c r="A17" s="10"/>
      <c r="B17" s="18" t="s">
        <v>71</v>
      </c>
      <c r="C17" s="19"/>
      <c r="D17" s="19"/>
      <c r="I17" s="20">
        <v>7729.02</v>
      </c>
      <c r="K17" s="19"/>
      <c r="M17" s="8"/>
    </row>
    <row r="18" spans="1:14" x14ac:dyDescent="0.2">
      <c r="A18" s="10"/>
      <c r="B18" s="18" t="s">
        <v>72</v>
      </c>
      <c r="C18" s="19"/>
      <c r="D18" s="19"/>
      <c r="I18" s="20">
        <v>10907.57</v>
      </c>
      <c r="K18" s="19"/>
      <c r="M18" s="8"/>
    </row>
    <row r="19" spans="1:14" x14ac:dyDescent="0.2">
      <c r="A19" s="10"/>
      <c r="B19" s="18" t="s">
        <v>73</v>
      </c>
      <c r="C19" s="19"/>
      <c r="D19" s="19"/>
      <c r="I19" s="21">
        <v>1780.43</v>
      </c>
      <c r="K19" s="24" t="s">
        <v>76</v>
      </c>
      <c r="L19" s="469">
        <f>+N117</f>
        <v>-1366.43</v>
      </c>
      <c r="M19" s="469"/>
    </row>
    <row r="20" spans="1:14" ht="27" customHeight="1" x14ac:dyDescent="0.2">
      <c r="A20" s="10"/>
      <c r="B20" s="19"/>
      <c r="C20" s="421" t="s">
        <v>74</v>
      </c>
      <c r="D20" s="422"/>
      <c r="E20" s="422"/>
      <c r="F20" s="422"/>
      <c r="G20" s="422"/>
      <c r="H20" s="422"/>
      <c r="I20" s="26">
        <v>22925.5</v>
      </c>
      <c r="L20" s="469"/>
      <c r="M20" s="469"/>
    </row>
    <row r="21" spans="1:14" ht="14.25" customHeight="1" x14ac:dyDescent="0.2">
      <c r="A21" s="10"/>
      <c r="B21" s="19"/>
      <c r="C21" s="64"/>
      <c r="D21" s="65"/>
      <c r="E21" s="65"/>
      <c r="F21" s="65"/>
      <c r="G21" s="65"/>
      <c r="H21" s="65"/>
      <c r="I21" s="26"/>
      <c r="K21" s="23">
        <v>201165.92</v>
      </c>
      <c r="L21" s="119"/>
      <c r="M21" s="119"/>
      <c r="N21" s="8">
        <f>+K21+N118</f>
        <v>61083.885250000021</v>
      </c>
    </row>
    <row r="22" spans="1:14" x14ac:dyDescent="0.2">
      <c r="A22" s="10"/>
      <c r="B22" s="19"/>
      <c r="C22" s="19"/>
      <c r="D22" s="19"/>
      <c r="I22" s="19"/>
      <c r="K22" s="23"/>
      <c r="M22" s="8"/>
    </row>
    <row r="23" spans="1:14" x14ac:dyDescent="0.2">
      <c r="A23" s="10">
        <v>4</v>
      </c>
      <c r="B23" s="18" t="s">
        <v>82</v>
      </c>
      <c r="C23" s="19"/>
      <c r="D23" s="19"/>
      <c r="I23" s="19"/>
      <c r="K23" s="20">
        <v>95120</v>
      </c>
      <c r="L23" s="469">
        <f>+J26</f>
        <v>-19160</v>
      </c>
      <c r="M23" s="469"/>
      <c r="N23" s="8">
        <f>+K23+L23</f>
        <v>75960</v>
      </c>
    </row>
    <row r="24" spans="1:14" x14ac:dyDescent="0.2">
      <c r="A24" s="10"/>
      <c r="B24" s="18"/>
      <c r="C24" s="3"/>
      <c r="D24" s="19"/>
      <c r="H24" s="121" t="s">
        <v>205</v>
      </c>
      <c r="I24" s="122">
        <f>+K23/80</f>
        <v>1189</v>
      </c>
      <c r="K24" s="20"/>
      <c r="L24" s="119"/>
      <c r="M24" s="119"/>
    </row>
    <row r="25" spans="1:14" x14ac:dyDescent="0.2">
      <c r="A25" s="10"/>
      <c r="B25" s="123" t="s">
        <v>622</v>
      </c>
      <c r="C25" s="124"/>
      <c r="D25" s="124"/>
      <c r="E25" s="125"/>
      <c r="F25" s="125"/>
      <c r="G25" s="126"/>
      <c r="H25" s="126"/>
      <c r="I25" s="124"/>
      <c r="J25" s="126"/>
      <c r="K25" s="20"/>
      <c r="L25" s="119"/>
      <c r="M25" s="119"/>
    </row>
    <row r="26" spans="1:14" x14ac:dyDescent="0.2">
      <c r="A26" s="10"/>
      <c r="B26" s="123"/>
      <c r="C26" s="124"/>
      <c r="D26" s="124"/>
      <c r="E26" s="125"/>
      <c r="F26" s="125"/>
      <c r="G26" s="126"/>
      <c r="H26" s="127" t="s">
        <v>205</v>
      </c>
      <c r="I26" s="214">
        <f>+'Schedule 1 (L)'!E259</f>
        <v>239.5</v>
      </c>
      <c r="J26" s="20">
        <f>+I26*-80</f>
        <v>-19160</v>
      </c>
      <c r="K26" s="20"/>
      <c r="L26" s="119"/>
      <c r="M26" s="119"/>
    </row>
    <row r="27" spans="1:14" x14ac:dyDescent="0.2">
      <c r="A27" s="10"/>
      <c r="B27" s="19"/>
      <c r="C27" s="19"/>
      <c r="D27" s="19"/>
      <c r="I27" s="19"/>
      <c r="K27" s="23"/>
      <c r="M27" s="8"/>
    </row>
    <row r="28" spans="1:14" x14ac:dyDescent="0.2">
      <c r="A28" s="10">
        <v>5</v>
      </c>
      <c r="B28" s="18" t="s">
        <v>83</v>
      </c>
      <c r="C28" s="19"/>
      <c r="D28" s="19"/>
      <c r="I28" s="19"/>
      <c r="K28" s="23"/>
      <c r="M28" s="8"/>
    </row>
    <row r="29" spans="1:14" x14ac:dyDescent="0.2">
      <c r="A29" s="10"/>
      <c r="B29" s="25"/>
      <c r="C29" s="18" t="s">
        <v>84</v>
      </c>
      <c r="D29" s="19"/>
      <c r="I29" s="19"/>
      <c r="K29" s="20">
        <v>9026.6</v>
      </c>
      <c r="L29" s="469">
        <v>0</v>
      </c>
      <c r="M29" s="469"/>
      <c r="N29" s="8">
        <f>+K29+L29</f>
        <v>9026.6</v>
      </c>
    </row>
    <row r="30" spans="1:14" x14ac:dyDescent="0.2">
      <c r="A30" s="10"/>
      <c r="B30" s="19"/>
      <c r="C30" s="19"/>
      <c r="D30" s="19"/>
      <c r="I30" s="19"/>
      <c r="K30" s="23"/>
      <c r="M30" s="8"/>
    </row>
    <row r="31" spans="1:14" x14ac:dyDescent="0.2">
      <c r="A31" s="10">
        <v>6</v>
      </c>
      <c r="B31" s="18" t="s">
        <v>632</v>
      </c>
      <c r="C31" s="19"/>
      <c r="D31" s="19"/>
      <c r="I31" s="19"/>
      <c r="K31" s="23"/>
      <c r="M31" s="8"/>
    </row>
    <row r="32" spans="1:14" x14ac:dyDescent="0.2">
      <c r="A32" s="10"/>
      <c r="B32" s="18" t="s">
        <v>75</v>
      </c>
      <c r="C32" s="19"/>
      <c r="D32" s="19"/>
      <c r="H32" s="3" t="s">
        <v>623</v>
      </c>
      <c r="I32" s="19"/>
      <c r="K32" s="20">
        <v>8349.4</v>
      </c>
      <c r="L32" s="469">
        <f>-K32</f>
        <v>-8349.4</v>
      </c>
      <c r="M32" s="469"/>
      <c r="N32" s="10" t="s">
        <v>206</v>
      </c>
    </row>
    <row r="33" spans="1:16" ht="6.75" customHeight="1" x14ac:dyDescent="0.2">
      <c r="A33" s="10"/>
      <c r="B33" s="18"/>
      <c r="C33" s="19"/>
      <c r="D33" s="19"/>
      <c r="I33" s="19"/>
      <c r="K33" s="27"/>
      <c r="L33" s="27"/>
      <c r="M33" s="27"/>
      <c r="N33" s="27"/>
    </row>
    <row r="34" spans="1:16" x14ac:dyDescent="0.2">
      <c r="A34" s="10"/>
      <c r="B34" s="18"/>
      <c r="C34" s="19"/>
      <c r="D34" s="19"/>
      <c r="I34" s="19"/>
      <c r="K34" s="20">
        <f>SUM(K7:K33)</f>
        <v>313661.92000000004</v>
      </c>
      <c r="L34" s="469">
        <f>SUM(L5:M33)</f>
        <v>-167591.435</v>
      </c>
      <c r="M34" s="469"/>
      <c r="N34" s="20">
        <f>SUM(N7:N33)</f>
        <v>146070.48525000003</v>
      </c>
    </row>
    <row r="35" spans="1:16" x14ac:dyDescent="0.2">
      <c r="A35" s="10"/>
      <c r="B35" s="18"/>
      <c r="C35" s="19"/>
      <c r="D35" s="19"/>
      <c r="I35" s="19"/>
      <c r="K35" s="20"/>
      <c r="M35" s="8"/>
    </row>
    <row r="36" spans="1:16" x14ac:dyDescent="0.2">
      <c r="A36" s="10"/>
      <c r="B36" s="18"/>
      <c r="C36" s="19"/>
      <c r="D36" s="19"/>
      <c r="I36" s="19"/>
      <c r="K36" s="20"/>
      <c r="M36" s="8"/>
    </row>
    <row r="37" spans="1:16" x14ac:dyDescent="0.2">
      <c r="A37" s="10"/>
      <c r="B37" s="18"/>
      <c r="C37" s="19"/>
      <c r="D37" s="19"/>
      <c r="I37" s="19"/>
      <c r="K37" s="20"/>
      <c r="M37" s="8"/>
    </row>
    <row r="38" spans="1:16" x14ac:dyDescent="0.2">
      <c r="A38" s="104" t="s">
        <v>132</v>
      </c>
      <c r="B38" s="104" t="s">
        <v>133</v>
      </c>
      <c r="D38" s="104" t="s">
        <v>134</v>
      </c>
      <c r="I38" s="104" t="s">
        <v>135</v>
      </c>
      <c r="J38" s="112" t="s">
        <v>136</v>
      </c>
      <c r="K38" s="109" t="s">
        <v>137</v>
      </c>
      <c r="L38" s="110" t="s">
        <v>198</v>
      </c>
      <c r="M38" s="110" t="s">
        <v>199</v>
      </c>
      <c r="N38" s="110" t="s">
        <v>201</v>
      </c>
      <c r="O38" s="8"/>
      <c r="P38" s="8"/>
    </row>
    <row r="39" spans="1:16" x14ac:dyDescent="0.2">
      <c r="A39" s="105">
        <v>1</v>
      </c>
      <c r="B39" s="111" t="s">
        <v>70</v>
      </c>
      <c r="D39" s="106" t="s">
        <v>138</v>
      </c>
      <c r="I39" s="106" t="s">
        <v>139</v>
      </c>
      <c r="J39" s="111" t="s">
        <v>140</v>
      </c>
      <c r="K39" s="108">
        <v>12.14</v>
      </c>
      <c r="L39" s="8">
        <f>+K39*0.15</f>
        <v>1.821</v>
      </c>
      <c r="M39" s="8">
        <f>+K39+L39</f>
        <v>13.961</v>
      </c>
      <c r="N39" s="8"/>
      <c r="O39" s="8"/>
      <c r="P39" s="8"/>
    </row>
    <row r="40" spans="1:16" x14ac:dyDescent="0.2">
      <c r="A40" s="105">
        <v>2</v>
      </c>
      <c r="B40" s="111" t="s">
        <v>70</v>
      </c>
      <c r="D40" s="106" t="s">
        <v>138</v>
      </c>
      <c r="I40" s="106" t="s">
        <v>141</v>
      </c>
      <c r="J40" s="111" t="s">
        <v>142</v>
      </c>
      <c r="K40" s="108">
        <v>259.45999999999998</v>
      </c>
      <c r="L40" s="8">
        <f t="shared" ref="L40:L116" si="0">+K40*0.15</f>
        <v>38.918999999999997</v>
      </c>
      <c r="M40" s="8">
        <f t="shared" ref="M40:M116" si="1">+K40+L40</f>
        <v>298.37899999999996</v>
      </c>
      <c r="N40" s="8"/>
      <c r="O40" s="8"/>
      <c r="P40" s="8"/>
    </row>
    <row r="41" spans="1:16" x14ac:dyDescent="0.2">
      <c r="A41" s="105">
        <v>3</v>
      </c>
      <c r="B41" s="111" t="s">
        <v>70</v>
      </c>
      <c r="D41" s="106" t="s">
        <v>138</v>
      </c>
      <c r="I41" s="106" t="s">
        <v>143</v>
      </c>
      <c r="J41" s="111" t="s">
        <v>144</v>
      </c>
      <c r="K41" s="108">
        <v>117.26</v>
      </c>
      <c r="L41" s="8">
        <f t="shared" si="0"/>
        <v>17.588999999999999</v>
      </c>
      <c r="M41" s="8">
        <f t="shared" si="1"/>
        <v>134.84899999999999</v>
      </c>
      <c r="N41" s="8"/>
      <c r="O41" s="8"/>
      <c r="P41" s="8"/>
    </row>
    <row r="42" spans="1:16" x14ac:dyDescent="0.2">
      <c r="A42" s="105">
        <v>4</v>
      </c>
      <c r="B42" s="111" t="s">
        <v>70</v>
      </c>
      <c r="D42" s="106" t="s">
        <v>138</v>
      </c>
      <c r="I42" s="106" t="s">
        <v>145</v>
      </c>
      <c r="J42" s="111" t="s">
        <v>146</v>
      </c>
      <c r="K42" s="108">
        <v>262.33999999999997</v>
      </c>
      <c r="L42" s="8">
        <f t="shared" si="0"/>
        <v>39.350999999999992</v>
      </c>
      <c r="M42" s="8">
        <f t="shared" si="1"/>
        <v>301.69099999999997</v>
      </c>
      <c r="N42" s="8"/>
      <c r="O42" s="8"/>
      <c r="P42" s="8"/>
    </row>
    <row r="43" spans="1:16" x14ac:dyDescent="0.2">
      <c r="A43" s="105">
        <v>5</v>
      </c>
      <c r="B43" s="111" t="s">
        <v>70</v>
      </c>
      <c r="D43" s="106" t="s">
        <v>138</v>
      </c>
      <c r="I43" s="106" t="s">
        <v>143</v>
      </c>
      <c r="J43" s="111" t="s">
        <v>147</v>
      </c>
      <c r="K43" s="108">
        <v>114.82</v>
      </c>
      <c r="L43" s="8">
        <f t="shared" si="0"/>
        <v>17.222999999999999</v>
      </c>
      <c r="M43" s="8">
        <f t="shared" si="1"/>
        <v>132.04300000000001</v>
      </c>
      <c r="N43" s="8"/>
      <c r="O43" s="8"/>
      <c r="P43" s="8"/>
    </row>
    <row r="44" spans="1:16" x14ac:dyDescent="0.2">
      <c r="A44" s="105">
        <v>6</v>
      </c>
      <c r="B44" s="111" t="s">
        <v>70</v>
      </c>
      <c r="D44" s="106" t="s">
        <v>138</v>
      </c>
      <c r="I44" s="106" t="s">
        <v>148</v>
      </c>
      <c r="J44" s="111" t="s">
        <v>149</v>
      </c>
      <c r="K44" s="108">
        <v>202.03</v>
      </c>
      <c r="L44" s="8">
        <f t="shared" si="0"/>
        <v>30.304499999999997</v>
      </c>
      <c r="M44" s="8">
        <f t="shared" si="1"/>
        <v>232.33449999999999</v>
      </c>
      <c r="N44" s="8"/>
      <c r="O44" s="8"/>
      <c r="P44" s="8"/>
    </row>
    <row r="45" spans="1:16" x14ac:dyDescent="0.2">
      <c r="A45" s="105">
        <v>7</v>
      </c>
      <c r="B45" s="111" t="s">
        <v>70</v>
      </c>
      <c r="D45" s="106" t="s">
        <v>138</v>
      </c>
      <c r="I45" s="106" t="s">
        <v>139</v>
      </c>
      <c r="J45" s="111" t="s">
        <v>150</v>
      </c>
      <c r="K45" s="108">
        <v>184.73</v>
      </c>
      <c r="L45" s="8">
        <f t="shared" si="0"/>
        <v>27.709499999999998</v>
      </c>
      <c r="M45" s="8">
        <f t="shared" si="1"/>
        <v>212.43949999999998</v>
      </c>
      <c r="N45" s="8"/>
      <c r="O45" s="8"/>
      <c r="P45" s="8"/>
    </row>
    <row r="46" spans="1:16" x14ac:dyDescent="0.2">
      <c r="A46" s="105">
        <v>8</v>
      </c>
      <c r="B46" s="111" t="s">
        <v>70</v>
      </c>
      <c r="D46" s="106" t="s">
        <v>138</v>
      </c>
      <c r="I46" s="106" t="s">
        <v>139</v>
      </c>
      <c r="J46" s="111" t="s">
        <v>151</v>
      </c>
      <c r="K46" s="108">
        <v>274.97000000000003</v>
      </c>
      <c r="L46" s="8">
        <f t="shared" si="0"/>
        <v>41.2455</v>
      </c>
      <c r="M46" s="8">
        <f t="shared" si="1"/>
        <v>316.21550000000002</v>
      </c>
      <c r="N46" s="8"/>
      <c r="O46" s="8"/>
      <c r="P46" s="8"/>
    </row>
    <row r="47" spans="1:16" x14ac:dyDescent="0.2">
      <c r="A47" s="105">
        <v>9</v>
      </c>
      <c r="B47" s="111" t="s">
        <v>70</v>
      </c>
      <c r="D47" s="106" t="s">
        <v>138</v>
      </c>
      <c r="I47" s="106" t="s">
        <v>152</v>
      </c>
      <c r="J47" s="111" t="s">
        <v>153</v>
      </c>
      <c r="K47" s="108">
        <v>120.99</v>
      </c>
      <c r="L47" s="8">
        <f t="shared" si="0"/>
        <v>18.148499999999999</v>
      </c>
      <c r="M47" s="8">
        <f t="shared" si="1"/>
        <v>139.13849999999999</v>
      </c>
      <c r="N47" s="8"/>
      <c r="O47" s="8"/>
      <c r="P47" s="8"/>
    </row>
    <row r="48" spans="1:16" x14ac:dyDescent="0.2">
      <c r="A48" s="105">
        <v>10</v>
      </c>
      <c r="B48" s="111" t="s">
        <v>70</v>
      </c>
      <c r="D48" s="106" t="s">
        <v>154</v>
      </c>
      <c r="I48" s="106" t="s">
        <v>143</v>
      </c>
      <c r="J48" s="111" t="s">
        <v>155</v>
      </c>
      <c r="K48" s="108">
        <v>-111.85</v>
      </c>
      <c r="L48" s="8">
        <f t="shared" si="0"/>
        <v>-16.7775</v>
      </c>
      <c r="M48" s="8">
        <f t="shared" si="1"/>
        <v>-128.6275</v>
      </c>
      <c r="N48" s="8"/>
      <c r="O48" s="8"/>
      <c r="P48" s="8"/>
    </row>
    <row r="49" spans="1:16" x14ac:dyDescent="0.2">
      <c r="A49" s="105">
        <v>11</v>
      </c>
      <c r="B49" s="111" t="s">
        <v>70</v>
      </c>
      <c r="D49" s="106" t="s">
        <v>154</v>
      </c>
      <c r="I49" s="106" t="s">
        <v>156</v>
      </c>
      <c r="J49" s="111" t="s">
        <v>157</v>
      </c>
      <c r="K49" s="108">
        <v>-120.99</v>
      </c>
      <c r="L49" s="8">
        <f t="shared" si="0"/>
        <v>-18.148499999999999</v>
      </c>
      <c r="M49" s="8">
        <f t="shared" si="1"/>
        <v>-139.13849999999999</v>
      </c>
      <c r="N49" s="8"/>
      <c r="O49" s="8"/>
      <c r="P49" s="8"/>
    </row>
    <row r="50" spans="1:16" x14ac:dyDescent="0.2">
      <c r="A50" s="105">
        <v>12</v>
      </c>
      <c r="B50" s="111" t="s">
        <v>70</v>
      </c>
      <c r="D50" s="106" t="s">
        <v>158</v>
      </c>
      <c r="I50" s="106" t="s">
        <v>141</v>
      </c>
      <c r="J50" s="111">
        <v>52411</v>
      </c>
      <c r="K50" s="108">
        <v>52.63</v>
      </c>
      <c r="L50" s="8">
        <f t="shared" si="0"/>
        <v>7.8944999999999999</v>
      </c>
      <c r="M50" s="8">
        <f t="shared" si="1"/>
        <v>60.524500000000003</v>
      </c>
      <c r="N50" s="8"/>
      <c r="O50" s="8"/>
      <c r="P50" s="8"/>
    </row>
    <row r="51" spans="1:16" x14ac:dyDescent="0.2">
      <c r="A51" s="105">
        <v>13</v>
      </c>
      <c r="B51" s="111" t="s">
        <v>70</v>
      </c>
      <c r="D51" s="106" t="s">
        <v>158</v>
      </c>
      <c r="I51" s="106" t="s">
        <v>141</v>
      </c>
      <c r="J51" s="111">
        <v>52923</v>
      </c>
      <c r="K51" s="108">
        <v>71.069999999999993</v>
      </c>
      <c r="L51" s="8">
        <f t="shared" si="0"/>
        <v>10.660499999999999</v>
      </c>
      <c r="M51" s="8">
        <f t="shared" si="1"/>
        <v>81.730499999999992</v>
      </c>
      <c r="N51" s="8"/>
      <c r="O51" s="8"/>
      <c r="P51" s="8"/>
    </row>
    <row r="52" spans="1:16" x14ac:dyDescent="0.2">
      <c r="A52" s="105">
        <v>14</v>
      </c>
      <c r="B52" s="111" t="s">
        <v>70</v>
      </c>
      <c r="D52" s="106" t="s">
        <v>158</v>
      </c>
      <c r="I52" s="106" t="s">
        <v>141</v>
      </c>
      <c r="J52" s="111">
        <v>52924</v>
      </c>
      <c r="K52" s="108">
        <v>21.36</v>
      </c>
      <c r="L52" s="8">
        <f t="shared" si="0"/>
        <v>3.2039999999999997</v>
      </c>
      <c r="M52" s="8">
        <f t="shared" si="1"/>
        <v>24.564</v>
      </c>
      <c r="N52" s="8"/>
      <c r="O52" s="8"/>
      <c r="P52" s="8"/>
    </row>
    <row r="53" spans="1:16" x14ac:dyDescent="0.2">
      <c r="A53" s="105">
        <v>15</v>
      </c>
      <c r="B53" s="111" t="s">
        <v>70</v>
      </c>
      <c r="D53" s="106" t="s">
        <v>158</v>
      </c>
      <c r="I53" s="106" t="s">
        <v>141</v>
      </c>
      <c r="J53" s="111">
        <v>53454</v>
      </c>
      <c r="K53" s="108">
        <v>81.77</v>
      </c>
      <c r="L53" s="8">
        <f t="shared" si="0"/>
        <v>12.265499999999999</v>
      </c>
      <c r="M53" s="8">
        <f t="shared" si="1"/>
        <v>94.035499999999999</v>
      </c>
      <c r="N53" s="8"/>
      <c r="O53" s="8"/>
      <c r="P53" s="8"/>
    </row>
    <row r="54" spans="1:16" x14ac:dyDescent="0.2">
      <c r="A54" s="105">
        <v>16</v>
      </c>
      <c r="B54" s="111" t="s">
        <v>70</v>
      </c>
      <c r="D54" s="106" t="s">
        <v>158</v>
      </c>
      <c r="I54" s="106" t="s">
        <v>141</v>
      </c>
      <c r="J54" s="111">
        <v>53636</v>
      </c>
      <c r="K54" s="108">
        <v>14.38</v>
      </c>
      <c r="L54" s="8">
        <f t="shared" si="0"/>
        <v>2.157</v>
      </c>
      <c r="M54" s="8">
        <f t="shared" si="1"/>
        <v>16.536999999999999</v>
      </c>
      <c r="N54" s="8"/>
      <c r="O54" s="8"/>
      <c r="P54" s="8"/>
    </row>
    <row r="55" spans="1:16" x14ac:dyDescent="0.2">
      <c r="A55" s="105">
        <v>17</v>
      </c>
      <c r="B55" s="111" t="s">
        <v>70</v>
      </c>
      <c r="D55" s="106" t="s">
        <v>158</v>
      </c>
      <c r="I55" s="106" t="s">
        <v>141</v>
      </c>
      <c r="J55" s="111">
        <v>53723</v>
      </c>
      <c r="K55" s="108">
        <v>94.03</v>
      </c>
      <c r="L55" s="8">
        <f t="shared" si="0"/>
        <v>14.1045</v>
      </c>
      <c r="M55" s="8">
        <f t="shared" si="1"/>
        <v>108.1345</v>
      </c>
      <c r="N55" s="8"/>
      <c r="O55" s="8"/>
      <c r="P55" s="8"/>
    </row>
    <row r="56" spans="1:16" x14ac:dyDescent="0.2">
      <c r="A56" s="105">
        <v>18</v>
      </c>
      <c r="B56" s="111" t="s">
        <v>70</v>
      </c>
      <c r="D56" s="106" t="s">
        <v>158</v>
      </c>
      <c r="I56" s="106" t="s">
        <v>141</v>
      </c>
      <c r="J56" s="111">
        <v>53724</v>
      </c>
      <c r="K56" s="108">
        <v>208.29</v>
      </c>
      <c r="L56" s="8">
        <f t="shared" si="0"/>
        <v>31.243499999999997</v>
      </c>
      <c r="M56" s="8">
        <f t="shared" si="1"/>
        <v>239.5335</v>
      </c>
      <c r="N56" s="8"/>
      <c r="O56" s="8"/>
      <c r="P56" s="8"/>
    </row>
    <row r="57" spans="1:16" x14ac:dyDescent="0.2">
      <c r="A57" s="105">
        <v>19</v>
      </c>
      <c r="B57" s="111" t="s">
        <v>70</v>
      </c>
      <c r="D57" s="106" t="s">
        <v>158</v>
      </c>
      <c r="I57" s="106" t="s">
        <v>141</v>
      </c>
      <c r="J57" s="111">
        <v>53839</v>
      </c>
      <c r="K57" s="108">
        <v>121.32</v>
      </c>
      <c r="L57" s="8">
        <f t="shared" si="0"/>
        <v>18.197999999999997</v>
      </c>
      <c r="M57" s="8">
        <f t="shared" si="1"/>
        <v>139.518</v>
      </c>
      <c r="N57" s="8"/>
      <c r="O57" s="8"/>
      <c r="P57" s="8"/>
    </row>
    <row r="58" spans="1:16" x14ac:dyDescent="0.2">
      <c r="A58" s="105">
        <v>20</v>
      </c>
      <c r="B58" s="111" t="s">
        <v>70</v>
      </c>
      <c r="D58" s="106" t="s">
        <v>159</v>
      </c>
      <c r="I58" s="106" t="s">
        <v>141</v>
      </c>
      <c r="J58" s="111">
        <v>38349540</v>
      </c>
      <c r="K58" s="108">
        <v>40.549999999999997</v>
      </c>
      <c r="L58" s="8">
        <f t="shared" si="0"/>
        <v>6.0824999999999996</v>
      </c>
      <c r="M58" s="8">
        <f t="shared" si="1"/>
        <v>46.632499999999993</v>
      </c>
      <c r="N58" s="8"/>
      <c r="O58" s="8"/>
      <c r="P58" s="8"/>
    </row>
    <row r="59" spans="1:16" x14ac:dyDescent="0.2">
      <c r="A59" s="105">
        <v>21</v>
      </c>
      <c r="B59" s="111" t="s">
        <v>70</v>
      </c>
      <c r="D59" s="106" t="s">
        <v>159</v>
      </c>
      <c r="I59" s="106" t="s">
        <v>141</v>
      </c>
      <c r="J59" s="111">
        <v>38450850</v>
      </c>
      <c r="K59" s="108">
        <v>9.06</v>
      </c>
      <c r="L59" s="8">
        <f t="shared" si="0"/>
        <v>1.359</v>
      </c>
      <c r="M59" s="8">
        <f t="shared" si="1"/>
        <v>10.419</v>
      </c>
      <c r="N59" s="8"/>
      <c r="O59" s="8"/>
      <c r="P59" s="8"/>
    </row>
    <row r="60" spans="1:16" x14ac:dyDescent="0.2">
      <c r="A60" s="105">
        <v>22</v>
      </c>
      <c r="B60" s="111" t="s">
        <v>70</v>
      </c>
      <c r="D60" s="106" t="s">
        <v>159</v>
      </c>
      <c r="I60" s="106" t="s">
        <v>145</v>
      </c>
      <c r="J60" s="111">
        <v>38514550</v>
      </c>
      <c r="K60" s="108">
        <v>50.13</v>
      </c>
      <c r="L60" s="8">
        <f t="shared" si="0"/>
        <v>7.5194999999999999</v>
      </c>
      <c r="M60" s="8">
        <f t="shared" si="1"/>
        <v>57.649500000000003</v>
      </c>
      <c r="N60" s="8"/>
      <c r="O60" s="8"/>
      <c r="P60" s="8"/>
    </row>
    <row r="61" spans="1:16" x14ac:dyDescent="0.2">
      <c r="A61" s="105">
        <v>23</v>
      </c>
      <c r="B61" s="111" t="s">
        <v>70</v>
      </c>
      <c r="D61" s="106" t="s">
        <v>159</v>
      </c>
      <c r="I61" s="106" t="s">
        <v>141</v>
      </c>
      <c r="J61" s="111">
        <v>38547210</v>
      </c>
      <c r="K61" s="108">
        <v>67.489999999999995</v>
      </c>
      <c r="L61" s="8">
        <f t="shared" si="0"/>
        <v>10.123499999999998</v>
      </c>
      <c r="M61" s="8">
        <f t="shared" si="1"/>
        <v>77.613499999999988</v>
      </c>
      <c r="N61" s="8"/>
      <c r="O61" s="8"/>
      <c r="P61" s="8"/>
    </row>
    <row r="62" spans="1:16" x14ac:dyDescent="0.2">
      <c r="A62" s="105">
        <v>24</v>
      </c>
      <c r="B62" s="111" t="s">
        <v>70</v>
      </c>
      <c r="D62" s="106" t="s">
        <v>159</v>
      </c>
      <c r="I62" s="106" t="s">
        <v>141</v>
      </c>
      <c r="J62" s="111">
        <v>40730320</v>
      </c>
      <c r="K62" s="108">
        <v>33.32</v>
      </c>
      <c r="L62" s="8">
        <f t="shared" si="0"/>
        <v>4.9980000000000002</v>
      </c>
      <c r="M62" s="8">
        <f t="shared" si="1"/>
        <v>38.317999999999998</v>
      </c>
      <c r="N62" s="8"/>
      <c r="O62" s="8"/>
      <c r="P62" s="8"/>
    </row>
    <row r="63" spans="1:16" x14ac:dyDescent="0.2">
      <c r="A63" s="105"/>
      <c r="B63" s="111"/>
      <c r="D63" s="106"/>
      <c r="I63" s="106"/>
      <c r="J63" s="113">
        <f>SUM(K39:K62)</f>
        <v>2181.2999999999997</v>
      </c>
      <c r="K63" s="3"/>
      <c r="M63" s="8"/>
      <c r="N63" s="8"/>
      <c r="O63" s="8"/>
      <c r="P63" s="8"/>
    </row>
    <row r="64" spans="1:16" x14ac:dyDescent="0.2">
      <c r="A64" s="105">
        <v>25</v>
      </c>
      <c r="B64" s="111" t="s">
        <v>71</v>
      </c>
      <c r="D64" s="106" t="s">
        <v>160</v>
      </c>
      <c r="I64" s="106" t="s">
        <v>161</v>
      </c>
      <c r="J64" s="111">
        <v>2667</v>
      </c>
      <c r="K64" s="108">
        <v>743.49</v>
      </c>
      <c r="L64" s="8">
        <f t="shared" si="0"/>
        <v>111.5235</v>
      </c>
      <c r="M64" s="8">
        <f t="shared" si="1"/>
        <v>855.01350000000002</v>
      </c>
      <c r="N64" s="8"/>
      <c r="O64" s="8"/>
      <c r="P64" s="8"/>
    </row>
    <row r="65" spans="1:16" x14ac:dyDescent="0.2">
      <c r="A65" s="105">
        <v>26</v>
      </c>
      <c r="B65" s="111" t="s">
        <v>71</v>
      </c>
      <c r="D65" s="106" t="s">
        <v>160</v>
      </c>
      <c r="I65" s="106" t="s">
        <v>161</v>
      </c>
      <c r="J65" s="111">
        <v>89936</v>
      </c>
      <c r="K65" s="108">
        <v>2042.4</v>
      </c>
      <c r="L65" s="8">
        <f t="shared" si="0"/>
        <v>306.36</v>
      </c>
      <c r="M65" s="8">
        <f t="shared" si="1"/>
        <v>2348.7600000000002</v>
      </c>
      <c r="N65" s="8"/>
      <c r="O65" s="8"/>
      <c r="P65" s="8"/>
    </row>
    <row r="66" spans="1:16" x14ac:dyDescent="0.2">
      <c r="A66" s="105">
        <v>27</v>
      </c>
      <c r="B66" s="111" t="s">
        <v>71</v>
      </c>
      <c r="D66" s="106" t="s">
        <v>160</v>
      </c>
      <c r="I66" s="106" t="s">
        <v>162</v>
      </c>
      <c r="J66" s="111">
        <v>477256</v>
      </c>
      <c r="K66" s="108">
        <v>60</v>
      </c>
      <c r="L66" s="8">
        <f t="shared" si="0"/>
        <v>9</v>
      </c>
      <c r="M66" s="8">
        <f t="shared" si="1"/>
        <v>69</v>
      </c>
      <c r="N66" s="8"/>
      <c r="O66" s="8"/>
      <c r="P66" s="8"/>
    </row>
    <row r="67" spans="1:16" x14ac:dyDescent="0.2">
      <c r="A67" s="105">
        <v>28</v>
      </c>
      <c r="B67" s="111" t="s">
        <v>71</v>
      </c>
      <c r="D67" s="106" t="s">
        <v>160</v>
      </c>
      <c r="I67" s="106" t="s">
        <v>162</v>
      </c>
      <c r="J67" s="111">
        <v>478728</v>
      </c>
      <c r="K67" s="108">
        <v>35</v>
      </c>
      <c r="L67" s="8">
        <f t="shared" si="0"/>
        <v>5.25</v>
      </c>
      <c r="M67" s="8">
        <f t="shared" si="1"/>
        <v>40.25</v>
      </c>
      <c r="N67" s="8"/>
      <c r="O67" s="8"/>
      <c r="P67" s="8"/>
    </row>
    <row r="68" spans="1:16" x14ac:dyDescent="0.2">
      <c r="A68" s="105">
        <v>29</v>
      </c>
      <c r="B68" s="111" t="s">
        <v>71</v>
      </c>
      <c r="D68" s="106" t="s">
        <v>163</v>
      </c>
      <c r="I68" s="106" t="s">
        <v>161</v>
      </c>
      <c r="J68" s="111">
        <v>8289</v>
      </c>
      <c r="K68" s="108">
        <v>1672</v>
      </c>
      <c r="L68" s="8">
        <f t="shared" si="0"/>
        <v>250.79999999999998</v>
      </c>
      <c r="M68" s="8">
        <f t="shared" si="1"/>
        <v>1922.8</v>
      </c>
      <c r="N68" s="8"/>
      <c r="O68" s="8"/>
      <c r="P68" s="8"/>
    </row>
    <row r="69" spans="1:16" x14ac:dyDescent="0.2">
      <c r="A69" s="105">
        <v>30</v>
      </c>
      <c r="B69" s="111" t="s">
        <v>71</v>
      </c>
      <c r="D69" s="106" t="s">
        <v>163</v>
      </c>
      <c r="I69" s="106" t="s">
        <v>161</v>
      </c>
      <c r="J69" s="111">
        <v>8306</v>
      </c>
      <c r="K69" s="108">
        <v>968</v>
      </c>
      <c r="L69" s="8">
        <f t="shared" si="0"/>
        <v>145.19999999999999</v>
      </c>
      <c r="M69" s="8">
        <f t="shared" si="1"/>
        <v>1113.2</v>
      </c>
      <c r="N69" s="8"/>
      <c r="O69" s="8"/>
      <c r="P69" s="8"/>
    </row>
    <row r="70" spans="1:16" x14ac:dyDescent="0.2">
      <c r="A70" s="105">
        <v>31</v>
      </c>
      <c r="B70" s="111" t="s">
        <v>71</v>
      </c>
      <c r="D70" s="106" t="s">
        <v>164</v>
      </c>
      <c r="I70" s="106" t="s">
        <v>161</v>
      </c>
      <c r="J70" s="111">
        <v>4621</v>
      </c>
      <c r="K70" s="108">
        <v>1200</v>
      </c>
      <c r="L70" s="8">
        <f t="shared" si="0"/>
        <v>180</v>
      </c>
      <c r="M70" s="8">
        <f t="shared" si="1"/>
        <v>1380</v>
      </c>
      <c r="N70" s="8"/>
      <c r="O70" s="8"/>
      <c r="P70" s="8"/>
    </row>
    <row r="71" spans="1:16" x14ac:dyDescent="0.2">
      <c r="A71" s="105"/>
      <c r="B71" s="111"/>
      <c r="D71" s="106"/>
      <c r="I71" s="106"/>
      <c r="J71" s="113">
        <f>SUM(K64:K70)</f>
        <v>6720.89</v>
      </c>
      <c r="K71" s="3"/>
      <c r="M71" s="8"/>
      <c r="N71" s="8"/>
      <c r="O71" s="8"/>
      <c r="P71" s="8"/>
    </row>
    <row r="72" spans="1:16" ht="24.75" customHeight="1" x14ac:dyDescent="0.2">
      <c r="A72" s="105">
        <v>32</v>
      </c>
      <c r="B72" s="111" t="s">
        <v>72</v>
      </c>
      <c r="D72" s="472" t="s">
        <v>165</v>
      </c>
      <c r="E72" s="422"/>
      <c r="F72" s="422"/>
      <c r="G72" s="422"/>
      <c r="I72" s="106" t="s">
        <v>166</v>
      </c>
      <c r="J72" s="111">
        <v>27317655</v>
      </c>
      <c r="K72" s="108">
        <v>906.47</v>
      </c>
      <c r="L72" s="8">
        <f t="shared" si="0"/>
        <v>135.97049999999999</v>
      </c>
      <c r="M72" s="8">
        <f t="shared" si="1"/>
        <v>1042.4404999999999</v>
      </c>
      <c r="N72" s="8"/>
      <c r="O72" s="8"/>
      <c r="P72" s="8"/>
    </row>
    <row r="73" spans="1:16" x14ac:dyDescent="0.2">
      <c r="A73" s="105">
        <v>33</v>
      </c>
      <c r="B73" s="111" t="s">
        <v>72</v>
      </c>
      <c r="D73" s="106" t="s">
        <v>138</v>
      </c>
      <c r="I73" s="106" t="s">
        <v>167</v>
      </c>
      <c r="J73" s="111" t="s">
        <v>168</v>
      </c>
      <c r="K73" s="108">
        <v>42.57</v>
      </c>
      <c r="L73" s="8">
        <f t="shared" si="0"/>
        <v>6.3854999999999995</v>
      </c>
      <c r="M73" s="8">
        <f t="shared" si="1"/>
        <v>48.955500000000001</v>
      </c>
      <c r="N73" s="8"/>
      <c r="O73" s="8"/>
      <c r="P73" s="8"/>
    </row>
    <row r="74" spans="1:16" x14ac:dyDescent="0.2">
      <c r="A74" s="105">
        <v>34</v>
      </c>
      <c r="B74" s="111" t="s">
        <v>72</v>
      </c>
      <c r="D74" s="106" t="s">
        <v>138</v>
      </c>
      <c r="I74" s="106" t="s">
        <v>167</v>
      </c>
      <c r="J74" s="111" t="s">
        <v>169</v>
      </c>
      <c r="K74" s="108">
        <v>29.66</v>
      </c>
      <c r="L74" s="8">
        <f t="shared" si="0"/>
        <v>4.4489999999999998</v>
      </c>
      <c r="M74" s="8">
        <f t="shared" si="1"/>
        <v>34.109000000000002</v>
      </c>
      <c r="N74" s="8"/>
      <c r="O74" s="8"/>
      <c r="P74" s="8"/>
    </row>
    <row r="75" spans="1:16" x14ac:dyDescent="0.2">
      <c r="A75" s="105">
        <v>35</v>
      </c>
      <c r="B75" s="111" t="s">
        <v>72</v>
      </c>
      <c r="D75" s="106" t="s">
        <v>138</v>
      </c>
      <c r="I75" s="106" t="s">
        <v>170</v>
      </c>
      <c r="J75" s="111" t="s">
        <v>171</v>
      </c>
      <c r="K75" s="108">
        <v>47</v>
      </c>
      <c r="L75" s="8">
        <f t="shared" si="0"/>
        <v>7.05</v>
      </c>
      <c r="M75" s="8">
        <f t="shared" si="1"/>
        <v>54.05</v>
      </c>
      <c r="N75" s="8"/>
      <c r="O75" s="8"/>
      <c r="P75" s="8"/>
    </row>
    <row r="76" spans="1:16" x14ac:dyDescent="0.2">
      <c r="A76" s="105">
        <v>36</v>
      </c>
      <c r="B76" s="111" t="s">
        <v>72</v>
      </c>
      <c r="D76" s="106" t="s">
        <v>138</v>
      </c>
      <c r="I76" s="106" t="s">
        <v>170</v>
      </c>
      <c r="J76" s="111" t="s">
        <v>172</v>
      </c>
      <c r="K76" s="108">
        <v>103.2</v>
      </c>
      <c r="L76" s="8">
        <f t="shared" si="0"/>
        <v>15.48</v>
      </c>
      <c r="M76" s="8">
        <f t="shared" si="1"/>
        <v>118.68</v>
      </c>
      <c r="N76" s="8"/>
      <c r="O76" s="8"/>
      <c r="P76" s="8"/>
    </row>
    <row r="77" spans="1:16" x14ac:dyDescent="0.2">
      <c r="A77" s="105">
        <v>37</v>
      </c>
      <c r="B77" s="111" t="s">
        <v>72</v>
      </c>
      <c r="D77" s="106" t="s">
        <v>154</v>
      </c>
      <c r="I77" s="106" t="s">
        <v>170</v>
      </c>
      <c r="J77" s="111" t="s">
        <v>173</v>
      </c>
      <c r="K77" s="108">
        <v>-43.23</v>
      </c>
      <c r="L77" s="8">
        <f t="shared" si="0"/>
        <v>-6.4844999999999997</v>
      </c>
      <c r="M77" s="8">
        <f t="shared" si="1"/>
        <v>-49.714499999999994</v>
      </c>
      <c r="N77" s="8"/>
      <c r="O77" s="8"/>
      <c r="P77" s="8"/>
    </row>
    <row r="78" spans="1:16" x14ac:dyDescent="0.2">
      <c r="A78" s="105">
        <v>38</v>
      </c>
      <c r="B78" s="111" t="s">
        <v>72</v>
      </c>
      <c r="D78" s="106" t="s">
        <v>174</v>
      </c>
      <c r="I78" s="106" t="s">
        <v>175</v>
      </c>
      <c r="J78" s="111">
        <v>25226</v>
      </c>
      <c r="K78" s="108">
        <v>1550.13</v>
      </c>
      <c r="L78" s="8">
        <f t="shared" si="0"/>
        <v>232.51949999999999</v>
      </c>
      <c r="M78" s="8">
        <f t="shared" si="1"/>
        <v>1782.6495</v>
      </c>
      <c r="N78" s="8"/>
      <c r="O78" s="8"/>
      <c r="P78" s="8"/>
    </row>
    <row r="79" spans="1:16" x14ac:dyDescent="0.2">
      <c r="A79" s="105">
        <v>39</v>
      </c>
      <c r="B79" s="111" t="s">
        <v>72</v>
      </c>
      <c r="D79" s="106" t="s">
        <v>176</v>
      </c>
      <c r="I79" s="106" t="s">
        <v>177</v>
      </c>
      <c r="J79" s="111">
        <v>147826</v>
      </c>
      <c r="K79" s="108">
        <v>629.26</v>
      </c>
      <c r="L79" s="8">
        <f t="shared" si="0"/>
        <v>94.388999999999996</v>
      </c>
      <c r="M79" s="8">
        <f t="shared" si="1"/>
        <v>723.649</v>
      </c>
      <c r="N79" s="8"/>
      <c r="O79" s="8"/>
      <c r="P79" s="8"/>
    </row>
    <row r="80" spans="1:16" x14ac:dyDescent="0.2">
      <c r="A80" s="105">
        <v>40</v>
      </c>
      <c r="B80" s="111" t="s">
        <v>72</v>
      </c>
      <c r="D80" s="106" t="s">
        <v>158</v>
      </c>
      <c r="I80" s="106" t="s">
        <v>178</v>
      </c>
      <c r="J80" s="111">
        <v>1014</v>
      </c>
      <c r="K80" s="108">
        <v>36.03</v>
      </c>
      <c r="L80" s="8">
        <f t="shared" si="0"/>
        <v>5.4044999999999996</v>
      </c>
      <c r="M80" s="8">
        <f t="shared" si="1"/>
        <v>41.4345</v>
      </c>
      <c r="N80" s="8"/>
      <c r="O80" s="8"/>
      <c r="P80" s="8"/>
    </row>
    <row r="81" spans="1:16" x14ac:dyDescent="0.2">
      <c r="A81" s="105">
        <v>41</v>
      </c>
      <c r="B81" s="111" t="s">
        <v>72</v>
      </c>
      <c r="D81" s="106" t="s">
        <v>158</v>
      </c>
      <c r="I81" s="106" t="s">
        <v>170</v>
      </c>
      <c r="J81" s="111">
        <v>52320</v>
      </c>
      <c r="K81" s="108">
        <v>36.78</v>
      </c>
      <c r="L81" s="8">
        <f t="shared" si="0"/>
        <v>5.5170000000000003</v>
      </c>
      <c r="M81" s="8">
        <f t="shared" si="1"/>
        <v>42.297000000000004</v>
      </c>
      <c r="N81" s="8"/>
      <c r="O81" s="8"/>
      <c r="P81" s="8"/>
    </row>
    <row r="82" spans="1:16" x14ac:dyDescent="0.2">
      <c r="A82" s="105">
        <v>42</v>
      </c>
      <c r="B82" s="111" t="s">
        <v>72</v>
      </c>
      <c r="D82" s="106" t="s">
        <v>158</v>
      </c>
      <c r="I82" s="106" t="s">
        <v>179</v>
      </c>
      <c r="J82" s="111">
        <v>53961</v>
      </c>
      <c r="K82" s="108">
        <v>14.77</v>
      </c>
      <c r="L82" s="8">
        <f t="shared" si="0"/>
        <v>2.2155</v>
      </c>
      <c r="M82" s="8">
        <f t="shared" si="1"/>
        <v>16.985499999999998</v>
      </c>
      <c r="N82" s="8"/>
      <c r="O82" s="8"/>
      <c r="P82" s="8"/>
    </row>
    <row r="83" spans="1:16" x14ac:dyDescent="0.2">
      <c r="A83" s="105">
        <v>43</v>
      </c>
      <c r="B83" s="111" t="s">
        <v>72</v>
      </c>
      <c r="D83" s="106" t="s">
        <v>158</v>
      </c>
      <c r="I83" s="106" t="s">
        <v>141</v>
      </c>
      <c r="J83" s="111">
        <v>54454</v>
      </c>
      <c r="K83" s="108">
        <v>140.75</v>
      </c>
      <c r="L83" s="8">
        <f t="shared" si="0"/>
        <v>21.112500000000001</v>
      </c>
      <c r="M83" s="8">
        <f t="shared" si="1"/>
        <v>161.86250000000001</v>
      </c>
      <c r="N83" s="8"/>
      <c r="O83" s="8"/>
      <c r="P83" s="8"/>
    </row>
    <row r="84" spans="1:16" x14ac:dyDescent="0.2">
      <c r="A84" s="105">
        <v>44</v>
      </c>
      <c r="B84" s="111" t="s">
        <v>72</v>
      </c>
      <c r="D84" s="106" t="s">
        <v>158</v>
      </c>
      <c r="I84" s="106" t="s">
        <v>170</v>
      </c>
      <c r="J84" s="111">
        <v>54511</v>
      </c>
      <c r="K84" s="108">
        <v>14.15</v>
      </c>
      <c r="L84" s="8">
        <f t="shared" si="0"/>
        <v>2.1225000000000001</v>
      </c>
      <c r="M84" s="8">
        <f t="shared" si="1"/>
        <v>16.272500000000001</v>
      </c>
      <c r="N84" s="8"/>
      <c r="O84" s="8"/>
      <c r="P84" s="8"/>
    </row>
    <row r="85" spans="1:16" x14ac:dyDescent="0.2">
      <c r="A85" s="105">
        <v>45</v>
      </c>
      <c r="B85" s="111" t="s">
        <v>72</v>
      </c>
      <c r="D85" s="106" t="s">
        <v>158</v>
      </c>
      <c r="I85" s="106" t="s">
        <v>141</v>
      </c>
      <c r="J85" s="111">
        <v>54563</v>
      </c>
      <c r="K85" s="108">
        <v>103.41</v>
      </c>
      <c r="L85" s="8">
        <f t="shared" si="0"/>
        <v>15.511499999999998</v>
      </c>
      <c r="M85" s="8">
        <f t="shared" si="1"/>
        <v>118.92149999999999</v>
      </c>
      <c r="N85" s="8"/>
      <c r="O85" s="8"/>
      <c r="P85" s="8"/>
    </row>
    <row r="86" spans="1:16" x14ac:dyDescent="0.2">
      <c r="A86" s="105">
        <v>46</v>
      </c>
      <c r="B86" s="111" t="s">
        <v>72</v>
      </c>
      <c r="D86" s="106" t="s">
        <v>159</v>
      </c>
      <c r="I86" s="106" t="s">
        <v>170</v>
      </c>
      <c r="J86" s="111">
        <v>37721810</v>
      </c>
      <c r="K86" s="108">
        <v>129.87</v>
      </c>
      <c r="L86" s="8">
        <f t="shared" si="0"/>
        <v>19.480499999999999</v>
      </c>
      <c r="M86" s="8">
        <f t="shared" si="1"/>
        <v>149.35050000000001</v>
      </c>
      <c r="N86" s="8"/>
      <c r="O86" s="8"/>
      <c r="P86" s="8"/>
    </row>
    <row r="87" spans="1:16" x14ac:dyDescent="0.2">
      <c r="A87" s="105">
        <v>47</v>
      </c>
      <c r="B87" s="111" t="s">
        <v>72</v>
      </c>
      <c r="D87" s="106" t="s">
        <v>159</v>
      </c>
      <c r="I87" s="106" t="s">
        <v>170</v>
      </c>
      <c r="J87" s="111">
        <v>37786920</v>
      </c>
      <c r="K87" s="108">
        <v>710.49</v>
      </c>
      <c r="L87" s="8">
        <f t="shared" si="0"/>
        <v>106.5735</v>
      </c>
      <c r="M87" s="8">
        <f t="shared" si="1"/>
        <v>817.06349999999998</v>
      </c>
      <c r="N87" s="8"/>
      <c r="O87" s="8"/>
      <c r="P87" s="8"/>
    </row>
    <row r="88" spans="1:16" x14ac:dyDescent="0.2">
      <c r="A88" s="105">
        <v>48</v>
      </c>
      <c r="B88" s="111" t="s">
        <v>72</v>
      </c>
      <c r="D88" s="106" t="s">
        <v>159</v>
      </c>
      <c r="I88" s="106" t="s">
        <v>170</v>
      </c>
      <c r="J88" s="111">
        <v>37849170</v>
      </c>
      <c r="K88" s="108">
        <v>66.739999999999995</v>
      </c>
      <c r="L88" s="8">
        <f t="shared" si="0"/>
        <v>10.010999999999999</v>
      </c>
      <c r="M88" s="8">
        <f t="shared" si="1"/>
        <v>76.750999999999991</v>
      </c>
      <c r="N88" s="8"/>
      <c r="O88" s="8"/>
      <c r="P88" s="8"/>
    </row>
    <row r="89" spans="1:16" x14ac:dyDescent="0.2">
      <c r="A89" s="105">
        <v>49</v>
      </c>
      <c r="B89" s="111" t="s">
        <v>72</v>
      </c>
      <c r="D89" s="106" t="s">
        <v>159</v>
      </c>
      <c r="I89" s="106" t="s">
        <v>180</v>
      </c>
      <c r="J89" s="111">
        <v>64019725</v>
      </c>
      <c r="K89" s="108">
        <v>44.84</v>
      </c>
      <c r="L89" s="8">
        <f t="shared" si="0"/>
        <v>6.726</v>
      </c>
      <c r="M89" s="8">
        <f t="shared" si="1"/>
        <v>51.566000000000003</v>
      </c>
      <c r="N89" s="8"/>
      <c r="O89" s="8"/>
      <c r="P89" s="8"/>
    </row>
    <row r="90" spans="1:16" x14ac:dyDescent="0.2">
      <c r="A90" s="105">
        <v>50</v>
      </c>
      <c r="B90" s="111" t="s">
        <v>72</v>
      </c>
      <c r="D90" s="106" t="s">
        <v>181</v>
      </c>
      <c r="I90" s="106" t="s">
        <v>182</v>
      </c>
      <c r="J90" s="111">
        <v>7498</v>
      </c>
      <c r="K90" s="108">
        <v>4921.95</v>
      </c>
      <c r="L90" s="8">
        <f t="shared" si="0"/>
        <v>738.2924999999999</v>
      </c>
      <c r="M90" s="8">
        <f t="shared" si="1"/>
        <v>5660.2424999999994</v>
      </c>
      <c r="N90" s="8"/>
      <c r="O90" s="8"/>
      <c r="P90" s="8"/>
    </row>
    <row r="91" spans="1:16" x14ac:dyDescent="0.2">
      <c r="A91" s="105"/>
      <c r="B91" s="111"/>
      <c r="D91" s="106"/>
      <c r="I91" s="106"/>
      <c r="J91" s="113">
        <f>SUM(K72:K90)</f>
        <v>9484.84</v>
      </c>
      <c r="K91" s="3"/>
      <c r="M91" s="8"/>
      <c r="N91" s="8"/>
      <c r="O91" s="8"/>
      <c r="P91" s="8"/>
    </row>
    <row r="92" spans="1:16" x14ac:dyDescent="0.2">
      <c r="A92" s="105"/>
      <c r="B92" s="111"/>
      <c r="D92" s="106"/>
      <c r="I92" s="106"/>
      <c r="J92" s="106"/>
      <c r="K92" s="3"/>
      <c r="M92" s="8"/>
      <c r="N92" s="8"/>
      <c r="O92" s="8"/>
      <c r="P92" s="8"/>
    </row>
    <row r="93" spans="1:16" x14ac:dyDescent="0.2">
      <c r="A93" s="104" t="s">
        <v>132</v>
      </c>
      <c r="B93" s="104" t="s">
        <v>133</v>
      </c>
      <c r="D93" s="104" t="s">
        <v>134</v>
      </c>
      <c r="I93" s="104" t="s">
        <v>135</v>
      </c>
      <c r="J93" s="112" t="s">
        <v>136</v>
      </c>
      <c r="K93" s="109" t="s">
        <v>137</v>
      </c>
      <c r="L93" s="110" t="s">
        <v>198</v>
      </c>
      <c r="M93" s="110" t="s">
        <v>199</v>
      </c>
      <c r="N93" s="110" t="s">
        <v>201</v>
      </c>
      <c r="O93" s="8"/>
      <c r="P93" s="8"/>
    </row>
    <row r="94" spans="1:16" x14ac:dyDescent="0.2">
      <c r="A94" s="105">
        <v>51</v>
      </c>
      <c r="B94" s="111" t="s">
        <v>183</v>
      </c>
      <c r="D94" s="106" t="s">
        <v>184</v>
      </c>
      <c r="K94" s="3"/>
      <c r="L94" s="3"/>
      <c r="O94" s="8"/>
      <c r="P94" s="8"/>
    </row>
    <row r="95" spans="1:16" x14ac:dyDescent="0.2">
      <c r="A95" s="105"/>
      <c r="B95" s="111"/>
      <c r="D95" s="106"/>
      <c r="I95" s="106" t="s">
        <v>185</v>
      </c>
      <c r="J95" s="111">
        <v>712</v>
      </c>
      <c r="K95" s="108">
        <v>26541.73</v>
      </c>
      <c r="L95" s="8">
        <f>+K95*0.15</f>
        <v>3981.2594999999997</v>
      </c>
      <c r="M95" s="8">
        <f>+K95+L95</f>
        <v>30522.9895</v>
      </c>
      <c r="N95" s="8">
        <f>+M95*-0.5</f>
        <v>-15261.49475</v>
      </c>
      <c r="O95" s="8"/>
      <c r="P95" s="8"/>
    </row>
    <row r="96" spans="1:16" x14ac:dyDescent="0.2">
      <c r="A96" s="105"/>
      <c r="B96" s="111"/>
      <c r="D96" s="335" t="s">
        <v>827</v>
      </c>
      <c r="I96" s="106"/>
      <c r="J96" s="111"/>
      <c r="K96" s="108"/>
      <c r="M96" s="8"/>
      <c r="N96" s="8"/>
      <c r="O96" s="8"/>
      <c r="P96" s="8"/>
    </row>
    <row r="97" spans="1:16" x14ac:dyDescent="0.2">
      <c r="A97" s="105">
        <v>52</v>
      </c>
      <c r="B97" s="111" t="s">
        <v>183</v>
      </c>
      <c r="D97" s="106" t="s">
        <v>186</v>
      </c>
      <c r="K97" s="3"/>
      <c r="L97" s="3"/>
      <c r="O97" s="8"/>
      <c r="P97" s="8"/>
    </row>
    <row r="98" spans="1:16" x14ac:dyDescent="0.2">
      <c r="A98" s="105"/>
      <c r="B98" s="111"/>
      <c r="D98" s="106"/>
      <c r="I98" s="107" t="s">
        <v>187</v>
      </c>
      <c r="J98" s="111">
        <v>886</v>
      </c>
      <c r="K98" s="108">
        <v>66541.710000000006</v>
      </c>
      <c r="L98" s="8">
        <f>+K98*0.15</f>
        <v>9981.2565000000013</v>
      </c>
      <c r="M98" s="8">
        <f>+K98+L98</f>
        <v>76522.96650000001</v>
      </c>
      <c r="N98" s="8">
        <f>-M98</f>
        <v>-76522.96650000001</v>
      </c>
      <c r="O98" s="8"/>
      <c r="P98" s="8"/>
    </row>
    <row r="99" spans="1:16" x14ac:dyDescent="0.2">
      <c r="A99" s="105"/>
      <c r="B99" s="111"/>
      <c r="D99" s="335" t="s">
        <v>202</v>
      </c>
      <c r="I99" s="106"/>
      <c r="J99" s="111"/>
      <c r="K99" s="108"/>
      <c r="M99" s="8"/>
      <c r="N99" s="8"/>
      <c r="O99" s="8"/>
      <c r="P99" s="8"/>
    </row>
    <row r="100" spans="1:16" x14ac:dyDescent="0.2">
      <c r="A100" s="105">
        <v>53</v>
      </c>
      <c r="B100" s="111" t="s">
        <v>183</v>
      </c>
      <c r="D100" s="106" t="s">
        <v>186</v>
      </c>
      <c r="K100" s="3"/>
      <c r="L100" s="3"/>
      <c r="O100" s="8"/>
      <c r="P100" s="8"/>
    </row>
    <row r="101" spans="1:16" x14ac:dyDescent="0.2">
      <c r="A101" s="105"/>
      <c r="B101" s="111"/>
      <c r="D101" s="106"/>
      <c r="I101" s="107" t="s">
        <v>187</v>
      </c>
      <c r="J101" s="111">
        <v>887</v>
      </c>
      <c r="K101" s="108">
        <v>38839.69</v>
      </c>
      <c r="L101" s="8">
        <f>+K101*0.15</f>
        <v>5825.9535000000005</v>
      </c>
      <c r="M101" s="8">
        <f>+K101+L101</f>
        <v>44665.643500000006</v>
      </c>
      <c r="N101" s="8">
        <f>-M101</f>
        <v>-44665.643500000006</v>
      </c>
      <c r="O101" s="8"/>
      <c r="P101" s="8"/>
    </row>
    <row r="102" spans="1:16" x14ac:dyDescent="0.2">
      <c r="A102" s="105"/>
      <c r="B102" s="111"/>
      <c r="D102" s="335" t="s">
        <v>202</v>
      </c>
      <c r="I102" s="106"/>
      <c r="J102" s="111"/>
      <c r="K102" s="108"/>
      <c r="M102" s="8"/>
      <c r="N102" s="8"/>
      <c r="O102" s="8"/>
      <c r="P102" s="8"/>
    </row>
    <row r="103" spans="1:16" x14ac:dyDescent="0.2">
      <c r="A103" s="105">
        <v>54</v>
      </c>
      <c r="B103" s="111" t="s">
        <v>183</v>
      </c>
      <c r="D103" s="106" t="s">
        <v>188</v>
      </c>
      <c r="K103" s="3"/>
      <c r="L103" s="3"/>
      <c r="O103" s="8"/>
      <c r="P103" s="8"/>
    </row>
    <row r="104" spans="1:16" x14ac:dyDescent="0.2">
      <c r="A104" s="105"/>
      <c r="B104" s="111"/>
      <c r="D104" s="106"/>
      <c r="I104" s="107" t="s">
        <v>189</v>
      </c>
      <c r="J104" s="111">
        <v>802</v>
      </c>
      <c r="K104" s="108">
        <v>1970</v>
      </c>
      <c r="L104" s="8">
        <f>+K104*0.15</f>
        <v>295.5</v>
      </c>
      <c r="M104" s="8">
        <f>+K104+L104</f>
        <v>2265.5</v>
      </c>
      <c r="N104" s="8">
        <f>-M104</f>
        <v>-2265.5</v>
      </c>
      <c r="O104" s="8"/>
      <c r="P104" s="8"/>
    </row>
    <row r="105" spans="1:16" x14ac:dyDescent="0.2">
      <c r="A105" s="105"/>
      <c r="B105" s="111"/>
      <c r="D105" s="335" t="s">
        <v>203</v>
      </c>
      <c r="I105" s="106"/>
      <c r="J105" s="111"/>
      <c r="K105" s="108"/>
      <c r="M105" s="8"/>
      <c r="N105" s="8"/>
      <c r="O105" s="8"/>
      <c r="P105" s="8"/>
    </row>
    <row r="106" spans="1:16" x14ac:dyDescent="0.2">
      <c r="A106" s="105">
        <v>55</v>
      </c>
      <c r="B106" s="111" t="s">
        <v>183</v>
      </c>
      <c r="D106" s="106" t="s">
        <v>190</v>
      </c>
      <c r="K106" s="3"/>
      <c r="L106" s="3"/>
      <c r="O106" s="8"/>
      <c r="P106" s="8"/>
    </row>
    <row r="107" spans="1:16" x14ac:dyDescent="0.2">
      <c r="A107" s="105"/>
      <c r="B107" s="111"/>
      <c r="D107" s="106"/>
      <c r="I107" s="107" t="s">
        <v>191</v>
      </c>
      <c r="J107" s="111">
        <v>2088</v>
      </c>
      <c r="K107" s="108">
        <v>21098.54</v>
      </c>
      <c r="L107" s="8">
        <f>+K107*0.15</f>
        <v>3164.7809999999999</v>
      </c>
      <c r="M107" s="8">
        <f>+K107+L107</f>
        <v>24263.321</v>
      </c>
      <c r="N107" s="8"/>
      <c r="O107" s="8"/>
      <c r="P107" s="8"/>
    </row>
    <row r="108" spans="1:16" x14ac:dyDescent="0.2">
      <c r="A108" s="105"/>
      <c r="B108" s="111"/>
      <c r="D108" s="106"/>
      <c r="I108" s="106"/>
      <c r="J108" s="111"/>
      <c r="K108" s="108"/>
      <c r="M108" s="8"/>
      <c r="N108" s="16"/>
      <c r="O108" s="8"/>
      <c r="P108" s="8"/>
    </row>
    <row r="109" spans="1:16" x14ac:dyDescent="0.2">
      <c r="A109" s="105"/>
      <c r="B109" s="111"/>
      <c r="D109" s="106"/>
      <c r="I109" s="106"/>
      <c r="J109" s="113">
        <f>SUM(K95:K107)</f>
        <v>154991.67000000001</v>
      </c>
      <c r="K109" s="3"/>
      <c r="M109" s="8"/>
      <c r="N109" s="8">
        <f>SUM(N95:N105)</f>
        <v>-138715.60475</v>
      </c>
      <c r="O109" s="8"/>
      <c r="P109" s="8"/>
    </row>
    <row r="110" spans="1:16" x14ac:dyDescent="0.2">
      <c r="A110" s="105">
        <v>56</v>
      </c>
      <c r="B110" s="111" t="s">
        <v>73</v>
      </c>
      <c r="D110" s="106" t="s">
        <v>192</v>
      </c>
      <c r="K110" s="3"/>
      <c r="L110" s="3"/>
      <c r="N110" s="8"/>
      <c r="O110" s="8"/>
      <c r="P110" s="8"/>
    </row>
    <row r="111" spans="1:16" x14ac:dyDescent="0.2">
      <c r="A111" s="105"/>
      <c r="B111" s="111"/>
      <c r="D111" s="106"/>
      <c r="I111" s="106" t="s">
        <v>193</v>
      </c>
      <c r="J111" s="111" t="s">
        <v>194</v>
      </c>
      <c r="K111" s="108">
        <v>708.2</v>
      </c>
      <c r="L111" s="8">
        <f>+K111*0.15</f>
        <v>106.23</v>
      </c>
      <c r="M111" s="8">
        <f>+K111+L111</f>
        <v>814.43000000000006</v>
      </c>
      <c r="N111" s="8">
        <f>-M111</f>
        <v>-814.43000000000006</v>
      </c>
      <c r="O111" s="8"/>
      <c r="P111" s="8"/>
    </row>
    <row r="112" spans="1:16" x14ac:dyDescent="0.2">
      <c r="A112" s="105"/>
      <c r="B112" s="111"/>
      <c r="D112" s="335" t="s">
        <v>204</v>
      </c>
      <c r="I112" s="106"/>
      <c r="J112" s="111"/>
      <c r="K112" s="108"/>
      <c r="M112" s="8"/>
      <c r="N112" s="8"/>
      <c r="O112" s="8"/>
      <c r="P112" s="8"/>
    </row>
    <row r="113" spans="1:16" x14ac:dyDescent="0.2">
      <c r="A113" s="105">
        <v>57</v>
      </c>
      <c r="B113" s="111" t="s">
        <v>73</v>
      </c>
      <c r="D113" s="106" t="s">
        <v>192</v>
      </c>
      <c r="K113" s="3"/>
      <c r="L113" s="3"/>
      <c r="N113" s="8"/>
      <c r="O113" s="8"/>
      <c r="P113" s="8"/>
    </row>
    <row r="114" spans="1:16" x14ac:dyDescent="0.2">
      <c r="A114" s="105"/>
      <c r="B114" s="111"/>
      <c r="D114" s="106"/>
      <c r="I114" s="106" t="s">
        <v>193</v>
      </c>
      <c r="J114" s="111" t="s">
        <v>195</v>
      </c>
      <c r="K114" s="108">
        <v>480</v>
      </c>
      <c r="L114" s="8">
        <f>+K114*0.15</f>
        <v>72</v>
      </c>
      <c r="M114" s="8">
        <f>+K114+L114</f>
        <v>552</v>
      </c>
      <c r="N114" s="8">
        <f>-M114</f>
        <v>-552</v>
      </c>
      <c r="O114" s="8"/>
      <c r="P114" s="8"/>
    </row>
    <row r="115" spans="1:16" x14ac:dyDescent="0.2">
      <c r="A115" s="105"/>
      <c r="B115" s="111"/>
      <c r="D115" s="335" t="s">
        <v>204</v>
      </c>
      <c r="I115" s="106"/>
      <c r="J115" s="111"/>
      <c r="K115" s="108"/>
      <c r="M115" s="8"/>
      <c r="N115" s="8"/>
      <c r="O115" s="8"/>
      <c r="P115" s="8"/>
    </row>
    <row r="116" spans="1:16" x14ac:dyDescent="0.2">
      <c r="A116" s="105">
        <v>58</v>
      </c>
      <c r="B116" s="111" t="s">
        <v>73</v>
      </c>
      <c r="D116" s="106" t="s">
        <v>192</v>
      </c>
      <c r="I116" s="106" t="s">
        <v>193</v>
      </c>
      <c r="J116" s="111" t="s">
        <v>196</v>
      </c>
      <c r="K116" s="109">
        <v>360</v>
      </c>
      <c r="L116" s="22">
        <f t="shared" si="0"/>
        <v>54</v>
      </c>
      <c r="M116" s="22">
        <f t="shared" si="1"/>
        <v>414</v>
      </c>
      <c r="N116" s="16"/>
      <c r="O116" s="8"/>
      <c r="P116" s="8"/>
    </row>
    <row r="117" spans="1:16" x14ac:dyDescent="0.2">
      <c r="A117" s="105"/>
      <c r="B117" s="111"/>
      <c r="D117" s="106"/>
      <c r="I117" s="106"/>
      <c r="J117" s="111"/>
      <c r="K117" s="109"/>
      <c r="L117" s="22"/>
      <c r="M117" s="22"/>
      <c r="N117" s="84">
        <f>SUM(N111:N116)</f>
        <v>-1366.43</v>
      </c>
      <c r="O117" s="8"/>
      <c r="P117" s="8"/>
    </row>
    <row r="118" spans="1:16" x14ac:dyDescent="0.2">
      <c r="A118"/>
      <c r="B118" s="106" t="s">
        <v>197</v>
      </c>
      <c r="C118"/>
      <c r="D118"/>
      <c r="E118"/>
      <c r="F118"/>
      <c r="J118" s="114"/>
      <c r="K118" s="8">
        <f>SUM(K39:K116)</f>
        <v>174926.90000000002</v>
      </c>
      <c r="L118" s="8">
        <f>SUM(L39:L116)</f>
        <v>26239.035</v>
      </c>
      <c r="M118" s="8">
        <f>SUM(M39:M116)</f>
        <v>201165.935</v>
      </c>
      <c r="N118" s="8">
        <f>+N109+N117</f>
        <v>-140082.03474999999</v>
      </c>
      <c r="O118" s="8"/>
      <c r="P118" s="8"/>
    </row>
    <row r="119" spans="1:16" x14ac:dyDescent="0.2">
      <c r="A119"/>
      <c r="C119"/>
      <c r="D119"/>
      <c r="E119"/>
      <c r="F119"/>
      <c r="J119" s="115">
        <f>SUM(K111:K116)</f>
        <v>1548.2</v>
      </c>
      <c r="K119" s="3"/>
      <c r="M119" s="8"/>
      <c r="N119" s="8"/>
      <c r="O119" s="8"/>
      <c r="P119" s="8"/>
    </row>
    <row r="120" spans="1:16" x14ac:dyDescent="0.2">
      <c r="A120"/>
      <c r="B120"/>
      <c r="C120"/>
      <c r="D120"/>
      <c r="E120"/>
      <c r="F120"/>
      <c r="J120" s="114"/>
      <c r="M120" s="8"/>
      <c r="N120" s="8"/>
      <c r="O120" s="8"/>
      <c r="P120" s="8"/>
    </row>
    <row r="121" spans="1:16" x14ac:dyDescent="0.2">
      <c r="A121"/>
      <c r="B121" s="106" t="s">
        <v>70</v>
      </c>
      <c r="C121"/>
      <c r="D121"/>
      <c r="E121"/>
      <c r="F121"/>
      <c r="K121" s="8">
        <f>+J63</f>
        <v>2181.2999999999997</v>
      </c>
      <c r="L121" s="8">
        <f>+K121*0.15</f>
        <v>327.19499999999994</v>
      </c>
      <c r="M121" s="8">
        <f>+K121+L121</f>
        <v>2508.4949999999999</v>
      </c>
      <c r="N121" s="8"/>
      <c r="O121" s="8"/>
      <c r="P121" s="8"/>
    </row>
    <row r="122" spans="1:16" x14ac:dyDescent="0.2">
      <c r="A122"/>
      <c r="B122" s="106" t="s">
        <v>71</v>
      </c>
      <c r="C122"/>
      <c r="D122"/>
      <c r="E122"/>
      <c r="F122"/>
      <c r="K122" s="8">
        <f>+J71</f>
        <v>6720.89</v>
      </c>
      <c r="L122" s="8">
        <f>+K122*0.15</f>
        <v>1008.1335</v>
      </c>
      <c r="M122" s="8">
        <f>+K122+L122</f>
        <v>7729.0235000000002</v>
      </c>
      <c r="N122" s="8"/>
      <c r="O122" s="8"/>
      <c r="P122" s="8"/>
    </row>
    <row r="123" spans="1:16" x14ac:dyDescent="0.2">
      <c r="A123"/>
      <c r="B123" s="106" t="s">
        <v>72</v>
      </c>
      <c r="C123"/>
      <c r="D123"/>
      <c r="E123"/>
      <c r="F123"/>
      <c r="K123" s="8">
        <f>+J91</f>
        <v>9484.84</v>
      </c>
      <c r="L123" s="8">
        <f>+K123*0.15</f>
        <v>1422.7259999999999</v>
      </c>
      <c r="M123" s="8">
        <f>+K123+L123</f>
        <v>10907.566000000001</v>
      </c>
      <c r="N123" s="8"/>
      <c r="O123" s="8"/>
      <c r="P123" s="8"/>
    </row>
    <row r="124" spans="1:16" x14ac:dyDescent="0.2">
      <c r="A124"/>
      <c r="B124" s="106" t="s">
        <v>183</v>
      </c>
      <c r="C124" s="106"/>
      <c r="D124"/>
      <c r="E124"/>
      <c r="F124"/>
      <c r="K124" s="8">
        <f>+J109</f>
        <v>154991.67000000001</v>
      </c>
      <c r="L124" s="8">
        <f>+K124*0.15</f>
        <v>23248.750500000002</v>
      </c>
      <c r="M124" s="8">
        <f>+K124+L124</f>
        <v>178240.42050000001</v>
      </c>
      <c r="N124" s="8"/>
      <c r="O124" s="8"/>
      <c r="P124" s="8"/>
    </row>
    <row r="125" spans="1:16" x14ac:dyDescent="0.2">
      <c r="A125"/>
      <c r="B125" s="106" t="s">
        <v>73</v>
      </c>
      <c r="C125" s="106"/>
      <c r="D125"/>
      <c r="E125"/>
      <c r="F125"/>
      <c r="K125" s="22">
        <f>+J119</f>
        <v>1548.2</v>
      </c>
      <c r="L125" s="22">
        <f>+K125*0.15</f>
        <v>232.23</v>
      </c>
      <c r="M125" s="22">
        <f>+K125+L125</f>
        <v>1780.43</v>
      </c>
      <c r="N125" s="8"/>
      <c r="O125" s="8"/>
      <c r="P125" s="8"/>
    </row>
    <row r="126" spans="1:16" x14ac:dyDescent="0.2">
      <c r="M126" s="8"/>
      <c r="N126" s="8"/>
      <c r="O126" s="8"/>
      <c r="P126" s="8"/>
    </row>
    <row r="127" spans="1:16" x14ac:dyDescent="0.2">
      <c r="B127" s="7" t="s">
        <v>200</v>
      </c>
      <c r="K127" s="8">
        <f>SUM(K121:K126)</f>
        <v>174926.90000000002</v>
      </c>
      <c r="L127" s="8">
        <f>SUM(L121:L126)</f>
        <v>26239.035</v>
      </c>
      <c r="M127" s="8">
        <f>SUM(M121:M126)</f>
        <v>201165.935</v>
      </c>
      <c r="N127" s="8"/>
      <c r="O127" s="8"/>
      <c r="P127" s="8"/>
    </row>
    <row r="128" spans="1:16" x14ac:dyDescent="0.2">
      <c r="M128" s="8"/>
      <c r="N128" s="8"/>
      <c r="O128" s="8"/>
      <c r="P128" s="8"/>
    </row>
    <row r="129" spans="13:16" x14ac:dyDescent="0.2">
      <c r="M129" s="8"/>
      <c r="N129" s="8"/>
      <c r="O129" s="8"/>
      <c r="P129" s="8"/>
    </row>
    <row r="130" spans="13:16" x14ac:dyDescent="0.2">
      <c r="M130" s="8"/>
      <c r="N130" s="8"/>
      <c r="O130" s="8"/>
      <c r="P130" s="8"/>
    </row>
    <row r="131" spans="13:16" x14ac:dyDescent="0.2">
      <c r="M131" s="8"/>
      <c r="N131" s="8"/>
      <c r="O131" s="8"/>
      <c r="P131" s="8"/>
    </row>
    <row r="132" spans="13:16" x14ac:dyDescent="0.2">
      <c r="M132" s="8"/>
      <c r="N132" s="8"/>
      <c r="O132" s="8"/>
      <c r="P132" s="8"/>
    </row>
    <row r="133" spans="13:16" x14ac:dyDescent="0.2">
      <c r="M133" s="8"/>
      <c r="N133" s="8"/>
      <c r="O133" s="8"/>
      <c r="P133" s="8"/>
    </row>
    <row r="134" spans="13:16" x14ac:dyDescent="0.2">
      <c r="M134" s="8"/>
      <c r="N134" s="8"/>
      <c r="O134" s="8"/>
      <c r="P134" s="8"/>
    </row>
    <row r="135" spans="13:16" x14ac:dyDescent="0.2">
      <c r="M135" s="8"/>
      <c r="N135" s="8"/>
      <c r="O135" s="8"/>
      <c r="P135" s="8"/>
    </row>
    <row r="136" spans="13:16" x14ac:dyDescent="0.2">
      <c r="M136" s="8"/>
      <c r="N136" s="8"/>
      <c r="O136" s="8"/>
      <c r="P136" s="8"/>
    </row>
    <row r="137" spans="13:16" x14ac:dyDescent="0.2">
      <c r="M137" s="8"/>
      <c r="N137" s="8"/>
      <c r="O137" s="8"/>
      <c r="P137" s="8"/>
    </row>
    <row r="138" spans="13:16" x14ac:dyDescent="0.2">
      <c r="M138" s="8"/>
      <c r="N138" s="8"/>
      <c r="O138" s="8"/>
      <c r="P138" s="8"/>
    </row>
    <row r="139" spans="13:16" x14ac:dyDescent="0.2">
      <c r="M139" s="8"/>
      <c r="N139" s="8"/>
      <c r="O139" s="8"/>
      <c r="P139" s="8"/>
    </row>
    <row r="140" spans="13:16" x14ac:dyDescent="0.2">
      <c r="M140" s="8"/>
      <c r="N140" s="8"/>
      <c r="O140" s="8"/>
      <c r="P140" s="8"/>
    </row>
    <row r="141" spans="13:16" x14ac:dyDescent="0.2">
      <c r="M141" s="8"/>
      <c r="N141" s="8"/>
      <c r="O141" s="8"/>
      <c r="P141" s="8"/>
    </row>
    <row r="142" spans="13:16" x14ac:dyDescent="0.2">
      <c r="M142" s="8"/>
      <c r="N142" s="8"/>
      <c r="O142" s="8"/>
      <c r="P142" s="8"/>
    </row>
    <row r="143" spans="13:16" x14ac:dyDescent="0.2">
      <c r="M143" s="8"/>
      <c r="N143" s="8"/>
      <c r="O143" s="8"/>
      <c r="P143" s="8"/>
    </row>
    <row r="144" spans="13:16" x14ac:dyDescent="0.2">
      <c r="M144" s="8"/>
      <c r="N144" s="8"/>
      <c r="O144" s="8"/>
      <c r="P144" s="8"/>
    </row>
    <row r="145" spans="13:16" x14ac:dyDescent="0.2">
      <c r="M145" s="8"/>
      <c r="N145" s="8"/>
      <c r="O145" s="8"/>
      <c r="P145" s="8"/>
    </row>
    <row r="146" spans="13:16" x14ac:dyDescent="0.2">
      <c r="M146" s="8"/>
      <c r="N146" s="8"/>
      <c r="O146" s="8"/>
      <c r="P146" s="8"/>
    </row>
    <row r="147" spans="13:16" x14ac:dyDescent="0.2">
      <c r="M147" s="8"/>
      <c r="N147" s="8"/>
      <c r="O147" s="8"/>
      <c r="P147" s="8"/>
    </row>
    <row r="148" spans="13:16" x14ac:dyDescent="0.2">
      <c r="M148" s="8"/>
      <c r="N148" s="8"/>
      <c r="O148" s="8"/>
      <c r="P148" s="8"/>
    </row>
    <row r="149" spans="13:16" x14ac:dyDescent="0.2">
      <c r="M149" s="8"/>
      <c r="N149" s="8"/>
      <c r="O149" s="8"/>
      <c r="P149" s="8"/>
    </row>
    <row r="150" spans="13:16" x14ac:dyDescent="0.2">
      <c r="M150" s="8"/>
      <c r="N150" s="8"/>
      <c r="O150" s="8"/>
      <c r="P150" s="8"/>
    </row>
  </sheetData>
  <mergeCells count="15">
    <mergeCell ref="D72:G72"/>
    <mergeCell ref="L4:M4"/>
    <mergeCell ref="L20:M20"/>
    <mergeCell ref="L23:M23"/>
    <mergeCell ref="L29:M29"/>
    <mergeCell ref="H6:I6"/>
    <mergeCell ref="C20:H20"/>
    <mergeCell ref="B10:H10"/>
    <mergeCell ref="L34:M34"/>
    <mergeCell ref="L32:M32"/>
    <mergeCell ref="L10:M10"/>
    <mergeCell ref="L11:M11"/>
    <mergeCell ref="L12:M12"/>
    <mergeCell ref="L13:M13"/>
    <mergeCell ref="L19:M19"/>
  </mergeCells>
  <pageMargins left="0.17" right="0.17" top="0.48" bottom="0.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view="pageBreakPreview" zoomScale="75" zoomScaleNormal="75" zoomScaleSheetLayoutView="75" workbookViewId="0">
      <selection activeCell="C3" sqref="C3"/>
    </sheetView>
  </sheetViews>
  <sheetFormatPr defaultColWidth="10.28515625" defaultRowHeight="12.75" x14ac:dyDescent="0.2"/>
  <cols>
    <col min="1" max="1" width="6" style="7" customWidth="1"/>
    <col min="2" max="2" width="3.7109375" style="7" customWidth="1"/>
    <col min="3" max="3" width="2.5703125" style="7" customWidth="1"/>
    <col min="4" max="4" width="2.7109375" style="7" customWidth="1"/>
    <col min="5" max="7" width="6" style="7" customWidth="1"/>
    <col min="8" max="8" width="2.42578125" style="3" customWidth="1"/>
    <col min="9" max="9" width="7.5703125" style="3" customWidth="1"/>
    <col min="10" max="10" width="13" style="3" customWidth="1"/>
    <col min="11" max="11" width="4" style="3" customWidth="1"/>
    <col min="12" max="13" width="5.7109375" style="3" customWidth="1"/>
    <col min="14" max="14" width="20" style="8" customWidth="1"/>
    <col min="15" max="15" width="18.28515625" style="8" customWidth="1"/>
    <col min="16" max="16" width="17.7109375" style="8" customWidth="1"/>
    <col min="17" max="17" width="18.140625" style="3" customWidth="1"/>
    <col min="18" max="16384" width="10.28515625" style="3"/>
  </cols>
  <sheetData>
    <row r="1" spans="1:16" ht="15.75" x14ac:dyDescent="0.2">
      <c r="C1" s="2" t="s">
        <v>6</v>
      </c>
      <c r="D1" s="2"/>
      <c r="E1" s="2"/>
      <c r="F1" s="2"/>
      <c r="G1" s="2"/>
      <c r="H1" s="2"/>
      <c r="J1" s="6" t="s">
        <v>208</v>
      </c>
    </row>
    <row r="2" spans="1:16" x14ac:dyDescent="0.2">
      <c r="C2" s="3" t="s">
        <v>7</v>
      </c>
      <c r="D2" s="3"/>
      <c r="E2" s="3"/>
      <c r="F2" s="3"/>
      <c r="G2" s="3"/>
    </row>
    <row r="3" spans="1:16" s="2" customFormat="1" ht="18.600000000000001" customHeight="1" x14ac:dyDescent="0.2">
      <c r="A3" s="4" t="s">
        <v>2</v>
      </c>
      <c r="B3" s="4"/>
      <c r="C3" s="4" t="s">
        <v>3</v>
      </c>
      <c r="D3" s="4"/>
      <c r="E3" s="4"/>
      <c r="F3" s="4"/>
      <c r="G3" s="5"/>
      <c r="H3" s="5"/>
      <c r="N3" s="9" t="s">
        <v>8</v>
      </c>
      <c r="O3" s="9" t="s">
        <v>9</v>
      </c>
      <c r="P3" s="9" t="s">
        <v>536</v>
      </c>
    </row>
    <row r="4" spans="1:16" x14ac:dyDescent="0.2">
      <c r="A4" s="7">
        <v>2</v>
      </c>
      <c r="B4" s="7" t="s">
        <v>12</v>
      </c>
      <c r="E4" s="3"/>
      <c r="F4" s="3"/>
    </row>
    <row r="5" spans="1:16" x14ac:dyDescent="0.2">
      <c r="C5" s="7" t="s">
        <v>209</v>
      </c>
      <c r="D5" s="3"/>
      <c r="F5" s="3"/>
      <c r="G5" s="7" t="s">
        <v>216</v>
      </c>
      <c r="N5" s="8">
        <v>859070.8</v>
      </c>
    </row>
    <row r="6" spans="1:16" x14ac:dyDescent="0.2">
      <c r="C6" s="3"/>
      <c r="D6" s="3"/>
      <c r="F6" s="3"/>
      <c r="G6" s="125" t="s">
        <v>213</v>
      </c>
      <c r="O6" s="8">
        <f>+N5*-0.73</f>
        <v>-627121.68400000001</v>
      </c>
      <c r="P6" s="8">
        <f>+N5+O6</f>
        <v>231949.11600000004</v>
      </c>
    </row>
    <row r="7" spans="1:16" x14ac:dyDescent="0.2">
      <c r="C7" s="7" t="s">
        <v>210</v>
      </c>
      <c r="D7" s="3"/>
      <c r="F7" s="3"/>
      <c r="G7" s="7" t="s">
        <v>214</v>
      </c>
      <c r="N7" s="8">
        <v>429388</v>
      </c>
      <c r="O7" s="8">
        <f>+N7*-0.73</f>
        <v>-313453.24</v>
      </c>
      <c r="P7" s="8">
        <f>+N7+O7</f>
        <v>115934.76000000001</v>
      </c>
    </row>
    <row r="8" spans="1:16" ht="5.45" customHeight="1" x14ac:dyDescent="0.2">
      <c r="E8" s="3"/>
      <c r="F8" s="3"/>
      <c r="N8" s="3"/>
    </row>
    <row r="9" spans="1:16" x14ac:dyDescent="0.2">
      <c r="C9" s="7" t="s">
        <v>211</v>
      </c>
      <c r="E9" s="3"/>
      <c r="F9" s="3"/>
      <c r="G9" s="7" t="s">
        <v>215</v>
      </c>
      <c r="N9" s="8">
        <v>1286362.79</v>
      </c>
    </row>
    <row r="10" spans="1:16" x14ac:dyDescent="0.2">
      <c r="E10" s="3"/>
      <c r="F10" s="3"/>
      <c r="G10" s="125" t="s">
        <v>217</v>
      </c>
    </row>
    <row r="11" spans="1:16" x14ac:dyDescent="0.2">
      <c r="E11" s="3"/>
      <c r="F11" s="3"/>
      <c r="I11" s="3" t="s">
        <v>219</v>
      </c>
      <c r="J11" s="3" t="s">
        <v>220</v>
      </c>
    </row>
    <row r="12" spans="1:16" x14ac:dyDescent="0.2">
      <c r="E12" s="129" t="s">
        <v>218</v>
      </c>
      <c r="F12" s="3">
        <v>1</v>
      </c>
      <c r="I12" s="3">
        <v>32</v>
      </c>
      <c r="J12" s="8">
        <f>1286362.79/17</f>
        <v>75668.399411764709</v>
      </c>
      <c r="O12" s="8">
        <f>-J12</f>
        <v>-75668.399411764709</v>
      </c>
    </row>
    <row r="13" spans="1:16" x14ac:dyDescent="0.2">
      <c r="E13" s="129" t="s">
        <v>218</v>
      </c>
      <c r="F13" s="3">
        <v>2</v>
      </c>
      <c r="I13" s="3">
        <v>32</v>
      </c>
      <c r="J13" s="8">
        <f t="shared" ref="J13:J28" si="0">1286362.79/17</f>
        <v>75668.399411764709</v>
      </c>
      <c r="O13" s="8">
        <f t="shared" ref="O13:O25" si="1">-J13</f>
        <v>-75668.399411764709</v>
      </c>
    </row>
    <row r="14" spans="1:16" x14ac:dyDescent="0.2">
      <c r="E14" s="129" t="s">
        <v>218</v>
      </c>
      <c r="F14" s="3">
        <v>3</v>
      </c>
      <c r="I14" s="3">
        <v>32</v>
      </c>
      <c r="J14" s="8">
        <f t="shared" si="0"/>
        <v>75668.399411764709</v>
      </c>
      <c r="O14" s="8">
        <f t="shared" si="1"/>
        <v>-75668.399411764709</v>
      </c>
    </row>
    <row r="15" spans="1:16" x14ac:dyDescent="0.2">
      <c r="E15" s="129" t="s">
        <v>218</v>
      </c>
      <c r="F15" s="3">
        <v>4</v>
      </c>
      <c r="I15" s="3">
        <v>40</v>
      </c>
      <c r="J15" s="8">
        <f t="shared" si="0"/>
        <v>75668.399411764709</v>
      </c>
      <c r="O15" s="8">
        <f t="shared" si="1"/>
        <v>-75668.399411764709</v>
      </c>
    </row>
    <row r="16" spans="1:16" x14ac:dyDescent="0.2">
      <c r="E16" s="129" t="s">
        <v>218</v>
      </c>
      <c r="F16" s="3">
        <v>5</v>
      </c>
      <c r="I16" s="3">
        <v>44</v>
      </c>
      <c r="J16" s="8">
        <f t="shared" si="0"/>
        <v>75668.399411764709</v>
      </c>
      <c r="O16" s="8">
        <f t="shared" si="1"/>
        <v>-75668.399411764709</v>
      </c>
    </row>
    <row r="17" spans="5:16" x14ac:dyDescent="0.2">
      <c r="E17" s="129" t="s">
        <v>218</v>
      </c>
      <c r="F17" s="3">
        <v>6</v>
      </c>
      <c r="I17" s="3">
        <v>56</v>
      </c>
      <c r="J17" s="8">
        <f t="shared" si="0"/>
        <v>75668.399411764709</v>
      </c>
      <c r="O17" s="8">
        <f t="shared" si="1"/>
        <v>-75668.399411764709</v>
      </c>
    </row>
    <row r="18" spans="5:16" x14ac:dyDescent="0.2">
      <c r="E18" s="129" t="s">
        <v>218</v>
      </c>
      <c r="F18" s="3">
        <v>7</v>
      </c>
      <c r="I18" s="3">
        <v>58</v>
      </c>
      <c r="J18" s="8">
        <f t="shared" si="0"/>
        <v>75668.399411764709</v>
      </c>
      <c r="O18" s="8">
        <f t="shared" si="1"/>
        <v>-75668.399411764709</v>
      </c>
    </row>
    <row r="19" spans="5:16" x14ac:dyDescent="0.2">
      <c r="E19" s="129" t="s">
        <v>218</v>
      </c>
      <c r="F19" s="3">
        <v>8</v>
      </c>
      <c r="I19" s="3">
        <v>60</v>
      </c>
      <c r="J19" s="8">
        <f t="shared" si="0"/>
        <v>75668.399411764709</v>
      </c>
      <c r="O19" s="8">
        <f t="shared" si="1"/>
        <v>-75668.399411764709</v>
      </c>
    </row>
    <row r="20" spans="5:16" x14ac:dyDescent="0.2">
      <c r="E20" s="129" t="s">
        <v>218</v>
      </c>
      <c r="F20" s="3">
        <v>9</v>
      </c>
      <c r="I20" s="3">
        <v>62</v>
      </c>
      <c r="J20" s="8">
        <f t="shared" si="0"/>
        <v>75668.399411764709</v>
      </c>
      <c r="O20" s="8">
        <f t="shared" si="1"/>
        <v>-75668.399411764709</v>
      </c>
    </row>
    <row r="21" spans="5:16" x14ac:dyDescent="0.2">
      <c r="E21" s="129" t="s">
        <v>218</v>
      </c>
      <c r="F21" s="3">
        <v>10</v>
      </c>
      <c r="I21" s="3">
        <v>66</v>
      </c>
      <c r="J21" s="8">
        <f t="shared" si="0"/>
        <v>75668.399411764709</v>
      </c>
      <c r="O21" s="8">
        <f t="shared" si="1"/>
        <v>-75668.399411764709</v>
      </c>
    </row>
    <row r="22" spans="5:16" x14ac:dyDescent="0.2">
      <c r="E22" s="129" t="s">
        <v>218</v>
      </c>
      <c r="F22" s="3">
        <v>11</v>
      </c>
      <c r="I22" s="3">
        <v>66</v>
      </c>
      <c r="J22" s="8">
        <f t="shared" si="0"/>
        <v>75668.399411764709</v>
      </c>
      <c r="O22" s="8">
        <f t="shared" si="1"/>
        <v>-75668.399411764709</v>
      </c>
    </row>
    <row r="23" spans="5:16" x14ac:dyDescent="0.2">
      <c r="E23" s="129" t="s">
        <v>218</v>
      </c>
      <c r="F23" s="3">
        <v>12</v>
      </c>
      <c r="I23" s="3">
        <v>66</v>
      </c>
      <c r="J23" s="8">
        <f t="shared" si="0"/>
        <v>75668.399411764709</v>
      </c>
      <c r="O23" s="8">
        <f t="shared" si="1"/>
        <v>-75668.399411764709</v>
      </c>
    </row>
    <row r="24" spans="5:16" x14ac:dyDescent="0.2">
      <c r="E24" s="129" t="s">
        <v>218</v>
      </c>
      <c r="F24" s="3">
        <v>13</v>
      </c>
      <c r="I24" s="3">
        <v>66</v>
      </c>
      <c r="J24" s="8">
        <f t="shared" si="0"/>
        <v>75668.399411764709</v>
      </c>
      <c r="O24" s="8">
        <f t="shared" si="1"/>
        <v>-75668.399411764709</v>
      </c>
    </row>
    <row r="25" spans="5:16" x14ac:dyDescent="0.2">
      <c r="E25" s="129" t="s">
        <v>218</v>
      </c>
      <c r="F25" s="3">
        <v>14</v>
      </c>
      <c r="I25" s="3">
        <v>60</v>
      </c>
      <c r="J25" s="8">
        <f t="shared" si="0"/>
        <v>75668.399411764709</v>
      </c>
      <c r="O25" s="8">
        <f t="shared" si="1"/>
        <v>-75668.399411764709</v>
      </c>
    </row>
    <row r="26" spans="5:16" x14ac:dyDescent="0.2">
      <c r="E26" s="129" t="s">
        <v>218</v>
      </c>
      <c r="F26" s="3">
        <v>15</v>
      </c>
      <c r="I26" s="3">
        <v>60</v>
      </c>
      <c r="J26" s="8">
        <f t="shared" si="0"/>
        <v>75668.399411764709</v>
      </c>
      <c r="O26" s="8">
        <v>0</v>
      </c>
    </row>
    <row r="27" spans="5:16" x14ac:dyDescent="0.2">
      <c r="E27" s="129" t="s">
        <v>218</v>
      </c>
      <c r="F27" s="3">
        <v>16</v>
      </c>
      <c r="I27" s="3">
        <v>60</v>
      </c>
      <c r="J27" s="8">
        <f t="shared" si="0"/>
        <v>75668.399411764709</v>
      </c>
      <c r="O27" s="8">
        <v>0</v>
      </c>
    </row>
    <row r="28" spans="5:16" x14ac:dyDescent="0.2">
      <c r="E28" s="129" t="s">
        <v>218</v>
      </c>
      <c r="F28" s="3">
        <v>17</v>
      </c>
      <c r="I28" s="130">
        <v>56</v>
      </c>
      <c r="J28" s="22">
        <f t="shared" si="0"/>
        <v>75668.399411764709</v>
      </c>
      <c r="O28" s="8">
        <v>0</v>
      </c>
    </row>
    <row r="29" spans="5:16" x14ac:dyDescent="0.2">
      <c r="F29" s="3"/>
      <c r="I29" s="3">
        <f>SUM(I12:I28)</f>
        <v>916</v>
      </c>
      <c r="J29" s="8">
        <f>SUM(J12:J28)</f>
        <v>1286362.79</v>
      </c>
      <c r="P29" s="8">
        <f>SUM(O12:O28)+N9</f>
        <v>227005.19823529408</v>
      </c>
    </row>
    <row r="30" spans="5:16" x14ac:dyDescent="0.2">
      <c r="E30" s="7" t="s">
        <v>212</v>
      </c>
      <c r="F30" s="3"/>
      <c r="N30" s="8">
        <v>25429.5</v>
      </c>
      <c r="O30" s="8">
        <v>0</v>
      </c>
      <c r="P30" s="8">
        <v>0</v>
      </c>
    </row>
    <row r="31" spans="5:16" x14ac:dyDescent="0.2">
      <c r="E31" s="18" t="s">
        <v>636</v>
      </c>
      <c r="F31" s="3"/>
      <c r="N31" s="8">
        <f>-N30</f>
        <v>-25429.5</v>
      </c>
    </row>
    <row r="32" spans="5:16" ht="3.6" customHeight="1" x14ac:dyDescent="0.2">
      <c r="N32" s="16"/>
      <c r="O32" s="16"/>
      <c r="P32" s="16"/>
    </row>
    <row r="33" spans="1:17" x14ac:dyDescent="0.2">
      <c r="C33" s="7" t="s">
        <v>221</v>
      </c>
      <c r="J33" s="114" t="b">
        <f>+P33-O33=N33</f>
        <v>1</v>
      </c>
      <c r="N33" s="8">
        <f>SUM(N5:N32)</f>
        <v>2574821.59</v>
      </c>
      <c r="O33" s="8">
        <f>SUM(O4:O32)</f>
        <v>-1999932.5157647058</v>
      </c>
      <c r="P33" s="8">
        <f>SUM(P4:P32)</f>
        <v>574889.07423529413</v>
      </c>
      <c r="Q33" s="8"/>
    </row>
    <row r="34" spans="1:17" ht="5.45" customHeight="1" x14ac:dyDescent="0.2"/>
    <row r="35" spans="1:17" x14ac:dyDescent="0.2">
      <c r="A35" s="7">
        <v>3</v>
      </c>
      <c r="B35" s="7" t="s">
        <v>13</v>
      </c>
    </row>
    <row r="36" spans="1:17" x14ac:dyDescent="0.2">
      <c r="D36" s="7" t="s">
        <v>222</v>
      </c>
      <c r="N36" s="8">
        <v>85000</v>
      </c>
    </row>
    <row r="37" spans="1:17" x14ac:dyDescent="0.2">
      <c r="D37" s="125" t="s">
        <v>224</v>
      </c>
      <c r="O37" s="8">
        <f>-N36</f>
        <v>-85000</v>
      </c>
      <c r="P37" s="8">
        <f>+N36+O37</f>
        <v>0</v>
      </c>
    </row>
    <row r="38" spans="1:17" x14ac:dyDescent="0.2">
      <c r="D38" s="7" t="s">
        <v>223</v>
      </c>
      <c r="N38" s="8">
        <v>7392</v>
      </c>
      <c r="P38" s="8">
        <f>+N38+O38</f>
        <v>7392</v>
      </c>
    </row>
    <row r="39" spans="1:17" x14ac:dyDescent="0.2">
      <c r="D39" s="7" t="s">
        <v>225</v>
      </c>
      <c r="N39" s="16"/>
      <c r="O39" s="16"/>
      <c r="P39" s="16"/>
    </row>
    <row r="40" spans="1:17" x14ac:dyDescent="0.2">
      <c r="D40" s="125"/>
      <c r="N40" s="8">
        <f>SUM(N36:N39)</f>
        <v>92392</v>
      </c>
      <c r="O40" s="8">
        <f>SUM(O36:O39)</f>
        <v>-85000</v>
      </c>
      <c r="P40" s="8">
        <f>SUM(P36:P39)</f>
        <v>7392</v>
      </c>
    </row>
    <row r="41" spans="1:17" x14ac:dyDescent="0.2">
      <c r="A41" s="7">
        <v>4</v>
      </c>
      <c r="B41" s="7" t="s">
        <v>14</v>
      </c>
    </row>
    <row r="42" spans="1:17" x14ac:dyDescent="0.2">
      <c r="C42" s="7" t="s">
        <v>226</v>
      </c>
    </row>
    <row r="43" spans="1:17" x14ac:dyDescent="0.2">
      <c r="D43" s="474" t="s">
        <v>229</v>
      </c>
      <c r="E43" s="475"/>
      <c r="F43" s="475"/>
      <c r="G43" s="475"/>
      <c r="H43" s="475"/>
      <c r="I43" s="475"/>
    </row>
    <row r="44" spans="1:17" x14ac:dyDescent="0.2">
      <c r="D44" s="475"/>
      <c r="E44" s="475"/>
      <c r="F44" s="475"/>
      <c r="G44" s="475"/>
      <c r="H44" s="475"/>
      <c r="I44" s="475"/>
      <c r="N44" s="8">
        <v>166798.35</v>
      </c>
    </row>
    <row r="45" spans="1:17" x14ac:dyDescent="0.2">
      <c r="E45" s="125" t="s">
        <v>245</v>
      </c>
    </row>
    <row r="46" spans="1:17" x14ac:dyDescent="0.2">
      <c r="E46" s="126" t="s">
        <v>230</v>
      </c>
      <c r="F46" s="1"/>
      <c r="G46" s="1"/>
      <c r="H46" s="1"/>
      <c r="I46" s="1"/>
      <c r="J46" s="1"/>
    </row>
    <row r="47" spans="1:17" x14ac:dyDescent="0.2">
      <c r="E47" s="126" t="s">
        <v>311</v>
      </c>
      <c r="F47" s="1"/>
      <c r="G47" s="1"/>
      <c r="H47" s="1"/>
      <c r="I47" s="1"/>
      <c r="J47" s="1"/>
      <c r="O47" s="8">
        <v>-20400</v>
      </c>
    </row>
    <row r="48" spans="1:17" x14ac:dyDescent="0.2">
      <c r="E48" s="126" t="s">
        <v>232</v>
      </c>
      <c r="F48" s="1"/>
      <c r="G48" s="1"/>
      <c r="H48" s="1"/>
      <c r="I48" s="1"/>
      <c r="J48" s="1"/>
    </row>
    <row r="49" spans="1:17" x14ac:dyDescent="0.2">
      <c r="E49" s="126"/>
      <c r="F49" s="126" t="s">
        <v>233</v>
      </c>
      <c r="G49" s="1"/>
      <c r="H49" s="1"/>
      <c r="I49" s="1"/>
      <c r="J49" s="1"/>
      <c r="O49" s="8">
        <v>-9200</v>
      </c>
    </row>
    <row r="50" spans="1:17" x14ac:dyDescent="0.2">
      <c r="E50" s="126"/>
      <c r="F50" s="126" t="s">
        <v>234</v>
      </c>
      <c r="G50" s="1"/>
      <c r="H50" s="1"/>
      <c r="I50" s="1"/>
      <c r="J50" s="1"/>
      <c r="O50" s="8">
        <v>-7360</v>
      </c>
    </row>
    <row r="51" spans="1:17" x14ac:dyDescent="0.2">
      <c r="E51" s="126"/>
      <c r="F51" s="126" t="s">
        <v>235</v>
      </c>
      <c r="G51" s="1"/>
      <c r="H51" s="1"/>
      <c r="I51" s="1"/>
      <c r="J51" s="1"/>
      <c r="O51" s="8">
        <v>-4200</v>
      </c>
    </row>
    <row r="52" spans="1:17" x14ac:dyDescent="0.2">
      <c r="E52" s="3"/>
      <c r="F52" s="126" t="s">
        <v>533</v>
      </c>
      <c r="G52" s="1"/>
      <c r="H52" s="1"/>
      <c r="I52" s="1"/>
      <c r="J52" s="1"/>
      <c r="O52" s="8">
        <f>-9600</f>
        <v>-9600</v>
      </c>
    </row>
    <row r="53" spans="1:17" x14ac:dyDescent="0.2">
      <c r="E53" s="3"/>
      <c r="F53" s="126" t="s">
        <v>236</v>
      </c>
      <c r="G53" s="1"/>
      <c r="H53" s="1"/>
      <c r="I53" s="1"/>
      <c r="J53" s="1"/>
      <c r="O53" s="8">
        <v>-833</v>
      </c>
    </row>
    <row r="54" spans="1:17" x14ac:dyDescent="0.2">
      <c r="E54" s="3"/>
      <c r="F54" s="126" t="s">
        <v>237</v>
      </c>
      <c r="G54" s="1"/>
      <c r="H54" s="1"/>
      <c r="I54" s="1"/>
      <c r="J54" s="1"/>
      <c r="O54" s="8">
        <v>-4000</v>
      </c>
    </row>
    <row r="55" spans="1:17" x14ac:dyDescent="0.2">
      <c r="E55" s="3"/>
      <c r="F55" s="126" t="s">
        <v>238</v>
      </c>
      <c r="G55" s="1"/>
      <c r="H55" s="1"/>
      <c r="I55" s="1"/>
      <c r="J55" s="1"/>
      <c r="O55" s="8">
        <v>-800</v>
      </c>
    </row>
    <row r="56" spans="1:17" x14ac:dyDescent="0.2">
      <c r="E56" s="3"/>
      <c r="F56" s="126" t="s">
        <v>310</v>
      </c>
      <c r="G56" s="1"/>
      <c r="H56" s="1"/>
      <c r="I56" s="1"/>
      <c r="J56" s="1"/>
      <c r="O56" s="8">
        <v>-11400</v>
      </c>
      <c r="Q56" s="8"/>
    </row>
    <row r="57" spans="1:17" x14ac:dyDescent="0.2">
      <c r="E57" s="3"/>
      <c r="F57" s="126" t="s">
        <v>253</v>
      </c>
      <c r="G57" s="1"/>
      <c r="H57" s="1"/>
      <c r="I57" s="1"/>
      <c r="J57" s="1"/>
      <c r="P57" s="8">
        <f>SUM(O46:O57)+N44</f>
        <v>99005.35</v>
      </c>
      <c r="Q57" s="8"/>
    </row>
    <row r="58" spans="1:17" x14ac:dyDescent="0.2">
      <c r="C58" s="7" t="s">
        <v>227</v>
      </c>
    </row>
    <row r="59" spans="1:17" x14ac:dyDescent="0.2">
      <c r="D59" s="3" t="s">
        <v>239</v>
      </c>
      <c r="E59" s="3"/>
    </row>
    <row r="60" spans="1:17" x14ac:dyDescent="0.2">
      <c r="A60" s="14"/>
      <c r="E60" s="3" t="s">
        <v>242</v>
      </c>
      <c r="J60" s="8">
        <v>81600</v>
      </c>
      <c r="N60" s="3"/>
      <c r="O60" s="8">
        <f>-14*4800</f>
        <v>-67200</v>
      </c>
    </row>
    <row r="61" spans="1:17" x14ac:dyDescent="0.2">
      <c r="A61" s="14"/>
      <c r="D61" s="3"/>
      <c r="E61" s="3" t="s">
        <v>241</v>
      </c>
      <c r="J61" s="8">
        <v>42000</v>
      </c>
    </row>
    <row r="62" spans="1:17" x14ac:dyDescent="0.2">
      <c r="A62" s="14"/>
      <c r="D62" s="3"/>
      <c r="E62" s="3"/>
      <c r="F62" s="3"/>
      <c r="G62" s="3"/>
      <c r="J62" s="8"/>
      <c r="K62" s="430">
        <f>+J60+J61</f>
        <v>123600</v>
      </c>
      <c r="L62" s="431"/>
      <c r="M62" s="431"/>
    </row>
    <row r="63" spans="1:17" x14ac:dyDescent="0.2">
      <c r="A63" s="14"/>
      <c r="E63" s="3" t="s">
        <v>246</v>
      </c>
      <c r="J63" s="8">
        <v>22275</v>
      </c>
      <c r="N63" s="3"/>
      <c r="O63" s="8">
        <f>-J63</f>
        <v>-22275</v>
      </c>
    </row>
    <row r="64" spans="1:17" x14ac:dyDescent="0.2">
      <c r="A64" s="14"/>
      <c r="E64" s="3" t="s">
        <v>247</v>
      </c>
      <c r="J64" s="8">
        <v>5184</v>
      </c>
      <c r="N64" s="3"/>
      <c r="O64" s="8">
        <f>-J64</f>
        <v>-5184</v>
      </c>
    </row>
    <row r="65" spans="1:16" x14ac:dyDescent="0.2">
      <c r="A65" s="14"/>
      <c r="E65" s="3" t="s">
        <v>248</v>
      </c>
      <c r="J65" s="8">
        <v>5450</v>
      </c>
      <c r="N65" s="3"/>
      <c r="O65" s="8">
        <f>-J65</f>
        <v>-5450</v>
      </c>
    </row>
    <row r="66" spans="1:16" x14ac:dyDescent="0.2">
      <c r="A66" s="14"/>
      <c r="E66" s="131" t="s">
        <v>231</v>
      </c>
      <c r="F66" s="3"/>
      <c r="G66" s="3"/>
      <c r="J66" s="8">
        <v>1600</v>
      </c>
      <c r="N66" s="3"/>
      <c r="O66" s="8">
        <f>-J66</f>
        <v>-1600</v>
      </c>
    </row>
    <row r="67" spans="1:16" x14ac:dyDescent="0.2">
      <c r="A67" s="14"/>
      <c r="E67" s="3" t="s">
        <v>249</v>
      </c>
      <c r="F67" s="3"/>
      <c r="G67" s="3"/>
      <c r="J67" s="8">
        <v>544</v>
      </c>
    </row>
    <row r="68" spans="1:16" ht="24.75" customHeight="1" x14ac:dyDescent="0.2">
      <c r="A68" s="14"/>
      <c r="E68" s="418" t="s">
        <v>251</v>
      </c>
      <c r="F68" s="418"/>
      <c r="G68" s="418"/>
      <c r="H68" s="418"/>
      <c r="I68" s="418"/>
      <c r="J68" s="8">
        <v>6000</v>
      </c>
    </row>
    <row r="69" spans="1:16" ht="14.25" customHeight="1" x14ac:dyDescent="0.2">
      <c r="A69" s="14"/>
      <c r="E69" s="3" t="s">
        <v>252</v>
      </c>
      <c r="F69" s="1"/>
      <c r="G69" s="1"/>
      <c r="H69" s="1"/>
      <c r="I69" s="1"/>
      <c r="J69" s="8">
        <v>1260</v>
      </c>
    </row>
    <row r="70" spans="1:16" x14ac:dyDescent="0.2">
      <c r="A70" s="14"/>
      <c r="E70" s="3"/>
      <c r="F70" s="3"/>
      <c r="G70" s="3"/>
      <c r="K70" s="430">
        <f>SUM(J63:J69)</f>
        <v>42313</v>
      </c>
      <c r="L70" s="431"/>
      <c r="M70" s="431"/>
      <c r="N70" s="8">
        <f>+K70+K62</f>
        <v>165913</v>
      </c>
      <c r="P70" s="8">
        <f>SUM(O59:O69)+N70</f>
        <v>64204</v>
      </c>
    </row>
    <row r="71" spans="1:16" x14ac:dyDescent="0.2">
      <c r="A71" s="14"/>
      <c r="E71" s="3" t="s">
        <v>250</v>
      </c>
      <c r="F71" s="3"/>
      <c r="G71" s="3"/>
    </row>
    <row r="72" spans="1:16" x14ac:dyDescent="0.2">
      <c r="A72" s="14"/>
      <c r="E72" s="3" t="s">
        <v>243</v>
      </c>
      <c r="J72" s="8">
        <v>30800</v>
      </c>
      <c r="O72" s="8">
        <f>+J72</f>
        <v>30800</v>
      </c>
      <c r="P72" s="8">
        <f>+O72</f>
        <v>30800</v>
      </c>
    </row>
    <row r="73" spans="1:16" x14ac:dyDescent="0.2">
      <c r="A73" s="14"/>
      <c r="E73" s="3" t="s">
        <v>244</v>
      </c>
      <c r="J73" s="8">
        <v>32000</v>
      </c>
      <c r="O73" s="8">
        <f>J73</f>
        <v>32000</v>
      </c>
      <c r="P73" s="8">
        <f>+O73</f>
        <v>32000</v>
      </c>
    </row>
    <row r="74" spans="1:16" ht="7.5" customHeight="1" x14ac:dyDescent="0.2">
      <c r="E74" s="3"/>
    </row>
    <row r="75" spans="1:16" x14ac:dyDescent="0.2">
      <c r="E75" s="3" t="s">
        <v>240</v>
      </c>
      <c r="I75" s="3" t="s">
        <v>534</v>
      </c>
      <c r="J75" s="8">
        <f>J61+4800+4800+4800+J67+J68+J69+J73</f>
        <v>96204</v>
      </c>
      <c r="K75" s="431">
        <f>J75*0.05</f>
        <v>4810.2</v>
      </c>
      <c r="L75" s="431"/>
      <c r="N75" s="8">
        <v>8295.65</v>
      </c>
      <c r="O75" s="8">
        <f>-N75+K75</f>
        <v>-3485.45</v>
      </c>
      <c r="P75" s="8">
        <f>+N75+O75</f>
        <v>4810.2</v>
      </c>
    </row>
    <row r="76" spans="1:16" x14ac:dyDescent="0.2">
      <c r="E76" s="3" t="s">
        <v>71</v>
      </c>
      <c r="N76" s="8">
        <v>8082.84</v>
      </c>
      <c r="P76" s="8">
        <f>+N76+O76</f>
        <v>8082.84</v>
      </c>
    </row>
    <row r="77" spans="1:16" x14ac:dyDescent="0.2">
      <c r="B77" s="7" t="s">
        <v>582</v>
      </c>
      <c r="E77" s="3"/>
    </row>
    <row r="78" spans="1:16" x14ac:dyDescent="0.2">
      <c r="D78" s="7" t="s">
        <v>228</v>
      </c>
    </row>
    <row r="79" spans="1:16" x14ac:dyDescent="0.2">
      <c r="A79" s="14"/>
      <c r="E79" s="7" t="s">
        <v>255</v>
      </c>
      <c r="J79" s="8">
        <v>90801</v>
      </c>
    </row>
    <row r="80" spans="1:16" x14ac:dyDescent="0.2">
      <c r="A80" s="14"/>
      <c r="E80" s="7" t="s">
        <v>254</v>
      </c>
      <c r="J80" s="8">
        <f>+O80-J79</f>
        <v>22330</v>
      </c>
      <c r="O80" s="8">
        <v>113131</v>
      </c>
      <c r="P80" s="8">
        <f>+N80+O80</f>
        <v>113131</v>
      </c>
    </row>
    <row r="81" spans="1:16" x14ac:dyDescent="0.2">
      <c r="N81" s="16"/>
      <c r="O81" s="16"/>
      <c r="P81" s="16"/>
    </row>
    <row r="82" spans="1:16" x14ac:dyDescent="0.2">
      <c r="N82" s="8">
        <f>SUM(N41:N81)</f>
        <v>349089.84</v>
      </c>
      <c r="O82" s="8">
        <f>SUM(O41:O81)</f>
        <v>2943.5500000000029</v>
      </c>
      <c r="P82" s="8">
        <f>SUM(P41:P81)</f>
        <v>352033.39</v>
      </c>
    </row>
    <row r="83" spans="1:16" ht="7.5" customHeight="1" x14ac:dyDescent="0.2"/>
    <row r="84" spans="1:16" x14ac:dyDescent="0.2">
      <c r="A84" s="7">
        <v>5</v>
      </c>
      <c r="B84" s="7" t="s">
        <v>15</v>
      </c>
    </row>
    <row r="85" spans="1:16" x14ac:dyDescent="0.2">
      <c r="C85" s="12" t="s">
        <v>35</v>
      </c>
      <c r="N85" s="8">
        <v>18507.78</v>
      </c>
      <c r="O85" s="8">
        <v>0</v>
      </c>
      <c r="P85" s="8">
        <f>+N85+O85</f>
        <v>18507.78</v>
      </c>
    </row>
    <row r="86" spans="1:16" ht="8.25" customHeight="1" x14ac:dyDescent="0.2"/>
    <row r="87" spans="1:16" x14ac:dyDescent="0.2">
      <c r="A87" s="7">
        <v>6</v>
      </c>
      <c r="B87" s="7" t="s">
        <v>16</v>
      </c>
      <c r="D87" s="7" t="s">
        <v>437</v>
      </c>
    </row>
    <row r="88" spans="1:16" x14ac:dyDescent="0.2">
      <c r="C88" s="18" t="s">
        <v>256</v>
      </c>
      <c r="D88" s="19"/>
      <c r="E88" s="23"/>
    </row>
    <row r="89" spans="1:16" x14ac:dyDescent="0.2">
      <c r="C89" s="18" t="s">
        <v>257</v>
      </c>
      <c r="D89" s="19"/>
      <c r="E89" s="23"/>
    </row>
    <row r="90" spans="1:16" ht="15" customHeight="1" x14ac:dyDescent="0.2">
      <c r="C90" s="19"/>
      <c r="D90" s="421" t="s">
        <v>258</v>
      </c>
      <c r="E90" s="421"/>
      <c r="F90" s="421"/>
      <c r="G90" s="421"/>
      <c r="H90" s="421"/>
      <c r="I90" s="421"/>
      <c r="J90" s="421"/>
      <c r="K90" s="421"/>
      <c r="L90" s="428">
        <v>3120</v>
      </c>
      <c r="M90" s="428"/>
    </row>
    <row r="91" spans="1:16" ht="16.149999999999999" customHeight="1" x14ac:dyDescent="0.2">
      <c r="C91" s="19"/>
      <c r="D91" s="421" t="s">
        <v>259</v>
      </c>
      <c r="E91" s="421"/>
      <c r="F91" s="421"/>
      <c r="G91" s="421"/>
      <c r="H91" s="421"/>
      <c r="I91" s="421"/>
      <c r="J91" s="421"/>
      <c r="K91" s="421"/>
      <c r="L91" s="428">
        <v>4982</v>
      </c>
      <c r="M91" s="428"/>
    </row>
    <row r="92" spans="1:16" ht="13.9" customHeight="1" x14ac:dyDescent="0.2">
      <c r="C92" s="19"/>
      <c r="D92" s="421" t="s">
        <v>277</v>
      </c>
      <c r="E92" s="421"/>
      <c r="F92" s="421"/>
      <c r="G92" s="421"/>
      <c r="H92" s="421"/>
      <c r="I92" s="421"/>
      <c r="J92" s="421"/>
      <c r="K92" s="421"/>
      <c r="L92" s="428">
        <v>1206</v>
      </c>
      <c r="M92" s="428"/>
    </row>
    <row r="93" spans="1:16" ht="27" customHeight="1" x14ac:dyDescent="0.2">
      <c r="C93" s="19"/>
      <c r="D93" s="421" t="s">
        <v>260</v>
      </c>
      <c r="E93" s="421"/>
      <c r="F93" s="421"/>
      <c r="G93" s="421"/>
      <c r="H93" s="421"/>
      <c r="I93" s="421"/>
      <c r="L93" s="428">
        <v>4368</v>
      </c>
      <c r="M93" s="428"/>
    </row>
    <row r="94" spans="1:16" ht="16.5" customHeight="1" x14ac:dyDescent="0.2">
      <c r="C94" s="19"/>
      <c r="D94" s="18" t="s">
        <v>261</v>
      </c>
    </row>
    <row r="95" spans="1:16" x14ac:dyDescent="0.2">
      <c r="C95" s="19"/>
      <c r="D95" s="18" t="s">
        <v>262</v>
      </c>
      <c r="L95" s="23"/>
    </row>
    <row r="96" spans="1:16" x14ac:dyDescent="0.2">
      <c r="C96" s="19"/>
      <c r="D96" s="18" t="s">
        <v>263</v>
      </c>
      <c r="L96" s="428">
        <v>1496</v>
      </c>
      <c r="M96" s="428"/>
    </row>
    <row r="97" spans="2:16" x14ac:dyDescent="0.2">
      <c r="C97" s="19"/>
      <c r="D97" s="18" t="s">
        <v>264</v>
      </c>
      <c r="L97" s="428">
        <v>800</v>
      </c>
      <c r="M97" s="428"/>
      <c r="O97" s="8">
        <f>-L97</f>
        <v>-800</v>
      </c>
    </row>
    <row r="98" spans="2:16" ht="15" customHeight="1" x14ac:dyDescent="0.2">
      <c r="C98" s="19"/>
      <c r="D98" s="18" t="s">
        <v>265</v>
      </c>
      <c r="L98" s="23"/>
    </row>
    <row r="99" spans="2:16" x14ac:dyDescent="0.2">
      <c r="C99" s="19"/>
      <c r="D99" s="18" t="s">
        <v>266</v>
      </c>
      <c r="L99" s="428">
        <v>4297</v>
      </c>
      <c r="M99" s="428"/>
      <c r="O99" s="8">
        <f>-L99</f>
        <v>-4297</v>
      </c>
    </row>
    <row r="100" spans="2:16" ht="15" customHeight="1" x14ac:dyDescent="0.2">
      <c r="C100" s="19"/>
      <c r="D100" s="18" t="s">
        <v>267</v>
      </c>
      <c r="L100" s="23"/>
    </row>
    <row r="101" spans="2:16" x14ac:dyDescent="0.2">
      <c r="C101" s="19"/>
      <c r="D101" s="18" t="s">
        <v>268</v>
      </c>
      <c r="L101" s="428">
        <v>1096</v>
      </c>
      <c r="M101" s="428"/>
      <c r="O101" s="8">
        <f>-L101</f>
        <v>-1096</v>
      </c>
    </row>
    <row r="102" spans="2:16" x14ac:dyDescent="0.2">
      <c r="C102" s="19"/>
      <c r="D102" s="18" t="s">
        <v>269</v>
      </c>
      <c r="L102" s="23"/>
    </row>
    <row r="103" spans="2:16" x14ac:dyDescent="0.2">
      <c r="C103" s="19"/>
      <c r="D103" s="18" t="s">
        <v>270</v>
      </c>
      <c r="I103" s="25">
        <v>49.3</v>
      </c>
      <c r="J103" s="18" t="s">
        <v>271</v>
      </c>
      <c r="L103" s="428">
        <f>49.3*80</f>
        <v>3944</v>
      </c>
      <c r="M103" s="428"/>
    </row>
    <row r="104" spans="2:16" x14ac:dyDescent="0.2">
      <c r="C104" s="19"/>
      <c r="D104" s="18" t="s">
        <v>272</v>
      </c>
      <c r="L104" s="428">
        <v>725.29</v>
      </c>
      <c r="M104" s="428"/>
    </row>
    <row r="105" spans="2:16" x14ac:dyDescent="0.2">
      <c r="C105" s="19"/>
      <c r="D105" s="18" t="s">
        <v>273</v>
      </c>
      <c r="L105" s="23"/>
    </row>
    <row r="106" spans="2:16" x14ac:dyDescent="0.2">
      <c r="C106" s="19"/>
      <c r="D106" s="18" t="s">
        <v>274</v>
      </c>
      <c r="L106" s="428">
        <v>2517.14</v>
      </c>
      <c r="M106" s="428"/>
      <c r="O106" s="8">
        <f>-L106</f>
        <v>-2517.14</v>
      </c>
    </row>
    <row r="107" spans="2:16" x14ac:dyDescent="0.2">
      <c r="C107" s="19"/>
      <c r="D107" s="18" t="s">
        <v>275</v>
      </c>
      <c r="L107" s="23"/>
    </row>
    <row r="108" spans="2:16" x14ac:dyDescent="0.2">
      <c r="C108" s="19"/>
      <c r="D108" s="18" t="s">
        <v>276</v>
      </c>
      <c r="L108" s="152"/>
    </row>
    <row r="109" spans="2:16" x14ac:dyDescent="0.2">
      <c r="L109" s="428">
        <f>SUM(L90:L108)</f>
        <v>28551.43</v>
      </c>
      <c r="M109" s="428"/>
      <c r="N109" s="8">
        <f>+L109</f>
        <v>28551.43</v>
      </c>
      <c r="O109" s="3"/>
      <c r="P109" s="8">
        <f>+N109+O106+O101+O99+O97</f>
        <v>19841.29</v>
      </c>
    </row>
    <row r="110" spans="2:16" x14ac:dyDescent="0.2">
      <c r="B110" s="7" t="s">
        <v>583</v>
      </c>
      <c r="L110" s="20"/>
      <c r="M110" s="20"/>
      <c r="O110" s="3"/>
    </row>
    <row r="111" spans="2:16" x14ac:dyDescent="0.2">
      <c r="D111" s="7" t="s">
        <v>438</v>
      </c>
      <c r="J111" s="108"/>
    </row>
    <row r="112" spans="2:16" x14ac:dyDescent="0.2">
      <c r="D112" s="7" t="s">
        <v>439</v>
      </c>
      <c r="J112" s="108"/>
    </row>
    <row r="113" spans="1:16" x14ac:dyDescent="0.2">
      <c r="D113" s="7" t="s">
        <v>440</v>
      </c>
      <c r="J113" s="108"/>
    </row>
    <row r="114" spans="1:16" x14ac:dyDescent="0.2">
      <c r="E114" s="7" t="s">
        <v>441</v>
      </c>
      <c r="J114" s="108"/>
    </row>
    <row r="115" spans="1:16" x14ac:dyDescent="0.2">
      <c r="D115" s="7" t="s">
        <v>442</v>
      </c>
      <c r="J115" s="100"/>
    </row>
    <row r="116" spans="1:16" x14ac:dyDescent="0.2">
      <c r="E116" s="7" t="s">
        <v>443</v>
      </c>
      <c r="J116" s="20">
        <v>3000</v>
      </c>
      <c r="N116" s="8">
        <f>+J116</f>
        <v>3000</v>
      </c>
      <c r="O116" s="8">
        <f>-N116</f>
        <v>-3000</v>
      </c>
      <c r="P116" s="8">
        <f>N116+O116</f>
        <v>0</v>
      </c>
    </row>
    <row r="117" spans="1:16" x14ac:dyDescent="0.2">
      <c r="J117" s="108"/>
      <c r="N117" s="16"/>
      <c r="O117" s="16"/>
      <c r="P117" s="16"/>
    </row>
    <row r="118" spans="1:16" x14ac:dyDescent="0.2">
      <c r="J118" s="108"/>
      <c r="N118" s="8">
        <f>SUM(N90:N117)</f>
        <v>31551.43</v>
      </c>
      <c r="O118" s="8">
        <f>SUM(O90:O117)</f>
        <v>-11710.14</v>
      </c>
      <c r="P118" s="8">
        <f>SUM(P90:P117)</f>
        <v>19841.29</v>
      </c>
    </row>
    <row r="119" spans="1:16" x14ac:dyDescent="0.2">
      <c r="J119" s="7"/>
    </row>
    <row r="120" spans="1:16" x14ac:dyDescent="0.2">
      <c r="A120" s="7">
        <v>7</v>
      </c>
      <c r="B120" s="7" t="s">
        <v>17</v>
      </c>
      <c r="J120" s="7"/>
    </row>
    <row r="121" spans="1:16" x14ac:dyDescent="0.2">
      <c r="C121" s="7" t="s">
        <v>278</v>
      </c>
      <c r="J121" s="7"/>
    </row>
    <row r="122" spans="1:16" x14ac:dyDescent="0.2">
      <c r="E122" s="132"/>
      <c r="H122" s="473">
        <v>36700</v>
      </c>
      <c r="I122" s="431"/>
      <c r="J122" s="8">
        <f>2502.5+496+864+520+60+1002.4+130</f>
        <v>5574.9</v>
      </c>
    </row>
    <row r="123" spans="1:16" x14ac:dyDescent="0.2">
      <c r="H123" s="473">
        <v>36701</v>
      </c>
      <c r="I123" s="431"/>
      <c r="J123" s="8">
        <f>1757.7+6160.05+520+60+130</f>
        <v>8627.75</v>
      </c>
    </row>
    <row r="124" spans="1:16" x14ac:dyDescent="0.2">
      <c r="H124" s="473">
        <v>36702</v>
      </c>
      <c r="I124" s="431"/>
      <c r="J124" s="8">
        <f>1370.2+7757.1+520+60+130</f>
        <v>9837.3000000000011</v>
      </c>
    </row>
    <row r="125" spans="1:16" x14ac:dyDescent="0.2">
      <c r="H125" s="473">
        <v>36703</v>
      </c>
      <c r="I125" s="431"/>
      <c r="J125" s="8">
        <f>496+418.5+3024+874.8+520+60+130</f>
        <v>5523.3</v>
      </c>
    </row>
    <row r="126" spans="1:16" x14ac:dyDescent="0.2">
      <c r="H126" s="473">
        <v>36704</v>
      </c>
      <c r="I126" s="431"/>
      <c r="J126" s="8">
        <f>2502.5+496+520+60+1002.4</f>
        <v>4580.8999999999996</v>
      </c>
    </row>
    <row r="127" spans="1:16" x14ac:dyDescent="0.2">
      <c r="I127" s="129" t="s">
        <v>70</v>
      </c>
      <c r="J127" s="22">
        <v>821.15</v>
      </c>
    </row>
    <row r="128" spans="1:16" x14ac:dyDescent="0.2">
      <c r="J128" s="8">
        <f>SUM(J122:J127)</f>
        <v>34965.300000000003</v>
      </c>
      <c r="N128" s="8">
        <f>+J128</f>
        <v>34965.300000000003</v>
      </c>
      <c r="O128" s="8">
        <v>0</v>
      </c>
      <c r="P128" s="8">
        <f>+N128+O128</f>
        <v>34965.300000000003</v>
      </c>
    </row>
    <row r="129" spans="1:16" x14ac:dyDescent="0.2">
      <c r="C129" s="125" t="s">
        <v>279</v>
      </c>
      <c r="J129" s="8"/>
    </row>
    <row r="130" spans="1:16" x14ac:dyDescent="0.2">
      <c r="C130" s="7" t="s">
        <v>444</v>
      </c>
      <c r="J130" s="8"/>
      <c r="N130" s="8">
        <v>843.48</v>
      </c>
      <c r="O130" s="8">
        <v>0</v>
      </c>
      <c r="P130" s="8">
        <f>+O130+N130</f>
        <v>843.48</v>
      </c>
    </row>
    <row r="131" spans="1:16" x14ac:dyDescent="0.2">
      <c r="C131" s="125" t="s">
        <v>279</v>
      </c>
      <c r="J131" s="8"/>
      <c r="N131" s="16"/>
      <c r="O131" s="16"/>
      <c r="P131" s="16"/>
    </row>
    <row r="132" spans="1:16" x14ac:dyDescent="0.2">
      <c r="C132" s="125"/>
      <c r="J132" s="8"/>
      <c r="N132" s="8">
        <f>+N128+N130</f>
        <v>35808.780000000006</v>
      </c>
      <c r="O132" s="8">
        <f>+O128+O130</f>
        <v>0</v>
      </c>
      <c r="P132" s="8">
        <f>+P128+P130</f>
        <v>35808.780000000006</v>
      </c>
    </row>
    <row r="134" spans="1:16" x14ac:dyDescent="0.2">
      <c r="A134" s="7">
        <v>9</v>
      </c>
      <c r="B134" s="7" t="s">
        <v>19</v>
      </c>
      <c r="J134" s="8"/>
    </row>
    <row r="135" spans="1:16" x14ac:dyDescent="0.2">
      <c r="C135" s="7" t="s">
        <v>304</v>
      </c>
      <c r="J135" s="8">
        <v>2285.56</v>
      </c>
      <c r="O135" s="8">
        <f>-J135</f>
        <v>-2285.56</v>
      </c>
      <c r="P135" s="8">
        <v>0</v>
      </c>
    </row>
    <row r="136" spans="1:16" x14ac:dyDescent="0.2">
      <c r="D136" s="7" t="s">
        <v>306</v>
      </c>
      <c r="J136" s="8"/>
    </row>
    <row r="137" spans="1:16" x14ac:dyDescent="0.2">
      <c r="E137" s="125" t="s">
        <v>307</v>
      </c>
      <c r="J137" s="8"/>
    </row>
    <row r="138" spans="1:16" x14ac:dyDescent="0.2">
      <c r="C138" s="7" t="s">
        <v>305</v>
      </c>
      <c r="J138" s="8"/>
    </row>
    <row r="139" spans="1:16" x14ac:dyDescent="0.2">
      <c r="D139" s="7" t="s">
        <v>308</v>
      </c>
      <c r="J139" s="8">
        <v>325000</v>
      </c>
      <c r="O139" s="8">
        <f>-J139</f>
        <v>-325000</v>
      </c>
      <c r="P139" s="8">
        <v>0</v>
      </c>
    </row>
    <row r="140" spans="1:16" x14ac:dyDescent="0.2">
      <c r="E140" s="125" t="s">
        <v>771</v>
      </c>
      <c r="J140" s="8"/>
    </row>
    <row r="141" spans="1:16" x14ac:dyDescent="0.2">
      <c r="D141" s="7" t="s">
        <v>309</v>
      </c>
      <c r="J141" s="8">
        <v>300000</v>
      </c>
      <c r="N141" s="8">
        <f>+J135+J139+J141</f>
        <v>627285.56000000006</v>
      </c>
      <c r="O141" s="8">
        <f>-J141</f>
        <v>-300000</v>
      </c>
      <c r="P141" s="8">
        <v>0</v>
      </c>
    </row>
    <row r="142" spans="1:16" x14ac:dyDescent="0.2">
      <c r="E142" s="125" t="s">
        <v>771</v>
      </c>
      <c r="J142" s="8"/>
      <c r="N142" s="16"/>
      <c r="O142" s="16"/>
      <c r="P142" s="16"/>
    </row>
    <row r="143" spans="1:16" x14ac:dyDescent="0.2">
      <c r="J143" s="8"/>
      <c r="N143" s="8">
        <f>SUM(N141:N142)</f>
        <v>627285.56000000006</v>
      </c>
      <c r="O143" s="8">
        <f>SUM(O135:O142)</f>
        <v>-627285.56000000006</v>
      </c>
      <c r="P143" s="8">
        <f>SUM(P135:P142)</f>
        <v>0</v>
      </c>
    </row>
    <row r="144" spans="1:16" x14ac:dyDescent="0.2">
      <c r="J144" s="8"/>
    </row>
    <row r="145" spans="10:10" x14ac:dyDescent="0.2">
      <c r="J145" s="8"/>
    </row>
    <row r="146" spans="10:10" x14ac:dyDescent="0.2">
      <c r="J146" s="8"/>
    </row>
    <row r="147" spans="10:10" x14ac:dyDescent="0.2">
      <c r="J147" s="8"/>
    </row>
    <row r="148" spans="10:10" x14ac:dyDescent="0.2">
      <c r="J148" s="8"/>
    </row>
    <row r="149" spans="10:10" x14ac:dyDescent="0.2">
      <c r="J149" s="8"/>
    </row>
    <row r="150" spans="10:10" x14ac:dyDescent="0.2">
      <c r="J150" s="8"/>
    </row>
    <row r="151" spans="10:10" x14ac:dyDescent="0.2">
      <c r="J151" s="8"/>
    </row>
    <row r="152" spans="10:10" x14ac:dyDescent="0.2">
      <c r="J152" s="8"/>
    </row>
    <row r="153" spans="10:10" x14ac:dyDescent="0.2">
      <c r="J153" s="8"/>
    </row>
    <row r="154" spans="10:10" x14ac:dyDescent="0.2">
      <c r="J154" s="8"/>
    </row>
    <row r="155" spans="10:10" x14ac:dyDescent="0.2">
      <c r="J155" s="8"/>
    </row>
    <row r="156" spans="10:10" x14ac:dyDescent="0.2">
      <c r="J156" s="8"/>
    </row>
    <row r="157" spans="10:10" x14ac:dyDescent="0.2">
      <c r="J157" s="8"/>
    </row>
    <row r="158" spans="10:10" x14ac:dyDescent="0.2">
      <c r="J158" s="8"/>
    </row>
    <row r="159" spans="10:10" x14ac:dyDescent="0.2">
      <c r="J159" s="8"/>
    </row>
    <row r="160" spans="10:10" x14ac:dyDescent="0.2">
      <c r="J160" s="8"/>
    </row>
    <row r="161" spans="10:10" x14ac:dyDescent="0.2">
      <c r="J161" s="8"/>
    </row>
    <row r="162" spans="10:10" x14ac:dyDescent="0.2">
      <c r="J162" s="8"/>
    </row>
    <row r="163" spans="10:10" x14ac:dyDescent="0.2">
      <c r="J163" s="8"/>
    </row>
    <row r="164" spans="10:10" x14ac:dyDescent="0.2">
      <c r="J164" s="8"/>
    </row>
    <row r="165" spans="10:10" x14ac:dyDescent="0.2">
      <c r="J165" s="8"/>
    </row>
    <row r="166" spans="10:10" x14ac:dyDescent="0.2">
      <c r="J166" s="8"/>
    </row>
    <row r="167" spans="10:10" x14ac:dyDescent="0.2">
      <c r="J167" s="8"/>
    </row>
    <row r="168" spans="10:10" x14ac:dyDescent="0.2">
      <c r="J168" s="8"/>
    </row>
    <row r="169" spans="10:10" x14ac:dyDescent="0.2">
      <c r="J169" s="8"/>
    </row>
    <row r="170" spans="10:10" x14ac:dyDescent="0.2">
      <c r="J170" s="8"/>
    </row>
    <row r="171" spans="10:10" x14ac:dyDescent="0.2">
      <c r="J171" s="8"/>
    </row>
    <row r="172" spans="10:10" x14ac:dyDescent="0.2">
      <c r="J172" s="8"/>
    </row>
    <row r="173" spans="10:10" x14ac:dyDescent="0.2">
      <c r="J173" s="8"/>
    </row>
  </sheetData>
  <mergeCells count="26">
    <mergeCell ref="L103:M103"/>
    <mergeCell ref="L104:M104"/>
    <mergeCell ref="L106:M106"/>
    <mergeCell ref="L109:M109"/>
    <mergeCell ref="L92:M92"/>
    <mergeCell ref="L93:M93"/>
    <mergeCell ref="L96:M96"/>
    <mergeCell ref="L97:M97"/>
    <mergeCell ref="L99:M99"/>
    <mergeCell ref="L101:M101"/>
    <mergeCell ref="D90:K90"/>
    <mergeCell ref="D91:K91"/>
    <mergeCell ref="D92:K92"/>
    <mergeCell ref="K75:L75"/>
    <mergeCell ref="D43:I44"/>
    <mergeCell ref="K62:M62"/>
    <mergeCell ref="E68:I68"/>
    <mergeCell ref="K70:M70"/>
    <mergeCell ref="L90:M90"/>
    <mergeCell ref="L91:M91"/>
    <mergeCell ref="H125:I125"/>
    <mergeCell ref="H126:I126"/>
    <mergeCell ref="H123:I123"/>
    <mergeCell ref="H124:I124"/>
    <mergeCell ref="D93:I93"/>
    <mergeCell ref="H122:I122"/>
  </mergeCells>
  <pageMargins left="0.17" right="0.33"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2" manualBreakCount="2">
    <brk id="40" max="16383" man="1"/>
    <brk id="10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view="pageBreakPreview" zoomScale="75" zoomScaleNormal="75" zoomScaleSheetLayoutView="75" workbookViewId="0"/>
  </sheetViews>
  <sheetFormatPr defaultColWidth="10.28515625" defaultRowHeight="12.75" x14ac:dyDescent="0.2"/>
  <cols>
    <col min="1" max="1" width="2.28515625" style="7" customWidth="1"/>
    <col min="2" max="2" width="3.7109375" style="7" customWidth="1"/>
    <col min="3" max="3" width="22.42578125" style="7" customWidth="1"/>
    <col min="4" max="4" width="9.28515625" style="7" customWidth="1"/>
    <col min="5" max="5" width="6.28515625" style="7" customWidth="1"/>
    <col min="6" max="6" width="7" style="7" customWidth="1"/>
    <col min="7" max="7" width="6" style="7" customWidth="1"/>
    <col min="8" max="8" width="10.85546875" style="3" customWidth="1"/>
    <col min="9" max="9" width="11.28515625" style="3" customWidth="1"/>
    <col min="10" max="10" width="10.85546875" style="3" customWidth="1"/>
    <col min="11" max="11" width="11.7109375" style="3" customWidth="1"/>
    <col min="12" max="12" width="11.140625" style="8" customWidth="1"/>
    <col min="13" max="13" width="13.140625" style="8" customWidth="1"/>
    <col min="14" max="14" width="10.85546875" style="8" customWidth="1"/>
    <col min="15" max="16384" width="10.28515625" style="3"/>
  </cols>
  <sheetData>
    <row r="1" spans="1:14" ht="15.75" x14ac:dyDescent="0.2">
      <c r="C1" s="2" t="s">
        <v>6</v>
      </c>
      <c r="D1" s="2"/>
      <c r="E1" s="2"/>
      <c r="F1" s="2"/>
      <c r="G1" s="2"/>
      <c r="H1" s="6" t="s">
        <v>585</v>
      </c>
    </row>
    <row r="2" spans="1:14" x14ac:dyDescent="0.2">
      <c r="C2" s="3" t="s">
        <v>7</v>
      </c>
      <c r="D2" s="3"/>
      <c r="E2" s="3"/>
      <c r="F2" s="3"/>
      <c r="G2" s="3"/>
    </row>
    <row r="3" spans="1:14" s="2" customFormat="1" ht="18.600000000000001" customHeight="1" x14ac:dyDescent="0.2">
      <c r="A3" s="4" t="s">
        <v>2</v>
      </c>
      <c r="B3" s="4"/>
      <c r="C3" s="4" t="s">
        <v>3</v>
      </c>
      <c r="D3" s="4"/>
      <c r="E3" s="4"/>
      <c r="F3" s="4"/>
      <c r="G3" s="7"/>
      <c r="H3" s="7"/>
      <c r="L3" s="28" t="s">
        <v>8</v>
      </c>
      <c r="M3" s="28" t="s">
        <v>9</v>
      </c>
      <c r="N3" s="28" t="s">
        <v>536</v>
      </c>
    </row>
    <row r="4" spans="1:14" x14ac:dyDescent="0.2">
      <c r="A4" s="7">
        <v>8</v>
      </c>
      <c r="B4" s="7" t="s">
        <v>18</v>
      </c>
      <c r="D4" s="7" t="s">
        <v>302</v>
      </c>
    </row>
    <row r="5" spans="1:14" x14ac:dyDescent="0.2">
      <c r="B5" s="18" t="s">
        <v>280</v>
      </c>
      <c r="C5" s="3"/>
      <c r="D5" s="19"/>
      <c r="E5" s="19"/>
      <c r="F5" s="18" t="s">
        <v>281</v>
      </c>
      <c r="G5" s="24" t="s">
        <v>100</v>
      </c>
      <c r="H5" s="20" t="s">
        <v>281</v>
      </c>
      <c r="I5" s="20" t="s">
        <v>282</v>
      </c>
      <c r="J5" s="20" t="s">
        <v>283</v>
      </c>
      <c r="K5" s="20" t="s">
        <v>88</v>
      </c>
    </row>
    <row r="6" spans="1:14" x14ac:dyDescent="0.2">
      <c r="B6" s="18" t="s">
        <v>284</v>
      </c>
      <c r="C6" s="3"/>
      <c r="D6" s="18" t="s">
        <v>285</v>
      </c>
      <c r="E6" s="18" t="s">
        <v>100</v>
      </c>
      <c r="F6" s="18" t="s">
        <v>286</v>
      </c>
      <c r="G6" s="23" t="s">
        <v>110</v>
      </c>
      <c r="H6" s="20" t="s">
        <v>109</v>
      </c>
      <c r="I6" s="20" t="s">
        <v>109</v>
      </c>
      <c r="J6" s="20" t="s">
        <v>109</v>
      </c>
      <c r="K6" s="20" t="s">
        <v>109</v>
      </c>
    </row>
    <row r="7" spans="1:14" x14ac:dyDescent="0.2">
      <c r="B7" s="18" t="s">
        <v>287</v>
      </c>
      <c r="C7" s="3"/>
      <c r="D7" s="19"/>
      <c r="E7" s="19"/>
      <c r="F7" s="19"/>
      <c r="G7" s="23"/>
      <c r="H7" s="23"/>
      <c r="I7" s="20">
        <f>+'Schedule 3 (Materials)'!I47</f>
        <v>132958.46</v>
      </c>
      <c r="J7" s="23"/>
      <c r="K7" s="20">
        <f>+I7</f>
        <v>132958.46</v>
      </c>
      <c r="M7" s="8">
        <f>+'Schedule 3 (Materials)'!J47</f>
        <v>-20168.468000000001</v>
      </c>
      <c r="N7" s="8">
        <f>+K7+M7</f>
        <v>112789.992</v>
      </c>
    </row>
    <row r="8" spans="1:14" x14ac:dyDescent="0.2">
      <c r="B8" s="18" t="s">
        <v>288</v>
      </c>
      <c r="C8" s="3"/>
      <c r="D8" s="191">
        <v>6674</v>
      </c>
      <c r="E8" s="18" t="s">
        <v>289</v>
      </c>
      <c r="F8" s="192">
        <v>6674</v>
      </c>
      <c r="G8" s="20">
        <v>20.399999999999999</v>
      </c>
      <c r="H8" s="20">
        <v>136150</v>
      </c>
      <c r="I8" s="23"/>
      <c r="J8" s="23"/>
      <c r="K8" s="20">
        <v>136150</v>
      </c>
    </row>
    <row r="9" spans="1:14" ht="13.15" customHeight="1" x14ac:dyDescent="0.2">
      <c r="B9" s="123" t="s">
        <v>601</v>
      </c>
      <c r="C9" s="3"/>
      <c r="D9" s="193">
        <f>6488-D8</f>
        <v>-186</v>
      </c>
      <c r="E9" s="18" t="s">
        <v>289</v>
      </c>
      <c r="F9" s="192"/>
      <c r="G9" s="20"/>
      <c r="H9" s="20"/>
      <c r="I9" s="23"/>
      <c r="J9" s="23"/>
      <c r="K9" s="20"/>
      <c r="M9" s="128">
        <f>+D9*G8</f>
        <v>-3794.3999999999996</v>
      </c>
    </row>
    <row r="10" spans="1:14" x14ac:dyDescent="0.2">
      <c r="B10" s="123" t="s">
        <v>597</v>
      </c>
      <c r="C10" s="3"/>
      <c r="D10" s="192"/>
      <c r="E10" s="18"/>
      <c r="F10" s="192"/>
      <c r="G10" s="20"/>
      <c r="H10" s="20"/>
      <c r="I10" s="23"/>
      <c r="J10" s="23"/>
      <c r="K10" s="20"/>
    </row>
    <row r="11" spans="1:14" x14ac:dyDescent="0.2">
      <c r="B11" s="3"/>
      <c r="C11" s="123" t="s">
        <v>599</v>
      </c>
      <c r="D11" s="193">
        <f>+'Sche 3 (L-Craft, By Trade)'!BR107</f>
        <v>-2374.5</v>
      </c>
      <c r="E11" s="18" t="s">
        <v>289</v>
      </c>
      <c r="M11" s="8">
        <f>+D11*G8</f>
        <v>-48439.799999999996</v>
      </c>
    </row>
    <row r="12" spans="1:14" x14ac:dyDescent="0.2">
      <c r="B12" s="3"/>
      <c r="C12" s="123" t="s">
        <v>600</v>
      </c>
      <c r="D12" s="193">
        <f>+'Sche 3 (L-Craft, By Trade)'!BR108</f>
        <v>-1551.5</v>
      </c>
      <c r="E12" s="18" t="s">
        <v>289</v>
      </c>
      <c r="M12" s="8">
        <f>+G8*D12</f>
        <v>-31650.6</v>
      </c>
      <c r="N12" s="8">
        <f>+K8+M9+M11+M12</f>
        <v>52265.200000000019</v>
      </c>
    </row>
    <row r="13" spans="1:14" x14ac:dyDescent="0.2">
      <c r="B13" s="18" t="s">
        <v>290</v>
      </c>
      <c r="C13" s="3"/>
      <c r="D13" s="224"/>
      <c r="E13" s="98"/>
      <c r="F13" s="208"/>
      <c r="G13" s="152"/>
      <c r="H13" s="152"/>
      <c r="I13" s="152"/>
      <c r="J13" s="27">
        <f>+'Schedule 3 (Materials)'!H65</f>
        <v>111262.48000000001</v>
      </c>
      <c r="K13" s="27">
        <f>+J13</f>
        <v>111262.48000000001</v>
      </c>
      <c r="L13" s="16"/>
      <c r="N13" s="8">
        <f>+K13</f>
        <v>111262.48000000001</v>
      </c>
    </row>
    <row r="14" spans="1:14" x14ac:dyDescent="0.2">
      <c r="B14" s="18" t="s">
        <v>291</v>
      </c>
      <c r="C14" s="3"/>
      <c r="D14" s="195">
        <f>SUM(D8:D13)</f>
        <v>2562</v>
      </c>
      <c r="E14" s="19"/>
      <c r="F14" s="192">
        <v>6674</v>
      </c>
      <c r="H14" s="20">
        <f>+H8</f>
        <v>136150</v>
      </c>
      <c r="I14" s="20">
        <f>+I7</f>
        <v>132958.46</v>
      </c>
      <c r="J14" s="23">
        <f>+J13</f>
        <v>111262.48000000001</v>
      </c>
      <c r="K14" s="20">
        <f>+K7+K8+K13</f>
        <v>380370.93999999994</v>
      </c>
      <c r="L14" s="8">
        <f>+K14</f>
        <v>380370.93999999994</v>
      </c>
    </row>
    <row r="15" spans="1:14" ht="5.45" customHeight="1" x14ac:dyDescent="0.2">
      <c r="B15" s="18"/>
      <c r="C15" s="3"/>
      <c r="D15" s="19"/>
      <c r="E15" s="19"/>
      <c r="F15" s="192"/>
      <c r="H15" s="20"/>
      <c r="I15" s="20"/>
      <c r="J15" s="23"/>
      <c r="K15" s="20"/>
    </row>
    <row r="16" spans="1:14" x14ac:dyDescent="0.2">
      <c r="B16" s="18" t="s">
        <v>292</v>
      </c>
      <c r="C16" s="3"/>
      <c r="D16" s="194">
        <v>667</v>
      </c>
      <c r="E16" s="19"/>
      <c r="F16" s="32">
        <v>667</v>
      </c>
      <c r="G16" s="20">
        <v>20.399999999999999</v>
      </c>
      <c r="H16" s="20">
        <v>13615</v>
      </c>
      <c r="I16" s="23"/>
      <c r="J16" s="23"/>
      <c r="K16" s="20">
        <v>13615</v>
      </c>
    </row>
    <row r="17" spans="1:15" x14ac:dyDescent="0.2">
      <c r="B17" s="18" t="s">
        <v>609</v>
      </c>
      <c r="C17" s="3"/>
      <c r="D17" s="195">
        <f>+D8+D9+D11+D12</f>
        <v>2562</v>
      </c>
      <c r="E17" s="19"/>
      <c r="F17" s="196">
        <f>+(F14-D17)*-0.1</f>
        <v>-411.20000000000005</v>
      </c>
      <c r="G17" s="20">
        <v>20.399999999999999</v>
      </c>
      <c r="H17" s="20"/>
      <c r="I17" s="20"/>
      <c r="J17" s="23"/>
      <c r="K17" s="20"/>
      <c r="M17" s="8">
        <f>+F17*G16</f>
        <v>-8388.48</v>
      </c>
      <c r="N17" s="8">
        <f>+K16+M17</f>
        <v>5226.5200000000004</v>
      </c>
    </row>
    <row r="18" spans="1:15" x14ac:dyDescent="0.2">
      <c r="B18" s="18" t="s">
        <v>608</v>
      </c>
      <c r="C18" s="3"/>
      <c r="D18" s="19"/>
      <c r="E18" s="19"/>
      <c r="F18" s="19"/>
      <c r="G18" s="23"/>
      <c r="H18" s="20">
        <v>38939</v>
      </c>
      <c r="I18" s="23"/>
      <c r="J18" s="23"/>
      <c r="K18" s="8">
        <f>+H18</f>
        <v>38939</v>
      </c>
    </row>
    <row r="19" spans="1:15" x14ac:dyDescent="0.2">
      <c r="B19" s="18" t="s">
        <v>609</v>
      </c>
      <c r="C19" s="3"/>
      <c r="D19" s="24">
        <f>+H8+M9+M11+M12+H16+M17</f>
        <v>57491.720000000016</v>
      </c>
      <c r="E19" s="197" t="s">
        <v>610</v>
      </c>
      <c r="F19" s="453">
        <f>+D19*0.26</f>
        <v>14947.847200000004</v>
      </c>
      <c r="G19" s="453"/>
      <c r="H19" s="23"/>
      <c r="I19" s="23"/>
      <c r="J19" s="23"/>
      <c r="K19" s="20"/>
      <c r="M19" s="8">
        <f>+F19-H18</f>
        <v>-23991.152799999996</v>
      </c>
      <c r="N19" s="8">
        <f>+K18+M19</f>
        <v>14947.847200000004</v>
      </c>
    </row>
    <row r="20" spans="1:15" x14ac:dyDescent="0.2">
      <c r="B20" s="18" t="s">
        <v>603</v>
      </c>
      <c r="C20" s="3"/>
      <c r="D20" s="19"/>
      <c r="E20" s="19"/>
      <c r="F20" s="196">
        <f>+F17</f>
        <v>-411.20000000000005</v>
      </c>
      <c r="G20" s="20">
        <v>20.399999999999999</v>
      </c>
      <c r="H20" s="20"/>
      <c r="I20" s="23"/>
      <c r="J20" s="23"/>
      <c r="K20" s="20"/>
    </row>
    <row r="21" spans="1:15" x14ac:dyDescent="0.2">
      <c r="B21" s="18" t="s">
        <v>294</v>
      </c>
      <c r="C21" s="3"/>
      <c r="D21" s="19"/>
      <c r="E21" s="19"/>
      <c r="F21" s="19">
        <f>+I21/0.94</f>
        <v>7341.489361702128</v>
      </c>
      <c r="G21" s="23"/>
      <c r="H21" s="23"/>
      <c r="I21" s="20">
        <v>6901</v>
      </c>
      <c r="J21" s="23"/>
      <c r="K21" s="20">
        <v>6901</v>
      </c>
    </row>
    <row r="22" spans="1:15" x14ac:dyDescent="0.2">
      <c r="B22" s="123" t="s">
        <v>604</v>
      </c>
      <c r="C22" s="3"/>
      <c r="D22" s="198">
        <f>+(F16+F17)+D17</f>
        <v>2817.8</v>
      </c>
      <c r="E22" s="19"/>
      <c r="F22" s="199">
        <f>+D22-F21</f>
        <v>-4523.6893617021278</v>
      </c>
      <c r="G22" s="23"/>
      <c r="H22" s="23"/>
      <c r="I22" s="20"/>
      <c r="J22" s="23"/>
      <c r="K22" s="20"/>
      <c r="M22" s="8">
        <f>+F22*0.94</f>
        <v>-4252.268</v>
      </c>
      <c r="N22" s="8">
        <f>+K21+M22</f>
        <v>2648.732</v>
      </c>
    </row>
    <row r="23" spans="1:15" x14ac:dyDescent="0.2">
      <c r="B23" s="18" t="s">
        <v>295</v>
      </c>
      <c r="C23" s="3"/>
      <c r="D23" s="200"/>
      <c r="E23" s="19"/>
      <c r="F23" s="19"/>
      <c r="G23" s="23"/>
      <c r="H23" s="23"/>
      <c r="I23" s="23">
        <v>22024</v>
      </c>
      <c r="J23" s="23"/>
      <c r="K23" s="23">
        <f>+I23</f>
        <v>22024</v>
      </c>
    </row>
    <row r="24" spans="1:15" x14ac:dyDescent="0.2">
      <c r="B24" s="123" t="s">
        <v>604</v>
      </c>
      <c r="C24" s="3"/>
      <c r="D24" s="192">
        <f>+D22</f>
        <v>2817.8</v>
      </c>
      <c r="E24" s="19"/>
      <c r="F24" s="199">
        <f>+F22</f>
        <v>-4523.6893617021278</v>
      </c>
      <c r="G24" s="23"/>
      <c r="H24" s="23"/>
      <c r="I24" s="23"/>
      <c r="J24" s="23"/>
      <c r="K24" s="23"/>
      <c r="M24" s="8">
        <f>+F24*3</f>
        <v>-13571.068085106384</v>
      </c>
      <c r="N24" s="8">
        <f>+K23+M24</f>
        <v>8452.9319148936156</v>
      </c>
    </row>
    <row r="25" spans="1:15" x14ac:dyDescent="0.2">
      <c r="B25" s="18" t="s">
        <v>296</v>
      </c>
      <c r="C25" s="3"/>
      <c r="D25" s="19"/>
      <c r="E25" s="200"/>
      <c r="F25" s="19"/>
      <c r="G25" s="23"/>
      <c r="H25" s="23"/>
      <c r="I25" s="23">
        <v>20689</v>
      </c>
      <c r="J25" s="23"/>
      <c r="K25" s="23">
        <f>+I25</f>
        <v>20689</v>
      </c>
    </row>
    <row r="26" spans="1:15" x14ac:dyDescent="0.2">
      <c r="B26" s="123" t="s">
        <v>604</v>
      </c>
      <c r="C26" s="3"/>
      <c r="D26" s="198">
        <f>+D24</f>
        <v>2817.8</v>
      </c>
      <c r="E26" s="200"/>
      <c r="F26" s="199">
        <f>+F22</f>
        <v>-4523.6893617021278</v>
      </c>
      <c r="G26" s="23"/>
      <c r="H26" s="23"/>
      <c r="I26" s="23"/>
      <c r="J26" s="23"/>
      <c r="K26" s="23"/>
      <c r="M26" s="8">
        <f>+F26*3</f>
        <v>-13571.068085106384</v>
      </c>
      <c r="N26" s="8">
        <f>+K25+M26</f>
        <v>7117.9319148936156</v>
      </c>
    </row>
    <row r="27" spans="1:15" x14ac:dyDescent="0.2">
      <c r="B27" s="18" t="s">
        <v>297</v>
      </c>
      <c r="C27" s="3"/>
      <c r="D27" s="192"/>
      <c r="E27" s="19"/>
      <c r="F27" s="19"/>
      <c r="G27" s="23"/>
      <c r="H27" s="23"/>
      <c r="I27" s="23" t="s">
        <v>791</v>
      </c>
      <c r="J27" s="23"/>
      <c r="K27" s="23" t="str">
        <f>+I27</f>
        <v>w 8,343.00</v>
      </c>
      <c r="M27" s="26" t="s">
        <v>637</v>
      </c>
    </row>
    <row r="28" spans="1:15" x14ac:dyDescent="0.2">
      <c r="B28" s="18" t="s">
        <v>298</v>
      </c>
      <c r="C28" s="3"/>
      <c r="D28" s="192">
        <v>2223</v>
      </c>
      <c r="E28" s="18" t="s">
        <v>289</v>
      </c>
      <c r="F28" s="3"/>
      <c r="G28" s="25">
        <v>41</v>
      </c>
      <c r="H28" s="201">
        <f>+D28*G28</f>
        <v>91143</v>
      </c>
      <c r="I28" s="23"/>
      <c r="J28" s="23"/>
      <c r="K28" s="23">
        <f>+H28</f>
        <v>91143</v>
      </c>
    </row>
    <row r="29" spans="1:15" x14ac:dyDescent="0.2">
      <c r="B29" s="123" t="s">
        <v>602</v>
      </c>
      <c r="C29" s="3"/>
      <c r="D29" s="192">
        <f>+'Schedule 3 (L-Office)'!O85</f>
        <v>2183</v>
      </c>
      <c r="E29" s="18" t="s">
        <v>289</v>
      </c>
      <c r="F29" s="196">
        <f>+D29-D28</f>
        <v>-40</v>
      </c>
      <c r="G29" s="25">
        <v>41</v>
      </c>
      <c r="H29" s="20"/>
      <c r="I29" s="23"/>
      <c r="J29" s="23"/>
      <c r="K29" s="23"/>
      <c r="M29" s="190">
        <f>+F29*G29</f>
        <v>-1640</v>
      </c>
    </row>
    <row r="30" spans="1:15" s="126" customFormat="1" x14ac:dyDescent="0.2">
      <c r="A30" s="125"/>
      <c r="B30" s="123" t="s">
        <v>594</v>
      </c>
      <c r="D30" s="196">
        <f>-'Schedule 3 (L-Office)'!Q84</f>
        <v>-1082</v>
      </c>
      <c r="E30" s="123" t="s">
        <v>289</v>
      </c>
      <c r="F30" s="196"/>
      <c r="G30" s="25">
        <v>41</v>
      </c>
      <c r="H30" s="202"/>
      <c r="I30" s="203"/>
      <c r="J30" s="203"/>
      <c r="K30" s="203"/>
      <c r="L30" s="102"/>
      <c r="M30" s="190">
        <f>+D30*+G30</f>
        <v>-44362</v>
      </c>
      <c r="N30" s="8">
        <f>+K28+M29+M30</f>
        <v>45141</v>
      </c>
      <c r="O30" s="3"/>
    </row>
    <row r="31" spans="1:15" x14ac:dyDescent="0.2">
      <c r="B31" s="18" t="s">
        <v>595</v>
      </c>
      <c r="C31" s="3"/>
      <c r="D31" s="192">
        <v>2100</v>
      </c>
      <c r="E31" s="18" t="s">
        <v>289</v>
      </c>
      <c r="F31" s="192">
        <v>2100</v>
      </c>
      <c r="G31" s="25">
        <v>41</v>
      </c>
      <c r="H31" s="201">
        <f>+F31*G31</f>
        <v>86100</v>
      </c>
      <c r="I31" s="23"/>
      <c r="J31" s="23"/>
      <c r="K31" s="23">
        <f>+H31</f>
        <v>86100</v>
      </c>
      <c r="M31" s="190"/>
    </row>
    <row r="32" spans="1:15" x14ac:dyDescent="0.2">
      <c r="B32" s="123" t="s">
        <v>602</v>
      </c>
      <c r="C32" s="3"/>
      <c r="D32" s="196">
        <f>+'Schedule 3 (L-Start)'!O85</f>
        <v>2077.5</v>
      </c>
      <c r="E32" s="123" t="s">
        <v>289</v>
      </c>
      <c r="F32" s="196">
        <v>-23</v>
      </c>
      <c r="G32" s="25"/>
      <c r="H32" s="20"/>
      <c r="I32" s="23"/>
      <c r="J32" s="23"/>
      <c r="K32" s="23"/>
      <c r="M32" s="190">
        <f>+F32*G31</f>
        <v>-943</v>
      </c>
    </row>
    <row r="33" spans="2:14" x14ac:dyDescent="0.2">
      <c r="B33" s="123" t="s">
        <v>594</v>
      </c>
      <c r="C33" s="3"/>
      <c r="D33" s="196">
        <f>-'Schedule 3 (L-Start)'!P84</f>
        <v>-118</v>
      </c>
      <c r="E33" s="123" t="s">
        <v>289</v>
      </c>
      <c r="F33" s="196"/>
      <c r="G33" s="25">
        <v>41</v>
      </c>
      <c r="H33" s="20"/>
      <c r="I33" s="23"/>
      <c r="J33" s="23"/>
      <c r="K33" s="23"/>
      <c r="M33" s="190">
        <f>+D33*+G33</f>
        <v>-4838</v>
      </c>
      <c r="N33" s="8">
        <f>+K31+M32+M33</f>
        <v>80319</v>
      </c>
    </row>
    <row r="34" spans="2:14" x14ac:dyDescent="0.2">
      <c r="B34" s="18" t="s">
        <v>299</v>
      </c>
      <c r="C34" s="3"/>
      <c r="D34" s="192">
        <f>+D31+D28</f>
        <v>4323</v>
      </c>
      <c r="E34" s="18" t="s">
        <v>289</v>
      </c>
      <c r="F34" s="3"/>
      <c r="G34" s="204">
        <v>5.3710000000000004</v>
      </c>
      <c r="H34" s="23"/>
      <c r="I34" s="201">
        <v>23223</v>
      </c>
      <c r="J34" s="23"/>
      <c r="K34" s="23">
        <f>+I34</f>
        <v>23223</v>
      </c>
      <c r="M34" s="190"/>
    </row>
    <row r="35" spans="2:14" x14ac:dyDescent="0.2">
      <c r="B35" s="123" t="s">
        <v>605</v>
      </c>
      <c r="C35" s="3"/>
      <c r="D35" s="196">
        <f>+D33+D30+F29+F32</f>
        <v>-1263</v>
      </c>
      <c r="E35" s="18"/>
      <c r="F35" s="3"/>
      <c r="G35" s="204">
        <v>5.3710000000000004</v>
      </c>
      <c r="H35" s="23"/>
      <c r="I35" s="20"/>
      <c r="J35" s="23"/>
      <c r="K35" s="23"/>
      <c r="M35" s="190">
        <f>+D35*G35</f>
        <v>-6783.5730000000003</v>
      </c>
      <c r="N35" s="8">
        <f>+K34+M35</f>
        <v>16439.427</v>
      </c>
    </row>
    <row r="36" spans="2:14" x14ac:dyDescent="0.2">
      <c r="B36" s="80" t="s">
        <v>300</v>
      </c>
      <c r="C36" s="3"/>
      <c r="D36" s="476" t="s">
        <v>452</v>
      </c>
      <c r="E36" s="476"/>
      <c r="F36" s="87"/>
      <c r="G36" s="189">
        <v>0.52</v>
      </c>
      <c r="H36" s="180"/>
      <c r="I36" s="96">
        <v>135915</v>
      </c>
      <c r="J36" s="180"/>
      <c r="K36" s="180">
        <f>+I36</f>
        <v>135915</v>
      </c>
    </row>
    <row r="37" spans="2:14" ht="13.15" customHeight="1" x14ac:dyDescent="0.2">
      <c r="B37" s="123" t="s">
        <v>606</v>
      </c>
      <c r="C37" s="3"/>
      <c r="D37" s="477">
        <f>+H28+H31+I34+M29+M30+M32+M33+M35</f>
        <v>141899.427</v>
      </c>
      <c r="E37" s="477"/>
      <c r="F37" s="208"/>
      <c r="G37" s="225">
        <v>0.52</v>
      </c>
      <c r="H37" s="226" t="s">
        <v>607</v>
      </c>
      <c r="I37" s="27"/>
      <c r="J37" s="152"/>
      <c r="K37" s="152"/>
      <c r="L37" s="16"/>
      <c r="M37" s="8">
        <f>(+D37*G37)-K36</f>
        <v>-62127.297959999996</v>
      </c>
      <c r="N37" s="8">
        <f>+K36+M37</f>
        <v>73787.702040000004</v>
      </c>
    </row>
    <row r="38" spans="2:14" x14ac:dyDescent="0.2">
      <c r="B38" s="18" t="s">
        <v>291</v>
      </c>
      <c r="C38" s="3"/>
      <c r="D38" s="196"/>
      <c r="E38" s="3"/>
      <c r="F38" s="3"/>
      <c r="G38" s="3"/>
      <c r="H38" s="23">
        <f>SUM(H14:H37)</f>
        <v>365947</v>
      </c>
      <c r="I38" s="23">
        <f>SUM(I14:I37)</f>
        <v>341710.45999999996</v>
      </c>
      <c r="J38" s="23">
        <f>SUM(J14:J37)</f>
        <v>111262.48000000001</v>
      </c>
      <c r="K38" s="8">
        <f>SUM(K16:K36)</f>
        <v>438549</v>
      </c>
      <c r="L38" s="84">
        <f>+K38</f>
        <v>438549</v>
      </c>
      <c r="M38" s="84"/>
    </row>
    <row r="39" spans="2:14" ht="5.45" customHeight="1" x14ac:dyDescent="0.2">
      <c r="B39" s="18"/>
      <c r="C39" s="3"/>
      <c r="D39" s="196"/>
      <c r="E39" s="3"/>
      <c r="F39" s="3"/>
      <c r="G39" s="3"/>
      <c r="H39" s="23"/>
      <c r="I39" s="23"/>
      <c r="J39" s="23"/>
      <c r="K39" s="8"/>
      <c r="L39" s="16"/>
      <c r="M39" s="16"/>
      <c r="N39" s="16"/>
    </row>
    <row r="40" spans="2:14" x14ac:dyDescent="0.2">
      <c r="B40" s="18" t="s">
        <v>200</v>
      </c>
      <c r="C40" s="3"/>
      <c r="D40" s="198"/>
      <c r="E40" s="19"/>
      <c r="F40" s="19"/>
      <c r="G40" s="23"/>
      <c r="K40" s="101" t="b">
        <f>+L40=N40-M40</f>
        <v>1</v>
      </c>
      <c r="L40" s="8">
        <f>+L14+L38</f>
        <v>818919.94</v>
      </c>
      <c r="M40" s="8">
        <f>SUM(M4:M38)</f>
        <v>-288521.17593021278</v>
      </c>
      <c r="N40" s="8">
        <f>SUM(N4:N38)</f>
        <v>530398.76406978734</v>
      </c>
    </row>
    <row r="41" spans="2:14" x14ac:dyDescent="0.2">
      <c r="C41" s="205"/>
      <c r="D41" s="19"/>
      <c r="E41" s="19"/>
      <c r="F41" s="19"/>
      <c r="G41" s="23"/>
      <c r="H41" s="20"/>
      <c r="I41" s="23"/>
      <c r="J41" s="20"/>
      <c r="K41" s="23"/>
    </row>
    <row r="42" spans="2:14" x14ac:dyDescent="0.2">
      <c r="C42" s="206"/>
      <c r="D42" s="207"/>
      <c r="E42" s="19"/>
      <c r="F42" s="19"/>
      <c r="G42" s="23"/>
      <c r="H42" s="20"/>
      <c r="I42" s="23"/>
      <c r="J42" s="23"/>
      <c r="K42" s="23"/>
    </row>
    <row r="43" spans="2:14" x14ac:dyDescent="0.2">
      <c r="C43" s="15" t="s">
        <v>303</v>
      </c>
      <c r="E43" s="125" t="s">
        <v>761</v>
      </c>
      <c r="I43" s="8"/>
    </row>
    <row r="44" spans="2:14" x14ac:dyDescent="0.2">
      <c r="C44" s="18" t="s">
        <v>280</v>
      </c>
      <c r="D44" s="19"/>
      <c r="E44" s="19"/>
      <c r="F44" s="18" t="s">
        <v>281</v>
      </c>
      <c r="G44" s="24" t="s">
        <v>100</v>
      </c>
      <c r="H44" s="20" t="s">
        <v>281</v>
      </c>
      <c r="I44" s="20" t="s">
        <v>282</v>
      </c>
      <c r="J44" s="20" t="s">
        <v>283</v>
      </c>
      <c r="K44" s="20" t="s">
        <v>88</v>
      </c>
    </row>
    <row r="45" spans="2:14" x14ac:dyDescent="0.2">
      <c r="C45" s="18" t="s">
        <v>284</v>
      </c>
      <c r="D45" s="18" t="s">
        <v>285</v>
      </c>
      <c r="E45" s="18" t="s">
        <v>100</v>
      </c>
      <c r="F45" s="18" t="s">
        <v>286</v>
      </c>
      <c r="G45" s="23" t="s">
        <v>110</v>
      </c>
      <c r="H45" s="20" t="s">
        <v>109</v>
      </c>
      <c r="I45" s="20" t="s">
        <v>109</v>
      </c>
      <c r="J45" s="20" t="s">
        <v>109</v>
      </c>
      <c r="K45" s="20" t="s">
        <v>109</v>
      </c>
    </row>
    <row r="46" spans="2:14" x14ac:dyDescent="0.2">
      <c r="C46" s="19"/>
      <c r="D46" s="19"/>
      <c r="E46" s="19"/>
      <c r="F46" s="19"/>
      <c r="G46" s="23"/>
      <c r="H46" s="23"/>
      <c r="I46" s="23"/>
      <c r="J46" s="23"/>
      <c r="K46" s="23"/>
    </row>
    <row r="47" spans="2:14" x14ac:dyDescent="0.2">
      <c r="C47" s="19"/>
      <c r="D47" s="19"/>
      <c r="E47" s="19"/>
      <c r="F47" s="19"/>
      <c r="G47" s="23"/>
      <c r="H47" s="23"/>
      <c r="I47" s="23"/>
      <c r="J47" s="23"/>
      <c r="K47" s="23"/>
    </row>
    <row r="48" spans="2:14" x14ac:dyDescent="0.2">
      <c r="C48" s="19"/>
      <c r="D48" s="19"/>
      <c r="E48" s="19"/>
      <c r="F48" s="19"/>
      <c r="G48" s="23"/>
      <c r="H48" s="23"/>
      <c r="I48" s="23"/>
      <c r="J48" s="23"/>
      <c r="K48" s="23"/>
    </row>
    <row r="49" spans="3:15" x14ac:dyDescent="0.2">
      <c r="C49" s="18"/>
      <c r="D49" s="19"/>
      <c r="E49" s="19"/>
      <c r="F49" s="19"/>
      <c r="G49" s="23"/>
      <c r="H49" s="23"/>
      <c r="I49" s="203"/>
      <c r="J49" s="23"/>
      <c r="K49" s="23"/>
    </row>
    <row r="50" spans="3:15" x14ac:dyDescent="0.2">
      <c r="C50" s="19"/>
      <c r="D50" s="19"/>
      <c r="E50" s="19"/>
      <c r="F50" s="19"/>
      <c r="G50" s="23"/>
      <c r="H50" s="23"/>
      <c r="I50" s="23"/>
      <c r="J50" s="23"/>
      <c r="K50" s="23" t="b">
        <f>+K51+K52+K53=K56</f>
        <v>1</v>
      </c>
    </row>
    <row r="51" spans="3:15" x14ac:dyDescent="0.2">
      <c r="C51" s="18" t="s">
        <v>287</v>
      </c>
      <c r="D51" s="19"/>
      <c r="E51" s="19"/>
      <c r="F51" s="19"/>
      <c r="G51" s="23"/>
      <c r="H51" s="23"/>
      <c r="I51" s="20">
        <v>11975</v>
      </c>
      <c r="J51" s="23"/>
      <c r="K51" s="20">
        <f>+I51</f>
        <v>11975</v>
      </c>
      <c r="M51" s="8">
        <f>-K51</f>
        <v>-11975</v>
      </c>
      <c r="N51" s="8">
        <f>+K51+M51</f>
        <v>0</v>
      </c>
    </row>
    <row r="52" spans="3:15" x14ac:dyDescent="0.2">
      <c r="C52" s="18" t="s">
        <v>288</v>
      </c>
      <c r="D52" s="192">
        <v>252.5</v>
      </c>
      <c r="E52" s="18" t="s">
        <v>289</v>
      </c>
      <c r="F52" s="192">
        <f>+D52</f>
        <v>252.5</v>
      </c>
      <c r="G52" s="20">
        <v>20.399999999999999</v>
      </c>
      <c r="H52" s="20">
        <f>+D52*G52</f>
        <v>5151</v>
      </c>
      <c r="I52" s="23"/>
      <c r="J52" s="23"/>
      <c r="K52" s="20">
        <f>+H52</f>
        <v>5151</v>
      </c>
      <c r="M52" s="8">
        <f>-K52</f>
        <v>-5151</v>
      </c>
      <c r="N52" s="8">
        <f>+K52+M52</f>
        <v>0</v>
      </c>
      <c r="O52" s="8"/>
    </row>
    <row r="53" spans="3:15" x14ac:dyDescent="0.2">
      <c r="C53" s="18" t="s">
        <v>290</v>
      </c>
      <c r="D53" s="192"/>
      <c r="E53" s="18" t="s">
        <v>289</v>
      </c>
      <c r="F53" s="19"/>
      <c r="G53" s="23"/>
      <c r="H53" s="23"/>
      <c r="I53" s="23"/>
      <c r="J53" s="20"/>
      <c r="K53" s="20"/>
    </row>
    <row r="54" spans="3:15" x14ac:dyDescent="0.2">
      <c r="C54" s="18"/>
      <c r="D54" s="19"/>
      <c r="E54" s="18"/>
      <c r="F54" s="19"/>
      <c r="G54" s="23"/>
      <c r="H54" s="23"/>
      <c r="I54" s="23"/>
      <c r="J54" s="20"/>
      <c r="K54" s="20"/>
    </row>
    <row r="55" spans="3:15" x14ac:dyDescent="0.2">
      <c r="C55" s="18"/>
      <c r="D55" s="19"/>
      <c r="E55" s="18"/>
      <c r="F55" s="19"/>
      <c r="G55" s="23"/>
      <c r="H55" s="23"/>
      <c r="I55" s="23"/>
      <c r="J55" s="20"/>
      <c r="K55" s="20"/>
    </row>
    <row r="56" spans="3:15" x14ac:dyDescent="0.2">
      <c r="C56" s="18" t="s">
        <v>291</v>
      </c>
      <c r="D56" s="19"/>
      <c r="E56" s="19"/>
      <c r="F56" s="192">
        <v>253</v>
      </c>
      <c r="H56" s="20">
        <v>5151</v>
      </c>
      <c r="I56" s="20">
        <f>+I51</f>
        <v>11975</v>
      </c>
      <c r="J56" s="23"/>
      <c r="K56" s="20">
        <f>+K51+K52</f>
        <v>17126</v>
      </c>
      <c r="M56" s="8">
        <f t="shared" ref="M56:M62" si="0">-K56</f>
        <v>-17126</v>
      </c>
      <c r="N56" s="8">
        <f t="shared" ref="N56:N62" si="1">+K56+M56</f>
        <v>0</v>
      </c>
    </row>
    <row r="57" spans="3:15" x14ac:dyDescent="0.2">
      <c r="C57" s="18" t="s">
        <v>292</v>
      </c>
      <c r="D57" s="19">
        <f>+F57</f>
        <v>25</v>
      </c>
      <c r="E57" s="19"/>
      <c r="F57" s="32">
        <v>25</v>
      </c>
      <c r="G57" s="20">
        <v>20.399999999999999</v>
      </c>
      <c r="H57" s="20">
        <v>515</v>
      </c>
      <c r="I57" s="23"/>
      <c r="J57" s="23"/>
      <c r="K57" s="20">
        <f>+H57</f>
        <v>515</v>
      </c>
      <c r="M57" s="8">
        <f t="shared" si="0"/>
        <v>-515</v>
      </c>
      <c r="N57" s="8">
        <f t="shared" si="1"/>
        <v>0</v>
      </c>
    </row>
    <row r="58" spans="3:15" x14ac:dyDescent="0.2">
      <c r="C58" s="18" t="s">
        <v>293</v>
      </c>
      <c r="D58" s="19"/>
      <c r="E58" s="19"/>
      <c r="F58" s="19"/>
      <c r="G58" s="23"/>
      <c r="H58" s="20">
        <v>1473</v>
      </c>
      <c r="I58" s="23"/>
      <c r="J58" s="23"/>
      <c r="K58" s="20">
        <v>1473</v>
      </c>
      <c r="M58" s="8">
        <f t="shared" si="0"/>
        <v>-1473</v>
      </c>
      <c r="N58" s="8">
        <f t="shared" si="1"/>
        <v>0</v>
      </c>
    </row>
    <row r="59" spans="3:15" x14ac:dyDescent="0.2">
      <c r="C59" s="18" t="s">
        <v>294</v>
      </c>
      <c r="D59" s="19"/>
      <c r="E59" s="19"/>
      <c r="F59" s="19"/>
      <c r="G59" s="23"/>
      <c r="H59" s="23"/>
      <c r="I59" s="20">
        <v>261</v>
      </c>
      <c r="J59" s="23"/>
      <c r="K59" s="20">
        <f>+I59</f>
        <v>261</v>
      </c>
      <c r="M59" s="8">
        <f t="shared" si="0"/>
        <v>-261</v>
      </c>
      <c r="N59" s="8">
        <f t="shared" si="1"/>
        <v>0</v>
      </c>
    </row>
    <row r="60" spans="3:15" x14ac:dyDescent="0.2">
      <c r="C60" s="18" t="s">
        <v>295</v>
      </c>
      <c r="D60" s="200"/>
      <c r="E60" s="19"/>
      <c r="F60" s="19"/>
      <c r="G60" s="23"/>
      <c r="H60" s="23"/>
      <c r="I60" s="23">
        <v>833</v>
      </c>
      <c r="J60" s="23"/>
      <c r="K60" s="23">
        <f>+I60</f>
        <v>833</v>
      </c>
      <c r="M60" s="8">
        <f t="shared" si="0"/>
        <v>-833</v>
      </c>
      <c r="N60" s="8">
        <f t="shared" si="1"/>
        <v>0</v>
      </c>
    </row>
    <row r="61" spans="3:15" x14ac:dyDescent="0.2">
      <c r="C61" s="18" t="s">
        <v>296</v>
      </c>
      <c r="D61" s="19"/>
      <c r="E61" s="200"/>
      <c r="F61" s="19"/>
      <c r="G61" s="23"/>
      <c r="H61" s="23"/>
      <c r="I61" s="23">
        <v>783</v>
      </c>
      <c r="J61" s="23"/>
      <c r="K61" s="23">
        <f>+I61</f>
        <v>783</v>
      </c>
      <c r="M61" s="8">
        <f t="shared" si="0"/>
        <v>-783</v>
      </c>
      <c r="N61" s="8">
        <f t="shared" si="1"/>
        <v>0</v>
      </c>
    </row>
    <row r="62" spans="3:15" x14ac:dyDescent="0.2">
      <c r="C62" s="18" t="s">
        <v>297</v>
      </c>
      <c r="D62" s="192"/>
      <c r="E62" s="19"/>
      <c r="F62" s="19"/>
      <c r="G62" s="23"/>
      <c r="H62" s="23"/>
      <c r="I62" s="23">
        <v>316</v>
      </c>
      <c r="J62" s="23"/>
      <c r="K62" s="23">
        <f>+I62</f>
        <v>316</v>
      </c>
      <c r="M62" s="8">
        <f t="shared" si="0"/>
        <v>-316</v>
      </c>
      <c r="N62" s="8">
        <f t="shared" si="1"/>
        <v>0</v>
      </c>
    </row>
    <row r="63" spans="3:15" ht="25.5" x14ac:dyDescent="0.2">
      <c r="C63" s="64" t="s">
        <v>298</v>
      </c>
      <c r="D63" s="192">
        <v>0</v>
      </c>
      <c r="E63" s="18" t="s">
        <v>289</v>
      </c>
      <c r="F63" s="192">
        <v>0</v>
      </c>
      <c r="G63" s="25">
        <v>41</v>
      </c>
      <c r="H63" s="20">
        <f>+F63*G63</f>
        <v>0</v>
      </c>
      <c r="I63" s="23"/>
      <c r="J63" s="23"/>
      <c r="K63" s="23">
        <f>+H63</f>
        <v>0</v>
      </c>
    </row>
    <row r="64" spans="3:15" ht="25.5" x14ac:dyDescent="0.2">
      <c r="C64" s="64" t="s">
        <v>595</v>
      </c>
      <c r="D64" s="192">
        <v>0</v>
      </c>
      <c r="E64" s="18" t="s">
        <v>289</v>
      </c>
      <c r="F64" s="192">
        <v>0</v>
      </c>
      <c r="G64" s="25">
        <v>41</v>
      </c>
      <c r="H64" s="20">
        <f>+F64*G64</f>
        <v>0</v>
      </c>
      <c r="I64" s="23"/>
      <c r="J64" s="23"/>
      <c r="K64" s="23">
        <f>+H64</f>
        <v>0</v>
      </c>
    </row>
    <row r="65" spans="2:14" x14ac:dyDescent="0.2">
      <c r="C65" s="18" t="s">
        <v>299</v>
      </c>
      <c r="D65" s="123" t="s">
        <v>529</v>
      </c>
      <c r="E65" s="18"/>
      <c r="F65" s="19"/>
      <c r="G65" s="23"/>
      <c r="H65" s="23"/>
      <c r="I65" s="20"/>
      <c r="J65" s="23"/>
      <c r="K65" s="23">
        <f>+I65</f>
        <v>0</v>
      </c>
    </row>
    <row r="66" spans="2:14" x14ac:dyDescent="0.2">
      <c r="C66" s="18" t="s">
        <v>300</v>
      </c>
      <c r="D66" s="208"/>
      <c r="E66" s="19"/>
      <c r="F66" s="208"/>
      <c r="G66" s="152"/>
      <c r="H66" s="152"/>
      <c r="I66" s="27"/>
      <c r="J66" s="152"/>
      <c r="K66" s="152">
        <f>+I66</f>
        <v>0</v>
      </c>
      <c r="L66" s="16"/>
      <c r="M66" s="16"/>
      <c r="N66" s="16"/>
    </row>
    <row r="67" spans="2:14" x14ac:dyDescent="0.2">
      <c r="C67" s="18" t="s">
        <v>291</v>
      </c>
      <c r="D67" s="198">
        <f>SUM(D52:D65)</f>
        <v>277.5</v>
      </c>
      <c r="E67" s="19"/>
      <c r="F67" s="19"/>
      <c r="G67" s="23"/>
      <c r="H67" s="20">
        <f>SUM(H55:H66)</f>
        <v>7139</v>
      </c>
      <c r="I67" s="23">
        <f>SUM(I55:I66)</f>
        <v>14168</v>
      </c>
      <c r="J67" s="23">
        <f>+J53</f>
        <v>0</v>
      </c>
      <c r="K67" s="23">
        <f>SUM(K56:K66)</f>
        <v>21307</v>
      </c>
      <c r="L67" s="8">
        <f>+K67</f>
        <v>21307</v>
      </c>
      <c r="M67" s="8">
        <f>-L67</f>
        <v>-21307</v>
      </c>
      <c r="N67" s="8">
        <f>+L67+M67</f>
        <v>0</v>
      </c>
    </row>
    <row r="68" spans="2:14" x14ac:dyDescent="0.2">
      <c r="C68" s="19"/>
      <c r="D68" s="19"/>
      <c r="E68" s="19"/>
      <c r="F68" s="19"/>
      <c r="G68" s="23"/>
      <c r="H68" s="20"/>
      <c r="I68" s="23"/>
      <c r="J68" s="20" t="s">
        <v>301</v>
      </c>
      <c r="K68" s="23">
        <f>SUM(H67:J67)</f>
        <v>21307</v>
      </c>
    </row>
    <row r="69" spans="2:14" ht="5.45" customHeight="1" x14ac:dyDescent="0.2">
      <c r="L69" s="16"/>
      <c r="M69" s="16"/>
      <c r="N69" s="16"/>
    </row>
    <row r="70" spans="2:14" x14ac:dyDescent="0.2">
      <c r="K70" s="8"/>
      <c r="L70" s="8">
        <f>+L67+L40</f>
        <v>840226.94</v>
      </c>
      <c r="M70" s="8">
        <f>+M67+M40</f>
        <v>-309828.17593021278</v>
      </c>
      <c r="N70" s="8">
        <f>+N67+N40</f>
        <v>530398.76406978734</v>
      </c>
    </row>
    <row r="71" spans="2:14" x14ac:dyDescent="0.2">
      <c r="K71" s="3" t="b">
        <f>+N70-M70=L70</f>
        <v>1</v>
      </c>
    </row>
    <row r="72" spans="2:14" ht="5.45" customHeight="1" x14ac:dyDescent="0.2"/>
    <row r="73" spans="2:14" ht="15.75" x14ac:dyDescent="0.2">
      <c r="B73" s="4" t="s">
        <v>839</v>
      </c>
    </row>
    <row r="74" spans="2:14" x14ac:dyDescent="0.2">
      <c r="B74" s="18" t="s">
        <v>280</v>
      </c>
      <c r="C74" s="3"/>
      <c r="D74" s="19"/>
      <c r="E74" s="19"/>
      <c r="F74" s="18" t="s">
        <v>281</v>
      </c>
      <c r="G74" s="24" t="s">
        <v>100</v>
      </c>
      <c r="H74" s="20" t="s">
        <v>281</v>
      </c>
      <c r="I74" s="20" t="s">
        <v>282</v>
      </c>
      <c r="J74" s="20" t="s">
        <v>283</v>
      </c>
      <c r="K74" s="20" t="s">
        <v>88</v>
      </c>
    </row>
    <row r="75" spans="2:14" x14ac:dyDescent="0.2">
      <c r="B75" s="18" t="s">
        <v>284</v>
      </c>
      <c r="C75" s="3"/>
      <c r="D75" s="18" t="s">
        <v>285</v>
      </c>
      <c r="E75" s="18" t="s">
        <v>100</v>
      </c>
      <c r="F75" s="18" t="s">
        <v>286</v>
      </c>
      <c r="G75" s="23" t="s">
        <v>110</v>
      </c>
      <c r="H75" s="20" t="s">
        <v>109</v>
      </c>
      <c r="I75" s="20" t="s">
        <v>109</v>
      </c>
      <c r="J75" s="20" t="s">
        <v>109</v>
      </c>
      <c r="K75" s="20" t="s">
        <v>109</v>
      </c>
    </row>
    <row r="76" spans="2:14" x14ac:dyDescent="0.2">
      <c r="B76" s="18" t="s">
        <v>287</v>
      </c>
      <c r="C76" s="3"/>
      <c r="D76" s="19"/>
      <c r="E76" s="19"/>
      <c r="F76" s="19"/>
      <c r="G76" s="23"/>
      <c r="H76" s="23"/>
      <c r="I76" s="20">
        <f>+N7</f>
        <v>112789.992</v>
      </c>
      <c r="J76" s="23"/>
      <c r="K76" s="20">
        <f>+I76</f>
        <v>112789.992</v>
      </c>
    </row>
    <row r="77" spans="2:14" x14ac:dyDescent="0.2">
      <c r="B77" s="18"/>
      <c r="C77" s="3" t="s">
        <v>847</v>
      </c>
      <c r="D77" s="19"/>
      <c r="E77" s="19"/>
      <c r="F77" s="19"/>
      <c r="G77" s="23"/>
      <c r="H77" s="23"/>
      <c r="I77" s="20"/>
      <c r="J77" s="23"/>
      <c r="K77" s="20"/>
      <c r="M77" s="8">
        <f>-K76*0.5</f>
        <v>-56394.995999999999</v>
      </c>
      <c r="N77" s="8">
        <f>+K76+M77</f>
        <v>56394.995999999999</v>
      </c>
    </row>
    <row r="78" spans="2:14" x14ac:dyDescent="0.2">
      <c r="B78" s="18" t="s">
        <v>288</v>
      </c>
      <c r="C78" s="3"/>
      <c r="D78" s="191">
        <f>+D8+D9+D11+D12</f>
        <v>2562</v>
      </c>
      <c r="E78" s="18" t="s">
        <v>289</v>
      </c>
      <c r="F78" s="192">
        <f>+D78</f>
        <v>2562</v>
      </c>
      <c r="G78" s="20">
        <v>20.399999999999999</v>
      </c>
      <c r="H78" s="20">
        <f>+N12</f>
        <v>52265.200000000019</v>
      </c>
      <c r="I78" s="23"/>
      <c r="J78" s="23"/>
      <c r="K78" s="20">
        <f>+H78</f>
        <v>52265.200000000019</v>
      </c>
    </row>
    <row r="79" spans="2:14" x14ac:dyDescent="0.2">
      <c r="B79" s="3"/>
      <c r="C79" s="415" t="s">
        <v>845</v>
      </c>
      <c r="D79" s="193">
        <f>-'Sche 3 (L-Craft, By Trade)'!BT13</f>
        <v>-695.5</v>
      </c>
      <c r="E79" s="18" t="s">
        <v>289</v>
      </c>
      <c r="F79" s="191">
        <f>+D79</f>
        <v>-695.5</v>
      </c>
      <c r="G79" s="20">
        <v>20.399999999999999</v>
      </c>
      <c r="M79" s="8">
        <f>+F79*G79</f>
        <v>-14188.199999999999</v>
      </c>
    </row>
    <row r="80" spans="2:14" x14ac:dyDescent="0.2">
      <c r="B80" s="3"/>
      <c r="C80" s="415" t="s">
        <v>846</v>
      </c>
      <c r="D80" s="193">
        <f>-'Sche 3 (L-Craft, By Trade)'!BT43</f>
        <v>-783</v>
      </c>
      <c r="E80" s="18" t="s">
        <v>289</v>
      </c>
      <c r="F80" s="191">
        <f>+D80</f>
        <v>-783</v>
      </c>
      <c r="G80" s="20">
        <v>20.399999999999999</v>
      </c>
      <c r="M80" s="8">
        <f>+F80*G78</f>
        <v>-15973.199999999999</v>
      </c>
      <c r="N80" s="8">
        <f>+K78+M79+M80</f>
        <v>22103.800000000025</v>
      </c>
    </row>
    <row r="81" spans="2:14" x14ac:dyDescent="0.2">
      <c r="B81" s="18" t="s">
        <v>290</v>
      </c>
      <c r="C81" s="123"/>
      <c r="D81" s="193"/>
      <c r="E81" s="18"/>
      <c r="J81" s="8">
        <f>+J13</f>
        <v>111262.48000000001</v>
      </c>
      <c r="K81" s="8">
        <f>+J81</f>
        <v>111262.48000000001</v>
      </c>
    </row>
    <row r="82" spans="2:14" x14ac:dyDescent="0.2">
      <c r="B82" s="3"/>
      <c r="C82" s="3" t="s">
        <v>848</v>
      </c>
      <c r="D82" s="224"/>
      <c r="E82" s="98"/>
      <c r="F82" s="208"/>
      <c r="G82" s="152"/>
      <c r="H82" s="152"/>
      <c r="I82" s="152"/>
      <c r="J82" s="27"/>
      <c r="K82" s="27"/>
      <c r="L82" s="16"/>
      <c r="M82" s="8">
        <f>+J81*-0.5</f>
        <v>-55631.240000000005</v>
      </c>
      <c r="N82" s="8">
        <f>+K81+M82</f>
        <v>55631.240000000005</v>
      </c>
    </row>
    <row r="83" spans="2:14" x14ac:dyDescent="0.2">
      <c r="B83" s="18" t="s">
        <v>291</v>
      </c>
      <c r="C83" s="3"/>
      <c r="D83" s="195">
        <f>SUM(D78:D82)</f>
        <v>1083.5</v>
      </c>
      <c r="E83" s="19"/>
      <c r="F83" s="192">
        <f>+F78</f>
        <v>2562</v>
      </c>
      <c r="H83" s="20">
        <f>+H78</f>
        <v>52265.200000000019</v>
      </c>
      <c r="I83" s="20">
        <f>+I76</f>
        <v>112789.992</v>
      </c>
      <c r="J83" s="23">
        <f>+J82</f>
        <v>0</v>
      </c>
      <c r="K83" s="20">
        <f>+K76+K78+K81</f>
        <v>276317.67200000002</v>
      </c>
      <c r="L83" s="8">
        <f>+K83</f>
        <v>276317.67200000002</v>
      </c>
    </row>
    <row r="84" spans="2:14" ht="5.45" customHeight="1" x14ac:dyDescent="0.2">
      <c r="B84" s="18"/>
      <c r="C84" s="3"/>
      <c r="D84" s="19"/>
      <c r="E84" s="19"/>
      <c r="F84" s="192"/>
      <c r="H84" s="20"/>
      <c r="I84" s="20"/>
      <c r="J84" s="23"/>
      <c r="K84" s="20"/>
    </row>
    <row r="85" spans="2:14" x14ac:dyDescent="0.2">
      <c r="B85" s="18" t="s">
        <v>292</v>
      </c>
      <c r="C85" s="3"/>
      <c r="D85" s="194">
        <f>+F83*0.1</f>
        <v>256.2</v>
      </c>
      <c r="E85" s="19"/>
      <c r="F85" s="401">
        <f>+D85</f>
        <v>256.2</v>
      </c>
      <c r="G85" s="20">
        <v>20.399999999999999</v>
      </c>
      <c r="H85" s="20">
        <f>+N17</f>
        <v>5226.5200000000004</v>
      </c>
      <c r="I85" s="23"/>
      <c r="J85" s="23"/>
      <c r="K85" s="20">
        <f>+H85</f>
        <v>5226.5200000000004</v>
      </c>
    </row>
    <row r="86" spans="2:14" x14ac:dyDescent="0.2">
      <c r="B86" s="18" t="s">
        <v>609</v>
      </c>
      <c r="C86" s="3"/>
      <c r="D86" s="195">
        <f>+D83</f>
        <v>1083.5</v>
      </c>
      <c r="E86" s="19"/>
      <c r="F86" s="196">
        <f>(D86*0.1)-F85</f>
        <v>-147.84999999999997</v>
      </c>
      <c r="G86" s="20">
        <v>20.399999999999999</v>
      </c>
      <c r="H86" s="20"/>
      <c r="I86" s="20"/>
      <c r="J86" s="23"/>
      <c r="K86" s="20"/>
      <c r="M86" s="8">
        <f>+F86*G86</f>
        <v>-3016.139999999999</v>
      </c>
      <c r="N86" s="8">
        <f>+K85+M86</f>
        <v>2210.3800000000015</v>
      </c>
    </row>
    <row r="87" spans="2:14" x14ac:dyDescent="0.2">
      <c r="B87" s="18" t="s">
        <v>293</v>
      </c>
      <c r="C87" s="3"/>
      <c r="D87" s="19"/>
      <c r="E87" s="19"/>
      <c r="F87" s="19"/>
      <c r="G87" s="23"/>
      <c r="H87" s="20">
        <f>+N19</f>
        <v>14947.847200000004</v>
      </c>
      <c r="I87" s="23"/>
      <c r="J87" s="23"/>
      <c r="K87" s="8">
        <f>+H87</f>
        <v>14947.847200000004</v>
      </c>
    </row>
    <row r="88" spans="2:14" x14ac:dyDescent="0.2">
      <c r="B88" s="18" t="s">
        <v>609</v>
      </c>
      <c r="C88" s="3"/>
      <c r="D88" s="24">
        <f>+N80+N86</f>
        <v>24314.180000000026</v>
      </c>
      <c r="E88" s="197" t="s">
        <v>610</v>
      </c>
      <c r="F88" s="453">
        <f>+D88*0.26</f>
        <v>6321.6868000000068</v>
      </c>
      <c r="G88" s="453"/>
      <c r="H88" s="23"/>
      <c r="I88" s="23"/>
      <c r="J88" s="23"/>
      <c r="K88" s="20"/>
      <c r="M88" s="8">
        <f>+F88-K87</f>
        <v>-8626.160399999997</v>
      </c>
      <c r="N88" s="8">
        <f>+K87+M88</f>
        <v>6321.6868000000068</v>
      </c>
    </row>
    <row r="89" spans="2:14" x14ac:dyDescent="0.2">
      <c r="B89" s="18" t="s">
        <v>603</v>
      </c>
      <c r="C89" s="3"/>
      <c r="D89" s="19"/>
      <c r="E89" s="19"/>
      <c r="F89" s="196"/>
      <c r="G89" s="20">
        <v>20.399999999999999</v>
      </c>
      <c r="H89" s="20"/>
      <c r="I89" s="23"/>
      <c r="J89" s="23"/>
      <c r="K89" s="20"/>
    </row>
    <row r="90" spans="2:14" x14ac:dyDescent="0.2">
      <c r="B90" s="18" t="s">
        <v>294</v>
      </c>
      <c r="C90" s="3"/>
      <c r="D90" s="19"/>
      <c r="E90" s="19"/>
      <c r="F90" s="19"/>
      <c r="G90" s="23"/>
      <c r="H90" s="23"/>
      <c r="I90" s="20">
        <f>+N22</f>
        <v>2648.732</v>
      </c>
      <c r="J90" s="23"/>
      <c r="K90" s="20">
        <f>+I90</f>
        <v>2648.732</v>
      </c>
    </row>
    <row r="91" spans="2:14" x14ac:dyDescent="0.2">
      <c r="B91" s="123" t="s">
        <v>604</v>
      </c>
      <c r="C91" s="3"/>
      <c r="D91" s="198">
        <f>+(F85+F86)+D86</f>
        <v>1191.8499999999999</v>
      </c>
      <c r="E91" s="19"/>
      <c r="F91" s="199"/>
      <c r="G91" s="23">
        <v>0.94</v>
      </c>
      <c r="H91" s="23"/>
      <c r="I91" s="20"/>
      <c r="J91" s="23"/>
      <c r="K91" s="20"/>
      <c r="M91" s="8">
        <f>(D91*G91)-I90</f>
        <v>-1528.393</v>
      </c>
      <c r="N91" s="8">
        <f>+K90+M91</f>
        <v>1120.3389999999999</v>
      </c>
    </row>
    <row r="92" spans="2:14" x14ac:dyDescent="0.2">
      <c r="B92" s="18" t="s">
        <v>295</v>
      </c>
      <c r="C92" s="3"/>
      <c r="D92" s="200"/>
      <c r="E92" s="19"/>
      <c r="F92" s="19"/>
      <c r="G92" s="23"/>
      <c r="H92" s="23"/>
      <c r="I92" s="23">
        <f>+N24</f>
        <v>8452.9319148936156</v>
      </c>
      <c r="J92" s="23"/>
      <c r="K92" s="23">
        <f>+I92</f>
        <v>8452.9319148936156</v>
      </c>
    </row>
    <row r="93" spans="2:14" x14ac:dyDescent="0.2">
      <c r="B93" s="123" t="s">
        <v>604</v>
      </c>
      <c r="C93" s="3"/>
      <c r="D93" s="192">
        <f>+D91</f>
        <v>1191.8499999999999</v>
      </c>
      <c r="E93" s="19"/>
      <c r="F93" s="199"/>
      <c r="G93" s="23">
        <v>3</v>
      </c>
      <c r="H93" s="23"/>
      <c r="I93" s="23"/>
      <c r="J93" s="23"/>
      <c r="K93" s="23"/>
      <c r="M93" s="8">
        <f>(D93*G93)-I92</f>
        <v>-4877.3819148936163</v>
      </c>
      <c r="N93" s="8">
        <f>+K92+M93</f>
        <v>3575.5499999999993</v>
      </c>
    </row>
    <row r="94" spans="2:14" x14ac:dyDescent="0.2">
      <c r="B94" s="18" t="s">
        <v>296</v>
      </c>
      <c r="C94" s="3"/>
      <c r="D94" s="19"/>
      <c r="E94" s="200"/>
      <c r="F94" s="19"/>
      <c r="G94" s="23"/>
      <c r="H94" s="23"/>
      <c r="I94" s="23">
        <f>+N26</f>
        <v>7117.9319148936156</v>
      </c>
      <c r="J94" s="23"/>
      <c r="K94" s="23">
        <f>+I94</f>
        <v>7117.9319148936156</v>
      </c>
    </row>
    <row r="95" spans="2:14" x14ac:dyDescent="0.2">
      <c r="B95" s="123" t="s">
        <v>604</v>
      </c>
      <c r="C95" s="3"/>
      <c r="D95" s="198">
        <f>+D93</f>
        <v>1191.8499999999999</v>
      </c>
      <c r="E95" s="200"/>
      <c r="F95" s="199"/>
      <c r="G95" s="23">
        <v>3</v>
      </c>
      <c r="H95" s="23"/>
      <c r="I95" s="23"/>
      <c r="J95" s="23"/>
      <c r="K95" s="23"/>
      <c r="M95" s="8">
        <f>(D95*G95)-I94</f>
        <v>-3542.3819148936159</v>
      </c>
      <c r="N95" s="8">
        <f>+K94+M95</f>
        <v>3575.5499999999997</v>
      </c>
    </row>
    <row r="96" spans="2:14" x14ac:dyDescent="0.2">
      <c r="B96" s="18" t="s">
        <v>297</v>
      </c>
      <c r="C96" s="3"/>
      <c r="D96" s="192"/>
      <c r="E96" s="19"/>
      <c r="F96" s="19"/>
      <c r="G96" s="23"/>
      <c r="H96" s="23"/>
      <c r="I96" s="20" t="s">
        <v>823</v>
      </c>
      <c r="J96" s="23"/>
      <c r="K96" s="20" t="str">
        <f>+I96</f>
        <v>n/a</v>
      </c>
      <c r="M96" s="26"/>
    </row>
    <row r="97" spans="2:14" x14ac:dyDescent="0.2">
      <c r="B97" s="18" t="s">
        <v>298</v>
      </c>
      <c r="C97" s="3"/>
      <c r="D97" s="192">
        <f>+D28+F29+D30</f>
        <v>1101</v>
      </c>
      <c r="E97" s="18" t="s">
        <v>289</v>
      </c>
      <c r="F97" s="3"/>
      <c r="G97" s="25">
        <v>41</v>
      </c>
      <c r="H97" s="20">
        <f>+N30</f>
        <v>45141</v>
      </c>
      <c r="I97" s="23"/>
      <c r="J97" s="23"/>
      <c r="K97" s="23">
        <f>+H97</f>
        <v>45141</v>
      </c>
    </row>
    <row r="98" spans="2:14" x14ac:dyDescent="0.2">
      <c r="B98" s="123" t="s">
        <v>838</v>
      </c>
      <c r="C98" s="126"/>
      <c r="D98" s="196">
        <f>+'Schedule 3 (L-Office)'!P85</f>
        <v>344.5</v>
      </c>
      <c r="E98" s="123" t="s">
        <v>289</v>
      </c>
      <c r="F98" s="196"/>
      <c r="G98" s="25">
        <v>41</v>
      </c>
      <c r="H98" s="202"/>
      <c r="I98" s="203"/>
      <c r="J98" s="203"/>
      <c r="K98" s="203"/>
      <c r="L98" s="102"/>
      <c r="M98" s="402">
        <f>-D98*G98</f>
        <v>-14124.5</v>
      </c>
      <c r="N98" s="8">
        <f>+K97+M98</f>
        <v>31016.5</v>
      </c>
    </row>
    <row r="99" spans="2:14" x14ac:dyDescent="0.2">
      <c r="B99" s="18" t="s">
        <v>595</v>
      </c>
      <c r="C99" s="3"/>
      <c r="D99" s="192">
        <f>+D31+F32+D33</f>
        <v>1959</v>
      </c>
      <c r="E99" s="18" t="s">
        <v>289</v>
      </c>
      <c r="F99" s="192">
        <f>+D99</f>
        <v>1959</v>
      </c>
      <c r="G99" s="25">
        <v>41</v>
      </c>
      <c r="H99" s="20">
        <f>+N33</f>
        <v>80319</v>
      </c>
      <c r="I99" s="23"/>
      <c r="J99" s="23"/>
      <c r="K99" s="23">
        <f>+H99</f>
        <v>80319</v>
      </c>
      <c r="M99" s="190"/>
    </row>
    <row r="100" spans="2:14" x14ac:dyDescent="0.2">
      <c r="B100" s="123" t="s">
        <v>838</v>
      </c>
      <c r="C100" s="3"/>
      <c r="D100" s="196">
        <f>+'Schedule 3 (L-Start)'!Q85</f>
        <v>1174.5</v>
      </c>
      <c r="E100" s="123" t="s">
        <v>289</v>
      </c>
      <c r="F100" s="196"/>
      <c r="G100" s="25">
        <v>41</v>
      </c>
      <c r="H100" s="20"/>
      <c r="I100" s="23"/>
      <c r="J100" s="23"/>
      <c r="K100" s="23"/>
      <c r="M100" s="402">
        <f>+D100*-G100</f>
        <v>-48154.5</v>
      </c>
      <c r="N100" s="8">
        <f>+K99+M100</f>
        <v>32164.5</v>
      </c>
    </row>
    <row r="101" spans="2:14" x14ac:dyDescent="0.2">
      <c r="B101" s="18" t="s">
        <v>299</v>
      </c>
      <c r="C101" s="3"/>
      <c r="D101" s="192">
        <f>+D97+D99</f>
        <v>3060</v>
      </c>
      <c r="E101" s="18" t="s">
        <v>289</v>
      </c>
      <c r="F101" s="3"/>
      <c r="G101" s="204">
        <v>5.3710000000000004</v>
      </c>
      <c r="H101" s="23"/>
      <c r="I101" s="20">
        <f>+N35</f>
        <v>16439.427</v>
      </c>
      <c r="J101" s="23"/>
      <c r="K101" s="23">
        <f>+I101</f>
        <v>16439.427</v>
      </c>
      <c r="M101" s="190"/>
    </row>
    <row r="102" spans="2:14" x14ac:dyDescent="0.2">
      <c r="B102" s="123" t="s">
        <v>838</v>
      </c>
      <c r="C102" s="3"/>
      <c r="D102" s="196">
        <f>+D98+D100</f>
        <v>1519</v>
      </c>
      <c r="E102" s="18"/>
      <c r="F102" s="3"/>
      <c r="G102" s="204">
        <v>5.3710000000000004</v>
      </c>
      <c r="H102" s="23"/>
      <c r="I102" s="20"/>
      <c r="J102" s="23"/>
      <c r="K102" s="23"/>
      <c r="M102" s="402">
        <f>+D102*-G102</f>
        <v>-8158.5490000000009</v>
      </c>
      <c r="N102" s="8">
        <f>+K101+M102</f>
        <v>8280.8779999999988</v>
      </c>
    </row>
    <row r="103" spans="2:14" x14ac:dyDescent="0.2">
      <c r="B103" s="80" t="s">
        <v>300</v>
      </c>
      <c r="C103" s="3"/>
      <c r="D103" s="476"/>
      <c r="E103" s="476"/>
      <c r="F103" s="87"/>
      <c r="G103" s="189">
        <v>0.52</v>
      </c>
      <c r="H103" s="180"/>
      <c r="I103" s="96">
        <f>+N37</f>
        <v>73787.702040000004</v>
      </c>
      <c r="J103" s="180"/>
      <c r="K103" s="180">
        <f>+I103</f>
        <v>73787.702040000004</v>
      </c>
    </row>
    <row r="104" spans="2:14" x14ac:dyDescent="0.2">
      <c r="B104" s="123" t="s">
        <v>838</v>
      </c>
      <c r="C104" s="3"/>
      <c r="D104" s="405">
        <f>+D102</f>
        <v>1519</v>
      </c>
      <c r="E104" s="338" t="s">
        <v>840</v>
      </c>
      <c r="F104" s="406">
        <f>+D104/D101</f>
        <v>0.49640522875816995</v>
      </c>
      <c r="G104" s="225"/>
      <c r="H104" s="226"/>
      <c r="I104" s="27"/>
      <c r="J104" s="152"/>
      <c r="K104" s="27" t="s">
        <v>841</v>
      </c>
      <c r="L104" s="16"/>
      <c r="M104" s="8">
        <f>+K103*-0.5</f>
        <v>-36893.851020000002</v>
      </c>
      <c r="N104" s="8">
        <f>+K103+M104</f>
        <v>36893.851020000002</v>
      </c>
    </row>
    <row r="105" spans="2:14" x14ac:dyDescent="0.2">
      <c r="B105" s="18" t="s">
        <v>291</v>
      </c>
      <c r="C105" s="3"/>
      <c r="D105" s="196"/>
      <c r="E105" s="3"/>
      <c r="F105" s="3"/>
      <c r="G105" s="3"/>
      <c r="H105" s="23">
        <f>SUM(H85:H104)</f>
        <v>145634.36720000001</v>
      </c>
      <c r="I105" s="23">
        <f>SUM(I85:I104)</f>
        <v>108446.72486978723</v>
      </c>
      <c r="J105" s="23">
        <f>SUM(J83:J104)</f>
        <v>0</v>
      </c>
      <c r="K105" s="8">
        <f>SUM(K85:K103)</f>
        <v>254081.09206978724</v>
      </c>
      <c r="L105" s="84">
        <f>+K105</f>
        <v>254081.09206978724</v>
      </c>
      <c r="M105" s="84"/>
      <c r="N105" s="84"/>
    </row>
    <row r="106" spans="2:14" ht="6.6" customHeight="1" x14ac:dyDescent="0.2">
      <c r="B106" s="18"/>
      <c r="C106" s="3"/>
      <c r="D106" s="196"/>
      <c r="E106" s="3"/>
      <c r="F106" s="3"/>
      <c r="G106" s="3"/>
      <c r="H106" s="23"/>
      <c r="I106" s="23"/>
      <c r="J106" s="84"/>
      <c r="L106" s="16"/>
      <c r="M106" s="16"/>
      <c r="N106" s="16"/>
    </row>
    <row r="107" spans="2:14" x14ac:dyDescent="0.2">
      <c r="B107" s="18" t="s">
        <v>200</v>
      </c>
      <c r="C107" s="3"/>
      <c r="D107" s="198"/>
      <c r="E107" s="19"/>
      <c r="F107" s="19"/>
      <c r="G107" s="23"/>
      <c r="J107" s="143" t="b">
        <f>+H105+I105=K105</f>
        <v>1</v>
      </c>
      <c r="K107" s="101" t="b">
        <f>+L107=-M107+N107</f>
        <v>1</v>
      </c>
      <c r="L107" s="8">
        <f>+L83+L105</f>
        <v>530398.76406978723</v>
      </c>
      <c r="M107" s="8">
        <f>SUM(M76:M106)</f>
        <v>-271109.49324978725</v>
      </c>
      <c r="N107" s="8">
        <f>SUM(N76:N106)</f>
        <v>259289.27082000001</v>
      </c>
    </row>
    <row r="108" spans="2:14" x14ac:dyDescent="0.2">
      <c r="H108" s="3" t="s">
        <v>849</v>
      </c>
      <c r="N108" s="16">
        <f>+M107*-0.5</f>
        <v>135554.74662489363</v>
      </c>
    </row>
    <row r="109" spans="2:14" x14ac:dyDescent="0.2">
      <c r="H109" s="3" t="s">
        <v>832</v>
      </c>
      <c r="N109" s="8">
        <f>+N107+N108</f>
        <v>394844.0174448936</v>
      </c>
    </row>
  </sheetData>
  <mergeCells count="5">
    <mergeCell ref="D103:E103"/>
    <mergeCell ref="F19:G19"/>
    <mergeCell ref="D36:E36"/>
    <mergeCell ref="D37:E37"/>
    <mergeCell ref="F88:G88"/>
  </mergeCells>
  <pageMargins left="0.17" right="0.23" top="0.44"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1" manualBreakCount="1">
    <brk id="7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zoomScale="75" zoomScaleNormal="75" zoomScaleSheetLayoutView="75" workbookViewId="0"/>
  </sheetViews>
  <sheetFormatPr defaultColWidth="10.28515625" defaultRowHeight="12.75" x14ac:dyDescent="0.2"/>
  <cols>
    <col min="1" max="2" width="3.7109375" style="7" customWidth="1"/>
    <col min="3" max="3" width="26.28515625" style="7" customWidth="1"/>
    <col min="4" max="4" width="7.7109375" style="7" customWidth="1"/>
    <col min="5" max="5" width="5.28515625" style="7" customWidth="1"/>
    <col min="6" max="6" width="11.7109375" style="7" customWidth="1"/>
    <col min="7" max="7" width="9" style="7" customWidth="1"/>
    <col min="8" max="8" width="10.85546875" style="3" customWidth="1"/>
    <col min="9" max="9" width="20" style="8" customWidth="1"/>
    <col min="10" max="10" width="16.5703125" style="8" customWidth="1"/>
    <col min="11" max="11" width="17.7109375" style="8" customWidth="1"/>
    <col min="12" max="16384" width="10.28515625" style="3"/>
  </cols>
  <sheetData>
    <row r="1" spans="1:11" ht="15.75" x14ac:dyDescent="0.2">
      <c r="C1" s="2" t="s">
        <v>6</v>
      </c>
      <c r="D1" s="2"/>
      <c r="E1" s="2"/>
      <c r="F1" s="6" t="s">
        <v>584</v>
      </c>
      <c r="G1" s="2"/>
      <c r="H1" s="2"/>
    </row>
    <row r="2" spans="1:11" x14ac:dyDescent="0.2">
      <c r="C2" s="3" t="s">
        <v>7</v>
      </c>
      <c r="D2" s="3"/>
      <c r="E2" s="3"/>
      <c r="F2" s="3"/>
      <c r="G2" s="3"/>
    </row>
    <row r="3" spans="1:11" ht="4.9000000000000004" customHeight="1" x14ac:dyDescent="0.2">
      <c r="C3" s="3"/>
      <c r="D3" s="3"/>
      <c r="E3" s="3"/>
      <c r="F3" s="3"/>
      <c r="G3" s="3"/>
    </row>
    <row r="4" spans="1:11" s="2" customFormat="1" ht="18.600000000000001" customHeight="1" x14ac:dyDescent="0.2">
      <c r="A4" s="4" t="s">
        <v>2</v>
      </c>
      <c r="B4" s="4"/>
      <c r="C4" s="4" t="s">
        <v>3</v>
      </c>
      <c r="D4" s="4"/>
      <c r="E4" s="4"/>
      <c r="F4" s="4"/>
      <c r="G4" s="5"/>
      <c r="H4" s="5"/>
      <c r="I4" s="9" t="s">
        <v>8</v>
      </c>
      <c r="J4" s="9" t="s">
        <v>9</v>
      </c>
      <c r="K4" s="9" t="s">
        <v>536</v>
      </c>
    </row>
    <row r="5" spans="1:11" ht="7.9" customHeight="1" x14ac:dyDescent="0.2"/>
    <row r="6" spans="1:11" x14ac:dyDescent="0.2">
      <c r="A6" s="7">
        <v>1</v>
      </c>
      <c r="B6" s="7" t="s">
        <v>501</v>
      </c>
      <c r="D6" s="7" t="s">
        <v>517</v>
      </c>
      <c r="I6" s="8">
        <v>249</v>
      </c>
      <c r="K6" s="8">
        <f>+I6+J6</f>
        <v>249</v>
      </c>
    </row>
    <row r="7" spans="1:11" x14ac:dyDescent="0.2">
      <c r="A7" s="7">
        <v>2</v>
      </c>
      <c r="B7" s="7" t="s">
        <v>13</v>
      </c>
      <c r="D7" s="7" t="s">
        <v>518</v>
      </c>
      <c r="G7" s="125"/>
      <c r="I7" s="8">
        <v>15889.29</v>
      </c>
      <c r="K7" s="8">
        <f t="shared" ref="K7:K44" si="0">+I7+J7</f>
        <v>15889.29</v>
      </c>
    </row>
    <row r="8" spans="1:11" x14ac:dyDescent="0.2">
      <c r="A8" s="7">
        <v>3</v>
      </c>
      <c r="B8" s="7" t="s">
        <v>502</v>
      </c>
      <c r="D8" s="7" t="s">
        <v>519</v>
      </c>
      <c r="G8" s="125" t="s">
        <v>792</v>
      </c>
      <c r="H8" s="8"/>
      <c r="I8" s="8">
        <v>0</v>
      </c>
      <c r="J8" s="8">
        <v>0</v>
      </c>
      <c r="K8" s="8">
        <v>0</v>
      </c>
    </row>
    <row r="9" spans="1:11" x14ac:dyDescent="0.2">
      <c r="A9" s="7">
        <v>4</v>
      </c>
      <c r="B9" s="7" t="s">
        <v>503</v>
      </c>
      <c r="D9" s="7" t="s">
        <v>520</v>
      </c>
      <c r="I9" s="8">
        <v>9811.0400000000009</v>
      </c>
      <c r="K9" s="8">
        <f t="shared" si="0"/>
        <v>9811.0400000000009</v>
      </c>
    </row>
    <row r="10" spans="1:11" x14ac:dyDescent="0.2">
      <c r="A10" s="7">
        <v>5</v>
      </c>
      <c r="B10" s="7" t="s">
        <v>504</v>
      </c>
      <c r="D10" s="7" t="s">
        <v>638</v>
      </c>
      <c r="I10" s="8">
        <v>10310</v>
      </c>
      <c r="K10" s="8">
        <f t="shared" si="0"/>
        <v>10310</v>
      </c>
    </row>
    <row r="11" spans="1:11" x14ac:dyDescent="0.2">
      <c r="A11" s="7">
        <v>6</v>
      </c>
      <c r="B11" s="7" t="s">
        <v>505</v>
      </c>
      <c r="D11" s="7" t="s">
        <v>522</v>
      </c>
      <c r="I11" s="8">
        <v>5038.16</v>
      </c>
      <c r="K11" s="8">
        <f t="shared" si="0"/>
        <v>5038.16</v>
      </c>
    </row>
    <row r="12" spans="1:11" x14ac:dyDescent="0.2">
      <c r="A12" s="7">
        <v>7</v>
      </c>
      <c r="B12" s="7" t="s">
        <v>506</v>
      </c>
      <c r="D12" s="7" t="s">
        <v>518</v>
      </c>
      <c r="I12" s="8">
        <v>12881.82</v>
      </c>
      <c r="K12" s="8">
        <f t="shared" si="0"/>
        <v>12881.82</v>
      </c>
    </row>
    <row r="13" spans="1:11" x14ac:dyDescent="0.2">
      <c r="A13" s="7">
        <v>8</v>
      </c>
      <c r="B13" s="7" t="s">
        <v>507</v>
      </c>
      <c r="D13" s="7" t="s">
        <v>521</v>
      </c>
      <c r="G13" s="125"/>
      <c r="I13" s="8">
        <v>26297.5</v>
      </c>
      <c r="K13" s="8">
        <f t="shared" si="0"/>
        <v>26297.5</v>
      </c>
    </row>
    <row r="14" spans="1:11" x14ac:dyDescent="0.2">
      <c r="A14" s="7">
        <v>9</v>
      </c>
      <c r="B14" s="7" t="s">
        <v>508</v>
      </c>
      <c r="D14" s="7" t="s">
        <v>523</v>
      </c>
      <c r="I14" s="8">
        <v>984.34</v>
      </c>
      <c r="K14" s="8">
        <f t="shared" si="0"/>
        <v>984.34</v>
      </c>
    </row>
    <row r="15" spans="1:11" x14ac:dyDescent="0.2">
      <c r="A15" s="7">
        <v>10</v>
      </c>
      <c r="B15" s="7" t="s">
        <v>509</v>
      </c>
      <c r="D15" s="7" t="s">
        <v>524</v>
      </c>
      <c r="I15" s="8">
        <v>440.36</v>
      </c>
      <c r="K15" s="8">
        <f t="shared" si="0"/>
        <v>440.36</v>
      </c>
    </row>
    <row r="16" spans="1:11" x14ac:dyDescent="0.2">
      <c r="A16" s="7">
        <v>11</v>
      </c>
      <c r="B16" s="7" t="s">
        <v>510</v>
      </c>
      <c r="D16" s="7" t="s">
        <v>518</v>
      </c>
      <c r="I16" s="8">
        <v>517</v>
      </c>
      <c r="K16" s="8">
        <f t="shared" si="0"/>
        <v>517</v>
      </c>
    </row>
    <row r="17" spans="1:11" x14ac:dyDescent="0.2">
      <c r="A17" s="7">
        <v>12</v>
      </c>
      <c r="B17" s="7" t="s">
        <v>511</v>
      </c>
      <c r="D17" s="7" t="s">
        <v>518</v>
      </c>
      <c r="H17" s="229" t="s">
        <v>772</v>
      </c>
      <c r="I17" s="8">
        <v>1015</v>
      </c>
      <c r="J17" s="8">
        <f>-I17</f>
        <v>-1015</v>
      </c>
      <c r="K17" s="8">
        <f t="shared" si="0"/>
        <v>0</v>
      </c>
    </row>
    <row r="18" spans="1:11" x14ac:dyDescent="0.2">
      <c r="A18" s="7">
        <v>13</v>
      </c>
      <c r="B18" s="7" t="s">
        <v>512</v>
      </c>
      <c r="D18" s="7" t="s">
        <v>525</v>
      </c>
      <c r="G18" s="478"/>
      <c r="H18" s="478"/>
      <c r="I18" s="8">
        <v>717.16</v>
      </c>
      <c r="K18" s="8">
        <f t="shared" si="0"/>
        <v>717.16</v>
      </c>
    </row>
    <row r="19" spans="1:11" x14ac:dyDescent="0.2">
      <c r="A19" s="7">
        <v>14</v>
      </c>
      <c r="B19" s="7" t="s">
        <v>513</v>
      </c>
      <c r="D19" s="7" t="s">
        <v>526</v>
      </c>
      <c r="G19" s="478"/>
      <c r="H19" s="478"/>
      <c r="I19" s="8">
        <v>1146.53</v>
      </c>
      <c r="K19" s="8">
        <f t="shared" si="0"/>
        <v>1146.53</v>
      </c>
    </row>
    <row r="20" spans="1:11" ht="13.15" customHeight="1" x14ac:dyDescent="0.2">
      <c r="A20" s="7">
        <v>15</v>
      </c>
      <c r="B20" s="7" t="s">
        <v>514</v>
      </c>
      <c r="D20" s="7" t="s">
        <v>527</v>
      </c>
      <c r="G20" s="478"/>
      <c r="H20" s="478"/>
      <c r="I20" s="8">
        <v>6298.34</v>
      </c>
      <c r="K20" s="8">
        <f t="shared" si="0"/>
        <v>6298.34</v>
      </c>
    </row>
    <row r="21" spans="1:11" x14ac:dyDescent="0.2">
      <c r="A21" s="7">
        <v>16</v>
      </c>
      <c r="B21" s="7" t="s">
        <v>515</v>
      </c>
      <c r="D21" s="7" t="s">
        <v>528</v>
      </c>
      <c r="G21" s="125"/>
      <c r="H21" s="229" t="s">
        <v>773</v>
      </c>
      <c r="I21" s="8">
        <f>14554.88</f>
        <v>14554.88</v>
      </c>
      <c r="J21" s="8">
        <v>-5000</v>
      </c>
      <c r="K21" s="8">
        <f>+I21</f>
        <v>14554.88</v>
      </c>
    </row>
    <row r="22" spans="1:11" ht="7.9" customHeight="1" x14ac:dyDescent="0.2">
      <c r="F22" s="8"/>
      <c r="G22" s="125"/>
    </row>
    <row r="23" spans="1:11" x14ac:dyDescent="0.2">
      <c r="A23" s="7">
        <v>17</v>
      </c>
      <c r="B23" s="7" t="s">
        <v>516</v>
      </c>
      <c r="I23" s="8">
        <f>41120.44-7318.77-1594.79-500-4898-0.84</f>
        <v>26808.039999999997</v>
      </c>
      <c r="K23" s="8">
        <f t="shared" si="0"/>
        <v>26808.039999999997</v>
      </c>
    </row>
    <row r="24" spans="1:11" x14ac:dyDescent="0.2">
      <c r="C24" s="7" t="s">
        <v>539</v>
      </c>
      <c r="D24" s="7" t="s">
        <v>540</v>
      </c>
      <c r="G24" s="125" t="s">
        <v>793</v>
      </c>
    </row>
    <row r="25" spans="1:11" x14ac:dyDescent="0.2">
      <c r="F25" s="183">
        <v>0</v>
      </c>
      <c r="G25" s="125"/>
    </row>
    <row r="26" spans="1:11" x14ac:dyDescent="0.2">
      <c r="C26" s="7" t="s">
        <v>541</v>
      </c>
      <c r="D26" s="7" t="s">
        <v>542</v>
      </c>
      <c r="G26" s="125" t="s">
        <v>794</v>
      </c>
    </row>
    <row r="27" spans="1:11" x14ac:dyDescent="0.2">
      <c r="F27" s="183">
        <v>0</v>
      </c>
    </row>
    <row r="28" spans="1:11" x14ac:dyDescent="0.2">
      <c r="C28" s="7" t="s">
        <v>543</v>
      </c>
      <c r="D28" s="7" t="s">
        <v>544</v>
      </c>
      <c r="G28" s="125" t="s">
        <v>795</v>
      </c>
      <c r="H28" s="183"/>
    </row>
    <row r="29" spans="1:11" x14ac:dyDescent="0.2">
      <c r="F29" s="183">
        <v>0</v>
      </c>
      <c r="G29" s="125" t="s">
        <v>448</v>
      </c>
    </row>
    <row r="30" spans="1:11" x14ac:dyDescent="0.2">
      <c r="C30" s="7" t="s">
        <v>545</v>
      </c>
      <c r="D30" s="7" t="s">
        <v>546</v>
      </c>
      <c r="G30" s="125" t="s">
        <v>796</v>
      </c>
      <c r="H30" s="183"/>
    </row>
    <row r="31" spans="1:11" x14ac:dyDescent="0.2">
      <c r="F31" s="183">
        <v>0</v>
      </c>
      <c r="G31" s="125" t="s">
        <v>560</v>
      </c>
    </row>
    <row r="32" spans="1:11" x14ac:dyDescent="0.2">
      <c r="C32" s="7" t="s">
        <v>547</v>
      </c>
      <c r="D32" s="7" t="s">
        <v>548</v>
      </c>
      <c r="H32" s="183">
        <v>7740</v>
      </c>
      <c r="J32" s="8">
        <f>-H32</f>
        <v>-7740</v>
      </c>
      <c r="K32" s="8">
        <f t="shared" si="0"/>
        <v>-7740</v>
      </c>
    </row>
    <row r="33" spans="2:11" x14ac:dyDescent="0.2">
      <c r="G33" s="125" t="s">
        <v>562</v>
      </c>
    </row>
    <row r="34" spans="2:11" x14ac:dyDescent="0.2">
      <c r="C34" s="7" t="s">
        <v>549</v>
      </c>
      <c r="D34" s="7" t="s">
        <v>550</v>
      </c>
      <c r="H34" s="3">
        <f>3512.38*0.4</f>
        <v>1404.9520000000002</v>
      </c>
      <c r="J34" s="8">
        <f>-H34</f>
        <v>-1404.9520000000002</v>
      </c>
      <c r="K34" s="8">
        <f t="shared" si="0"/>
        <v>-1404.9520000000002</v>
      </c>
    </row>
    <row r="35" spans="2:11" x14ac:dyDescent="0.2">
      <c r="G35" s="125" t="s">
        <v>561</v>
      </c>
    </row>
    <row r="36" spans="2:11" x14ac:dyDescent="0.2">
      <c r="C36" s="7" t="s">
        <v>551</v>
      </c>
      <c r="D36" s="7" t="s">
        <v>550</v>
      </c>
      <c r="H36" s="3">
        <f>9711.29*0.4</f>
        <v>3884.5160000000005</v>
      </c>
      <c r="J36" s="8">
        <f>-H36</f>
        <v>-3884.5160000000005</v>
      </c>
      <c r="K36" s="8">
        <f t="shared" si="0"/>
        <v>-3884.5160000000005</v>
      </c>
    </row>
    <row r="37" spans="2:11" x14ac:dyDescent="0.2">
      <c r="G37" s="125" t="s">
        <v>561</v>
      </c>
    </row>
    <row r="38" spans="2:11" x14ac:dyDescent="0.2">
      <c r="C38" s="7" t="s">
        <v>552</v>
      </c>
      <c r="D38" s="7" t="s">
        <v>553</v>
      </c>
      <c r="H38" s="3">
        <v>459.11</v>
      </c>
      <c r="K38" s="8">
        <f t="shared" si="0"/>
        <v>0</v>
      </c>
    </row>
    <row r="39" spans="2:11" x14ac:dyDescent="0.2">
      <c r="G39" s="125"/>
    </row>
    <row r="40" spans="2:11" x14ac:dyDescent="0.2">
      <c r="C40" s="7" t="s">
        <v>554</v>
      </c>
      <c r="D40" s="7" t="s">
        <v>555</v>
      </c>
      <c r="H40" s="3">
        <v>1124</v>
      </c>
      <c r="J40" s="8">
        <f>-H40</f>
        <v>-1124</v>
      </c>
      <c r="K40" s="8">
        <f t="shared" si="0"/>
        <v>-1124</v>
      </c>
    </row>
    <row r="41" spans="2:11" x14ac:dyDescent="0.2">
      <c r="G41" s="125" t="s">
        <v>563</v>
      </c>
    </row>
    <row r="42" spans="2:11" x14ac:dyDescent="0.2">
      <c r="C42" s="7" t="s">
        <v>556</v>
      </c>
      <c r="D42" s="7" t="s">
        <v>557</v>
      </c>
      <c r="H42" s="3">
        <v>3000</v>
      </c>
      <c r="K42" s="8">
        <f t="shared" si="0"/>
        <v>0</v>
      </c>
    </row>
    <row r="43" spans="2:11" x14ac:dyDescent="0.2">
      <c r="G43" s="125"/>
    </row>
    <row r="44" spans="2:11" x14ac:dyDescent="0.2">
      <c r="C44" s="7" t="s">
        <v>558</v>
      </c>
      <c r="D44" s="7" t="s">
        <v>559</v>
      </c>
      <c r="H44" s="3">
        <v>895</v>
      </c>
      <c r="K44" s="8">
        <f t="shared" si="0"/>
        <v>0</v>
      </c>
    </row>
    <row r="45" spans="2:11" x14ac:dyDescent="0.2">
      <c r="G45" s="125"/>
    </row>
    <row r="46" spans="2:11" x14ac:dyDescent="0.2">
      <c r="I46" s="16"/>
      <c r="J46" s="16"/>
      <c r="K46" s="16"/>
    </row>
    <row r="47" spans="2:11" x14ac:dyDescent="0.2">
      <c r="I47" s="8">
        <f>SUM(I6:I46)</f>
        <v>132958.46</v>
      </c>
      <c r="J47" s="8">
        <f>SUM(J6:J46)</f>
        <v>-20168.468000000001</v>
      </c>
      <c r="K47" s="8">
        <f>SUM(K6:K46)</f>
        <v>117789.99199999998</v>
      </c>
    </row>
    <row r="48" spans="2:11" x14ac:dyDescent="0.2">
      <c r="B48" s="29" t="s">
        <v>639</v>
      </c>
      <c r="D48" s="215" t="s">
        <v>640</v>
      </c>
      <c r="E48" s="215"/>
      <c r="F48" s="227" t="s">
        <v>641</v>
      </c>
      <c r="G48" s="227" t="s">
        <v>642</v>
      </c>
      <c r="H48" s="215" t="s">
        <v>643</v>
      </c>
    </row>
    <row r="49" spans="2:8" x14ac:dyDescent="0.2">
      <c r="B49" s="7" t="s">
        <v>644</v>
      </c>
      <c r="D49" s="228">
        <v>2600</v>
      </c>
      <c r="F49" s="10">
        <v>1</v>
      </c>
      <c r="G49" s="10" t="s">
        <v>645</v>
      </c>
      <c r="H49" s="8">
        <v>2756</v>
      </c>
    </row>
    <row r="50" spans="2:8" x14ac:dyDescent="0.2">
      <c r="B50" s="7" t="s">
        <v>646</v>
      </c>
      <c r="D50" s="228">
        <v>4500</v>
      </c>
      <c r="F50" s="10">
        <v>1</v>
      </c>
      <c r="G50" s="10" t="s">
        <v>647</v>
      </c>
      <c r="H50" s="8">
        <v>4500</v>
      </c>
    </row>
    <row r="51" spans="2:8" x14ac:dyDescent="0.2">
      <c r="B51" s="7" t="s">
        <v>648</v>
      </c>
      <c r="D51" s="228" t="s">
        <v>649</v>
      </c>
      <c r="F51" s="10">
        <v>1</v>
      </c>
      <c r="G51" s="10" t="s">
        <v>647</v>
      </c>
      <c r="H51" s="8">
        <v>82373</v>
      </c>
    </row>
    <row r="52" spans="2:8" x14ac:dyDescent="0.2">
      <c r="B52" s="7" t="s">
        <v>650</v>
      </c>
      <c r="D52" s="228">
        <v>1700</v>
      </c>
      <c r="F52" s="10">
        <v>1</v>
      </c>
      <c r="G52" s="10" t="s">
        <v>651</v>
      </c>
      <c r="H52" s="8">
        <v>1969</v>
      </c>
    </row>
    <row r="53" spans="2:8" x14ac:dyDescent="0.2">
      <c r="B53" s="7" t="s">
        <v>652</v>
      </c>
      <c r="D53" s="228">
        <v>150</v>
      </c>
      <c r="F53" s="10">
        <v>1</v>
      </c>
      <c r="G53" s="10" t="s">
        <v>645</v>
      </c>
      <c r="H53" s="8">
        <v>161</v>
      </c>
    </row>
    <row r="54" spans="2:8" x14ac:dyDescent="0.2">
      <c r="B54" s="7" t="s">
        <v>653</v>
      </c>
      <c r="D54" s="228">
        <v>105</v>
      </c>
      <c r="F54" s="10">
        <v>2</v>
      </c>
      <c r="G54" s="10" t="s">
        <v>654</v>
      </c>
      <c r="H54" s="8">
        <v>917.08</v>
      </c>
    </row>
    <row r="55" spans="2:8" x14ac:dyDescent="0.2">
      <c r="B55" s="7" t="s">
        <v>655</v>
      </c>
      <c r="D55" s="228">
        <v>905</v>
      </c>
      <c r="F55" s="10">
        <v>2</v>
      </c>
      <c r="G55" s="10" t="s">
        <v>656</v>
      </c>
      <c r="H55" s="8">
        <v>752.6</v>
      </c>
    </row>
    <row r="56" spans="2:8" x14ac:dyDescent="0.2">
      <c r="B56" s="474" t="s">
        <v>657</v>
      </c>
      <c r="C56" s="474"/>
      <c r="D56" s="228">
        <v>550</v>
      </c>
      <c r="F56" s="10">
        <v>1</v>
      </c>
      <c r="G56" s="10" t="s">
        <v>651</v>
      </c>
      <c r="H56" s="8">
        <v>2213</v>
      </c>
    </row>
    <row r="57" spans="2:8" x14ac:dyDescent="0.2">
      <c r="B57" s="7" t="s">
        <v>658</v>
      </c>
      <c r="D57" s="228">
        <v>125</v>
      </c>
      <c r="F57" s="10">
        <v>2</v>
      </c>
      <c r="G57" s="10" t="s">
        <v>645</v>
      </c>
      <c r="H57" s="8">
        <v>370</v>
      </c>
    </row>
    <row r="58" spans="2:8" x14ac:dyDescent="0.2">
      <c r="B58" s="7" t="s">
        <v>659</v>
      </c>
      <c r="D58" s="228">
        <v>400</v>
      </c>
      <c r="F58" s="10">
        <v>2</v>
      </c>
      <c r="G58" s="10" t="s">
        <v>645</v>
      </c>
      <c r="H58" s="8">
        <v>800</v>
      </c>
    </row>
    <row r="59" spans="2:8" x14ac:dyDescent="0.2">
      <c r="B59" s="7" t="s">
        <v>660</v>
      </c>
      <c r="D59" s="228">
        <v>860</v>
      </c>
      <c r="F59" s="10">
        <v>1</v>
      </c>
      <c r="G59" s="10" t="s">
        <v>647</v>
      </c>
      <c r="H59" s="8">
        <v>1282.5999999999999</v>
      </c>
    </row>
    <row r="60" spans="2:8" x14ac:dyDescent="0.2">
      <c r="B60" s="7" t="s">
        <v>661</v>
      </c>
      <c r="D60" s="228">
        <v>425</v>
      </c>
      <c r="F60" s="10">
        <v>1</v>
      </c>
      <c r="G60" s="10" t="s">
        <v>645</v>
      </c>
      <c r="H60" s="8">
        <v>425</v>
      </c>
    </row>
    <row r="61" spans="2:8" x14ac:dyDescent="0.2">
      <c r="B61" s="7" t="s">
        <v>662</v>
      </c>
      <c r="D61" s="228">
        <v>250</v>
      </c>
      <c r="F61" s="10">
        <v>2</v>
      </c>
      <c r="G61" s="10" t="s">
        <v>663</v>
      </c>
      <c r="H61" s="8">
        <v>750</v>
      </c>
    </row>
    <row r="62" spans="2:8" x14ac:dyDescent="0.2">
      <c r="B62" s="7" t="s">
        <v>664</v>
      </c>
      <c r="D62" s="228">
        <v>4502</v>
      </c>
      <c r="F62" s="10">
        <v>1</v>
      </c>
      <c r="G62" s="10" t="s">
        <v>665</v>
      </c>
      <c r="H62" s="8">
        <v>0</v>
      </c>
    </row>
    <row r="63" spans="2:8" x14ac:dyDescent="0.2">
      <c r="D63" s="228"/>
      <c r="F63" s="10"/>
      <c r="G63" s="8">
        <v>9004</v>
      </c>
      <c r="H63" s="229" t="s">
        <v>637</v>
      </c>
    </row>
    <row r="64" spans="2:8" x14ac:dyDescent="0.2">
      <c r="B64" s="7" t="s">
        <v>666</v>
      </c>
      <c r="D64" s="228">
        <v>11993</v>
      </c>
      <c r="F64" s="10">
        <v>1</v>
      </c>
      <c r="G64" s="10" t="s">
        <v>667</v>
      </c>
      <c r="H64" s="22">
        <v>11993.2</v>
      </c>
    </row>
    <row r="65" spans="8:8" x14ac:dyDescent="0.2">
      <c r="H65" s="8">
        <f>SUM(H49:H64)</f>
        <v>111262.48000000001</v>
      </c>
    </row>
    <row r="66" spans="8:8" x14ac:dyDescent="0.2">
      <c r="H66" s="8"/>
    </row>
  </sheetData>
  <mergeCells count="4">
    <mergeCell ref="G20:H20"/>
    <mergeCell ref="G19:H19"/>
    <mergeCell ref="G18:H18"/>
    <mergeCell ref="B56:C56"/>
  </mergeCells>
  <pageMargins left="0.17" right="0.56000000000000005"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Summary</vt:lpstr>
      <vt:lpstr>Work Summary</vt:lpstr>
      <vt:lpstr>Exclusion Summary</vt:lpstr>
      <vt:lpstr>Schedule 1</vt:lpstr>
      <vt:lpstr>Schedule 1 (L)</vt:lpstr>
      <vt:lpstr>Schedule 1 (C)</vt:lpstr>
      <vt:lpstr>Schedule 2</vt:lpstr>
      <vt:lpstr>Schedule 3</vt:lpstr>
      <vt:lpstr>Schedule 3 (Materials)</vt:lpstr>
      <vt:lpstr>Schedule 3 (L-Office)</vt:lpstr>
      <vt:lpstr>Schedule 3 (L-Start)</vt:lpstr>
      <vt:lpstr>Sche 3 (L-Craft, By Trade)</vt:lpstr>
      <vt:lpstr>Schedule 4</vt:lpstr>
      <vt:lpstr>Schedule 5</vt:lpstr>
      <vt:lpstr>Schedule 1 (L-Men) </vt:lpstr>
      <vt:lpstr>'Sche 3 (L-Craft, By Trade)'!Print_Area</vt:lpstr>
      <vt:lpstr>'Schedule 1 (L)'!Print_Area</vt:lpstr>
      <vt:lpstr>'Schedule 1 (L-Men) '!Print_Area</vt:lpstr>
      <vt:lpstr>'Schedule 2'!Print_Area</vt:lpstr>
      <vt:lpstr>Summary!Print_Area</vt:lpstr>
      <vt:lpstr>'Exclusion Summary'!Print_Titles</vt:lpstr>
      <vt:lpstr>'Sche 3 (L-Craft, By Trade)'!Print_Titles</vt:lpstr>
      <vt:lpstr>'Schedule 1'!Print_Titles</vt:lpstr>
      <vt:lpstr>'Schedule 2'!Print_Titles</vt:lpstr>
      <vt:lpstr>'Schedule 3'!Print_Titles</vt:lpstr>
      <vt:lpstr>'Schedule 3 (L-Office)'!Print_Titles</vt:lpstr>
      <vt:lpstr>'Schedule 3 (L-Start)'!Print_Titles</vt:lpstr>
      <vt:lpstr>'Schedule 3 (Materials)'!Print_Titles</vt:lpstr>
      <vt:lpstr>'Schedule 4'!Print_Titles</vt:lpstr>
      <vt:lpstr>'Schedule 5'!Print_Titles</vt:lpstr>
      <vt:lpstr>'Work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2001-02-23T21:41:55Z</cp:lastPrinted>
  <dcterms:created xsi:type="dcterms:W3CDTF">2000-11-13T19:54:45Z</dcterms:created>
  <dcterms:modified xsi:type="dcterms:W3CDTF">2023-09-11T23:39:08Z</dcterms:modified>
</cp:coreProperties>
</file>