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C7CAA1-B499-40B1-ACB9-4087F8EA2CA8}" xr6:coauthVersionLast="47" xr6:coauthVersionMax="47" xr10:uidLastSave="{00000000-0000-0000-0000-000000000000}"/>
  <bookViews>
    <workbookView xWindow="-120" yWindow="-120" windowWidth="38640" windowHeight="15720"/>
  </bookViews>
  <sheets>
    <sheet name="Can $ Only-Bankruptcy" sheetId="8" r:id="rId1"/>
    <sheet name="Summary" sheetId="6" state="hidden" r:id="rId2"/>
    <sheet name="Can $ Only" sheetId="7" state="hidden" r:id="rId3"/>
    <sheet name="Int Inc calc after WO" sheetId="5" state="hidden" r:id="rId4"/>
    <sheet name="Interest Inc" sheetId="1" state="hidden" r:id="rId5"/>
    <sheet name="Interest Exp" sheetId="2" state="hidden" r:id="rId6"/>
    <sheet name="Comm fee inc" sheetId="4" state="hidden" r:id="rId7"/>
    <sheet name="Comm fee exp" sheetId="3" state="hidden" r:id="rId8"/>
  </sheets>
  <definedNames>
    <definedName name="_xlnm.Print_Area" localSheetId="7">'Comm fee exp'!$A$1:$R$40</definedName>
    <definedName name="_xlnm.Print_Area" localSheetId="3">'Int Inc calc after WO'!$A$1:$U$91</definedName>
    <definedName name="_xlnm.Print_Area" localSheetId="4">'Interest Inc'!$A$1:$U$88</definedName>
  </definedNames>
  <calcPr calcId="0"/>
</workbook>
</file>

<file path=xl/calcChain.xml><?xml version="1.0" encoding="utf-8"?>
<calcChain xmlns="http://schemas.openxmlformats.org/spreadsheetml/2006/main">
  <c r="N11" i="7" l="1"/>
  <c r="G12" i="7"/>
  <c r="H12" i="7"/>
  <c r="N12" i="7"/>
  <c r="O12" i="7"/>
  <c r="H13" i="7"/>
  <c r="N13" i="7"/>
  <c r="O13" i="7"/>
  <c r="B14" i="7"/>
  <c r="H14" i="7"/>
  <c r="I14" i="7"/>
  <c r="J14" i="7"/>
  <c r="L14" i="7"/>
  <c r="M14" i="7"/>
  <c r="N14" i="7"/>
  <c r="O14" i="7"/>
  <c r="H15" i="7"/>
  <c r="N15" i="7"/>
  <c r="O15" i="7"/>
  <c r="H16" i="7"/>
  <c r="N16" i="7"/>
  <c r="O16" i="7"/>
  <c r="B17" i="7"/>
  <c r="H17" i="7"/>
  <c r="I17" i="7"/>
  <c r="J17" i="7"/>
  <c r="L17" i="7"/>
  <c r="M17" i="7"/>
  <c r="N17" i="7"/>
  <c r="O17" i="7"/>
  <c r="H18" i="7"/>
  <c r="N18" i="7"/>
  <c r="O18" i="7"/>
  <c r="H19" i="7"/>
  <c r="N19" i="7"/>
  <c r="O19" i="7"/>
  <c r="B20" i="7"/>
  <c r="H20" i="7"/>
  <c r="I20" i="7"/>
  <c r="J20" i="7"/>
  <c r="L20" i="7"/>
  <c r="M20" i="7"/>
  <c r="N20" i="7"/>
  <c r="O20" i="7"/>
  <c r="H21" i="7"/>
  <c r="N21" i="7"/>
  <c r="O21" i="7"/>
  <c r="H22" i="7"/>
  <c r="N22" i="7"/>
  <c r="O22" i="7"/>
  <c r="B23" i="7"/>
  <c r="H23" i="7"/>
  <c r="I23" i="7"/>
  <c r="J23" i="7"/>
  <c r="L23" i="7"/>
  <c r="M23" i="7"/>
  <c r="N23" i="7"/>
  <c r="O23" i="7"/>
  <c r="H24" i="7"/>
  <c r="N24" i="7"/>
  <c r="O24" i="7"/>
  <c r="H25" i="7"/>
  <c r="I25" i="7"/>
  <c r="J25" i="7"/>
  <c r="L25" i="7"/>
  <c r="M25" i="7"/>
  <c r="N25" i="7"/>
  <c r="O25" i="7"/>
  <c r="H26" i="7"/>
  <c r="N26" i="7"/>
  <c r="O26" i="7"/>
  <c r="H27" i="7"/>
  <c r="N27" i="7"/>
  <c r="O27" i="7"/>
  <c r="H28" i="7"/>
  <c r="N28" i="7"/>
  <c r="O28" i="7"/>
  <c r="B29" i="7"/>
  <c r="H29" i="7"/>
  <c r="I29" i="7"/>
  <c r="J29" i="7"/>
  <c r="L29" i="7"/>
  <c r="M29" i="7"/>
  <c r="N29" i="7"/>
  <c r="O29" i="7"/>
  <c r="H30" i="7"/>
  <c r="N30" i="7"/>
  <c r="O30" i="7"/>
  <c r="B31" i="7"/>
  <c r="H31" i="7"/>
  <c r="I31" i="7"/>
  <c r="J31" i="7"/>
  <c r="L31" i="7"/>
  <c r="M31" i="7"/>
  <c r="N31" i="7"/>
  <c r="O31" i="7"/>
  <c r="H32" i="7"/>
  <c r="N32" i="7"/>
  <c r="O32" i="7"/>
  <c r="B33" i="7"/>
  <c r="H33" i="7"/>
  <c r="I33" i="7"/>
  <c r="J33" i="7"/>
  <c r="M33" i="7"/>
  <c r="N33" i="7"/>
  <c r="O33" i="7"/>
  <c r="H34" i="7"/>
  <c r="N34" i="7"/>
  <c r="O34" i="7"/>
  <c r="B35" i="7"/>
  <c r="H35" i="7"/>
  <c r="I35" i="7"/>
  <c r="J35" i="7"/>
  <c r="M35" i="7"/>
  <c r="N35" i="7"/>
  <c r="O35" i="7"/>
  <c r="H36" i="7"/>
  <c r="N36" i="7"/>
  <c r="O36" i="7"/>
  <c r="B37" i="7"/>
  <c r="H37" i="7"/>
  <c r="I37" i="7"/>
  <c r="J37" i="7"/>
  <c r="M37" i="7"/>
  <c r="N37" i="7"/>
  <c r="O37" i="7"/>
  <c r="H38" i="7"/>
  <c r="N38" i="7"/>
  <c r="O38" i="7"/>
  <c r="H39" i="7"/>
  <c r="I39" i="7"/>
  <c r="J39" i="7"/>
  <c r="M39" i="7"/>
  <c r="N39" i="7"/>
  <c r="O39" i="7"/>
  <c r="H40" i="7"/>
  <c r="N40" i="7"/>
  <c r="O40" i="7"/>
  <c r="B41" i="7"/>
  <c r="H41" i="7"/>
  <c r="I41" i="7"/>
  <c r="J41" i="7"/>
  <c r="M41" i="7"/>
  <c r="N41" i="7"/>
  <c r="O41" i="7"/>
  <c r="H42" i="7"/>
  <c r="N42" i="7"/>
  <c r="O42" i="7"/>
  <c r="H43" i="7"/>
  <c r="I43" i="7"/>
  <c r="J43" i="7"/>
  <c r="M43" i="7"/>
  <c r="N43" i="7"/>
  <c r="O43" i="7"/>
  <c r="H44" i="7"/>
  <c r="N44" i="7"/>
  <c r="O44" i="7"/>
  <c r="M45" i="7"/>
  <c r="N45" i="7"/>
  <c r="O45" i="7"/>
  <c r="H46" i="7"/>
  <c r="N46" i="7"/>
  <c r="O46" i="7"/>
  <c r="B47" i="7"/>
  <c r="H47" i="7"/>
  <c r="I47" i="7"/>
  <c r="J47" i="7"/>
  <c r="M47" i="7"/>
  <c r="N47" i="7"/>
  <c r="O47" i="7"/>
  <c r="H48" i="7"/>
  <c r="N48" i="7"/>
  <c r="O48" i="7"/>
  <c r="K49" i="7"/>
  <c r="M49" i="7"/>
  <c r="N49" i="7"/>
  <c r="O49" i="7"/>
  <c r="H50" i="7"/>
  <c r="N50" i="7"/>
  <c r="O50" i="7"/>
  <c r="B51" i="7"/>
  <c r="H51" i="7"/>
  <c r="I51" i="7"/>
  <c r="J51" i="7"/>
  <c r="M51" i="7"/>
  <c r="N51" i="7"/>
  <c r="O51" i="7"/>
  <c r="H52" i="7"/>
  <c r="N52" i="7"/>
  <c r="O52" i="7"/>
  <c r="B53" i="7"/>
  <c r="H53" i="7"/>
  <c r="I53" i="7"/>
  <c r="J53" i="7"/>
  <c r="M53" i="7"/>
  <c r="N53" i="7"/>
  <c r="O53" i="7"/>
  <c r="N56" i="7"/>
  <c r="A58" i="7"/>
  <c r="N11" i="8"/>
  <c r="G12" i="8"/>
  <c r="H12" i="8"/>
  <c r="N12" i="8"/>
  <c r="O12" i="8"/>
  <c r="H13" i="8"/>
  <c r="N13" i="8"/>
  <c r="O13" i="8"/>
  <c r="B14" i="8"/>
  <c r="H14" i="8"/>
  <c r="I14" i="8"/>
  <c r="J14" i="8"/>
  <c r="L14" i="8"/>
  <c r="M14" i="8"/>
  <c r="N14" i="8"/>
  <c r="O14" i="8"/>
  <c r="H15" i="8"/>
  <c r="N15" i="8"/>
  <c r="O15" i="8"/>
  <c r="H16" i="8"/>
  <c r="N16" i="8"/>
  <c r="O16" i="8"/>
  <c r="B17" i="8"/>
  <c r="H17" i="8"/>
  <c r="I17" i="8"/>
  <c r="J17" i="8"/>
  <c r="L17" i="8"/>
  <c r="M17" i="8"/>
  <c r="N17" i="8"/>
  <c r="O17" i="8"/>
  <c r="H18" i="8"/>
  <c r="N18" i="8"/>
  <c r="O18" i="8"/>
  <c r="H19" i="8"/>
  <c r="N19" i="8"/>
  <c r="O19" i="8"/>
  <c r="B20" i="8"/>
  <c r="H20" i="8"/>
  <c r="I20" i="8"/>
  <c r="J20" i="8"/>
  <c r="L20" i="8"/>
  <c r="M20" i="8"/>
  <c r="N20" i="8"/>
  <c r="O20" i="8"/>
  <c r="H21" i="8"/>
  <c r="N21" i="8"/>
  <c r="O21" i="8"/>
  <c r="H22" i="8"/>
  <c r="N22" i="8"/>
  <c r="O22" i="8"/>
  <c r="B23" i="8"/>
  <c r="H23" i="8"/>
  <c r="I23" i="8"/>
  <c r="J23" i="8"/>
  <c r="L23" i="8"/>
  <c r="M23" i="8"/>
  <c r="N23" i="8"/>
  <c r="O23" i="8"/>
  <c r="H24" i="8"/>
  <c r="N24" i="8"/>
  <c r="O24" i="8"/>
  <c r="H25" i="8"/>
  <c r="I25" i="8"/>
  <c r="J25" i="8"/>
  <c r="L25" i="8"/>
  <c r="M25" i="8"/>
  <c r="N25" i="8"/>
  <c r="O25" i="8"/>
  <c r="H26" i="8"/>
  <c r="N26" i="8"/>
  <c r="O26" i="8"/>
  <c r="H27" i="8"/>
  <c r="N27" i="8"/>
  <c r="O27" i="8"/>
  <c r="H28" i="8"/>
  <c r="N28" i="8"/>
  <c r="O28" i="8"/>
  <c r="B29" i="8"/>
  <c r="H29" i="8"/>
  <c r="I29" i="8"/>
  <c r="J29" i="8"/>
  <c r="L29" i="8"/>
  <c r="M29" i="8"/>
  <c r="N29" i="8"/>
  <c r="O29" i="8"/>
  <c r="H30" i="8"/>
  <c r="N30" i="8"/>
  <c r="O30" i="8"/>
  <c r="B31" i="8"/>
  <c r="H31" i="8"/>
  <c r="I31" i="8"/>
  <c r="J31" i="8"/>
  <c r="L31" i="8"/>
  <c r="M31" i="8"/>
  <c r="N31" i="8"/>
  <c r="O31" i="8"/>
  <c r="H32" i="8"/>
  <c r="N32" i="8"/>
  <c r="O32" i="8"/>
  <c r="B33" i="8"/>
  <c r="H33" i="8"/>
  <c r="I33" i="8"/>
  <c r="J33" i="8"/>
  <c r="M33" i="8"/>
  <c r="N33" i="8"/>
  <c r="O33" i="8"/>
  <c r="H34" i="8"/>
  <c r="N34" i="8"/>
  <c r="O34" i="8"/>
  <c r="B35" i="8"/>
  <c r="H35" i="8"/>
  <c r="I35" i="8"/>
  <c r="J35" i="8"/>
  <c r="M35" i="8"/>
  <c r="N35" i="8"/>
  <c r="O35" i="8"/>
  <c r="H36" i="8"/>
  <c r="N36" i="8"/>
  <c r="O36" i="8"/>
  <c r="B37" i="8"/>
  <c r="H37" i="8"/>
  <c r="I37" i="8"/>
  <c r="J37" i="8"/>
  <c r="M37" i="8"/>
  <c r="N37" i="8"/>
  <c r="O37" i="8"/>
  <c r="H38" i="8"/>
  <c r="N38" i="8"/>
  <c r="O38" i="8"/>
  <c r="H39" i="8"/>
  <c r="I39" i="8"/>
  <c r="J39" i="8"/>
  <c r="M39" i="8"/>
  <c r="N39" i="8"/>
  <c r="O39" i="8"/>
  <c r="H40" i="8"/>
  <c r="N40" i="8"/>
  <c r="O40" i="8"/>
  <c r="B41" i="8"/>
  <c r="H41" i="8"/>
  <c r="I41" i="8"/>
  <c r="J41" i="8"/>
  <c r="M41" i="8"/>
  <c r="N41" i="8"/>
  <c r="O41" i="8"/>
  <c r="H42" i="8"/>
  <c r="N42" i="8"/>
  <c r="O42" i="8"/>
  <c r="H43" i="8"/>
  <c r="I43" i="8"/>
  <c r="J43" i="8"/>
  <c r="M43" i="8"/>
  <c r="N43" i="8"/>
  <c r="O43" i="8"/>
  <c r="H44" i="8"/>
  <c r="N44" i="8"/>
  <c r="O44" i="8"/>
  <c r="M45" i="8"/>
  <c r="N45" i="8"/>
  <c r="O45" i="8"/>
  <c r="H46" i="8"/>
  <c r="N46" i="8"/>
  <c r="O46" i="8"/>
  <c r="B47" i="8"/>
  <c r="H47" i="8"/>
  <c r="I47" i="8"/>
  <c r="J47" i="8"/>
  <c r="M47" i="8"/>
  <c r="N47" i="8"/>
  <c r="O47" i="8"/>
  <c r="H48" i="8"/>
  <c r="N48" i="8"/>
  <c r="O48" i="8"/>
  <c r="K49" i="8"/>
  <c r="M49" i="8"/>
  <c r="N49" i="8"/>
  <c r="O49" i="8"/>
  <c r="H50" i="8"/>
  <c r="N50" i="8"/>
  <c r="O50" i="8"/>
  <c r="B51" i="8"/>
  <c r="H51" i="8"/>
  <c r="I51" i="8"/>
  <c r="J51" i="8"/>
  <c r="M51" i="8"/>
  <c r="N51" i="8"/>
  <c r="O51" i="8"/>
  <c r="H52" i="8"/>
  <c r="N52" i="8"/>
  <c r="O52" i="8"/>
  <c r="B53" i="8"/>
  <c r="H53" i="8"/>
  <c r="I53" i="8"/>
  <c r="J53" i="8"/>
  <c r="M53" i="8"/>
  <c r="N53" i="8"/>
  <c r="O53" i="8"/>
  <c r="H54" i="8"/>
  <c r="N54" i="8"/>
  <c r="O54" i="8"/>
  <c r="B55" i="8"/>
  <c r="H55" i="8"/>
  <c r="I55" i="8"/>
  <c r="J55" i="8"/>
  <c r="M55" i="8"/>
  <c r="N55" i="8"/>
  <c r="O55" i="8"/>
  <c r="H56" i="8"/>
  <c r="N56" i="8"/>
  <c r="O56" i="8"/>
  <c r="B57" i="8"/>
  <c r="H57" i="8"/>
  <c r="I57" i="8"/>
  <c r="J57" i="8"/>
  <c r="M57" i="8"/>
  <c r="N57" i="8"/>
  <c r="O57" i="8"/>
  <c r="H58" i="8"/>
  <c r="N58" i="8"/>
  <c r="O58" i="8"/>
  <c r="B59" i="8"/>
  <c r="H59" i="8"/>
  <c r="I59" i="8"/>
  <c r="J59" i="8"/>
  <c r="M59" i="8"/>
  <c r="N59" i="8"/>
  <c r="O59" i="8"/>
  <c r="H60" i="8"/>
  <c r="N60" i="8"/>
  <c r="O60" i="8"/>
  <c r="B61" i="8"/>
  <c r="H61" i="8"/>
  <c r="I61" i="8"/>
  <c r="J61" i="8"/>
  <c r="M61" i="8"/>
  <c r="N61" i="8"/>
  <c r="O61" i="8"/>
  <c r="H62" i="8"/>
  <c r="N62" i="8"/>
  <c r="O62" i="8"/>
  <c r="B63" i="8"/>
  <c r="H63" i="8"/>
  <c r="I63" i="8"/>
  <c r="J63" i="8"/>
  <c r="M63" i="8"/>
  <c r="N63" i="8"/>
  <c r="O63" i="8"/>
  <c r="H64" i="8"/>
  <c r="N64" i="8"/>
  <c r="O64" i="8"/>
  <c r="B65" i="8"/>
  <c r="H65" i="8"/>
  <c r="I65" i="8"/>
  <c r="J65" i="8"/>
  <c r="M65" i="8"/>
  <c r="N65" i="8"/>
  <c r="O65" i="8"/>
  <c r="H66" i="8"/>
  <c r="N66" i="8"/>
  <c r="O66" i="8"/>
  <c r="B67" i="8"/>
  <c r="H67" i="8"/>
  <c r="I67" i="8"/>
  <c r="J67" i="8"/>
  <c r="M67" i="8"/>
  <c r="N67" i="8"/>
  <c r="O67" i="8"/>
  <c r="H68" i="8"/>
  <c r="N68" i="8"/>
  <c r="O68" i="8"/>
  <c r="B69" i="8"/>
  <c r="H69" i="8"/>
  <c r="I69" i="8"/>
  <c r="J69" i="8"/>
  <c r="M69" i="8"/>
  <c r="N69" i="8"/>
  <c r="O69" i="8"/>
  <c r="H70" i="8"/>
  <c r="N70" i="8"/>
  <c r="O70" i="8"/>
  <c r="B71" i="8"/>
  <c r="H71" i="8"/>
  <c r="I71" i="8"/>
  <c r="J71" i="8"/>
  <c r="M71" i="8"/>
  <c r="N71" i="8"/>
  <c r="O71" i="8"/>
  <c r="H72" i="8"/>
  <c r="N72" i="8"/>
  <c r="O72" i="8"/>
  <c r="B73" i="8"/>
  <c r="H73" i="8"/>
  <c r="I73" i="8"/>
  <c r="J73" i="8"/>
  <c r="M73" i="8"/>
  <c r="N73" i="8"/>
  <c r="O73" i="8"/>
  <c r="H74" i="8"/>
  <c r="N74" i="8"/>
  <c r="O74" i="8"/>
  <c r="B75" i="8"/>
  <c r="H75" i="8"/>
  <c r="I75" i="8"/>
  <c r="J75" i="8"/>
  <c r="M75" i="8"/>
  <c r="N75" i="8"/>
  <c r="O75" i="8"/>
  <c r="H76" i="8"/>
  <c r="N76" i="8"/>
  <c r="O76" i="8"/>
  <c r="B77" i="8"/>
  <c r="H77" i="8"/>
  <c r="I77" i="8"/>
  <c r="J77" i="8"/>
  <c r="M77" i="8"/>
  <c r="N77" i="8"/>
  <c r="O77" i="8"/>
  <c r="A79" i="8"/>
  <c r="D14" i="3"/>
  <c r="E14" i="3"/>
  <c r="K14" i="3"/>
  <c r="M14" i="3"/>
  <c r="Q14" i="3"/>
  <c r="D15" i="3"/>
  <c r="E15" i="3"/>
  <c r="K15" i="3"/>
  <c r="M15" i="3"/>
  <c r="Q15" i="3"/>
  <c r="G16" i="3"/>
  <c r="K16" i="3"/>
  <c r="M16" i="3"/>
  <c r="Q16" i="3"/>
  <c r="D17" i="3"/>
  <c r="E17" i="3"/>
  <c r="K17" i="3"/>
  <c r="M17" i="3"/>
  <c r="Q17" i="3"/>
  <c r="D18" i="3"/>
  <c r="E18" i="3"/>
  <c r="K18" i="3"/>
  <c r="M18" i="3"/>
  <c r="Q18" i="3"/>
  <c r="K19" i="3"/>
  <c r="M19" i="3"/>
  <c r="Q19" i="3"/>
  <c r="K20" i="3"/>
  <c r="M20" i="3"/>
  <c r="Q20" i="3"/>
  <c r="D21" i="3"/>
  <c r="E21" i="3"/>
  <c r="K21" i="3"/>
  <c r="M21" i="3"/>
  <c r="Q21" i="3"/>
  <c r="G22" i="3"/>
  <c r="K22" i="3"/>
  <c r="M22" i="3"/>
  <c r="Q22" i="3"/>
  <c r="D23" i="3"/>
  <c r="E23" i="3"/>
  <c r="K23" i="3"/>
  <c r="M23" i="3"/>
  <c r="Q23" i="3"/>
  <c r="D24" i="3"/>
  <c r="E24" i="3"/>
  <c r="K24" i="3"/>
  <c r="M24" i="3"/>
  <c r="Q24" i="3"/>
  <c r="G25" i="3"/>
  <c r="K25" i="3"/>
  <c r="M25" i="3"/>
  <c r="Q25" i="3"/>
  <c r="D26" i="3"/>
  <c r="E26" i="3"/>
  <c r="K26" i="3"/>
  <c r="M26" i="3"/>
  <c r="Q26" i="3"/>
  <c r="G27" i="3"/>
  <c r="K27" i="3"/>
  <c r="M27" i="3"/>
  <c r="Q27" i="3"/>
  <c r="D28" i="3"/>
  <c r="E28" i="3"/>
  <c r="K28" i="3"/>
  <c r="M28" i="3"/>
  <c r="Q28" i="3"/>
  <c r="D29" i="3"/>
  <c r="E29" i="3"/>
  <c r="K29" i="3"/>
  <c r="M29" i="3"/>
  <c r="Q29" i="3"/>
  <c r="D30" i="3"/>
  <c r="E30" i="3"/>
  <c r="K30" i="3"/>
  <c r="M30" i="3"/>
  <c r="Q30" i="3"/>
  <c r="G31" i="3"/>
  <c r="K31" i="3"/>
  <c r="M31" i="3"/>
  <c r="Q31" i="3"/>
  <c r="A37" i="3"/>
  <c r="B59" i="3"/>
  <c r="A80" i="3"/>
  <c r="D16" i="4"/>
  <c r="E16" i="4"/>
  <c r="H16" i="4"/>
  <c r="K16" i="4"/>
  <c r="L16" i="4"/>
  <c r="D17" i="4"/>
  <c r="E17" i="4"/>
  <c r="H17" i="4"/>
  <c r="K17" i="4"/>
  <c r="L17" i="4"/>
  <c r="F18" i="4"/>
  <c r="H18" i="4"/>
  <c r="K18" i="4"/>
  <c r="L18" i="4"/>
  <c r="D19" i="4"/>
  <c r="E19" i="4"/>
  <c r="H19" i="4"/>
  <c r="K19" i="4"/>
  <c r="L19" i="4"/>
  <c r="D20" i="4"/>
  <c r="E20" i="4"/>
  <c r="H20" i="4"/>
  <c r="K20" i="4"/>
  <c r="L20" i="4"/>
  <c r="H21" i="4"/>
  <c r="K21" i="4"/>
  <c r="L21" i="4"/>
  <c r="H22" i="4"/>
  <c r="K22" i="4"/>
  <c r="L22" i="4"/>
  <c r="D23" i="4"/>
  <c r="E23" i="4"/>
  <c r="H23" i="4"/>
  <c r="K23" i="4"/>
  <c r="L23" i="4"/>
  <c r="F24" i="4"/>
  <c r="H24" i="4"/>
  <c r="I24" i="4"/>
  <c r="K24" i="4"/>
  <c r="L24" i="4"/>
  <c r="I25" i="4"/>
  <c r="I26" i="4"/>
  <c r="D29" i="4"/>
  <c r="E29" i="4"/>
  <c r="H29" i="4"/>
  <c r="K29" i="4"/>
  <c r="L29" i="4"/>
  <c r="D30" i="4"/>
  <c r="E30" i="4"/>
  <c r="H30" i="4"/>
  <c r="K30" i="4"/>
  <c r="L30" i="4"/>
  <c r="F31" i="4"/>
  <c r="H31" i="4"/>
  <c r="K31" i="4"/>
  <c r="L31" i="4"/>
  <c r="D32" i="4"/>
  <c r="E32" i="4"/>
  <c r="H32" i="4"/>
  <c r="K32" i="4"/>
  <c r="L32" i="4"/>
  <c r="F33" i="4"/>
  <c r="H33" i="4"/>
  <c r="K33" i="4"/>
  <c r="L33" i="4"/>
  <c r="D34" i="4"/>
  <c r="E34" i="4"/>
  <c r="H34" i="4"/>
  <c r="K34" i="4"/>
  <c r="L34" i="4"/>
  <c r="D35" i="4"/>
  <c r="E35" i="4"/>
  <c r="H35" i="4"/>
  <c r="K35" i="4"/>
  <c r="L35" i="4"/>
  <c r="D36" i="4"/>
  <c r="E36" i="4"/>
  <c r="H36" i="4"/>
  <c r="K36" i="4"/>
  <c r="L36" i="4"/>
  <c r="F37" i="4"/>
  <c r="H37" i="4"/>
  <c r="I37" i="4"/>
  <c r="K37" i="4"/>
  <c r="L37" i="4"/>
  <c r="I38" i="4"/>
  <c r="I39" i="4"/>
  <c r="L41" i="4"/>
  <c r="A50" i="4"/>
  <c r="T29" i="5"/>
  <c r="G30" i="5"/>
  <c r="H30" i="5"/>
  <c r="T30" i="5"/>
  <c r="U30" i="5"/>
  <c r="H31" i="5"/>
  <c r="T31" i="5"/>
  <c r="U31" i="5"/>
  <c r="B32" i="5"/>
  <c r="H32" i="5"/>
  <c r="I32" i="5"/>
  <c r="J32" i="5"/>
  <c r="K32" i="5"/>
  <c r="L32" i="5"/>
  <c r="M32" i="5"/>
  <c r="O32" i="5"/>
  <c r="P32" i="5"/>
  <c r="Q32" i="5"/>
  <c r="R32" i="5"/>
  <c r="S32" i="5"/>
  <c r="T32" i="5"/>
  <c r="U32" i="5"/>
  <c r="H33" i="5"/>
  <c r="T33" i="5"/>
  <c r="U33" i="5"/>
  <c r="H34" i="5"/>
  <c r="T34" i="5"/>
  <c r="U34" i="5"/>
  <c r="B35" i="5"/>
  <c r="H35" i="5"/>
  <c r="I35" i="5"/>
  <c r="J35" i="5"/>
  <c r="K35" i="5"/>
  <c r="L35" i="5"/>
  <c r="M35" i="5"/>
  <c r="O35" i="5"/>
  <c r="P35" i="5"/>
  <c r="Q35" i="5"/>
  <c r="R35" i="5"/>
  <c r="S35" i="5"/>
  <c r="T35" i="5"/>
  <c r="U35" i="5"/>
  <c r="H36" i="5"/>
  <c r="T36" i="5"/>
  <c r="U36" i="5"/>
  <c r="H37" i="5"/>
  <c r="T37" i="5"/>
  <c r="U37" i="5"/>
  <c r="B38" i="5"/>
  <c r="H38" i="5"/>
  <c r="I38" i="5"/>
  <c r="J38" i="5"/>
  <c r="K38" i="5"/>
  <c r="L38" i="5"/>
  <c r="M38" i="5"/>
  <c r="O38" i="5"/>
  <c r="P38" i="5"/>
  <c r="Q38" i="5"/>
  <c r="R38" i="5"/>
  <c r="S38" i="5"/>
  <c r="T38" i="5"/>
  <c r="U38" i="5"/>
  <c r="H39" i="5"/>
  <c r="T39" i="5"/>
  <c r="U39" i="5"/>
  <c r="H40" i="5"/>
  <c r="T40" i="5"/>
  <c r="U40" i="5"/>
  <c r="B41" i="5"/>
  <c r="H41" i="5"/>
  <c r="I41" i="5"/>
  <c r="J41" i="5"/>
  <c r="K41" i="5"/>
  <c r="L41" i="5"/>
  <c r="M41" i="5"/>
  <c r="O41" i="5"/>
  <c r="P41" i="5"/>
  <c r="Q41" i="5"/>
  <c r="R41" i="5"/>
  <c r="S41" i="5"/>
  <c r="T41" i="5"/>
  <c r="U41" i="5"/>
  <c r="H42" i="5"/>
  <c r="T42" i="5"/>
  <c r="U42" i="5"/>
  <c r="H43" i="5"/>
  <c r="I43" i="5"/>
  <c r="J43" i="5"/>
  <c r="K43" i="5"/>
  <c r="L43" i="5"/>
  <c r="M43" i="5"/>
  <c r="O43" i="5"/>
  <c r="P43" i="5"/>
  <c r="Q43" i="5"/>
  <c r="R43" i="5"/>
  <c r="S43" i="5"/>
  <c r="T43" i="5"/>
  <c r="U43" i="5"/>
  <c r="H44" i="5"/>
  <c r="T44" i="5"/>
  <c r="U44" i="5"/>
  <c r="H45" i="5"/>
  <c r="T45" i="5"/>
  <c r="U45" i="5"/>
  <c r="H46" i="5"/>
  <c r="T46" i="5"/>
  <c r="U46" i="5"/>
  <c r="B47" i="5"/>
  <c r="H47" i="5"/>
  <c r="I47" i="5"/>
  <c r="J47" i="5"/>
  <c r="K47" i="5"/>
  <c r="L47" i="5"/>
  <c r="M47" i="5"/>
  <c r="O47" i="5"/>
  <c r="P47" i="5"/>
  <c r="Q47" i="5"/>
  <c r="R47" i="5"/>
  <c r="S47" i="5"/>
  <c r="T47" i="5"/>
  <c r="U47" i="5"/>
  <c r="H48" i="5"/>
  <c r="T48" i="5"/>
  <c r="U48" i="5"/>
  <c r="V48" i="5"/>
  <c r="B49" i="5"/>
  <c r="H49" i="5"/>
  <c r="I49" i="5"/>
  <c r="J49" i="5"/>
  <c r="K49" i="5"/>
  <c r="L49" i="5"/>
  <c r="M49" i="5"/>
  <c r="O49" i="5"/>
  <c r="P49" i="5"/>
  <c r="Q49" i="5"/>
  <c r="R49" i="5"/>
  <c r="S49" i="5"/>
  <c r="T49" i="5"/>
  <c r="U49" i="5"/>
  <c r="V49" i="5"/>
  <c r="H50" i="5"/>
  <c r="T50" i="5"/>
  <c r="U50" i="5"/>
  <c r="V50" i="5"/>
  <c r="B51" i="5"/>
  <c r="H51" i="5"/>
  <c r="I51" i="5"/>
  <c r="J51" i="5"/>
  <c r="K51" i="5"/>
  <c r="L51" i="5"/>
  <c r="M51" i="5"/>
  <c r="P51" i="5"/>
  <c r="Q51" i="5"/>
  <c r="R51" i="5"/>
  <c r="S51" i="5"/>
  <c r="T51" i="5"/>
  <c r="U51" i="5"/>
  <c r="V51" i="5"/>
  <c r="H52" i="5"/>
  <c r="T52" i="5"/>
  <c r="U52" i="5"/>
  <c r="V52" i="5"/>
  <c r="B53" i="5"/>
  <c r="H53" i="5"/>
  <c r="I53" i="5"/>
  <c r="J53" i="5"/>
  <c r="K53" i="5"/>
  <c r="L53" i="5"/>
  <c r="M53" i="5"/>
  <c r="P53" i="5"/>
  <c r="Q53" i="5"/>
  <c r="R53" i="5"/>
  <c r="S53" i="5"/>
  <c r="T53" i="5"/>
  <c r="U53" i="5"/>
  <c r="V53" i="5"/>
  <c r="H54" i="5"/>
  <c r="T54" i="5"/>
  <c r="U54" i="5"/>
  <c r="V54" i="5"/>
  <c r="B55" i="5"/>
  <c r="H55" i="5"/>
  <c r="I55" i="5"/>
  <c r="J55" i="5"/>
  <c r="K55" i="5"/>
  <c r="L55" i="5"/>
  <c r="M55" i="5"/>
  <c r="P55" i="5"/>
  <c r="Q55" i="5"/>
  <c r="R55" i="5"/>
  <c r="S55" i="5"/>
  <c r="T55" i="5"/>
  <c r="U55" i="5"/>
  <c r="V55" i="5"/>
  <c r="H56" i="5"/>
  <c r="T56" i="5"/>
  <c r="U56" i="5"/>
  <c r="V56" i="5"/>
  <c r="H57" i="5"/>
  <c r="I57" i="5"/>
  <c r="J57" i="5"/>
  <c r="K57" i="5"/>
  <c r="L57" i="5"/>
  <c r="M57" i="5"/>
  <c r="P57" i="5"/>
  <c r="Q57" i="5"/>
  <c r="R57" i="5"/>
  <c r="S57" i="5"/>
  <c r="T57" i="5"/>
  <c r="U57" i="5"/>
  <c r="V57" i="5"/>
  <c r="H58" i="5"/>
  <c r="T58" i="5"/>
  <c r="U58" i="5"/>
  <c r="V58" i="5"/>
  <c r="B59" i="5"/>
  <c r="H59" i="5"/>
  <c r="I59" i="5"/>
  <c r="J59" i="5"/>
  <c r="K59" i="5"/>
  <c r="L59" i="5"/>
  <c r="M59" i="5"/>
  <c r="P59" i="5"/>
  <c r="Q59" i="5"/>
  <c r="R59" i="5"/>
  <c r="S59" i="5"/>
  <c r="T59" i="5"/>
  <c r="U59" i="5"/>
  <c r="V59" i="5"/>
  <c r="H60" i="5"/>
  <c r="T60" i="5"/>
  <c r="U60" i="5"/>
  <c r="V60" i="5"/>
  <c r="H61" i="5"/>
  <c r="I61" i="5"/>
  <c r="J61" i="5"/>
  <c r="K61" i="5"/>
  <c r="L61" i="5"/>
  <c r="M61" i="5"/>
  <c r="P61" i="5"/>
  <c r="Q61" i="5"/>
  <c r="R61" i="5"/>
  <c r="S61" i="5"/>
  <c r="T61" i="5"/>
  <c r="U61" i="5"/>
  <c r="V61" i="5"/>
  <c r="H62" i="5"/>
  <c r="T62" i="5"/>
  <c r="U62" i="5"/>
  <c r="V62" i="5"/>
  <c r="P63" i="5"/>
  <c r="Q63" i="5"/>
  <c r="R63" i="5"/>
  <c r="S63" i="5"/>
  <c r="T63" i="5"/>
  <c r="U63" i="5"/>
  <c r="V63" i="5"/>
  <c r="H64" i="5"/>
  <c r="T64" i="5"/>
  <c r="U64" i="5"/>
  <c r="V64" i="5"/>
  <c r="B65" i="5"/>
  <c r="H65" i="5"/>
  <c r="I65" i="5"/>
  <c r="J65" i="5"/>
  <c r="K65" i="5"/>
  <c r="L65" i="5"/>
  <c r="M65" i="5"/>
  <c r="P65" i="5"/>
  <c r="Q65" i="5"/>
  <c r="R65" i="5"/>
  <c r="S65" i="5"/>
  <c r="T65" i="5"/>
  <c r="U65" i="5"/>
  <c r="V65" i="5"/>
  <c r="H71" i="5"/>
  <c r="T71" i="5"/>
  <c r="U71" i="5"/>
  <c r="V71" i="5"/>
  <c r="P72" i="5"/>
  <c r="Q72" i="5"/>
  <c r="R72" i="5"/>
  <c r="S72" i="5"/>
  <c r="T72" i="5"/>
  <c r="U72" i="5"/>
  <c r="V72" i="5"/>
  <c r="H73" i="5"/>
  <c r="T73" i="5"/>
  <c r="U73" i="5"/>
  <c r="V73" i="5"/>
  <c r="B74" i="5"/>
  <c r="H74" i="5"/>
  <c r="I74" i="5"/>
  <c r="J74" i="5"/>
  <c r="K74" i="5"/>
  <c r="L74" i="5"/>
  <c r="M74" i="5"/>
  <c r="P74" i="5"/>
  <c r="Q74" i="5"/>
  <c r="R74" i="5"/>
  <c r="S74" i="5"/>
  <c r="T74" i="5"/>
  <c r="U74" i="5"/>
  <c r="V74" i="5"/>
  <c r="H75" i="5"/>
  <c r="T75" i="5"/>
  <c r="U75" i="5"/>
  <c r="V75" i="5"/>
  <c r="B76" i="5"/>
  <c r="H76" i="5"/>
  <c r="I76" i="5"/>
  <c r="J76" i="5"/>
  <c r="K76" i="5"/>
  <c r="L76" i="5"/>
  <c r="M76" i="5"/>
  <c r="P76" i="5"/>
  <c r="Q76" i="5"/>
  <c r="R76" i="5"/>
  <c r="S76" i="5"/>
  <c r="T76" i="5"/>
  <c r="U76" i="5"/>
  <c r="V76" i="5"/>
  <c r="C82" i="5"/>
  <c r="I82" i="5"/>
  <c r="I83" i="5"/>
  <c r="I84" i="5"/>
  <c r="I85" i="5"/>
  <c r="I87" i="5"/>
  <c r="A91" i="5"/>
  <c r="M26" i="2"/>
  <c r="N26" i="2"/>
  <c r="G27" i="2"/>
  <c r="H27" i="2"/>
  <c r="N27" i="2"/>
  <c r="H28" i="2"/>
  <c r="N28" i="2"/>
  <c r="B29" i="2"/>
  <c r="H29" i="2"/>
  <c r="J29" i="2"/>
  <c r="K29" i="2"/>
  <c r="L29" i="2"/>
  <c r="N29" i="2"/>
  <c r="O29" i="2"/>
  <c r="H30" i="2"/>
  <c r="N30" i="2"/>
  <c r="H31" i="2"/>
  <c r="N31" i="2"/>
  <c r="B32" i="2"/>
  <c r="H32" i="2"/>
  <c r="J32" i="2"/>
  <c r="K32" i="2"/>
  <c r="L32" i="2"/>
  <c r="N32" i="2"/>
  <c r="H33" i="2"/>
  <c r="N33" i="2"/>
  <c r="H34" i="2"/>
  <c r="N34" i="2"/>
  <c r="B35" i="2"/>
  <c r="H35" i="2"/>
  <c r="J35" i="2"/>
  <c r="K35" i="2"/>
  <c r="L35" i="2"/>
  <c r="N35" i="2"/>
  <c r="H36" i="2"/>
  <c r="N36" i="2"/>
  <c r="H37" i="2"/>
  <c r="N37" i="2"/>
  <c r="B38" i="2"/>
  <c r="H38" i="2"/>
  <c r="L38" i="2"/>
  <c r="N38" i="2"/>
  <c r="H39" i="2"/>
  <c r="N39" i="2"/>
  <c r="B40" i="2"/>
  <c r="H40" i="2"/>
  <c r="L40" i="2"/>
  <c r="N40" i="2"/>
  <c r="H41" i="2"/>
  <c r="N41" i="2"/>
  <c r="H42" i="2"/>
  <c r="N42" i="2"/>
  <c r="H43" i="2"/>
  <c r="N43" i="2"/>
  <c r="B44" i="2"/>
  <c r="H44" i="2"/>
  <c r="L44" i="2"/>
  <c r="N44" i="2"/>
  <c r="H45" i="2"/>
  <c r="N45" i="2"/>
  <c r="B46" i="2"/>
  <c r="H46" i="2"/>
  <c r="L46" i="2"/>
  <c r="N46" i="2"/>
  <c r="H47" i="2"/>
  <c r="N47" i="2"/>
  <c r="B48" i="2"/>
  <c r="H48" i="2"/>
  <c r="L48" i="2"/>
  <c r="N48" i="2"/>
  <c r="H49" i="2"/>
  <c r="N49" i="2"/>
  <c r="B50" i="2"/>
  <c r="H50" i="2"/>
  <c r="L50" i="2"/>
  <c r="N50" i="2"/>
  <c r="H51" i="2"/>
  <c r="N51" i="2"/>
  <c r="B52" i="2"/>
  <c r="H52" i="2"/>
  <c r="L52" i="2"/>
  <c r="N52" i="2"/>
  <c r="H53" i="2"/>
  <c r="N53" i="2"/>
  <c r="B54" i="2"/>
  <c r="H54" i="2"/>
  <c r="L54" i="2"/>
  <c r="N54" i="2"/>
  <c r="H55" i="2"/>
  <c r="N55" i="2"/>
  <c r="B56" i="2"/>
  <c r="H56" i="2"/>
  <c r="L56" i="2"/>
  <c r="N56" i="2"/>
  <c r="H57" i="2"/>
  <c r="N57" i="2"/>
  <c r="B58" i="2"/>
  <c r="H58" i="2"/>
  <c r="L58" i="2"/>
  <c r="N58" i="2"/>
  <c r="H59" i="2"/>
  <c r="N59" i="2"/>
  <c r="N60" i="2"/>
  <c r="H61" i="2"/>
  <c r="N61" i="2"/>
  <c r="B62" i="2"/>
  <c r="H62" i="2"/>
  <c r="L62" i="2"/>
  <c r="N62" i="2"/>
  <c r="L68" i="2"/>
  <c r="A73" i="2"/>
  <c r="T29" i="1"/>
  <c r="G30" i="1"/>
  <c r="H30" i="1"/>
  <c r="T30" i="1"/>
  <c r="U30" i="1"/>
  <c r="H31" i="1"/>
  <c r="T31" i="1"/>
  <c r="U31" i="1"/>
  <c r="B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H33" i="1"/>
  <c r="T33" i="1"/>
  <c r="U33" i="1"/>
  <c r="H34" i="1"/>
  <c r="T34" i="1"/>
  <c r="U34" i="1"/>
  <c r="B35" i="1"/>
  <c r="H35" i="1"/>
  <c r="I35" i="1"/>
  <c r="J35" i="1"/>
  <c r="K35" i="1"/>
  <c r="L35" i="1"/>
  <c r="M35" i="1"/>
  <c r="O35" i="1"/>
  <c r="P35" i="1"/>
  <c r="Q35" i="1"/>
  <c r="R35" i="1"/>
  <c r="S35" i="1"/>
  <c r="T35" i="1"/>
  <c r="U35" i="1"/>
  <c r="H36" i="1"/>
  <c r="T36" i="1"/>
  <c r="U36" i="1"/>
  <c r="H37" i="1"/>
  <c r="T37" i="1"/>
  <c r="U37" i="1"/>
  <c r="B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H39" i="1"/>
  <c r="T39" i="1"/>
  <c r="U39" i="1"/>
  <c r="H40" i="1"/>
  <c r="T40" i="1"/>
  <c r="U40" i="1"/>
  <c r="B41" i="1"/>
  <c r="H41" i="1"/>
  <c r="I41" i="1"/>
  <c r="J41" i="1"/>
  <c r="K41" i="1"/>
  <c r="L41" i="1"/>
  <c r="M41" i="1"/>
  <c r="O41" i="1"/>
  <c r="P41" i="1"/>
  <c r="Q41" i="1"/>
  <c r="R41" i="1"/>
  <c r="S41" i="1"/>
  <c r="T41" i="1"/>
  <c r="U41" i="1"/>
  <c r="H42" i="1"/>
  <c r="T42" i="1"/>
  <c r="U42" i="1"/>
  <c r="H43" i="1"/>
  <c r="I43" i="1"/>
  <c r="J43" i="1"/>
  <c r="K43" i="1"/>
  <c r="L43" i="1"/>
  <c r="M43" i="1"/>
  <c r="O43" i="1"/>
  <c r="P43" i="1"/>
  <c r="Q43" i="1"/>
  <c r="R43" i="1"/>
  <c r="S43" i="1"/>
  <c r="T43" i="1"/>
  <c r="U43" i="1"/>
  <c r="H44" i="1"/>
  <c r="T44" i="1"/>
  <c r="U44" i="1"/>
  <c r="H45" i="1"/>
  <c r="T45" i="1"/>
  <c r="U45" i="1"/>
  <c r="H46" i="1"/>
  <c r="T46" i="1"/>
  <c r="U46" i="1"/>
  <c r="B47" i="1"/>
  <c r="H47" i="1"/>
  <c r="I47" i="1"/>
  <c r="J47" i="1"/>
  <c r="K47" i="1"/>
  <c r="L47" i="1"/>
  <c r="M47" i="1"/>
  <c r="O47" i="1"/>
  <c r="P47" i="1"/>
  <c r="Q47" i="1"/>
  <c r="R47" i="1"/>
  <c r="S47" i="1"/>
  <c r="T47" i="1"/>
  <c r="U47" i="1"/>
  <c r="H48" i="1"/>
  <c r="T48" i="1"/>
  <c r="U48" i="1"/>
  <c r="V48" i="1"/>
  <c r="B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H50" i="1"/>
  <c r="T50" i="1"/>
  <c r="U50" i="1"/>
  <c r="V50" i="1"/>
  <c r="B51" i="1"/>
  <c r="H51" i="1"/>
  <c r="I51" i="1"/>
  <c r="J51" i="1"/>
  <c r="K51" i="1"/>
  <c r="L51" i="1"/>
  <c r="M51" i="1"/>
  <c r="P51" i="1"/>
  <c r="Q51" i="1"/>
  <c r="R51" i="1"/>
  <c r="S51" i="1"/>
  <c r="T51" i="1"/>
  <c r="U51" i="1"/>
  <c r="V51" i="1"/>
  <c r="H52" i="1"/>
  <c r="T52" i="1"/>
  <c r="U52" i="1"/>
  <c r="V52" i="1"/>
  <c r="B53" i="1"/>
  <c r="H53" i="1"/>
  <c r="I53" i="1"/>
  <c r="J53" i="1"/>
  <c r="K53" i="1"/>
  <c r="L53" i="1"/>
  <c r="M53" i="1"/>
  <c r="P53" i="1"/>
  <c r="Q53" i="1"/>
  <c r="R53" i="1"/>
  <c r="S53" i="1"/>
  <c r="T53" i="1"/>
  <c r="U53" i="1"/>
  <c r="V53" i="1"/>
  <c r="H54" i="1"/>
  <c r="T54" i="1"/>
  <c r="U54" i="1"/>
  <c r="V54" i="1"/>
  <c r="B55" i="1"/>
  <c r="H55" i="1"/>
  <c r="I55" i="1"/>
  <c r="J55" i="1"/>
  <c r="K55" i="1"/>
  <c r="L55" i="1"/>
  <c r="M55" i="1"/>
  <c r="P55" i="1"/>
  <c r="Q55" i="1"/>
  <c r="R55" i="1"/>
  <c r="S55" i="1"/>
  <c r="T55" i="1"/>
  <c r="U55" i="1"/>
  <c r="V55" i="1"/>
  <c r="H56" i="1"/>
  <c r="T56" i="1"/>
  <c r="U56" i="1"/>
  <c r="V56" i="1"/>
  <c r="H57" i="1"/>
  <c r="I57" i="1"/>
  <c r="J57" i="1"/>
  <c r="K57" i="1"/>
  <c r="L57" i="1"/>
  <c r="M57" i="1"/>
  <c r="P57" i="1"/>
  <c r="Q57" i="1"/>
  <c r="R57" i="1"/>
  <c r="S57" i="1"/>
  <c r="T57" i="1"/>
  <c r="U57" i="1"/>
  <c r="V57" i="1"/>
  <c r="H58" i="1"/>
  <c r="T58" i="1"/>
  <c r="U58" i="1"/>
  <c r="V58" i="1"/>
  <c r="B59" i="1"/>
  <c r="H59" i="1"/>
  <c r="I59" i="1"/>
  <c r="J59" i="1"/>
  <c r="K59" i="1"/>
  <c r="L59" i="1"/>
  <c r="M59" i="1"/>
  <c r="P59" i="1"/>
  <c r="Q59" i="1"/>
  <c r="R59" i="1"/>
  <c r="S59" i="1"/>
  <c r="T59" i="1"/>
  <c r="U59" i="1"/>
  <c r="V59" i="1"/>
  <c r="H60" i="1"/>
  <c r="T60" i="1"/>
  <c r="U60" i="1"/>
  <c r="V60" i="1"/>
  <c r="H61" i="1"/>
  <c r="I61" i="1"/>
  <c r="J61" i="1"/>
  <c r="K61" i="1"/>
  <c r="L61" i="1"/>
  <c r="M61" i="1"/>
  <c r="P61" i="1"/>
  <c r="Q61" i="1"/>
  <c r="R61" i="1"/>
  <c r="S61" i="1"/>
  <c r="T61" i="1"/>
  <c r="U61" i="1"/>
  <c r="V61" i="1"/>
  <c r="H62" i="1"/>
  <c r="T62" i="1"/>
  <c r="U62" i="1"/>
  <c r="V62" i="1"/>
  <c r="P63" i="1"/>
  <c r="Q63" i="1"/>
  <c r="R63" i="1"/>
  <c r="S63" i="1"/>
  <c r="T63" i="1"/>
  <c r="U63" i="1"/>
  <c r="V63" i="1"/>
  <c r="H64" i="1"/>
  <c r="T64" i="1"/>
  <c r="U64" i="1"/>
  <c r="V64" i="1"/>
  <c r="B65" i="1"/>
  <c r="H65" i="1"/>
  <c r="I65" i="1"/>
  <c r="J65" i="1"/>
  <c r="K65" i="1"/>
  <c r="L65" i="1"/>
  <c r="M65" i="1"/>
  <c r="Q65" i="1"/>
  <c r="R65" i="1"/>
  <c r="S65" i="1"/>
  <c r="T65" i="1"/>
  <c r="U65" i="1"/>
  <c r="V65" i="1"/>
  <c r="R68" i="1"/>
  <c r="V68" i="1"/>
  <c r="R70" i="1"/>
  <c r="V70" i="1"/>
  <c r="G73" i="1"/>
  <c r="I73" i="1"/>
  <c r="I74" i="1"/>
  <c r="I75" i="1"/>
  <c r="I76" i="1"/>
  <c r="I77" i="1"/>
  <c r="F79" i="1"/>
  <c r="I79" i="1"/>
  <c r="I80" i="1"/>
  <c r="I82" i="1"/>
  <c r="I83" i="1"/>
  <c r="I84" i="1"/>
  <c r="A88" i="1"/>
  <c r="D10" i="6"/>
  <c r="F10" i="6"/>
  <c r="H10" i="6"/>
  <c r="D11" i="6"/>
  <c r="F11" i="6"/>
  <c r="H11" i="6"/>
  <c r="H12" i="6"/>
  <c r="D13" i="6"/>
  <c r="F13" i="6"/>
  <c r="H13" i="6"/>
  <c r="D17" i="6"/>
  <c r="F17" i="6"/>
  <c r="H17" i="6"/>
  <c r="D18" i="6"/>
  <c r="F18" i="6"/>
  <c r="H18" i="6"/>
  <c r="D19" i="6"/>
  <c r="F19" i="6"/>
  <c r="H19" i="6"/>
  <c r="D20" i="6"/>
  <c r="F20" i="6"/>
  <c r="H20" i="6"/>
  <c r="D23" i="6"/>
  <c r="F23" i="6"/>
  <c r="H23" i="6"/>
</calcChain>
</file>

<file path=xl/sharedStrings.xml><?xml version="1.0" encoding="utf-8"?>
<sst xmlns="http://schemas.openxmlformats.org/spreadsheetml/2006/main" count="644" uniqueCount="216">
  <si>
    <t>Advance Date:</t>
  </si>
  <si>
    <t>Initial Funding:</t>
  </si>
  <si>
    <t>Wiring Instructions:</t>
  </si>
  <si>
    <t xml:space="preserve">Date </t>
  </si>
  <si>
    <t>Interest on</t>
  </si>
  <si>
    <t>Total Interest</t>
  </si>
  <si>
    <t xml:space="preserve">Principal </t>
  </si>
  <si>
    <t>Rate</t>
  </si>
  <si>
    <t>of Rate</t>
  </si>
  <si>
    <t>Applicable</t>
  </si>
  <si>
    <t>Total</t>
  </si>
  <si>
    <t>Reported</t>
  </si>
  <si>
    <t>Due On</t>
  </si>
  <si>
    <t>(Repayment)</t>
  </si>
  <si>
    <t>Month</t>
  </si>
  <si>
    <t xml:space="preserve">Days </t>
  </si>
  <si>
    <t>Type</t>
  </si>
  <si>
    <t>Used</t>
  </si>
  <si>
    <t>Margin</t>
  </si>
  <si>
    <t>Rate*</t>
  </si>
  <si>
    <t>Principal</t>
  </si>
  <si>
    <t>Payment Date</t>
  </si>
  <si>
    <t>Addtl Borrowing</t>
  </si>
  <si>
    <t>prin &amp; int</t>
  </si>
  <si>
    <t>ER</t>
  </si>
  <si>
    <t>Initial funding 07/02/98</t>
  </si>
  <si>
    <t>07/02/98-07/22/98</t>
  </si>
  <si>
    <t>07/23/98-07/31/98</t>
  </si>
  <si>
    <t>July interest</t>
  </si>
  <si>
    <t xml:space="preserve">Interest on the Aggregate Principal Amount under the Credit Facility and the Term Loan shall accrue and be calculated daily be payable </t>
  </si>
  <si>
    <t xml:space="preserve"> be calculated on the basis of the actual number of days in each month divided by 365.</t>
  </si>
  <si>
    <t>monthly in arrears on the last business day of each month for the immidiately preceding Month. Interest shall</t>
  </si>
  <si>
    <t xml:space="preserve">ERMS </t>
  </si>
  <si>
    <t>TORONTO DOMINION</t>
  </si>
  <si>
    <t>Account 08050465650</t>
  </si>
  <si>
    <t>TRANSIT 80609</t>
  </si>
  <si>
    <t>CANADIAN DOLLAR</t>
  </si>
  <si>
    <t>BANK NUMBER  004</t>
  </si>
  <si>
    <t>SWIFT CODE TDOMCATTCAL</t>
  </si>
  <si>
    <t xml:space="preserve">10% Withholding </t>
  </si>
  <si>
    <t>Tax</t>
  </si>
  <si>
    <t>Final Interest</t>
  </si>
  <si>
    <t>Paid</t>
  </si>
  <si>
    <t>Address for Toronto Dominion:</t>
  </si>
  <si>
    <t>Commercial Banking Center</t>
  </si>
  <si>
    <t>2 Calgary Place</t>
  </si>
  <si>
    <t>340 Fifth Avenue SW</t>
  </si>
  <si>
    <t>Calgary Alberta, T2P2P6</t>
  </si>
  <si>
    <t>US Dollar</t>
  </si>
  <si>
    <t>Application</t>
  </si>
  <si>
    <t>/1.47</t>
  </si>
  <si>
    <t>Calculation of Commitment Fees</t>
  </si>
  <si>
    <t>Commitment is defined in the Revolving Credit Agreement as "the Loan Commitment and the Letter of Credit Commitment, each as in effect at the time to which such reference relates."</t>
  </si>
  <si>
    <t>*  based on a 360 day year</t>
  </si>
  <si>
    <t>Loan Commitment</t>
  </si>
  <si>
    <t>Accrued</t>
  </si>
  <si>
    <t xml:space="preserve"> </t>
  </si>
  <si>
    <t>Loan</t>
  </si>
  <si>
    <t xml:space="preserve">Unused Portion </t>
  </si>
  <si>
    <t xml:space="preserve">Total </t>
  </si>
  <si>
    <t>Amount of</t>
  </si>
  <si>
    <t>Commitment</t>
  </si>
  <si>
    <t>Payment</t>
  </si>
  <si>
    <t>Period</t>
  </si>
  <si>
    <t>Borrowings</t>
  </si>
  <si>
    <t>Repayments</t>
  </si>
  <si>
    <t>of Commitment</t>
  </si>
  <si>
    <t>Outstanding</t>
  </si>
  <si>
    <t>DAYS</t>
  </si>
  <si>
    <t>Fee*</t>
  </si>
  <si>
    <t>Fees Paid</t>
  </si>
  <si>
    <t>Fees</t>
  </si>
  <si>
    <t>Date</t>
  </si>
  <si>
    <t>Total July Com fee</t>
  </si>
  <si>
    <t>Enserco Inc.</t>
  </si>
  <si>
    <t>arrears on the last day of September 30,1998 and December 31, 1998</t>
  </si>
  <si>
    <t xml:space="preserve">US Dollar </t>
  </si>
  <si>
    <t xml:space="preserve">US dollar </t>
  </si>
  <si>
    <t>application</t>
  </si>
  <si>
    <t>08/01/98-08/11/98</t>
  </si>
  <si>
    <t>08/12/98-08/31/98</t>
  </si>
  <si>
    <t>August interest</t>
  </si>
  <si>
    <t>Total Aug Com fee</t>
  </si>
  <si>
    <t>Per promissory note of the Loan Agreement the Borrower agrees to pay EnSerCo LLC. a commitment fee on the average daily unused amount of the commitment at the rate of .36% per annum, payable in</t>
  </si>
  <si>
    <t>Total Sept Com fee</t>
  </si>
  <si>
    <t>September interest</t>
  </si>
  <si>
    <t>ICE Drilling</t>
  </si>
  <si>
    <t>9/1/98-9/17/98</t>
  </si>
  <si>
    <t>9/18/98-9/30/98</t>
  </si>
  <si>
    <t>10/1/98-10/27/98</t>
  </si>
  <si>
    <t>10/28/98-10/31/98</t>
  </si>
  <si>
    <t>October interest</t>
  </si>
  <si>
    <t>Total Oct Com fee</t>
  </si>
  <si>
    <t>11/1/98-11/30/98</t>
  </si>
  <si>
    <t>November interest</t>
  </si>
  <si>
    <t>Total Nov Com fee</t>
  </si>
  <si>
    <t>12/1/98-12/3/98</t>
  </si>
  <si>
    <t>12/4/98-12/20/98</t>
  </si>
  <si>
    <t>12/21/98-12/31/98</t>
  </si>
  <si>
    <t>December interest</t>
  </si>
  <si>
    <t>Total Dec Com fee</t>
  </si>
  <si>
    <t>1/1/99-1/31/99</t>
  </si>
  <si>
    <t>January interest</t>
  </si>
  <si>
    <t>NO MORE COMMITMENT FEES</t>
  </si>
  <si>
    <t>2/1/99-2/28/99</t>
  </si>
  <si>
    <t>February interest</t>
  </si>
  <si>
    <t>3/1/99-3/31/99</t>
  </si>
  <si>
    <t>March interest</t>
  </si>
  <si>
    <t>4/1/99-4/30/99</t>
  </si>
  <si>
    <t>April interest</t>
  </si>
  <si>
    <t>Due</t>
  </si>
  <si>
    <t>and Overdue Interest</t>
  </si>
  <si>
    <t xml:space="preserve">Principal and </t>
  </si>
  <si>
    <t>Overdue Interest</t>
  </si>
  <si>
    <t>Interest on Outstanding</t>
  </si>
  <si>
    <t xml:space="preserve">Outstanding Principal </t>
  </si>
  <si>
    <t>5/1/99-5/31/99</t>
  </si>
  <si>
    <t>May Interest</t>
  </si>
  <si>
    <t>May interest</t>
  </si>
  <si>
    <t>6/1/99-6/30/99</t>
  </si>
  <si>
    <t>June Interest</t>
  </si>
  <si>
    <t>June interest</t>
  </si>
  <si>
    <t>Interest Expense from EnSerCo, Inc. to EnSerCo, LLC</t>
  </si>
  <si>
    <t>ENSERCO, INC- -ICE DRILLING</t>
  </si>
  <si>
    <t>Interest Income Calculation - Based on Default 2/99</t>
  </si>
  <si>
    <t>7/1/99-7/31/99</t>
  </si>
  <si>
    <t>(not capitalized)</t>
  </si>
  <si>
    <t>90% Interest</t>
  </si>
  <si>
    <t xml:space="preserve">Interest </t>
  </si>
  <si>
    <t>Receivable</t>
  </si>
  <si>
    <r>
      <t>Initial Funding</t>
    </r>
    <r>
      <rPr>
        <sz val="9"/>
        <rFont val="Times New Roman"/>
        <family val="1"/>
      </rPr>
      <t xml:space="preserve"> (in Canadian $</t>
    </r>
    <r>
      <rPr>
        <b/>
        <sz val="9"/>
        <rFont val="Times New Roman"/>
        <family val="1"/>
      </rPr>
      <t>):</t>
    </r>
  </si>
  <si>
    <t>ICE DRILLING</t>
  </si>
  <si>
    <t>Interest Rate:</t>
  </si>
  <si>
    <t>8/1/99-8/8/99</t>
  </si>
  <si>
    <t>8/9/99 Payment</t>
  </si>
  <si>
    <t>Received</t>
  </si>
  <si>
    <t>Structure Fee:</t>
  </si>
  <si>
    <t>(/1.504 for final pay)</t>
  </si>
  <si>
    <t>8/9/99-8/31/99</t>
  </si>
  <si>
    <t xml:space="preserve"> Principal </t>
  </si>
  <si>
    <t>Payment on 8/13/99</t>
  </si>
  <si>
    <t>8/1/99-8/12/99</t>
  </si>
  <si>
    <t>8/13/99-8/31/99</t>
  </si>
  <si>
    <t>Remaining AIR and principal balance</t>
  </si>
  <si>
    <t>Balance written off per gain/loss calc.</t>
  </si>
  <si>
    <t>ICE SOLD 8/13/99.  O/S BAL WRITTEN OFF 8/31/99.</t>
  </si>
  <si>
    <t>10/1/99-10/31/99</t>
  </si>
  <si>
    <t>9/22/99 Payment</t>
  </si>
  <si>
    <t>9/22/99-9/30/99</t>
  </si>
  <si>
    <t>9/1/99-9/21/99</t>
  </si>
  <si>
    <t>As of 10/31/1999</t>
  </si>
  <si>
    <t>SUMMARY OF AMOUNTS DUE</t>
  </si>
  <si>
    <t>Principal due at 7/31/99</t>
  </si>
  <si>
    <t>Principal due at 10/31/99</t>
  </si>
  <si>
    <t>Interest due at 7/31/99</t>
  </si>
  <si>
    <t>Canadian $</t>
  </si>
  <si>
    <t>US $</t>
  </si>
  <si>
    <t xml:space="preserve">Exchange </t>
  </si>
  <si>
    <t>Payment received 9/22/99</t>
  </si>
  <si>
    <t>Payment received 8/9/99</t>
  </si>
  <si>
    <t>Interest due at 10/31/99</t>
  </si>
  <si>
    <t>TOTAL DUE</t>
  </si>
  <si>
    <t>Interest due for 9/1/99-10/31/99</t>
  </si>
  <si>
    <t>Interest due for 8/1-31/99</t>
  </si>
  <si>
    <t>Per section 9.2 (a) of the Credit Agreement,  the Borrower agrees to pay EnSerCo LLC. a commitment fee on the average daily unused amount of the commitment.</t>
  </si>
  <si>
    <t>The fee is .50% per year, based on a 360 day year. It is payable in arrears on the last day of September 30,1998 and December 31, 1998</t>
  </si>
  <si>
    <t xml:space="preserve">     Less 10% withholding</t>
  </si>
  <si>
    <t xml:space="preserve">     Net amt. paid 12/31/98</t>
  </si>
  <si>
    <t xml:space="preserve">     Net amt. paid 9/30/98</t>
  </si>
  <si>
    <t>NO FURTHER COMMITMENT FEES DUE</t>
  </si>
  <si>
    <t>Original loan commitment:</t>
  </si>
  <si>
    <t>Total funded:</t>
  </si>
  <si>
    <t>(Can $)</t>
  </si>
  <si>
    <t>(Cad $)</t>
  </si>
  <si>
    <t>Fees Due</t>
  </si>
  <si>
    <t>TOTAL COMMITMENT FEE INCOME</t>
  </si>
  <si>
    <t xml:space="preserve">Interest Income Calculation </t>
  </si>
  <si>
    <t>Withholding Tax</t>
  </si>
  <si>
    <t>Cash Due</t>
  </si>
  <si>
    <t>Addt'l Borrowing</t>
  </si>
  <si>
    <t xml:space="preserve">Cash </t>
  </si>
  <si>
    <t>Per GL</t>
  </si>
  <si>
    <t>Owed</t>
  </si>
  <si>
    <t>Interest Due</t>
  </si>
  <si>
    <t xml:space="preserve">REMAINING INVESTMENT BALANCE WRITTEN OFF </t>
  </si>
  <si>
    <t>9/22 PRINCIPAL PAYMENT TAKEN TO INCOME</t>
  </si>
  <si>
    <t>THE FOLLOWING INTEREST WAS NOT ACCRUED. ANY PAYMENTS RECEIVED WILL BE TAKEN TO DIRECTLY TO GAIN ON SALE.</t>
  </si>
  <si>
    <t>Total Interest Income- 1177</t>
  </si>
  <si>
    <t>Total Interest Income- 2373</t>
  </si>
  <si>
    <t>Total Interest Income 1999</t>
  </si>
  <si>
    <t>Total Interest Expense</t>
  </si>
  <si>
    <t>Total Interest Paid 1999</t>
  </si>
  <si>
    <t xml:space="preserve">Total 1999 Interest Income </t>
  </si>
  <si>
    <t>Interest</t>
  </si>
  <si>
    <t>Add to AIR @ 90%</t>
  </si>
  <si>
    <t>Withhold Tax @ 10%</t>
  </si>
  <si>
    <t>Withhold Tax w/o</t>
  </si>
  <si>
    <t>Int w/o 1177</t>
  </si>
  <si>
    <t>Int w/o 2373</t>
  </si>
  <si>
    <t xml:space="preserve">For </t>
  </si>
  <si>
    <t>Financial</t>
  </si>
  <si>
    <t>Statements</t>
  </si>
  <si>
    <t>Principal received 9/99.</t>
  </si>
  <si>
    <t>(1.504, 1.4725 final pays)</t>
  </si>
  <si>
    <t>11/1/99-11/30/99</t>
  </si>
  <si>
    <t>12/1/99-12/31/99</t>
  </si>
  <si>
    <t>1/1/00-1/31/00</t>
  </si>
  <si>
    <t>2/1/00-2/29/00</t>
  </si>
  <si>
    <t>3/1/00-3/31/00</t>
  </si>
  <si>
    <t>4/1/00-4/30/00</t>
  </si>
  <si>
    <t>5/1/00-5/31/00</t>
  </si>
  <si>
    <t>6/1/00-6/30/00</t>
  </si>
  <si>
    <t>7/1/00-7/31/00</t>
  </si>
  <si>
    <t>8/1/00-8/31/00</t>
  </si>
  <si>
    <t>9/1/00-9/30/00</t>
  </si>
  <si>
    <t>10/1/00-10/31/00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</si>
</sst>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%"/>
    <numFmt numFmtId="165" formatCode="&quot;$&quot;#,##0.00"/>
    <numFmt numFmtId="166" formatCode="0.0000%"/>
    <numFmt numFmtId="167" formatCode="0.00000"/>
    <numFmt numFmtId="168" formatCode="0.000%"/>
    <numFmt numFmtId="169" formatCode="0.0000"/>
    <numFmt numFmtId="171" formatCode="#,##0.0000_);[Red]\(#,##0.0000\)"/>
  </numFmts>
  <fonts count="29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</font>
    <font>
      <sz val="9"/>
      <name val="Arial"/>
    </font>
    <font>
      <b/>
      <i/>
      <sz val="9"/>
      <name val="Times New Roman"/>
    </font>
    <font>
      <sz val="9"/>
      <name val="Times New Roman"/>
    </font>
    <font>
      <b/>
      <sz val="9"/>
      <name val="Times New Roman"/>
    </font>
    <font>
      <b/>
      <sz val="9"/>
      <name val="Arial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b/>
      <sz val="10"/>
      <name val="Arial"/>
    </font>
    <font>
      <sz val="8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sz val="9"/>
      <color indexed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Arial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9">
    <xf numFmtId="0" fontId="0" fillId="0" borderId="0" xfId="0"/>
    <xf numFmtId="0" fontId="2" fillId="0" borderId="0" xfId="0" applyFont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164" fontId="3" fillId="0" borderId="0" xfId="4" applyNumberFormat="1" applyFont="1" applyAlignment="1">
      <alignment horizontal="centerContinuous"/>
    </xf>
    <xf numFmtId="37" fontId="3" fillId="0" borderId="0" xfId="0" applyNumberFormat="1" applyFont="1" applyBorder="1" applyAlignment="1">
      <alignment horizontal="centerContinuous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4" applyNumberFormat="1" applyFont="1"/>
    <xf numFmtId="37" fontId="3" fillId="0" borderId="0" xfId="0" applyNumberFormat="1" applyFont="1" applyBorder="1"/>
    <xf numFmtId="14" fontId="3" fillId="0" borderId="0" xfId="0" quotePrefix="1" applyNumberFormat="1" applyFont="1"/>
    <xf numFmtId="14" fontId="3" fillId="0" borderId="0" xfId="0" applyNumberFormat="1" applyFont="1"/>
    <xf numFmtId="165" fontId="3" fillId="0" borderId="0" xfId="0" applyNumberFormat="1" applyFont="1"/>
    <xf numFmtId="1" fontId="3" fillId="0" borderId="0" xfId="0" quotePrefix="1" applyNumberFormat="1" applyFont="1" applyAlignment="1">
      <alignment horizontal="center"/>
    </xf>
    <xf numFmtId="166" fontId="3" fillId="0" borderId="0" xfId="0" applyNumberFormat="1" applyFont="1"/>
    <xf numFmtId="10" fontId="3" fillId="0" borderId="0" xfId="0" applyNumberFormat="1" applyFont="1"/>
    <xf numFmtId="164" fontId="3" fillId="0" borderId="0" xfId="4" applyNumberFormat="1" applyFont="1" applyBorder="1"/>
    <xf numFmtId="0" fontId="4" fillId="0" borderId="1" xfId="0" applyFont="1" applyBorder="1"/>
    <xf numFmtId="0" fontId="4" fillId="0" borderId="2" xfId="0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37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4" applyNumberFormat="1" applyFont="1" applyBorder="1" applyAlignment="1">
      <alignment horizontal="center"/>
    </xf>
    <xf numFmtId="40" fontId="2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3" xfId="4" applyNumberFormat="1" applyFont="1" applyBorder="1" applyAlignment="1">
      <alignment horizontal="center"/>
    </xf>
    <xf numFmtId="40" fontId="2" fillId="0" borderId="3" xfId="0" applyNumberFormat="1" applyFont="1" applyBorder="1" applyAlignment="1">
      <alignment horizontal="center"/>
    </xf>
    <xf numFmtId="37" fontId="2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16" fontId="6" fillId="0" borderId="4" xfId="0" applyNumberFormat="1" applyFont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4" fontId="7" fillId="0" borderId="0" xfId="4" applyNumberFormat="1" applyFont="1" applyBorder="1"/>
    <xf numFmtId="40" fontId="7" fillId="0" borderId="0" xfId="0" applyNumberFormat="1" applyFont="1" applyBorder="1"/>
    <xf numFmtId="40" fontId="7" fillId="0" borderId="5" xfId="0" applyNumberFormat="1" applyFont="1" applyBorder="1"/>
    <xf numFmtId="40" fontId="7" fillId="0" borderId="0" xfId="0" applyNumberFormat="1" applyFont="1"/>
    <xf numFmtId="0" fontId="7" fillId="0" borderId="0" xfId="0" applyFont="1"/>
    <xf numFmtId="1" fontId="3" fillId="0" borderId="0" xfId="0" applyNumberFormat="1" applyFont="1" applyBorder="1" applyAlignment="1">
      <alignment horizontal="center"/>
    </xf>
    <xf numFmtId="16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8" fontId="3" fillId="0" borderId="0" xfId="4" applyNumberFormat="1" applyFont="1" applyBorder="1"/>
    <xf numFmtId="164" fontId="3" fillId="0" borderId="0" xfId="4" applyNumberFormat="1" applyFont="1" applyBorder="1" applyAlignment="1">
      <alignment horizontal="center"/>
    </xf>
    <xf numFmtId="40" fontId="3" fillId="0" borderId="0" xfId="0" applyNumberFormat="1" applyFont="1" applyBorder="1"/>
    <xf numFmtId="0" fontId="3" fillId="0" borderId="0" xfId="0" applyFont="1" applyBorder="1"/>
    <xf numFmtId="43" fontId="7" fillId="0" borderId="0" xfId="1" applyFont="1" applyBorder="1"/>
    <xf numFmtId="40" fontId="3" fillId="0" borderId="0" xfId="0" applyNumberFormat="1" applyFont="1"/>
    <xf numFmtId="14" fontId="3" fillId="0" borderId="4" xfId="0" applyNumberFormat="1" applyFont="1" applyBorder="1"/>
    <xf numFmtId="40" fontId="2" fillId="0" borderId="0" xfId="0" applyNumberFormat="1" applyFont="1" applyBorder="1"/>
    <xf numFmtId="0" fontId="8" fillId="0" borderId="4" xfId="0" applyFont="1" applyBorder="1"/>
    <xf numFmtId="1" fontId="2" fillId="0" borderId="0" xfId="0" applyNumberFormat="1" applyFont="1" applyBorder="1" applyAlignment="1">
      <alignment horizontal="center"/>
    </xf>
    <xf numFmtId="14" fontId="9" fillId="0" borderId="0" xfId="0" quotePrefix="1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0" fontId="8" fillId="0" borderId="0" xfId="0" applyNumberFormat="1" applyFont="1" applyBorder="1"/>
    <xf numFmtId="40" fontId="2" fillId="0" borderId="6" xfId="0" applyNumberFormat="1" applyFont="1" applyBorder="1"/>
    <xf numFmtId="0" fontId="9" fillId="0" borderId="0" xfId="0" applyFont="1"/>
    <xf numFmtId="0" fontId="2" fillId="0" borderId="6" xfId="0" applyFont="1" applyBorder="1"/>
    <xf numFmtId="0" fontId="2" fillId="0" borderId="0" xfId="0" applyFont="1" applyBorder="1"/>
    <xf numFmtId="40" fontId="2" fillId="0" borderId="0" xfId="0" applyNumberFormat="1" applyFont="1" applyFill="1" applyBorder="1"/>
    <xf numFmtId="1" fontId="8" fillId="0" borderId="0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3" xfId="4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16" fontId="10" fillId="0" borderId="0" xfId="0" applyNumberFormat="1" applyFont="1" applyBorder="1"/>
    <xf numFmtId="14" fontId="3" fillId="0" borderId="0" xfId="0" quotePrefix="1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37" fontId="3" fillId="0" borderId="0" xfId="0" applyNumberFormat="1" applyFont="1"/>
    <xf numFmtId="39" fontId="3" fillId="0" borderId="0" xfId="0" applyNumberFormat="1" applyFont="1"/>
    <xf numFmtId="40" fontId="7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40" fontId="3" fillId="0" borderId="3" xfId="0" applyNumberFormat="1" applyFont="1" applyBorder="1"/>
    <xf numFmtId="14" fontId="3" fillId="0" borderId="7" xfId="0" applyNumberFormat="1" applyFont="1" applyBorder="1"/>
    <xf numFmtId="168" fontId="3" fillId="0" borderId="3" xfId="4" applyNumberFormat="1" applyFont="1" applyBorder="1"/>
    <xf numFmtId="0" fontId="3" fillId="0" borderId="3" xfId="0" applyFont="1" applyBorder="1"/>
    <xf numFmtId="40" fontId="7" fillId="0" borderId="8" xfId="0" applyNumberFormat="1" applyFont="1" applyBorder="1"/>
    <xf numFmtId="0" fontId="11" fillId="0" borderId="9" xfId="0" applyFont="1" applyBorder="1"/>
    <xf numFmtId="40" fontId="2" fillId="2" borderId="0" xfId="0" applyNumberFormat="1" applyFont="1" applyFill="1" applyBorder="1"/>
    <xf numFmtId="164" fontId="3" fillId="0" borderId="10" xfId="0" applyNumberFormat="1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64" fontId="3" fillId="0" borderId="11" xfId="4" applyNumberFormat="1" applyFont="1" applyBorder="1"/>
    <xf numFmtId="0" fontId="3" fillId="0" borderId="12" xfId="0" applyFont="1" applyBorder="1"/>
    <xf numFmtId="164" fontId="3" fillId="0" borderId="13" xfId="0" applyNumberFormat="1" applyFont="1" applyBorder="1" applyAlignment="1">
      <alignment horizontal="left"/>
    </xf>
    <xf numFmtId="0" fontId="3" fillId="0" borderId="14" xfId="0" applyFont="1" applyBorder="1"/>
    <xf numFmtId="164" fontId="3" fillId="0" borderId="15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64" fontId="3" fillId="0" borderId="16" xfId="4" applyNumberFormat="1" applyFont="1" applyBorder="1"/>
    <xf numFmtId="0" fontId="3" fillId="0" borderId="17" xfId="0" applyFont="1" applyBorder="1"/>
    <xf numFmtId="0" fontId="12" fillId="0" borderId="0" xfId="0" applyFont="1"/>
    <xf numFmtId="40" fontId="13" fillId="0" borderId="0" xfId="3" applyFont="1" applyAlignment="1">
      <alignment horizontal="center"/>
    </xf>
    <xf numFmtId="14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40" fontId="1" fillId="0" borderId="0" xfId="3" applyAlignment="1">
      <alignment horizontal="center"/>
    </xf>
    <xf numFmtId="0" fontId="0" fillId="0" borderId="3" xfId="0" applyBorder="1" applyAlignment="1">
      <alignment horizontal="center"/>
    </xf>
    <xf numFmtId="40" fontId="13" fillId="0" borderId="3" xfId="3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3" fillId="0" borderId="0" xfId="0" applyFont="1" applyAlignment="1">
      <alignment horizontal="left"/>
    </xf>
    <xf numFmtId="14" fontId="13" fillId="0" borderId="0" xfId="3" applyNumberFormat="1" applyFont="1" applyBorder="1" applyAlignment="1">
      <alignment horizontal="center"/>
    </xf>
    <xf numFmtId="14" fontId="13" fillId="0" borderId="0" xfId="3" quotePrefix="1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12" fillId="0" borderId="6" xfId="0" applyNumberFormat="1" applyFont="1" applyBorder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38" fontId="13" fillId="0" borderId="0" xfId="2" applyFont="1" applyAlignment="1">
      <alignment horizontal="center"/>
    </xf>
    <xf numFmtId="166" fontId="0" fillId="0" borderId="0" xfId="4" applyNumberFormat="1" applyFont="1" applyAlignment="1">
      <alignment horizontal="center"/>
    </xf>
    <xf numFmtId="40" fontId="13" fillId="0" borderId="6" xfId="3" applyFont="1" applyBorder="1" applyAlignment="1">
      <alignment horizontal="center"/>
    </xf>
    <xf numFmtId="40" fontId="13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6" xfId="0" applyFont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38" fontId="1" fillId="0" borderId="0" xfId="3" applyNumberFormat="1" applyFon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40" fontId="1" fillId="0" borderId="0" xfId="3" applyBorder="1" applyAlignment="1">
      <alignment horizontal="center"/>
    </xf>
    <xf numFmtId="16" fontId="13" fillId="0" borderId="0" xfId="0" quotePrefix="1" applyNumberFormat="1" applyFont="1" applyAlignment="1">
      <alignment horizontal="center"/>
    </xf>
    <xf numFmtId="16" fontId="15" fillId="0" borderId="0" xfId="0" quotePrefix="1" applyNumberFormat="1" applyFont="1" applyAlignment="1">
      <alignment horizontal="center"/>
    </xf>
    <xf numFmtId="16" fontId="13" fillId="0" borderId="3" xfId="0" quotePrefix="1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" fontId="13" fillId="0" borderId="3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38" fontId="12" fillId="0" borderId="0" xfId="3" applyNumberFormat="1" applyFont="1" applyBorder="1" applyAlignment="1">
      <alignment horizontal="center"/>
    </xf>
    <xf numFmtId="40" fontId="12" fillId="0" borderId="0" xfId="0" applyNumberFormat="1" applyFont="1" applyBorder="1" applyAlignment="1">
      <alignment horizontal="center"/>
    </xf>
    <xf numFmtId="40" fontId="12" fillId="0" borderId="0" xfId="3" applyFont="1" applyBorder="1" applyAlignment="1">
      <alignment horizontal="center"/>
    </xf>
    <xf numFmtId="4" fontId="13" fillId="0" borderId="0" xfId="0" applyNumberFormat="1" applyFont="1" applyAlignment="1">
      <alignment horizontal="center"/>
    </xf>
    <xf numFmtId="4" fontId="13" fillId="0" borderId="6" xfId="0" applyNumberFormat="1" applyFont="1" applyBorder="1" applyAlignment="1">
      <alignment horizontal="center"/>
    </xf>
    <xf numFmtId="4" fontId="1" fillId="0" borderId="0" xfId="3" applyNumberFormat="1" applyFont="1" applyBorder="1" applyAlignment="1">
      <alignment horizontal="center"/>
    </xf>
    <xf numFmtId="4" fontId="12" fillId="0" borderId="0" xfId="3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4" fontId="1" fillId="0" borderId="3" xfId="3" applyNumberFormat="1" applyFont="1" applyBorder="1" applyAlignment="1">
      <alignment horizontal="center"/>
    </xf>
    <xf numFmtId="38" fontId="1" fillId="0" borderId="3" xfId="3" applyNumberFormat="1" applyFon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4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38" fontId="16" fillId="0" borderId="0" xfId="0" applyNumberFormat="1" applyFont="1" applyBorder="1" applyAlignment="1">
      <alignment horizontal="center"/>
    </xf>
    <xf numFmtId="166" fontId="0" fillId="0" borderId="0" xfId="4" applyNumberFormat="1" applyFont="1" applyBorder="1" applyAlignment="1">
      <alignment horizontal="center"/>
    </xf>
    <xf numFmtId="14" fontId="1" fillId="0" borderId="0" xfId="3" applyNumberFormat="1" applyBorder="1" applyAlignment="1">
      <alignment horizontal="center"/>
    </xf>
    <xf numFmtId="0" fontId="0" fillId="0" borderId="10" xfId="0" applyBorder="1" applyAlignment="1">
      <alignment horizontal="center"/>
    </xf>
    <xf numFmtId="4" fontId="14" fillId="0" borderId="11" xfId="0" applyNumberFormat="1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11" xfId="0" applyNumberFormat="1" applyBorder="1" applyAlignment="1">
      <alignment horizontal="center"/>
    </xf>
    <xf numFmtId="38" fontId="13" fillId="0" borderId="11" xfId="3" applyNumberFormat="1" applyFont="1" applyBorder="1" applyAlignment="1">
      <alignment horizontal="center"/>
    </xf>
    <xf numFmtId="38" fontId="12" fillId="0" borderId="11" xfId="3" quotePrefix="1" applyNumberFormat="1" applyFont="1" applyBorder="1" applyAlignment="1">
      <alignment horizontal="center"/>
    </xf>
    <xf numFmtId="40" fontId="13" fillId="0" borderId="11" xfId="3" quotePrefix="1" applyFont="1" applyBorder="1" applyAlignment="1">
      <alignment horizontal="center"/>
    </xf>
    <xf numFmtId="40" fontId="1" fillId="0" borderId="11" xfId="3" applyBorder="1" applyAlignment="1">
      <alignment horizontal="center"/>
    </xf>
    <xf numFmtId="40" fontId="13" fillId="0" borderId="11" xfId="3" applyFont="1" applyBorder="1" applyAlignment="1">
      <alignment horizontal="center"/>
    </xf>
    <xf numFmtId="14" fontId="1" fillId="0" borderId="12" xfId="3" applyNumberFormat="1" applyBorder="1" applyAlignment="1">
      <alignment horizontal="center"/>
    </xf>
    <xf numFmtId="0" fontId="0" fillId="0" borderId="13" xfId="0" applyBorder="1" applyAlignment="1">
      <alignment horizontal="center"/>
    </xf>
    <xf numFmtId="38" fontId="13" fillId="0" borderId="0" xfId="3" applyNumberFormat="1" applyFont="1" applyBorder="1" applyAlignment="1">
      <alignment horizontal="center"/>
    </xf>
    <xf numFmtId="40" fontId="1" fillId="0" borderId="0" xfId="3" quotePrefix="1" applyFont="1" applyBorder="1" applyAlignment="1">
      <alignment horizontal="center"/>
    </xf>
    <xf numFmtId="14" fontId="1" fillId="0" borderId="14" xfId="3" applyNumberFormat="1" applyBorder="1" applyAlignment="1">
      <alignment horizontal="center"/>
    </xf>
    <xf numFmtId="0" fontId="13" fillId="0" borderId="13" xfId="0" applyFont="1" applyBorder="1" applyAlignment="1">
      <alignment horizontal="center"/>
    </xf>
    <xf numFmtId="14" fontId="13" fillId="0" borderId="14" xfId="3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4" fontId="13" fillId="0" borderId="16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40" fontId="13" fillId="0" borderId="16" xfId="3" applyFont="1" applyBorder="1" applyAlignment="1">
      <alignment horizontal="center"/>
    </xf>
    <xf numFmtId="14" fontId="13" fillId="0" borderId="17" xfId="3" applyNumberFormat="1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4" fontId="1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4" fontId="0" fillId="0" borderId="0" xfId="0" applyNumberFormat="1" applyFill="1" applyAlignment="1">
      <alignment horizontal="center"/>
    </xf>
    <xf numFmtId="40" fontId="13" fillId="0" borderId="0" xfId="3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40" fontId="12" fillId="0" borderId="18" xfId="3" applyFont="1" applyBorder="1" applyAlignment="1">
      <alignment horizontal="center"/>
    </xf>
    <xf numFmtId="14" fontId="2" fillId="0" borderId="4" xfId="0" applyNumberFormat="1" applyFont="1" applyBorder="1"/>
    <xf numFmtId="0" fontId="8" fillId="0" borderId="0" xfId="0" applyFont="1" applyBorder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horizontal="left"/>
    </xf>
    <xf numFmtId="0" fontId="1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6" fontId="16" fillId="0" borderId="0" xfId="0" applyNumberFormat="1" applyFont="1" applyAlignment="1">
      <alignment horizontal="center"/>
    </xf>
    <xf numFmtId="16" fontId="16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0" fillId="0" borderId="3" xfId="4" applyNumberFormat="1" applyFont="1" applyBorder="1" applyAlignment="1">
      <alignment horizontal="center"/>
    </xf>
    <xf numFmtId="40" fontId="1" fillId="0" borderId="3" xfId="3" applyBorder="1" applyAlignment="1">
      <alignment horizontal="center"/>
    </xf>
    <xf numFmtId="14" fontId="13" fillId="0" borderId="3" xfId="3" quotePrefix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40" fontId="12" fillId="0" borderId="6" xfId="3" applyFont="1" applyBorder="1" applyAlignment="1">
      <alignment horizontal="center"/>
    </xf>
    <xf numFmtId="0" fontId="3" fillId="0" borderId="4" xfId="0" applyFont="1" applyBorder="1"/>
    <xf numFmtId="40" fontId="16" fillId="0" borderId="0" xfId="3" applyFont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4" fontId="16" fillId="0" borderId="3" xfId="0" applyNumberFormat="1" applyFont="1" applyBorder="1" applyAlignment="1">
      <alignment horizontal="center"/>
    </xf>
    <xf numFmtId="38" fontId="16" fillId="0" borderId="3" xfId="0" applyNumberFormat="1" applyFont="1" applyBorder="1" applyAlignment="1">
      <alignment horizontal="center"/>
    </xf>
    <xf numFmtId="40" fontId="16" fillId="0" borderId="3" xfId="3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38" fontId="16" fillId="0" borderId="6" xfId="0" applyNumberFormat="1" applyFont="1" applyBorder="1" applyAlignment="1">
      <alignment horizontal="center"/>
    </xf>
    <xf numFmtId="40" fontId="3" fillId="0" borderId="0" xfId="0" applyNumberFormat="1" applyFont="1" applyFill="1" applyBorder="1"/>
    <xf numFmtId="40" fontId="3" fillId="2" borderId="0" xfId="0" applyNumberFormat="1" applyFont="1" applyFill="1" applyBorder="1"/>
    <xf numFmtId="40" fontId="3" fillId="0" borderId="5" xfId="0" applyNumberFormat="1" applyFont="1" applyBorder="1"/>
    <xf numFmtId="1" fontId="13" fillId="0" borderId="6" xfId="0" applyNumberFormat="1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3" fontId="16" fillId="0" borderId="6" xfId="0" applyNumberFormat="1" applyFont="1" applyBorder="1" applyAlignment="1">
      <alignment horizontal="center"/>
    </xf>
    <xf numFmtId="3" fontId="13" fillId="0" borderId="6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3" fillId="0" borderId="0" xfId="0" applyNumberFormat="1" applyFont="1" applyBorder="1" applyAlignment="1">
      <alignment horizontal="center"/>
    </xf>
    <xf numFmtId="0" fontId="9" fillId="0" borderId="0" xfId="0" applyFont="1" applyBorder="1"/>
    <xf numFmtId="0" fontId="5" fillId="0" borderId="0" xfId="0" applyFont="1" applyBorder="1"/>
    <xf numFmtId="0" fontId="0" fillId="0" borderId="0" xfId="0" applyBorder="1"/>
    <xf numFmtId="39" fontId="3" fillId="0" borderId="0" xfId="0" applyNumberFormat="1" applyFont="1" applyBorder="1"/>
    <xf numFmtId="0" fontId="4" fillId="0" borderId="0" xfId="0" applyFont="1" applyBorder="1"/>
    <xf numFmtId="0" fontId="11" fillId="0" borderId="0" xfId="0" applyFont="1" applyBorder="1"/>
    <xf numFmtId="14" fontId="3" fillId="0" borderId="0" xfId="0" quotePrefix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2" fillId="0" borderId="0" xfId="0" applyFont="1"/>
    <xf numFmtId="0" fontId="2" fillId="0" borderId="3" xfId="0" applyFont="1" applyBorder="1" applyAlignment="1">
      <alignment horizontal="left"/>
    </xf>
    <xf numFmtId="40" fontId="2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Continuous"/>
    </xf>
    <xf numFmtId="0" fontId="3" fillId="0" borderId="0" xfId="0" applyFont="1" applyFill="1"/>
    <xf numFmtId="14" fontId="3" fillId="0" borderId="0" xfId="0" applyNumberFormat="1" applyFont="1" applyFill="1"/>
    <xf numFmtId="165" fontId="3" fillId="0" borderId="0" xfId="0" applyNumberFormat="1" applyFont="1" applyFill="1"/>
    <xf numFmtId="10" fontId="3" fillId="0" borderId="0" xfId="0" applyNumberFormat="1" applyFont="1" applyFill="1"/>
    <xf numFmtId="0" fontId="2" fillId="0" borderId="0" xfId="0" applyFont="1" applyFill="1" applyAlignment="1">
      <alignment horizontal="center"/>
    </xf>
    <xf numFmtId="40" fontId="2" fillId="0" borderId="3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3" xfId="0" applyFont="1" applyFill="1" applyBorder="1"/>
    <xf numFmtId="16" fontId="3" fillId="0" borderId="0" xfId="0" applyNumberFormat="1" applyFont="1" applyFill="1" applyBorder="1" applyAlignment="1">
      <alignment horizontal="center"/>
    </xf>
    <xf numFmtId="40" fontId="3" fillId="0" borderId="0" xfId="0" applyNumberFormat="1" applyFont="1" applyFill="1"/>
    <xf numFmtId="0" fontId="17" fillId="0" borderId="0" xfId="0" applyFont="1" applyAlignment="1">
      <alignment horizontal="centerContinuous"/>
    </xf>
    <xf numFmtId="0" fontId="2" fillId="0" borderId="0" xfId="0" applyFont="1" applyFill="1" applyBorder="1"/>
    <xf numFmtId="40" fontId="2" fillId="0" borderId="3" xfId="0" applyNumberFormat="1" applyFont="1" applyBorder="1"/>
    <xf numFmtId="43" fontId="19" fillId="0" borderId="0" xfId="1" applyFont="1" applyBorder="1"/>
    <xf numFmtId="0" fontId="18" fillId="0" borderId="0" xfId="0" applyFont="1" applyBorder="1"/>
    <xf numFmtId="40" fontId="18" fillId="0" borderId="0" xfId="0" applyNumberFormat="1" applyFont="1" applyBorder="1"/>
    <xf numFmtId="40" fontId="18" fillId="0" borderId="0" xfId="0" applyNumberFormat="1" applyFont="1" applyFill="1" applyBorder="1"/>
    <xf numFmtId="164" fontId="19" fillId="0" borderId="0" xfId="0" applyNumberFormat="1" applyFont="1" applyBorder="1" applyAlignment="1">
      <alignment horizontal="center"/>
    </xf>
    <xf numFmtId="40" fontId="19" fillId="0" borderId="0" xfId="0" applyNumberFormat="1" applyFont="1" applyFill="1" applyBorder="1" applyAlignment="1">
      <alignment horizontal="left"/>
    </xf>
    <xf numFmtId="0" fontId="2" fillId="0" borderId="3" xfId="0" applyFont="1" applyBorder="1"/>
    <xf numFmtId="0" fontId="20" fillId="0" borderId="0" xfId="0" applyFont="1"/>
    <xf numFmtId="0" fontId="18" fillId="0" borderId="0" xfId="0" applyFont="1"/>
    <xf numFmtId="0" fontId="11" fillId="0" borderId="1" xfId="0" applyFont="1" applyBorder="1"/>
    <xf numFmtId="0" fontId="11" fillId="0" borderId="2" xfId="0" applyFont="1" applyBorder="1"/>
    <xf numFmtId="0" fontId="17" fillId="0" borderId="0" xfId="0" applyFont="1" applyAlignment="1">
      <alignment horizontal="center"/>
    </xf>
    <xf numFmtId="0" fontId="20" fillId="0" borderId="3" xfId="0" applyFont="1" applyBorder="1"/>
    <xf numFmtId="16" fontId="10" fillId="0" borderId="4" xfId="0" applyNumberFormat="1" applyFont="1" applyBorder="1"/>
    <xf numFmtId="167" fontId="3" fillId="0" borderId="0" xfId="0" applyNumberFormat="1" applyFont="1" applyBorder="1" applyAlignment="1">
      <alignment horizontal="center"/>
    </xf>
    <xf numFmtId="40" fontId="3" fillId="0" borderId="19" xfId="0" applyNumberFormat="1" applyFont="1" applyBorder="1"/>
    <xf numFmtId="43" fontId="3" fillId="0" borderId="0" xfId="1" applyFont="1" applyBorder="1"/>
    <xf numFmtId="0" fontId="20" fillId="0" borderId="0" xfId="0" applyFont="1" applyBorder="1"/>
    <xf numFmtId="0" fontId="2" fillId="0" borderId="4" xfId="0" applyFont="1" applyBorder="1"/>
    <xf numFmtId="14" fontId="2" fillId="0" borderId="0" xfId="0" quotePrefix="1" applyNumberFormat="1" applyFont="1" applyBorder="1" applyAlignment="1">
      <alignment horizontal="center"/>
    </xf>
    <xf numFmtId="43" fontId="3" fillId="0" borderId="3" xfId="1" applyFont="1" applyBorder="1"/>
    <xf numFmtId="40" fontId="3" fillId="0" borderId="8" xfId="0" applyNumberFormat="1" applyFont="1" applyBorder="1"/>
    <xf numFmtId="164" fontId="3" fillId="0" borderId="0" xfId="4" applyNumberFormat="1" applyFont="1" applyFill="1" applyBorder="1" applyAlignment="1">
      <alignment horizontal="center"/>
    </xf>
    <xf numFmtId="0" fontId="17" fillId="0" borderId="3" xfId="0" applyFont="1" applyBorder="1"/>
    <xf numFmtId="0" fontId="8" fillId="0" borderId="7" xfId="0" applyFont="1" applyBorder="1"/>
    <xf numFmtId="1" fontId="8" fillId="0" borderId="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20" fillId="0" borderId="20" xfId="0" applyFont="1" applyBorder="1"/>
    <xf numFmtId="40" fontId="3" fillId="0" borderId="20" xfId="0" applyNumberFormat="1" applyFont="1" applyBorder="1"/>
    <xf numFmtId="0" fontId="2" fillId="2" borderId="4" xfId="0" applyFont="1" applyFill="1" applyBorder="1"/>
    <xf numFmtId="1" fontId="2" fillId="2" borderId="0" xfId="0" applyNumberFormat="1" applyFont="1" applyFill="1" applyBorder="1" applyAlignment="1">
      <alignment horizontal="center"/>
    </xf>
    <xf numFmtId="14" fontId="2" fillId="2" borderId="0" xfId="0" quotePrefix="1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/>
    </xf>
    <xf numFmtId="164" fontId="2" fillId="2" borderId="0" xfId="4" applyNumberFormat="1" applyFont="1" applyFill="1" applyBorder="1" applyAlignment="1">
      <alignment horizontal="center"/>
    </xf>
    <xf numFmtId="40" fontId="2" fillId="2" borderId="0" xfId="0" applyNumberFormat="1" applyFont="1" applyFill="1" applyBorder="1" applyAlignment="1">
      <alignment horizontal="center"/>
    </xf>
    <xf numFmtId="40" fontId="2" fillId="2" borderId="5" xfId="0" applyNumberFormat="1" applyFont="1" applyFill="1" applyBorder="1"/>
    <xf numFmtId="0" fontId="2" fillId="0" borderId="4" xfId="0" applyFont="1" applyFill="1" applyBorder="1"/>
    <xf numFmtId="1" fontId="2" fillId="0" borderId="0" xfId="0" applyNumberFormat="1" applyFont="1" applyFill="1" applyBorder="1" applyAlignment="1">
      <alignment horizontal="center"/>
    </xf>
    <xf numFmtId="14" fontId="2" fillId="0" borderId="0" xfId="0" quotePrefix="1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4" fontId="2" fillId="0" borderId="0" xfId="4" applyNumberFormat="1" applyFont="1" applyFill="1" applyBorder="1" applyAlignment="1">
      <alignment horizontal="center"/>
    </xf>
    <xf numFmtId="0" fontId="9" fillId="0" borderId="0" xfId="0" applyFont="1" applyFill="1"/>
    <xf numFmtId="1" fontId="3" fillId="2" borderId="0" xfId="0" applyNumberFormat="1" applyFont="1" applyFill="1" applyBorder="1" applyAlignment="1">
      <alignment horizontal="center"/>
    </xf>
    <xf numFmtId="14" fontId="3" fillId="2" borderId="0" xfId="0" quotePrefix="1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40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164" fontId="3" fillId="0" borderId="0" xfId="0" applyNumberFormat="1" applyFont="1" applyFill="1" applyBorder="1" applyAlignment="1">
      <alignment horizontal="center"/>
    </xf>
    <xf numFmtId="40" fontId="3" fillId="0" borderId="5" xfId="0" applyNumberFormat="1" applyFont="1" applyFill="1" applyBorder="1"/>
    <xf numFmtId="0" fontId="0" fillId="0" borderId="0" xfId="0" applyFill="1"/>
    <xf numFmtId="40" fontId="2" fillId="2" borderId="8" xfId="0" applyNumberFormat="1" applyFont="1" applyFill="1" applyBorder="1"/>
    <xf numFmtId="14" fontId="1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44" fontId="0" fillId="0" borderId="0" xfId="0" applyNumberFormat="1"/>
    <xf numFmtId="40" fontId="0" fillId="0" borderId="0" xfId="0" applyNumberFormat="1"/>
    <xf numFmtId="43" fontId="0" fillId="0" borderId="0" xfId="0" applyNumberFormat="1"/>
    <xf numFmtId="44" fontId="0" fillId="0" borderId="6" xfId="0" applyNumberFormat="1" applyBorder="1"/>
    <xf numFmtId="0" fontId="15" fillId="0" borderId="0" xfId="0" applyFont="1"/>
    <xf numFmtId="44" fontId="12" fillId="0" borderId="6" xfId="0" applyNumberFormat="1" applyFont="1" applyBorder="1"/>
    <xf numFmtId="0" fontId="0" fillId="0" borderId="0" xfId="0" applyAlignment="1">
      <alignment horizontal="left"/>
    </xf>
    <xf numFmtId="0" fontId="12" fillId="0" borderId="3" xfId="0" applyFont="1" applyBorder="1"/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center"/>
    </xf>
    <xf numFmtId="4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4" fontId="22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" fontId="21" fillId="0" borderId="0" xfId="0" applyNumberFormat="1" applyFont="1" applyFill="1" applyAlignment="1">
      <alignment horizontal="center"/>
    </xf>
    <xf numFmtId="4" fontId="2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4" fontId="21" fillId="0" borderId="0" xfId="0" applyNumberFormat="1" applyFont="1" applyBorder="1" applyAlignment="1">
      <alignment horizontal="center"/>
    </xf>
    <xf numFmtId="40" fontId="21" fillId="0" borderId="0" xfId="3" quotePrefix="1" applyFont="1" applyBorder="1" applyAlignment="1">
      <alignment horizontal="center"/>
    </xf>
    <xf numFmtId="40" fontId="22" fillId="0" borderId="0" xfId="3" applyFont="1" applyBorder="1" applyAlignment="1">
      <alignment horizontal="center"/>
    </xf>
    <xf numFmtId="40" fontId="21" fillId="0" borderId="0" xfId="3" applyFont="1" applyBorder="1" applyAlignment="1">
      <alignment horizontal="center"/>
    </xf>
    <xf numFmtId="4" fontId="22" fillId="0" borderId="16" xfId="0" applyNumberFormat="1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40" fontId="22" fillId="0" borderId="16" xfId="3" applyFont="1" applyBorder="1" applyAlignment="1">
      <alignment horizontal="center"/>
    </xf>
    <xf numFmtId="38" fontId="21" fillId="0" borderId="0" xfId="0" applyNumberFormat="1" applyFont="1" applyBorder="1" applyAlignment="1">
      <alignment horizontal="center"/>
    </xf>
    <xf numFmtId="4" fontId="21" fillId="0" borderId="3" xfId="3" applyNumberFormat="1" applyFont="1" applyBorder="1" applyAlignment="1">
      <alignment horizontal="center"/>
    </xf>
    <xf numFmtId="38" fontId="21" fillId="0" borderId="3" xfId="3" applyNumberFormat="1" applyFont="1" applyBorder="1" applyAlignment="1">
      <alignment horizontal="center"/>
    </xf>
    <xf numFmtId="38" fontId="21" fillId="0" borderId="3" xfId="0" applyNumberFormat="1" applyFont="1" applyBorder="1" applyAlignment="1">
      <alignment horizontal="center"/>
    </xf>
    <xf numFmtId="4" fontId="21" fillId="0" borderId="3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40" fontId="21" fillId="0" borderId="0" xfId="3" applyFont="1" applyAlignment="1">
      <alignment horizontal="center"/>
    </xf>
    <xf numFmtId="40" fontId="22" fillId="0" borderId="3" xfId="3" applyFont="1" applyBorder="1" applyAlignment="1">
      <alignment horizontal="center"/>
    </xf>
    <xf numFmtId="4" fontId="22" fillId="0" borderId="6" xfId="0" applyNumberFormat="1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40" fontId="22" fillId="0" borderId="6" xfId="3" applyFont="1" applyBorder="1" applyAlignment="1">
      <alignment horizontal="center"/>
    </xf>
    <xf numFmtId="14" fontId="21" fillId="0" borderId="6" xfId="0" applyNumberFormat="1" applyFont="1" applyBorder="1" applyAlignment="1">
      <alignment horizontal="center"/>
    </xf>
    <xf numFmtId="4" fontId="21" fillId="0" borderId="0" xfId="3" applyNumberFormat="1" applyFont="1" applyBorder="1" applyAlignment="1">
      <alignment horizontal="center"/>
    </xf>
    <xf numFmtId="38" fontId="21" fillId="0" borderId="0" xfId="3" applyNumberFormat="1" applyFont="1" applyBorder="1" applyAlignment="1">
      <alignment horizontal="center"/>
    </xf>
    <xf numFmtId="40" fontId="21" fillId="0" borderId="3" xfId="3" applyFont="1" applyBorder="1" applyAlignment="1">
      <alignment horizontal="center"/>
    </xf>
    <xf numFmtId="10" fontId="21" fillId="0" borderId="0" xfId="0" applyNumberFormat="1" applyFont="1" applyBorder="1" applyAlignment="1">
      <alignment horizontal="center"/>
    </xf>
    <xf numFmtId="1" fontId="21" fillId="0" borderId="0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1" fontId="22" fillId="0" borderId="3" xfId="0" applyNumberFormat="1" applyFont="1" applyBorder="1" applyAlignment="1">
      <alignment horizontal="center"/>
    </xf>
    <xf numFmtId="40" fontId="22" fillId="0" borderId="20" xfId="3" applyFont="1" applyBorder="1" applyAlignment="1">
      <alignment horizontal="center"/>
    </xf>
    <xf numFmtId="0" fontId="21" fillId="0" borderId="0" xfId="0" applyFont="1"/>
    <xf numFmtId="0" fontId="22" fillId="0" borderId="6" xfId="0" applyFont="1" applyBorder="1" applyAlignment="1"/>
    <xf numFmtId="0" fontId="22" fillId="0" borderId="0" xfId="0" applyFont="1" applyBorder="1" applyAlignment="1"/>
    <xf numFmtId="16" fontId="21" fillId="0" borderId="0" xfId="0" applyNumberFormat="1" applyFont="1" applyBorder="1" applyAlignment="1"/>
    <xf numFmtId="16" fontId="22" fillId="0" borderId="0" xfId="0" applyNumberFormat="1" applyFont="1" applyAlignment="1"/>
    <xf numFmtId="0" fontId="22" fillId="2" borderId="0" xfId="0" applyFont="1" applyFill="1" applyBorder="1" applyAlignment="1"/>
    <xf numFmtId="10" fontId="22" fillId="0" borderId="0" xfId="3" applyNumberFormat="1" applyFont="1" applyAlignment="1">
      <alignment horizontal="center"/>
    </xf>
    <xf numFmtId="10" fontId="22" fillId="0" borderId="0" xfId="3" applyNumberFormat="1" applyFont="1" applyFill="1" applyAlignment="1">
      <alignment horizontal="center"/>
    </xf>
    <xf numFmtId="10" fontId="21" fillId="0" borderId="0" xfId="0" applyNumberFormat="1" applyFont="1" applyFill="1" applyAlignment="1">
      <alignment horizontal="center"/>
    </xf>
    <xf numFmtId="10" fontId="21" fillId="0" borderId="0" xfId="0" applyNumberFormat="1" applyFont="1" applyAlignment="1">
      <alignment horizontal="center"/>
    </xf>
    <xf numFmtId="10" fontId="22" fillId="0" borderId="0" xfId="3" applyNumberFormat="1" applyFont="1" applyBorder="1" applyAlignment="1">
      <alignment horizontal="center"/>
    </xf>
    <xf numFmtId="10" fontId="22" fillId="0" borderId="16" xfId="0" applyNumberFormat="1" applyFont="1" applyBorder="1" applyAlignment="1">
      <alignment horizontal="center"/>
    </xf>
    <xf numFmtId="10" fontId="21" fillId="0" borderId="0" xfId="4" applyNumberFormat="1" applyFont="1" applyBorder="1" applyAlignment="1">
      <alignment horizontal="center"/>
    </xf>
    <xf numFmtId="10" fontId="21" fillId="0" borderId="0" xfId="4" applyNumberFormat="1" applyFont="1" applyAlignment="1">
      <alignment horizontal="center"/>
    </xf>
    <xf numFmtId="10" fontId="22" fillId="0" borderId="6" xfId="0" applyNumberFormat="1" applyFont="1" applyBorder="1" applyAlignment="1">
      <alignment horizontal="center"/>
    </xf>
    <xf numFmtId="10" fontId="21" fillId="0" borderId="3" xfId="4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10" fontId="21" fillId="0" borderId="0" xfId="0" applyNumberFormat="1" applyFont="1"/>
    <xf numFmtId="0" fontId="22" fillId="0" borderId="0" xfId="0" applyFont="1" applyAlignment="1"/>
    <xf numFmtId="0" fontId="22" fillId="0" borderId="0" xfId="0" applyFont="1" applyFill="1" applyAlignment="1"/>
    <xf numFmtId="0" fontId="21" fillId="0" borderId="0" xfId="0" applyFont="1" applyFill="1" applyAlignment="1"/>
    <xf numFmtId="0" fontId="21" fillId="0" borderId="0" xfId="0" applyFont="1" applyAlignment="1"/>
    <xf numFmtId="0" fontId="21" fillId="0" borderId="0" xfId="0" quotePrefix="1" applyFont="1" applyBorder="1" applyAlignment="1"/>
    <xf numFmtId="14" fontId="21" fillId="0" borderId="3" xfId="0" applyNumberFormat="1" applyFont="1" applyBorder="1" applyAlignment="1"/>
    <xf numFmtId="16" fontId="21" fillId="0" borderId="0" xfId="0" applyNumberFormat="1" applyFont="1" applyAlignment="1"/>
    <xf numFmtId="16" fontId="21" fillId="0" borderId="3" xfId="0" applyNumberFormat="1" applyFont="1" applyBorder="1" applyAlignment="1"/>
    <xf numFmtId="38" fontId="21" fillId="0" borderId="0" xfId="3" applyNumberFormat="1" applyFont="1" applyBorder="1" applyAlignment="1"/>
    <xf numFmtId="42" fontId="21" fillId="0" borderId="0" xfId="0" applyNumberFormat="1" applyFont="1" applyFill="1" applyAlignment="1">
      <alignment horizontal="center"/>
    </xf>
    <xf numFmtId="0" fontId="21" fillId="0" borderId="0" xfId="0" applyFont="1" applyBorder="1" applyAlignment="1"/>
    <xf numFmtId="38" fontId="22" fillId="0" borderId="0" xfId="3" quotePrefix="1" applyNumberFormat="1" applyFont="1" applyBorder="1" applyAlignment="1">
      <alignment horizontal="center"/>
    </xf>
    <xf numFmtId="0" fontId="22" fillId="0" borderId="3" xfId="0" applyFont="1" applyBorder="1" applyAlignment="1"/>
    <xf numFmtId="4" fontId="22" fillId="0" borderId="3" xfId="0" applyNumberFormat="1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10" fontId="22" fillId="0" borderId="3" xfId="0" applyNumberFormat="1" applyFont="1" applyBorder="1" applyAlignment="1">
      <alignment horizontal="center"/>
    </xf>
    <xf numFmtId="16" fontId="22" fillId="0" borderId="0" xfId="0" quotePrefix="1" applyNumberFormat="1" applyFont="1" applyBorder="1" applyAlignment="1"/>
    <xf numFmtId="16" fontId="22" fillId="0" borderId="0" xfId="0" applyNumberFormat="1" applyFont="1" applyBorder="1" applyAlignment="1"/>
    <xf numFmtId="0" fontId="22" fillId="0" borderId="16" xfId="0" applyFont="1" applyBorder="1" applyAlignment="1"/>
    <xf numFmtId="0" fontId="21" fillId="0" borderId="20" xfId="0" applyFont="1" applyBorder="1" applyAlignment="1"/>
    <xf numFmtId="40" fontId="22" fillId="2" borderId="21" xfId="3" applyFont="1" applyFill="1" applyBorder="1" applyAlignment="1">
      <alignment horizontal="center"/>
    </xf>
    <xf numFmtId="0" fontId="20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40" fontId="3" fillId="0" borderId="0" xfId="0" applyNumberFormat="1" applyFont="1" applyBorder="1" applyAlignment="1">
      <alignment horizontal="right"/>
    </xf>
    <xf numFmtId="40" fontId="2" fillId="0" borderId="0" xfId="0" applyNumberFormat="1" applyFont="1" applyBorder="1" applyAlignment="1">
      <alignment horizontal="right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 applyFill="1" applyAlignment="1">
      <alignment horizontal="center"/>
    </xf>
    <xf numFmtId="164" fontId="2" fillId="0" borderId="0" xfId="4" applyNumberFormat="1" applyFont="1" applyBorder="1"/>
    <xf numFmtId="0" fontId="23" fillId="0" borderId="4" xfId="0" applyFont="1" applyBorder="1"/>
    <xf numFmtId="4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left"/>
    </xf>
    <xf numFmtId="40" fontId="3" fillId="0" borderId="3" xfId="0" applyNumberFormat="1" applyFont="1" applyFill="1" applyBorder="1"/>
    <xf numFmtId="1" fontId="2" fillId="2" borderId="0" xfId="0" applyNumberFormat="1" applyFont="1" applyFill="1" applyBorder="1" applyAlignment="1">
      <alignment horizontal="left"/>
    </xf>
    <xf numFmtId="40" fontId="2" fillId="2" borderId="21" xfId="0" applyNumberFormat="1" applyFont="1" applyFill="1" applyBorder="1"/>
    <xf numFmtId="39" fontId="2" fillId="0" borderId="21" xfId="0" applyNumberFormat="1" applyFont="1" applyBorder="1"/>
    <xf numFmtId="40" fontId="17" fillId="0" borderId="21" xfId="0" applyNumberFormat="1" applyFont="1" applyBorder="1"/>
    <xf numFmtId="164" fontId="2" fillId="0" borderId="0" xfId="4" applyNumberFormat="1" applyFont="1"/>
    <xf numFmtId="40" fontId="2" fillId="0" borderId="0" xfId="0" applyNumberFormat="1" applyFont="1"/>
    <xf numFmtId="40" fontId="2" fillId="0" borderId="22" xfId="0" applyNumberFormat="1" applyFont="1" applyFill="1" applyBorder="1"/>
    <xf numFmtId="40" fontId="20" fillId="0" borderId="0" xfId="0" applyNumberFormat="1" applyFont="1"/>
    <xf numFmtId="0" fontId="0" fillId="0" borderId="23" xfId="0" applyBorder="1"/>
    <xf numFmtId="0" fontId="0" fillId="0" borderId="20" xfId="0" applyBorder="1"/>
    <xf numFmtId="40" fontId="20" fillId="0" borderId="19" xfId="0" applyNumberFormat="1" applyFont="1" applyBorder="1"/>
    <xf numFmtId="0" fontId="0" fillId="0" borderId="4" xfId="0" applyBorder="1"/>
    <xf numFmtId="40" fontId="20" fillId="0" borderId="5" xfId="0" applyNumberFormat="1" applyFont="1" applyBorder="1"/>
    <xf numFmtId="0" fontId="0" fillId="0" borderId="7" xfId="0" applyBorder="1"/>
    <xf numFmtId="0" fontId="0" fillId="0" borderId="3" xfId="0" applyBorder="1"/>
    <xf numFmtId="40" fontId="20" fillId="0" borderId="8" xfId="0" applyNumberFormat="1" applyFont="1" applyBorder="1"/>
    <xf numFmtId="40" fontId="2" fillId="2" borderId="3" xfId="0" applyNumberFormat="1" applyFont="1" applyFill="1" applyBorder="1"/>
    <xf numFmtId="40" fontId="2" fillId="0" borderId="8" xfId="0" applyNumberFormat="1" applyFont="1" applyFill="1" applyBorder="1"/>
    <xf numFmtId="0" fontId="0" fillId="0" borderId="5" xfId="0" applyBorder="1"/>
    <xf numFmtId="0" fontId="0" fillId="0" borderId="8" xfId="0" applyBorder="1"/>
    <xf numFmtId="40" fontId="2" fillId="2" borderId="20" xfId="0" applyNumberFormat="1" applyFont="1" applyFill="1" applyBorder="1"/>
    <xf numFmtId="40" fontId="2" fillId="2" borderId="19" xfId="0" applyNumberFormat="1" applyFont="1" applyFill="1" applyBorder="1"/>
    <xf numFmtId="171" fontId="2" fillId="0" borderId="0" xfId="0" applyNumberFormat="1" applyFont="1" applyBorder="1"/>
    <xf numFmtId="40" fontId="24" fillId="0" borderId="0" xfId="0" applyNumberFormat="1" applyFont="1" applyBorder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4" fillId="0" borderId="0" xfId="0" applyFont="1" applyAlignment="1"/>
    <xf numFmtId="1" fontId="24" fillId="0" borderId="0" xfId="0" applyNumberFormat="1" applyFont="1" applyAlignment="1">
      <alignment horizontal="centerContinuous"/>
    </xf>
    <xf numFmtId="0" fontId="24" fillId="0" borderId="0" xfId="0" applyFont="1" applyAlignment="1">
      <alignment horizontal="centerContinuous"/>
    </xf>
    <xf numFmtId="164" fontId="24" fillId="0" borderId="0" xfId="0" applyNumberFormat="1" applyFont="1" applyAlignment="1">
      <alignment horizontal="centerContinuous"/>
    </xf>
    <xf numFmtId="164" fontId="24" fillId="0" borderId="0" xfId="4" applyNumberFormat="1" applyFont="1" applyAlignment="1">
      <alignment horizontal="centerContinuous"/>
    </xf>
    <xf numFmtId="0" fontId="24" fillId="0" borderId="0" xfId="0" applyFont="1" applyFill="1" applyAlignment="1">
      <alignment horizontal="centerContinuous"/>
    </xf>
    <xf numFmtId="1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4" fontId="24" fillId="0" borderId="0" xfId="0" applyNumberFormat="1" applyFont="1" applyAlignment="1">
      <alignment horizontal="center"/>
    </xf>
    <xf numFmtId="0" fontId="24" fillId="0" borderId="0" xfId="0" applyFont="1"/>
    <xf numFmtId="164" fontId="24" fillId="0" borderId="0" xfId="4" applyNumberFormat="1" applyFont="1"/>
    <xf numFmtId="0" fontId="24" fillId="0" borderId="0" xfId="0" applyFont="1" applyFill="1"/>
    <xf numFmtId="0" fontId="26" fillId="0" borderId="0" xfId="0" applyFont="1" applyBorder="1"/>
    <xf numFmtId="0" fontId="27" fillId="0" borderId="0" xfId="0" applyFont="1"/>
    <xf numFmtId="37" fontId="25" fillId="0" borderId="0" xfId="0" applyNumberFormat="1" applyFont="1" applyBorder="1" applyAlignment="1">
      <alignment horizontal="center"/>
    </xf>
    <xf numFmtId="164" fontId="25" fillId="0" borderId="0" xfId="0" applyNumberFormat="1" applyFont="1" applyAlignment="1">
      <alignment horizontal="center"/>
    </xf>
    <xf numFmtId="164" fontId="25" fillId="0" borderId="0" xfId="4" applyNumberFormat="1" applyFont="1" applyAlignment="1">
      <alignment horizontal="center"/>
    </xf>
    <xf numFmtId="0" fontId="25" fillId="0" borderId="0" xfId="0" applyFont="1" applyBorder="1" applyAlignment="1">
      <alignment horizontal="center"/>
    </xf>
    <xf numFmtId="9" fontId="25" fillId="0" borderId="0" xfId="0" applyNumberFormat="1" applyFont="1" applyAlignment="1">
      <alignment horizontal="center"/>
    </xf>
    <xf numFmtId="9" fontId="25" fillId="0" borderId="0" xfId="0" applyNumberFormat="1" applyFont="1" applyFill="1" applyAlignment="1">
      <alignment horizontal="center"/>
    </xf>
    <xf numFmtId="40" fontId="25" fillId="0" borderId="0" xfId="0" applyNumberFormat="1" applyFont="1" applyBorder="1" applyAlignment="1">
      <alignment horizontal="center"/>
    </xf>
    <xf numFmtId="1" fontId="25" fillId="0" borderId="0" xfId="0" applyNumberFormat="1" applyFont="1" applyAlignment="1">
      <alignment horizontal="center"/>
    </xf>
    <xf numFmtId="164" fontId="25" fillId="0" borderId="0" xfId="4" applyNumberFormat="1" applyFont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3" xfId="0" applyFont="1" applyBorder="1" applyAlignment="1">
      <alignment horizontal="center"/>
    </xf>
    <xf numFmtId="1" fontId="25" fillId="0" borderId="3" xfId="0" applyNumberFormat="1" applyFont="1" applyBorder="1" applyAlignment="1">
      <alignment horizontal="center"/>
    </xf>
    <xf numFmtId="164" fontId="25" fillId="0" borderId="3" xfId="0" applyNumberFormat="1" applyFont="1" applyBorder="1" applyAlignment="1">
      <alignment horizontal="center"/>
    </xf>
    <xf numFmtId="164" fontId="25" fillId="0" borderId="3" xfId="4" applyNumberFormat="1" applyFont="1" applyBorder="1" applyAlignment="1">
      <alignment horizontal="center"/>
    </xf>
    <xf numFmtId="40" fontId="25" fillId="0" borderId="3" xfId="0" applyNumberFormat="1" applyFont="1" applyBorder="1" applyAlignment="1">
      <alignment horizontal="center"/>
    </xf>
    <xf numFmtId="40" fontId="25" fillId="0" borderId="3" xfId="0" applyNumberFormat="1" applyFont="1" applyFill="1" applyBorder="1" applyAlignment="1">
      <alignment horizontal="center"/>
    </xf>
    <xf numFmtId="0" fontId="24" fillId="0" borderId="3" xfId="0" applyFont="1" applyBorder="1"/>
    <xf numFmtId="37" fontId="25" fillId="0" borderId="3" xfId="0" applyNumberFormat="1" applyFont="1" applyBorder="1" applyAlignment="1">
      <alignment horizontal="center"/>
    </xf>
    <xf numFmtId="16" fontId="28" fillId="0" borderId="4" xfId="0" applyNumberFormat="1" applyFont="1" applyBorder="1"/>
    <xf numFmtId="1" fontId="24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64" fontId="24" fillId="0" borderId="0" xfId="0" applyNumberFormat="1" applyFont="1" applyBorder="1" applyAlignment="1">
      <alignment horizontal="center"/>
    </xf>
    <xf numFmtId="167" fontId="24" fillId="0" borderId="0" xfId="0" applyNumberFormat="1" applyFont="1" applyBorder="1" applyAlignment="1">
      <alignment horizontal="center"/>
    </xf>
    <xf numFmtId="164" fontId="24" fillId="0" borderId="0" xfId="4" applyNumberFormat="1" applyFont="1" applyBorder="1"/>
    <xf numFmtId="40" fontId="24" fillId="0" borderId="0" xfId="0" applyNumberFormat="1" applyFont="1" applyBorder="1" applyAlignment="1">
      <alignment horizontal="center"/>
    </xf>
    <xf numFmtId="40" fontId="24" fillId="0" borderId="0" xfId="0" applyNumberFormat="1" applyFont="1" applyFill="1" applyBorder="1"/>
    <xf numFmtId="0" fontId="24" fillId="0" borderId="20" xfId="0" applyFont="1" applyBorder="1"/>
    <xf numFmtId="40" fontId="24" fillId="0" borderId="20" xfId="0" applyNumberFormat="1" applyFont="1" applyBorder="1"/>
    <xf numFmtId="40" fontId="24" fillId="0" borderId="19" xfId="0" applyNumberFormat="1" applyFont="1" applyBorder="1"/>
    <xf numFmtId="14" fontId="24" fillId="0" borderId="4" xfId="0" applyNumberFormat="1" applyFont="1" applyBorder="1"/>
    <xf numFmtId="16" fontId="24" fillId="0" borderId="0" xfId="0" applyNumberFormat="1" applyFont="1" applyBorder="1" applyAlignment="1">
      <alignment horizontal="center"/>
    </xf>
    <xf numFmtId="168" fontId="24" fillId="0" borderId="0" xfId="4" applyNumberFormat="1" applyFont="1" applyBorder="1"/>
    <xf numFmtId="164" fontId="24" fillId="0" borderId="0" xfId="4" applyNumberFormat="1" applyFont="1" applyBorder="1" applyAlignment="1">
      <alignment horizontal="center"/>
    </xf>
    <xf numFmtId="40" fontId="24" fillId="0" borderId="0" xfId="0" applyNumberFormat="1" applyFont="1" applyBorder="1" applyAlignment="1">
      <alignment horizontal="right"/>
    </xf>
    <xf numFmtId="0" fontId="24" fillId="0" borderId="0" xfId="0" applyFont="1" applyBorder="1"/>
    <xf numFmtId="0" fontId="24" fillId="0" borderId="0" xfId="0" applyFont="1" applyFill="1" applyBorder="1"/>
    <xf numFmtId="43" fontId="24" fillId="0" borderId="0" xfId="1" applyFont="1" applyBorder="1"/>
    <xf numFmtId="40" fontId="24" fillId="0" borderId="5" xfId="0" applyNumberFormat="1" applyFont="1" applyBorder="1"/>
    <xf numFmtId="40" fontId="25" fillId="0" borderId="0" xfId="0" applyNumberFormat="1" applyFont="1" applyBorder="1"/>
    <xf numFmtId="40" fontId="25" fillId="0" borderId="0" xfId="0" applyNumberFormat="1" applyFont="1" applyFill="1" applyBorder="1"/>
    <xf numFmtId="0" fontId="25" fillId="0" borderId="4" xfId="0" applyFont="1" applyBorder="1"/>
    <xf numFmtId="1" fontId="25" fillId="0" borderId="0" xfId="0" applyNumberFormat="1" applyFont="1" applyBorder="1" applyAlignment="1">
      <alignment horizontal="center"/>
    </xf>
    <xf numFmtId="14" fontId="25" fillId="0" borderId="0" xfId="0" quotePrefix="1" applyNumberFormat="1" applyFont="1" applyBorder="1" applyAlignment="1">
      <alignment horizontal="center"/>
    </xf>
    <xf numFmtId="164" fontId="25" fillId="0" borderId="0" xfId="0" applyNumberFormat="1" applyFont="1" applyBorder="1" applyAlignment="1">
      <alignment horizontal="center"/>
    </xf>
    <xf numFmtId="167" fontId="25" fillId="0" borderId="0" xfId="0" applyNumberFormat="1" applyFont="1" applyBorder="1" applyAlignment="1">
      <alignment horizontal="center"/>
    </xf>
    <xf numFmtId="40" fontId="25" fillId="0" borderId="0" xfId="0" applyNumberFormat="1" applyFont="1" applyBorder="1" applyAlignment="1">
      <alignment horizontal="right"/>
    </xf>
    <xf numFmtId="14" fontId="25" fillId="0" borderId="4" xfId="0" applyNumberFormat="1" applyFont="1" applyBorder="1"/>
    <xf numFmtId="0" fontId="24" fillId="0" borderId="4" xfId="0" applyFont="1" applyBorder="1"/>
    <xf numFmtId="0" fontId="25" fillId="0" borderId="0" xfId="0" applyFont="1" applyBorder="1"/>
    <xf numFmtId="40" fontId="24" fillId="0" borderId="0" xfId="0" applyNumberFormat="1" applyFont="1"/>
    <xf numFmtId="14" fontId="24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Comma" xfId="1" builtinId="3"/>
    <cellStyle name="Comma [0]_commitment fee 96" xfId="2"/>
    <cellStyle name="Comma_commitment fee 96" xfId="3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tabSelected="1" topLeftCell="L1" zoomScaleNormal="100" workbookViewId="0">
      <selection activeCell="R7" sqref="R7"/>
    </sheetView>
  </sheetViews>
  <sheetFormatPr defaultRowHeight="12.75" x14ac:dyDescent="0.2"/>
  <cols>
    <col min="1" max="1" width="20.710937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2.710937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9" width="16.42578125" style="7" customWidth="1"/>
    <col min="10" max="10" width="16.42578125" style="231" customWidth="1"/>
    <col min="11" max="11" width="14.42578125" style="7" customWidth="1"/>
    <col min="12" max="12" width="17.28515625" customWidth="1"/>
    <col min="13" max="13" width="13.7109375" style="7" customWidth="1"/>
    <col min="14" max="15" width="17.5703125" style="7" customWidth="1"/>
    <col min="16" max="16" width="3" style="7" customWidth="1"/>
    <col min="17" max="17" width="15.140625" style="7" customWidth="1"/>
    <col min="18" max="16384" width="9.140625" style="7"/>
  </cols>
  <sheetData>
    <row r="1" spans="1:32" s="386" customFormat="1" ht="15.75" x14ac:dyDescent="0.25">
      <c r="A1" s="421" t="s">
        <v>131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3"/>
      <c r="M1" s="423"/>
      <c r="N1" s="423"/>
      <c r="O1" s="423"/>
    </row>
    <row r="2" spans="1:32" s="386" customFormat="1" ht="15.75" x14ac:dyDescent="0.25">
      <c r="A2" s="421" t="s">
        <v>176</v>
      </c>
      <c r="B2" s="424"/>
      <c r="C2" s="424"/>
      <c r="D2" s="425"/>
      <c r="E2" s="426"/>
      <c r="F2" s="424"/>
      <c r="G2" s="427"/>
      <c r="H2" s="425"/>
      <c r="I2" s="425"/>
      <c r="J2" s="428"/>
      <c r="K2" s="425"/>
      <c r="L2" s="423"/>
      <c r="M2" s="423"/>
      <c r="N2" s="423"/>
      <c r="O2" s="423"/>
    </row>
    <row r="3" spans="1:32" ht="15.75" x14ac:dyDescent="0.25">
      <c r="A3" s="425"/>
      <c r="B3" s="429"/>
      <c r="C3" s="429"/>
      <c r="D3" s="430"/>
      <c r="E3" s="431"/>
      <c r="F3" s="429"/>
      <c r="G3" s="427"/>
      <c r="H3" s="425"/>
      <c r="I3" s="425"/>
      <c r="J3" s="428"/>
      <c r="K3" s="425"/>
      <c r="L3" s="432"/>
      <c r="M3" s="432"/>
      <c r="N3" s="432"/>
      <c r="O3" s="432"/>
    </row>
    <row r="4" spans="1:32" ht="15.75" x14ac:dyDescent="0.25">
      <c r="A4" s="425"/>
      <c r="B4" s="429"/>
      <c r="C4" s="429"/>
      <c r="D4" s="430"/>
      <c r="E4" s="431"/>
      <c r="F4" s="429"/>
      <c r="G4" s="427"/>
      <c r="H4" s="425"/>
      <c r="I4" s="425"/>
      <c r="J4" s="428"/>
      <c r="K4" s="425"/>
      <c r="L4" s="432"/>
      <c r="M4" s="432"/>
      <c r="N4" s="432"/>
      <c r="O4" s="432"/>
    </row>
    <row r="5" spans="1:32" ht="15.75" x14ac:dyDescent="0.25">
      <c r="A5" s="432"/>
      <c r="B5" s="429"/>
      <c r="C5" s="429"/>
      <c r="D5" s="430"/>
      <c r="E5" s="431"/>
      <c r="F5" s="429"/>
      <c r="G5" s="433"/>
      <c r="H5" s="432"/>
      <c r="I5" s="432"/>
      <c r="J5" s="434"/>
      <c r="K5" s="432"/>
      <c r="L5" s="432"/>
      <c r="M5" s="432"/>
      <c r="N5" s="432"/>
      <c r="O5" s="432"/>
    </row>
    <row r="6" spans="1:32" ht="14.25" customHeight="1" x14ac:dyDescent="0.25">
      <c r="A6" s="435"/>
      <c r="B6" s="429"/>
      <c r="C6" s="429"/>
      <c r="D6" s="422"/>
      <c r="E6" s="431"/>
      <c r="F6" s="429"/>
      <c r="G6" s="433"/>
      <c r="H6" s="432"/>
      <c r="I6" s="432"/>
      <c r="J6" s="432"/>
      <c r="K6" s="432"/>
      <c r="L6" s="432"/>
      <c r="M6" s="432"/>
      <c r="N6" s="432"/>
      <c r="O6" s="432"/>
    </row>
    <row r="7" spans="1:32" ht="14.25" customHeight="1" x14ac:dyDescent="0.25">
      <c r="A7" s="435"/>
      <c r="B7" s="429"/>
      <c r="C7" s="429"/>
      <c r="D7" s="422"/>
      <c r="E7" s="431"/>
      <c r="F7" s="429"/>
      <c r="G7" s="433"/>
      <c r="H7" s="422" t="s">
        <v>114</v>
      </c>
      <c r="I7" s="432"/>
      <c r="J7" s="434"/>
      <c r="K7" s="422" t="s">
        <v>6</v>
      </c>
      <c r="L7" s="436"/>
      <c r="M7" s="432"/>
      <c r="N7" s="437" t="s">
        <v>115</v>
      </c>
      <c r="O7" s="437"/>
    </row>
    <row r="8" spans="1:32" ht="15.75" x14ac:dyDescent="0.25">
      <c r="A8" s="432"/>
      <c r="B8" s="429"/>
      <c r="C8" s="438" t="s">
        <v>7</v>
      </c>
      <c r="D8" s="422" t="s">
        <v>8</v>
      </c>
      <c r="E8" s="438"/>
      <c r="F8" s="422" t="s">
        <v>9</v>
      </c>
      <c r="G8" s="439" t="s">
        <v>10</v>
      </c>
      <c r="H8" s="440" t="s">
        <v>112</v>
      </c>
      <c r="I8" s="441">
        <v>0.1</v>
      </c>
      <c r="J8" s="442">
        <v>0.9</v>
      </c>
      <c r="K8" s="443" t="s">
        <v>179</v>
      </c>
      <c r="L8" s="422" t="s">
        <v>180</v>
      </c>
      <c r="M8" s="422" t="s">
        <v>113</v>
      </c>
      <c r="N8" s="437" t="s">
        <v>111</v>
      </c>
      <c r="O8" s="437" t="s">
        <v>67</v>
      </c>
    </row>
    <row r="9" spans="1:32" ht="15.75" x14ac:dyDescent="0.25">
      <c r="A9" s="440" t="s">
        <v>14</v>
      </c>
      <c r="B9" s="444" t="s">
        <v>15</v>
      </c>
      <c r="C9" s="444" t="s">
        <v>16</v>
      </c>
      <c r="D9" s="440" t="s">
        <v>17</v>
      </c>
      <c r="E9" s="438" t="s">
        <v>7</v>
      </c>
      <c r="F9" s="422" t="s">
        <v>18</v>
      </c>
      <c r="G9" s="445" t="s">
        <v>19</v>
      </c>
      <c r="H9" s="422" t="s">
        <v>113</v>
      </c>
      <c r="I9" s="422" t="s">
        <v>177</v>
      </c>
      <c r="J9" s="446" t="s">
        <v>178</v>
      </c>
      <c r="K9" s="443" t="s">
        <v>13</v>
      </c>
      <c r="L9" s="422" t="s">
        <v>135</v>
      </c>
      <c r="M9" s="443" t="s">
        <v>13</v>
      </c>
      <c r="N9" s="443" t="s">
        <v>126</v>
      </c>
      <c r="O9" s="437" t="s">
        <v>139</v>
      </c>
    </row>
    <row r="10" spans="1:32" ht="6.75" customHeight="1" x14ac:dyDescent="0.25">
      <c r="A10" s="447"/>
      <c r="B10" s="448"/>
      <c r="C10" s="448"/>
      <c r="D10" s="447"/>
      <c r="E10" s="449"/>
      <c r="F10" s="448"/>
      <c r="G10" s="450"/>
      <c r="H10" s="447"/>
      <c r="I10" s="451"/>
      <c r="J10" s="452"/>
      <c r="K10" s="451"/>
      <c r="L10" s="453"/>
      <c r="M10" s="451"/>
      <c r="N10" s="454"/>
      <c r="O10" s="454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s="48" customFormat="1" ht="15.75" x14ac:dyDescent="0.25">
      <c r="A11" s="455" t="s">
        <v>25</v>
      </c>
      <c r="B11" s="456"/>
      <c r="C11" s="456"/>
      <c r="D11" s="457"/>
      <c r="E11" s="458"/>
      <c r="F11" s="459"/>
      <c r="G11" s="460"/>
      <c r="H11" s="461"/>
      <c r="I11" s="420"/>
      <c r="J11" s="462"/>
      <c r="K11" s="420">
        <v>6321000</v>
      </c>
      <c r="L11" s="432"/>
      <c r="M11" s="463"/>
      <c r="N11" s="464">
        <f>K11</f>
        <v>6321000</v>
      </c>
      <c r="O11" s="465">
        <v>6321000</v>
      </c>
    </row>
    <row r="12" spans="1:32" ht="15.75" x14ac:dyDescent="0.25">
      <c r="A12" s="466" t="s">
        <v>26</v>
      </c>
      <c r="B12" s="456">
        <v>21</v>
      </c>
      <c r="C12" s="456" t="s">
        <v>24</v>
      </c>
      <c r="D12" s="467">
        <v>35873</v>
      </c>
      <c r="E12" s="458">
        <v>9.9000000000000005E-2</v>
      </c>
      <c r="F12" s="468">
        <v>6.25E-2</v>
      </c>
      <c r="G12" s="469">
        <f>E12+F12</f>
        <v>0.1615</v>
      </c>
      <c r="H12" s="470">
        <f>N12*E12*B12/365</f>
        <v>36003.72328767123</v>
      </c>
      <c r="I12" s="471"/>
      <c r="J12" s="472"/>
      <c r="K12" s="473"/>
      <c r="L12" s="432"/>
      <c r="M12" s="471"/>
      <c r="N12" s="420">
        <f t="shared" ref="N12:N53" si="0">N11+K12+M12</f>
        <v>6321000</v>
      </c>
      <c r="O12" s="474">
        <f t="shared" ref="O12:O53" si="1">O11+K12</f>
        <v>6321000</v>
      </c>
    </row>
    <row r="13" spans="1:32" ht="15.75" x14ac:dyDescent="0.25">
      <c r="A13" s="466" t="s">
        <v>27</v>
      </c>
      <c r="B13" s="456">
        <v>9</v>
      </c>
      <c r="C13" s="456"/>
      <c r="D13" s="467"/>
      <c r="E13" s="458">
        <v>9.9000000000000005E-2</v>
      </c>
      <c r="F13" s="468"/>
      <c r="G13" s="469"/>
      <c r="H13" s="470">
        <f>N13*E13*B13/365</f>
        <v>17871.26301369863</v>
      </c>
      <c r="I13" s="475"/>
      <c r="J13" s="476"/>
      <c r="K13" s="473">
        <v>1000000</v>
      </c>
      <c r="L13" s="471"/>
      <c r="M13" s="471"/>
      <c r="N13" s="420">
        <f t="shared" si="0"/>
        <v>7321000</v>
      </c>
      <c r="O13" s="474">
        <f t="shared" si="1"/>
        <v>7321000</v>
      </c>
    </row>
    <row r="14" spans="1:32" s="68" customFormat="1" ht="15.75" x14ac:dyDescent="0.25">
      <c r="A14" s="477" t="s">
        <v>28</v>
      </c>
      <c r="B14" s="478">
        <f>SUM(B12:B13)</f>
        <v>30</v>
      </c>
      <c r="C14" s="478"/>
      <c r="D14" s="479"/>
      <c r="E14" s="480"/>
      <c r="F14" s="481"/>
      <c r="G14" s="445"/>
      <c r="H14" s="482">
        <f>SUM(H12:H13)</f>
        <v>53874.986301369863</v>
      </c>
      <c r="I14" s="475">
        <f>10%*H14</f>
        <v>5387.4986301369863</v>
      </c>
      <c r="J14" s="476">
        <f>H14-I14</f>
        <v>48487.487671232877</v>
      </c>
      <c r="K14" s="475"/>
      <c r="L14" s="420">
        <f>-J14</f>
        <v>-48487.487671232877</v>
      </c>
      <c r="M14" s="420">
        <f>J14+L14</f>
        <v>0</v>
      </c>
      <c r="N14" s="420">
        <f t="shared" si="0"/>
        <v>7321000</v>
      </c>
      <c r="O14" s="474">
        <f t="shared" si="1"/>
        <v>7321000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</row>
    <row r="15" spans="1:32" s="69" customFormat="1" ht="15.75" x14ac:dyDescent="0.25">
      <c r="A15" s="466" t="s">
        <v>79</v>
      </c>
      <c r="B15" s="456">
        <v>11</v>
      </c>
      <c r="C15" s="456"/>
      <c r="D15" s="467"/>
      <c r="E15" s="458">
        <v>9.9000000000000005E-2</v>
      </c>
      <c r="F15" s="468"/>
      <c r="G15" s="469"/>
      <c r="H15" s="470">
        <f>N15*E15*B15/365</f>
        <v>21842.654794520549</v>
      </c>
      <c r="I15" s="471"/>
      <c r="J15" s="472"/>
      <c r="K15" s="473"/>
      <c r="L15" s="471"/>
      <c r="M15" s="471"/>
      <c r="N15" s="420">
        <f t="shared" si="0"/>
        <v>7321000</v>
      </c>
      <c r="O15" s="474">
        <f t="shared" si="1"/>
        <v>7321000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</row>
    <row r="16" spans="1:32" s="69" customFormat="1" ht="15.75" x14ac:dyDescent="0.25">
      <c r="A16" s="466" t="s">
        <v>80</v>
      </c>
      <c r="B16" s="456">
        <v>20</v>
      </c>
      <c r="C16" s="456"/>
      <c r="D16" s="467"/>
      <c r="E16" s="458">
        <v>9.9000000000000005E-2</v>
      </c>
      <c r="F16" s="468"/>
      <c r="G16" s="469"/>
      <c r="H16" s="470">
        <f>N16*E16*B16/365</f>
        <v>45138.575342465752</v>
      </c>
      <c r="I16" s="475"/>
      <c r="J16" s="476"/>
      <c r="K16" s="473">
        <v>1000000</v>
      </c>
      <c r="L16" s="471"/>
      <c r="M16" s="471"/>
      <c r="N16" s="420">
        <f t="shared" si="0"/>
        <v>8321000</v>
      </c>
      <c r="O16" s="474">
        <f t="shared" si="1"/>
        <v>8321000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 spans="1:32" s="69" customFormat="1" ht="15.75" x14ac:dyDescent="0.25">
      <c r="A17" s="483" t="s">
        <v>81</v>
      </c>
      <c r="B17" s="478">
        <f>SUM(B15:B16)</f>
        <v>31</v>
      </c>
      <c r="C17" s="456"/>
      <c r="D17" s="467"/>
      <c r="E17" s="458"/>
      <c r="F17" s="468"/>
      <c r="G17" s="469"/>
      <c r="H17" s="482">
        <f>SUM(H15:H16)</f>
        <v>66981.230136986298</v>
      </c>
      <c r="I17" s="475">
        <f>10%*H17</f>
        <v>6698.1230136986305</v>
      </c>
      <c r="J17" s="476">
        <f>H17-I17</f>
        <v>60283.107123287671</v>
      </c>
      <c r="K17" s="473"/>
      <c r="L17" s="420">
        <f>-J17</f>
        <v>-60283.107123287671</v>
      </c>
      <c r="M17" s="420">
        <f>J17+L17</f>
        <v>0</v>
      </c>
      <c r="N17" s="420">
        <f t="shared" si="0"/>
        <v>8321000</v>
      </c>
      <c r="O17" s="474">
        <f t="shared" si="1"/>
        <v>8321000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</row>
    <row r="18" spans="1:32" s="69" customFormat="1" ht="15.75" x14ac:dyDescent="0.25">
      <c r="A18" s="466" t="s">
        <v>87</v>
      </c>
      <c r="B18" s="456">
        <v>17</v>
      </c>
      <c r="C18" s="456"/>
      <c r="D18" s="467"/>
      <c r="E18" s="458">
        <v>9.9000000000000005E-2</v>
      </c>
      <c r="F18" s="468"/>
      <c r="G18" s="469"/>
      <c r="H18" s="470">
        <f>N18*E18*B18/365</f>
        <v>38367.789041095893</v>
      </c>
      <c r="I18" s="475"/>
      <c r="J18" s="476"/>
      <c r="K18" s="473"/>
      <c r="L18" s="471"/>
      <c r="M18" s="471"/>
      <c r="N18" s="420">
        <f t="shared" si="0"/>
        <v>8321000</v>
      </c>
      <c r="O18" s="474">
        <f t="shared" si="1"/>
        <v>8321000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 spans="1:32" s="69" customFormat="1" ht="15.75" x14ac:dyDescent="0.25">
      <c r="A19" s="466" t="s">
        <v>88</v>
      </c>
      <c r="B19" s="456">
        <v>13</v>
      </c>
      <c r="C19" s="456"/>
      <c r="D19" s="467"/>
      <c r="E19" s="458">
        <v>9.9000000000000005E-2</v>
      </c>
      <c r="F19" s="468"/>
      <c r="G19" s="469"/>
      <c r="H19" s="470">
        <f>N19*E19*B19/365</f>
        <v>38680.520547945205</v>
      </c>
      <c r="I19" s="475"/>
      <c r="J19" s="476"/>
      <c r="K19" s="473">
        <v>2649000</v>
      </c>
      <c r="L19" s="471"/>
      <c r="M19" s="471"/>
      <c r="N19" s="420">
        <f t="shared" si="0"/>
        <v>10970000</v>
      </c>
      <c r="O19" s="474">
        <f t="shared" si="1"/>
        <v>10970000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</row>
    <row r="20" spans="1:32" s="69" customFormat="1" ht="15.75" x14ac:dyDescent="0.25">
      <c r="A20" s="483" t="s">
        <v>85</v>
      </c>
      <c r="B20" s="478">
        <f>SUM(B18:B19)</f>
        <v>30</v>
      </c>
      <c r="C20" s="456"/>
      <c r="D20" s="467"/>
      <c r="E20" s="458"/>
      <c r="F20" s="468"/>
      <c r="G20" s="469"/>
      <c r="H20" s="482">
        <f>SUM(H18:H19)</f>
        <v>77048.309589041106</v>
      </c>
      <c r="I20" s="475">
        <f>10%*H20</f>
        <v>7704.830958904111</v>
      </c>
      <c r="J20" s="476">
        <f>H20-I20</f>
        <v>69343.47863013699</v>
      </c>
      <c r="K20" s="473"/>
      <c r="L20" s="420">
        <f>-J20</f>
        <v>-69343.47863013699</v>
      </c>
      <c r="M20" s="420">
        <f>J20+L20</f>
        <v>0</v>
      </c>
      <c r="N20" s="420">
        <f t="shared" si="0"/>
        <v>10970000</v>
      </c>
      <c r="O20" s="474">
        <f t="shared" si="1"/>
        <v>10970000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 spans="1:32" s="69" customFormat="1" ht="15.75" x14ac:dyDescent="0.25">
      <c r="A21" s="466" t="s">
        <v>89</v>
      </c>
      <c r="B21" s="456">
        <v>27</v>
      </c>
      <c r="C21" s="456"/>
      <c r="D21" s="467"/>
      <c r="E21" s="458">
        <v>9.9000000000000005E-2</v>
      </c>
      <c r="F21" s="468"/>
      <c r="G21" s="469"/>
      <c r="H21" s="470">
        <f>N21*E21*B21/365</f>
        <v>80336.465753424651</v>
      </c>
      <c r="I21" s="475"/>
      <c r="J21" s="476"/>
      <c r="K21" s="473"/>
      <c r="L21" s="471"/>
      <c r="M21" s="471"/>
      <c r="N21" s="420">
        <f t="shared" si="0"/>
        <v>10970000</v>
      </c>
      <c r="O21" s="474">
        <f t="shared" si="1"/>
        <v>10970000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</row>
    <row r="22" spans="1:32" s="69" customFormat="1" ht="15.75" x14ac:dyDescent="0.25">
      <c r="A22" s="484" t="s">
        <v>90</v>
      </c>
      <c r="B22" s="456">
        <v>4</v>
      </c>
      <c r="C22" s="478"/>
      <c r="D22" s="479"/>
      <c r="E22" s="458">
        <v>9.9000000000000005E-2</v>
      </c>
      <c r="F22" s="468"/>
      <c r="G22" s="469"/>
      <c r="H22" s="470">
        <f>N22*E22*B22/365</f>
        <v>12986.630136986301</v>
      </c>
      <c r="I22" s="475"/>
      <c r="J22" s="476"/>
      <c r="K22" s="420">
        <v>1000000</v>
      </c>
      <c r="L22" s="471"/>
      <c r="M22" s="471"/>
      <c r="N22" s="420">
        <f t="shared" si="0"/>
        <v>11970000</v>
      </c>
      <c r="O22" s="474">
        <f t="shared" si="1"/>
        <v>11970000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 spans="1:32" s="69" customFormat="1" ht="15.75" x14ac:dyDescent="0.25">
      <c r="A23" s="477" t="s">
        <v>91</v>
      </c>
      <c r="B23" s="478">
        <f>SUM(B21:B22)</f>
        <v>31</v>
      </c>
      <c r="C23" s="478"/>
      <c r="D23" s="479"/>
      <c r="E23" s="480"/>
      <c r="F23" s="481"/>
      <c r="G23" s="445"/>
      <c r="H23" s="482">
        <f>SUM(H21:H22)</f>
        <v>93323.095890410958</v>
      </c>
      <c r="I23" s="475">
        <f>10%*H23</f>
        <v>9332.3095890410968</v>
      </c>
      <c r="J23" s="476">
        <f>H23-I23</f>
        <v>83990.786301369866</v>
      </c>
      <c r="K23" s="475"/>
      <c r="L23" s="420">
        <f>-J23</f>
        <v>-83990.786301369866</v>
      </c>
      <c r="M23" s="420">
        <f>J23+L23</f>
        <v>0</v>
      </c>
      <c r="N23" s="420">
        <f t="shared" si="0"/>
        <v>11970000</v>
      </c>
      <c r="O23" s="474">
        <f t="shared" si="1"/>
        <v>11970000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 spans="1:32" s="69" customFormat="1" ht="15.75" x14ac:dyDescent="0.25">
      <c r="A24" s="484" t="s">
        <v>93</v>
      </c>
      <c r="B24" s="456">
        <v>30</v>
      </c>
      <c r="C24" s="478"/>
      <c r="D24" s="479"/>
      <c r="E24" s="458">
        <v>9.9000000000000005E-2</v>
      </c>
      <c r="F24" s="481"/>
      <c r="G24" s="445"/>
      <c r="H24" s="470">
        <f>N24*E24*B24/365</f>
        <v>97399.726027397264</v>
      </c>
      <c r="I24" s="475"/>
      <c r="J24" s="476"/>
      <c r="K24" s="475"/>
      <c r="L24" s="471"/>
      <c r="M24" s="471"/>
      <c r="N24" s="420">
        <f t="shared" si="0"/>
        <v>11970000</v>
      </c>
      <c r="O24" s="474">
        <f t="shared" si="1"/>
        <v>11970000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 spans="1:32" s="69" customFormat="1" ht="15.75" x14ac:dyDescent="0.25">
      <c r="A25" s="477" t="s">
        <v>94</v>
      </c>
      <c r="B25" s="478">
        <v>30</v>
      </c>
      <c r="C25" s="478"/>
      <c r="D25" s="479"/>
      <c r="E25" s="458" t="s">
        <v>56</v>
      </c>
      <c r="F25" s="481"/>
      <c r="G25" s="445"/>
      <c r="H25" s="482">
        <f>SUM(H24)</f>
        <v>97399.726027397264</v>
      </c>
      <c r="I25" s="475">
        <f>10%*H25</f>
        <v>9739.9726027397264</v>
      </c>
      <c r="J25" s="476">
        <f>H25-I25</f>
        <v>87659.753424657538</v>
      </c>
      <c r="K25" s="475"/>
      <c r="L25" s="420">
        <f>-J25</f>
        <v>-87659.753424657538</v>
      </c>
      <c r="M25" s="420">
        <f>J25+L25</f>
        <v>0</v>
      </c>
      <c r="N25" s="420">
        <f t="shared" si="0"/>
        <v>11970000</v>
      </c>
      <c r="O25" s="474">
        <f t="shared" si="1"/>
        <v>11970000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 spans="1:32" s="69" customFormat="1" ht="15.75" x14ac:dyDescent="0.25">
      <c r="A26" s="484" t="s">
        <v>96</v>
      </c>
      <c r="B26" s="456">
        <v>3</v>
      </c>
      <c r="C26" s="478"/>
      <c r="D26" s="479"/>
      <c r="E26" s="458">
        <v>9.9000000000000005E-2</v>
      </c>
      <c r="F26" s="481"/>
      <c r="G26" s="445"/>
      <c r="H26" s="470">
        <f>N26*E26*B26/365</f>
        <v>9739.9726027397264</v>
      </c>
      <c r="I26" s="475"/>
      <c r="J26" s="476"/>
      <c r="K26" s="475"/>
      <c r="L26" s="471"/>
      <c r="M26" s="471"/>
      <c r="N26" s="420">
        <f t="shared" si="0"/>
        <v>11970000</v>
      </c>
      <c r="O26" s="474">
        <f t="shared" si="1"/>
        <v>11970000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</row>
    <row r="27" spans="1:32" s="69" customFormat="1" ht="15.75" x14ac:dyDescent="0.25">
      <c r="A27" s="484" t="s">
        <v>97</v>
      </c>
      <c r="B27" s="456">
        <v>17</v>
      </c>
      <c r="C27" s="478"/>
      <c r="D27" s="479"/>
      <c r="E27" s="458">
        <v>9.9000000000000005E-2</v>
      </c>
      <c r="F27" s="481"/>
      <c r="G27" s="445"/>
      <c r="H27" s="470">
        <f>N27*E27*B27/365</f>
        <v>63031.808219178085</v>
      </c>
      <c r="I27" s="475"/>
      <c r="J27" s="476"/>
      <c r="K27" s="420">
        <v>1700000</v>
      </c>
      <c r="L27" s="471"/>
      <c r="M27" s="471"/>
      <c r="N27" s="420">
        <f t="shared" si="0"/>
        <v>13670000</v>
      </c>
      <c r="O27" s="474">
        <f t="shared" si="1"/>
        <v>13670000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</row>
    <row r="28" spans="1:32" s="69" customFormat="1" ht="15.75" x14ac:dyDescent="0.25">
      <c r="A28" s="484" t="s">
        <v>98</v>
      </c>
      <c r="B28" s="456">
        <v>11</v>
      </c>
      <c r="C28" s="478"/>
      <c r="D28" s="479"/>
      <c r="E28" s="458">
        <v>9.9000000000000005E-2</v>
      </c>
      <c r="F28" s="481"/>
      <c r="G28" s="445"/>
      <c r="H28" s="470">
        <f>N28*E28*B28/365</f>
        <v>43768.849315068495</v>
      </c>
      <c r="I28" s="475"/>
      <c r="J28" s="476"/>
      <c r="K28" s="420">
        <v>1000000</v>
      </c>
      <c r="L28" s="471"/>
      <c r="M28" s="471"/>
      <c r="N28" s="420">
        <f t="shared" si="0"/>
        <v>14670000</v>
      </c>
      <c r="O28" s="474">
        <f t="shared" si="1"/>
        <v>14670000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</row>
    <row r="29" spans="1:32" s="69" customFormat="1" ht="15.75" x14ac:dyDescent="0.25">
      <c r="A29" s="477" t="s">
        <v>99</v>
      </c>
      <c r="B29" s="478">
        <f>SUM(B26:B28)</f>
        <v>31</v>
      </c>
      <c r="C29" s="478"/>
      <c r="D29" s="479"/>
      <c r="E29" s="458"/>
      <c r="F29" s="481"/>
      <c r="G29" s="445"/>
      <c r="H29" s="482">
        <f>SUM(H26:H28)</f>
        <v>116540.63013698631</v>
      </c>
      <c r="I29" s="475">
        <f>10%*H29</f>
        <v>11654.063013698631</v>
      </c>
      <c r="J29" s="476">
        <f>H29-I29</f>
        <v>104886.56712328768</v>
      </c>
      <c r="K29" s="420"/>
      <c r="L29" s="420">
        <f>-J29</f>
        <v>-104886.56712328768</v>
      </c>
      <c r="M29" s="420">
        <f>J29+L29</f>
        <v>0</v>
      </c>
      <c r="N29" s="420">
        <f t="shared" si="0"/>
        <v>14670000</v>
      </c>
      <c r="O29" s="474">
        <f t="shared" si="1"/>
        <v>14670000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 spans="1:32" s="69" customFormat="1" ht="15.75" x14ac:dyDescent="0.25">
      <c r="A30" s="484" t="s">
        <v>101</v>
      </c>
      <c r="B30" s="456">
        <v>31</v>
      </c>
      <c r="C30" s="478"/>
      <c r="D30" s="479"/>
      <c r="E30" s="458">
        <v>9.9000000000000005E-2</v>
      </c>
      <c r="F30" s="481"/>
      <c r="G30" s="445"/>
      <c r="H30" s="470">
        <f>N30*E30*B30/365</f>
        <v>123348.57534246576</v>
      </c>
      <c r="I30" s="475"/>
      <c r="J30" s="476"/>
      <c r="K30" s="420"/>
      <c r="L30" s="471"/>
      <c r="M30" s="471"/>
      <c r="N30" s="420">
        <f t="shared" si="0"/>
        <v>14670000</v>
      </c>
      <c r="O30" s="474">
        <f t="shared" si="1"/>
        <v>14670000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 spans="1:32" s="69" customFormat="1" ht="15.75" x14ac:dyDescent="0.25">
      <c r="A31" s="477" t="s">
        <v>102</v>
      </c>
      <c r="B31" s="478">
        <f>B30</f>
        <v>31</v>
      </c>
      <c r="C31" s="478"/>
      <c r="D31" s="479"/>
      <c r="E31" s="458"/>
      <c r="F31" s="481"/>
      <c r="G31" s="445"/>
      <c r="H31" s="482">
        <f>SUM(H30)</f>
        <v>123348.57534246576</v>
      </c>
      <c r="I31" s="475">
        <f>10%*H31</f>
        <v>12334.857534246577</v>
      </c>
      <c r="J31" s="476">
        <f>H31-I31</f>
        <v>111013.71780821918</v>
      </c>
      <c r="K31" s="420"/>
      <c r="L31" s="420">
        <f>-J31</f>
        <v>-111013.71780821918</v>
      </c>
      <c r="M31" s="420">
        <f>J31+L31</f>
        <v>0</v>
      </c>
      <c r="N31" s="420">
        <f t="shared" si="0"/>
        <v>14670000</v>
      </c>
      <c r="O31" s="474">
        <f t="shared" si="1"/>
        <v>14670000</v>
      </c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 spans="1:32" s="69" customFormat="1" ht="15.75" x14ac:dyDescent="0.25">
      <c r="A32" s="484" t="s">
        <v>104</v>
      </c>
      <c r="B32" s="456">
        <v>28</v>
      </c>
      <c r="C32" s="478"/>
      <c r="D32" s="479"/>
      <c r="E32" s="458">
        <v>9.9000000000000005E-2</v>
      </c>
      <c r="F32" s="481"/>
      <c r="G32" s="445"/>
      <c r="H32" s="470">
        <f>N32*E32*B32/365</f>
        <v>111411.61643835617</v>
      </c>
      <c r="I32" s="475"/>
      <c r="J32" s="476"/>
      <c r="K32" s="420"/>
      <c r="L32" s="471"/>
      <c r="M32" s="471"/>
      <c r="N32" s="420">
        <f t="shared" si="0"/>
        <v>14670000</v>
      </c>
      <c r="O32" s="474">
        <f t="shared" si="1"/>
        <v>14670000</v>
      </c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 spans="1:32" s="69" customFormat="1" ht="15.75" x14ac:dyDescent="0.25">
      <c r="A33" s="477" t="s">
        <v>105</v>
      </c>
      <c r="B33" s="478">
        <f>B32</f>
        <v>28</v>
      </c>
      <c r="C33" s="478"/>
      <c r="D33" s="479"/>
      <c r="E33" s="458"/>
      <c r="F33" s="481"/>
      <c r="G33" s="445"/>
      <c r="H33" s="482">
        <f>SUM(H32)</f>
        <v>111411.61643835617</v>
      </c>
      <c r="I33" s="475">
        <f>10%*H33</f>
        <v>11141.161643835618</v>
      </c>
      <c r="J33" s="476">
        <f>H33-I33</f>
        <v>100270.45479452056</v>
      </c>
      <c r="K33" s="485"/>
      <c r="L33" s="486">
        <v>0</v>
      </c>
      <c r="M33" s="420">
        <f>H33</f>
        <v>111411.61643835617</v>
      </c>
      <c r="N33" s="420">
        <f t="shared" si="0"/>
        <v>14781411.616438355</v>
      </c>
      <c r="O33" s="474">
        <f t="shared" si="1"/>
        <v>14670000</v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</row>
    <row r="34" spans="1:32" s="69" customFormat="1" ht="15.75" x14ac:dyDescent="0.25">
      <c r="A34" s="484" t="s">
        <v>106</v>
      </c>
      <c r="B34" s="456">
        <v>31</v>
      </c>
      <c r="C34" s="478"/>
      <c r="D34" s="479"/>
      <c r="E34" s="458">
        <v>9.9000000000000005E-2</v>
      </c>
      <c r="F34" s="481"/>
      <c r="G34" s="445"/>
      <c r="H34" s="470">
        <f>N34*E34*B34/365</f>
        <v>124285.34863246388</v>
      </c>
      <c r="I34" s="475"/>
      <c r="J34" s="476"/>
      <c r="K34" s="485"/>
      <c r="L34" s="486"/>
      <c r="M34" s="420"/>
      <c r="N34" s="420">
        <f t="shared" si="0"/>
        <v>14781411.616438355</v>
      </c>
      <c r="O34" s="474">
        <f t="shared" si="1"/>
        <v>14670000</v>
      </c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 spans="1:32" s="69" customFormat="1" ht="15.75" x14ac:dyDescent="0.25">
      <c r="A35" s="477" t="s">
        <v>107</v>
      </c>
      <c r="B35" s="478">
        <f>B34</f>
        <v>31</v>
      </c>
      <c r="C35" s="478"/>
      <c r="D35" s="479"/>
      <c r="E35" s="458"/>
      <c r="F35" s="481"/>
      <c r="G35" s="445"/>
      <c r="H35" s="482">
        <f>H34</f>
        <v>124285.34863246388</v>
      </c>
      <c r="I35" s="475">
        <f>10%*H35</f>
        <v>12428.534863246388</v>
      </c>
      <c r="J35" s="476">
        <f>H35-I35</f>
        <v>111856.81376921749</v>
      </c>
      <c r="K35" s="485"/>
      <c r="L35" s="486">
        <v>0</v>
      </c>
      <c r="M35" s="420">
        <f>H35</f>
        <v>124285.34863246388</v>
      </c>
      <c r="N35" s="420">
        <f t="shared" si="0"/>
        <v>14905696.965070819</v>
      </c>
      <c r="O35" s="474">
        <f t="shared" si="1"/>
        <v>14670000</v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 spans="1:32" s="69" customFormat="1" ht="15.75" x14ac:dyDescent="0.25">
      <c r="A36" s="484" t="s">
        <v>108</v>
      </c>
      <c r="B36" s="456">
        <v>30</v>
      </c>
      <c r="C36" s="478"/>
      <c r="D36" s="479"/>
      <c r="E36" s="458">
        <v>9.9000000000000005E-2</v>
      </c>
      <c r="F36" s="481"/>
      <c r="G36" s="445"/>
      <c r="H36" s="470">
        <f>N36*E36*B36/365</f>
        <v>121287.45201715159</v>
      </c>
      <c r="I36" s="475"/>
      <c r="J36" s="476"/>
      <c r="K36" s="485"/>
      <c r="L36" s="486"/>
      <c r="M36" s="420"/>
      <c r="N36" s="420">
        <f t="shared" si="0"/>
        <v>14905696.965070819</v>
      </c>
      <c r="O36" s="474">
        <f t="shared" si="1"/>
        <v>14670000</v>
      </c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 spans="1:32" s="69" customFormat="1" ht="15.75" x14ac:dyDescent="0.25">
      <c r="A37" s="477" t="s">
        <v>109</v>
      </c>
      <c r="B37" s="478">
        <f>B36</f>
        <v>30</v>
      </c>
      <c r="C37" s="478"/>
      <c r="D37" s="479"/>
      <c r="E37" s="458"/>
      <c r="F37" s="481"/>
      <c r="G37" s="445"/>
      <c r="H37" s="482">
        <f>H36</f>
        <v>121287.45201715159</v>
      </c>
      <c r="I37" s="475">
        <f>10%*H37</f>
        <v>12128.745201715159</v>
      </c>
      <c r="J37" s="476">
        <f>H37-I37</f>
        <v>109158.70681543642</v>
      </c>
      <c r="K37" s="485"/>
      <c r="L37" s="486">
        <v>0</v>
      </c>
      <c r="M37" s="420">
        <f>H37</f>
        <v>121287.45201715159</v>
      </c>
      <c r="N37" s="420">
        <f t="shared" si="0"/>
        <v>15026984.41708797</v>
      </c>
      <c r="O37" s="474">
        <f t="shared" si="1"/>
        <v>14670000</v>
      </c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 spans="1:32" s="69" customFormat="1" ht="15.75" x14ac:dyDescent="0.25">
      <c r="A38" s="484" t="s">
        <v>116</v>
      </c>
      <c r="B38" s="456">
        <v>31</v>
      </c>
      <c r="C38" s="478"/>
      <c r="D38" s="479"/>
      <c r="E38" s="458">
        <v>9.9000000000000005E-2</v>
      </c>
      <c r="F38" s="481"/>
      <c r="G38" s="445"/>
      <c r="H38" s="470">
        <f>N38*E38*B38/365</f>
        <v>126350.17856450132</v>
      </c>
      <c r="I38" s="420"/>
      <c r="J38" s="462"/>
      <c r="K38" s="485"/>
      <c r="L38" s="486"/>
      <c r="M38" s="462"/>
      <c r="N38" s="420">
        <f t="shared" si="0"/>
        <v>15026984.41708797</v>
      </c>
      <c r="O38" s="474">
        <f t="shared" si="1"/>
        <v>14670000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1:32" s="69" customFormat="1" ht="15.75" x14ac:dyDescent="0.25">
      <c r="A39" s="477" t="s">
        <v>117</v>
      </c>
      <c r="B39" s="478">
        <v>31</v>
      </c>
      <c r="C39" s="478"/>
      <c r="D39" s="479"/>
      <c r="E39" s="458"/>
      <c r="F39" s="481"/>
      <c r="G39" s="445"/>
      <c r="H39" s="482">
        <f>H38</f>
        <v>126350.17856450132</v>
      </c>
      <c r="I39" s="475">
        <f>10%*H39</f>
        <v>12635.017856450133</v>
      </c>
      <c r="J39" s="476">
        <f>H39-I39</f>
        <v>113715.16070805117</v>
      </c>
      <c r="K39" s="485"/>
      <c r="L39" s="486">
        <v>0</v>
      </c>
      <c r="M39" s="420">
        <f>H39</f>
        <v>126350.17856450132</v>
      </c>
      <c r="N39" s="420">
        <f t="shared" si="0"/>
        <v>15153334.595652472</v>
      </c>
      <c r="O39" s="474">
        <f t="shared" si="1"/>
        <v>14670000</v>
      </c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1:32" s="69" customFormat="1" ht="15.75" x14ac:dyDescent="0.25">
      <c r="A40" s="484" t="s">
        <v>119</v>
      </c>
      <c r="B40" s="456">
        <v>30</v>
      </c>
      <c r="C40" s="456"/>
      <c r="D40" s="487"/>
      <c r="E40" s="458">
        <v>9.9000000000000005E-2</v>
      </c>
      <c r="F40" s="481"/>
      <c r="G40" s="445"/>
      <c r="H40" s="470">
        <f>N40*E40*B40/365</f>
        <v>123302.47602489822</v>
      </c>
      <c r="I40" s="420"/>
      <c r="J40" s="462"/>
      <c r="K40" s="485"/>
      <c r="L40" s="486"/>
      <c r="M40" s="462"/>
      <c r="N40" s="420">
        <f t="shared" si="0"/>
        <v>15153334.595652472</v>
      </c>
      <c r="O40" s="474">
        <f t="shared" si="1"/>
        <v>14670000</v>
      </c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1:32" s="69" customFormat="1" ht="15.75" x14ac:dyDescent="0.25">
      <c r="A41" s="477" t="s">
        <v>120</v>
      </c>
      <c r="B41" s="478">
        <f>B40</f>
        <v>30</v>
      </c>
      <c r="C41" s="478"/>
      <c r="D41" s="479"/>
      <c r="E41" s="458"/>
      <c r="F41" s="481"/>
      <c r="G41" s="445"/>
      <c r="H41" s="482">
        <f>H40</f>
        <v>123302.47602489822</v>
      </c>
      <c r="I41" s="475">
        <f>10%*H41</f>
        <v>12330.247602489822</v>
      </c>
      <c r="J41" s="476">
        <f>H41-I41</f>
        <v>110972.2284224084</v>
      </c>
      <c r="K41" s="485"/>
      <c r="L41" s="486">
        <v>0</v>
      </c>
      <c r="M41" s="420">
        <f>H41</f>
        <v>123302.47602489822</v>
      </c>
      <c r="N41" s="420">
        <f t="shared" si="0"/>
        <v>15276637.07167737</v>
      </c>
      <c r="O41" s="474">
        <f t="shared" si="1"/>
        <v>14670000</v>
      </c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1:32" s="69" customFormat="1" ht="15.75" x14ac:dyDescent="0.25">
      <c r="A42" s="484" t="s">
        <v>125</v>
      </c>
      <c r="B42" s="456">
        <v>31</v>
      </c>
      <c r="C42" s="456"/>
      <c r="D42" s="487"/>
      <c r="E42" s="458">
        <v>9.9000000000000005E-2</v>
      </c>
      <c r="F42" s="481"/>
      <c r="G42" s="445"/>
      <c r="H42" s="470">
        <f>N42*E42*B42/365</f>
        <v>128449.31280267904</v>
      </c>
      <c r="I42" s="475"/>
      <c r="J42" s="476"/>
      <c r="K42" s="462"/>
      <c r="L42" s="486"/>
      <c r="M42" s="471"/>
      <c r="N42" s="420">
        <f t="shared" si="0"/>
        <v>15276637.07167737</v>
      </c>
      <c r="O42" s="474">
        <f t="shared" si="1"/>
        <v>14670000</v>
      </c>
      <c r="P42" s="67"/>
      <c r="Q42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 spans="1:32" s="69" customFormat="1" ht="15.75" x14ac:dyDescent="0.25">
      <c r="A43" s="477" t="s">
        <v>28</v>
      </c>
      <c r="B43" s="478">
        <v>31</v>
      </c>
      <c r="C43" s="478"/>
      <c r="D43" s="479"/>
      <c r="E43" s="458"/>
      <c r="F43" s="481"/>
      <c r="G43" s="445"/>
      <c r="H43" s="482">
        <f>H42</f>
        <v>128449.31280267904</v>
      </c>
      <c r="I43" s="475">
        <f>10%*H43</f>
        <v>12844.931280267905</v>
      </c>
      <c r="J43" s="476">
        <f>H43-I43</f>
        <v>115604.38152241113</v>
      </c>
      <c r="K43" s="462"/>
      <c r="L43" s="486">
        <v>0</v>
      </c>
      <c r="M43" s="420">
        <f>H43</f>
        <v>128449.31280267904</v>
      </c>
      <c r="N43" s="420">
        <f t="shared" si="0"/>
        <v>15405086.38448005</v>
      </c>
      <c r="O43" s="474">
        <f t="shared" si="1"/>
        <v>14670000</v>
      </c>
      <c r="P43" s="67"/>
      <c r="Q43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s="69" customFormat="1" ht="15.75" x14ac:dyDescent="0.25">
      <c r="A44" s="484" t="s">
        <v>133</v>
      </c>
      <c r="B44" s="456">
        <v>8</v>
      </c>
      <c r="C44" s="456"/>
      <c r="D44" s="487"/>
      <c r="E44" s="458">
        <v>9.9000000000000005E-2</v>
      </c>
      <c r="F44" s="481"/>
      <c r="G44" s="445"/>
      <c r="H44" s="470">
        <f>N44*E44*B44/365</f>
        <v>33426.927168515613</v>
      </c>
      <c r="I44" s="420"/>
      <c r="J44" s="462"/>
      <c r="K44" s="462"/>
      <c r="L44" s="471"/>
      <c r="M44" s="420"/>
      <c r="N44" s="420">
        <f t="shared" si="0"/>
        <v>15405086.38448005</v>
      </c>
      <c r="O44" s="474">
        <f t="shared" si="1"/>
        <v>14670000</v>
      </c>
      <c r="P44" s="67"/>
      <c r="Q44" s="54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s="69" customFormat="1" ht="15.75" x14ac:dyDescent="0.25">
      <c r="A45" s="484" t="s">
        <v>134</v>
      </c>
      <c r="B45" s="478"/>
      <c r="C45" s="478"/>
      <c r="D45" s="479"/>
      <c r="E45" s="458"/>
      <c r="F45" s="481"/>
      <c r="G45" s="445"/>
      <c r="H45" s="482"/>
      <c r="I45" s="475"/>
      <c r="J45" s="476"/>
      <c r="K45" s="462">
        <v>-14005547.109999999</v>
      </c>
      <c r="L45" s="420">
        <v>0</v>
      </c>
      <c r="M45" s="420">
        <f>J45+L45</f>
        <v>0</v>
      </c>
      <c r="N45" s="420">
        <f t="shared" si="0"/>
        <v>1399539.2744800504</v>
      </c>
      <c r="O45" s="474">
        <f t="shared" si="1"/>
        <v>664452.8900000006</v>
      </c>
      <c r="P45" s="67"/>
      <c r="Q45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1:32" s="69" customFormat="1" ht="15.75" x14ac:dyDescent="0.25">
      <c r="A46" s="484" t="s">
        <v>138</v>
      </c>
      <c r="B46" s="456">
        <v>23</v>
      </c>
      <c r="C46" s="478"/>
      <c r="D46" s="479"/>
      <c r="E46" s="458">
        <v>9.9000000000000005E-2</v>
      </c>
      <c r="F46" s="481"/>
      <c r="G46" s="445"/>
      <c r="H46" s="470">
        <f>N46*E46*B46/365</f>
        <v>8730.8244602495197</v>
      </c>
      <c r="I46" s="475"/>
      <c r="J46" s="476"/>
      <c r="K46" s="462"/>
      <c r="L46" s="420"/>
      <c r="M46" s="420"/>
      <c r="N46" s="420">
        <f t="shared" si="0"/>
        <v>1399539.2744800504</v>
      </c>
      <c r="O46" s="474">
        <f t="shared" si="1"/>
        <v>664452.8900000006</v>
      </c>
      <c r="P46" s="67"/>
      <c r="Q46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1:32" s="69" customFormat="1" ht="15.75" x14ac:dyDescent="0.25">
      <c r="A47" s="477" t="s">
        <v>81</v>
      </c>
      <c r="B47" s="478">
        <f>SUM(B44:B46)</f>
        <v>31</v>
      </c>
      <c r="C47" s="478"/>
      <c r="D47" s="479"/>
      <c r="E47" s="458"/>
      <c r="F47" s="481"/>
      <c r="G47" s="445"/>
      <c r="H47" s="482">
        <f>SUM(H44:H46)</f>
        <v>42157.751628765131</v>
      </c>
      <c r="I47" s="475">
        <f>10%*H47</f>
        <v>4215.7751628765136</v>
      </c>
      <c r="J47" s="476">
        <f>H47-I47</f>
        <v>37941.97646588862</v>
      </c>
      <c r="K47" s="462"/>
      <c r="L47" s="420">
        <v>0</v>
      </c>
      <c r="M47" s="420">
        <f>H47</f>
        <v>42157.751628765131</v>
      </c>
      <c r="N47" s="420">
        <f t="shared" si="0"/>
        <v>1441697.0261088156</v>
      </c>
      <c r="O47" s="474">
        <f t="shared" si="1"/>
        <v>664452.8900000006</v>
      </c>
      <c r="P47" s="67"/>
      <c r="Q4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1:32" s="69" customFormat="1" ht="15.75" x14ac:dyDescent="0.25">
      <c r="A48" s="484" t="s">
        <v>149</v>
      </c>
      <c r="B48" s="456">
        <v>21</v>
      </c>
      <c r="C48" s="478"/>
      <c r="D48" s="479"/>
      <c r="E48" s="458">
        <v>9.9000000000000005E-2</v>
      </c>
      <c r="F48" s="481"/>
      <c r="G48" s="445"/>
      <c r="H48" s="470">
        <f>N48*E48*B48/365</f>
        <v>8211.7482665211719</v>
      </c>
      <c r="I48" s="475"/>
      <c r="J48" s="476"/>
      <c r="K48" s="462"/>
      <c r="L48" s="420"/>
      <c r="M48" s="420"/>
      <c r="N48" s="420">
        <f t="shared" si="0"/>
        <v>1441697.0261088156</v>
      </c>
      <c r="O48" s="474">
        <f t="shared" si="1"/>
        <v>664452.8900000006</v>
      </c>
      <c r="P48" s="67"/>
      <c r="Q48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1:32" s="69" customFormat="1" ht="15.75" x14ac:dyDescent="0.25">
      <c r="A49" s="484" t="s">
        <v>147</v>
      </c>
      <c r="B49" s="478"/>
      <c r="C49" s="478"/>
      <c r="D49" s="479"/>
      <c r="E49" s="458"/>
      <c r="F49" s="481"/>
      <c r="G49" s="445"/>
      <c r="H49" s="482"/>
      <c r="I49" s="475"/>
      <c r="J49" s="476"/>
      <c r="K49" s="462">
        <f>-400000</f>
        <v>-400000</v>
      </c>
      <c r="L49" s="420">
        <v>0</v>
      </c>
      <c r="M49" s="420">
        <f>J49+L49</f>
        <v>0</v>
      </c>
      <c r="N49" s="420">
        <f t="shared" si="0"/>
        <v>1041697.0261088156</v>
      </c>
      <c r="O49" s="474">
        <f t="shared" si="1"/>
        <v>264452.8900000006</v>
      </c>
      <c r="P49" s="67"/>
      <c r="Q49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1:32" s="69" customFormat="1" ht="15.75" x14ac:dyDescent="0.25">
      <c r="A50" s="484" t="s">
        <v>148</v>
      </c>
      <c r="B50" s="456">
        <v>9</v>
      </c>
      <c r="C50" s="478"/>
      <c r="D50" s="479"/>
      <c r="E50" s="458">
        <v>9.9000000000000005E-2</v>
      </c>
      <c r="F50" s="481"/>
      <c r="G50" s="445"/>
      <c r="H50" s="470">
        <f>N50*E50*B50/365</f>
        <v>2542.8823294875474</v>
      </c>
      <c r="I50" s="475"/>
      <c r="J50" s="476"/>
      <c r="K50" s="462"/>
      <c r="L50" s="420"/>
      <c r="M50" s="420"/>
      <c r="N50" s="420">
        <f t="shared" si="0"/>
        <v>1041697.0261088156</v>
      </c>
      <c r="O50" s="474">
        <f t="shared" si="1"/>
        <v>264452.8900000006</v>
      </c>
      <c r="P50" s="67"/>
      <c r="Q50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1:32" s="69" customFormat="1" ht="15.75" x14ac:dyDescent="0.25">
      <c r="A51" s="477" t="s">
        <v>85</v>
      </c>
      <c r="B51" s="478">
        <f>SUM(B48:B50)</f>
        <v>30</v>
      </c>
      <c r="C51" s="478"/>
      <c r="D51" s="479"/>
      <c r="E51" s="458"/>
      <c r="F51" s="481"/>
      <c r="G51" s="445"/>
      <c r="H51" s="482">
        <f>SUM(H48:H50)</f>
        <v>10754.630596008719</v>
      </c>
      <c r="I51" s="475">
        <f>10%*H51</f>
        <v>1075.4630596008719</v>
      </c>
      <c r="J51" s="476">
        <f>H51-I51</f>
        <v>9679.1675364078474</v>
      </c>
      <c r="K51" s="462"/>
      <c r="L51" s="420">
        <v>0</v>
      </c>
      <c r="M51" s="420">
        <f>H51</f>
        <v>10754.630596008719</v>
      </c>
      <c r="N51" s="420">
        <f t="shared" si="0"/>
        <v>1052451.6567048242</v>
      </c>
      <c r="O51" s="474">
        <f t="shared" si="1"/>
        <v>264452.8900000006</v>
      </c>
      <c r="P51" s="67"/>
      <c r="Q51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1:32" s="69" customFormat="1" ht="15.75" x14ac:dyDescent="0.25">
      <c r="A52" s="484" t="s">
        <v>146</v>
      </c>
      <c r="B52" s="456">
        <v>31</v>
      </c>
      <c r="C52" s="478"/>
      <c r="D52" s="479"/>
      <c r="E52" s="458">
        <v>9.9000000000000005E-2</v>
      </c>
      <c r="F52" s="481"/>
      <c r="G52" s="445"/>
      <c r="H52" s="470">
        <f>N52*E52*B52/365</f>
        <v>8849.2442039098787</v>
      </c>
      <c r="I52" s="475"/>
      <c r="J52" s="476"/>
      <c r="K52" s="462"/>
      <c r="L52" s="420"/>
      <c r="M52" s="420"/>
      <c r="N52" s="420">
        <f t="shared" si="0"/>
        <v>1052451.6567048242</v>
      </c>
      <c r="O52" s="474">
        <f t="shared" si="1"/>
        <v>264452.8900000006</v>
      </c>
      <c r="P52" s="67"/>
      <c r="Q52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1:32" s="69" customFormat="1" ht="15.75" x14ac:dyDescent="0.25">
      <c r="A53" s="477" t="s">
        <v>91</v>
      </c>
      <c r="B53" s="478">
        <f>SUM(B52)</f>
        <v>31</v>
      </c>
      <c r="C53" s="478"/>
      <c r="D53" s="479"/>
      <c r="E53" s="458"/>
      <c r="F53" s="481"/>
      <c r="G53" s="445"/>
      <c r="H53" s="482">
        <f>SUM(H52)</f>
        <v>8849.2442039098787</v>
      </c>
      <c r="I53" s="475">
        <f>10%*H53</f>
        <v>884.92442039098796</v>
      </c>
      <c r="J53" s="476">
        <f>H53-I53</f>
        <v>7964.3197835188912</v>
      </c>
      <c r="K53" s="462"/>
      <c r="L53" s="420">
        <v>0</v>
      </c>
      <c r="M53" s="420">
        <f>H53</f>
        <v>8849.2442039098787</v>
      </c>
      <c r="N53" s="420">
        <f t="shared" si="0"/>
        <v>1061300.900908734</v>
      </c>
      <c r="O53" s="474">
        <f t="shared" si="1"/>
        <v>264452.8900000006</v>
      </c>
      <c r="P53" s="67"/>
      <c r="Q53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1:32" s="69" customFormat="1" ht="15.75" x14ac:dyDescent="0.25">
      <c r="A54" s="484" t="s">
        <v>204</v>
      </c>
      <c r="B54" s="456">
        <v>30</v>
      </c>
      <c r="C54" s="478"/>
      <c r="D54" s="479"/>
      <c r="E54" s="458">
        <v>9.9000000000000005E-2</v>
      </c>
      <c r="F54" s="481"/>
      <c r="G54" s="445"/>
      <c r="H54" s="470">
        <f>N54*E54*B54/365</f>
        <v>8635.7908923258619</v>
      </c>
      <c r="I54" s="475"/>
      <c r="J54" s="476"/>
      <c r="K54" s="462"/>
      <c r="L54" s="420"/>
      <c r="M54" s="420"/>
      <c r="N54" s="420">
        <f t="shared" ref="N54:N77" si="2">N53+K54+M54</f>
        <v>1061300.900908734</v>
      </c>
      <c r="O54" s="474">
        <f t="shared" ref="O54:O77" si="3">O53+K54</f>
        <v>264452.8900000006</v>
      </c>
      <c r="P54" s="67"/>
      <c r="Q54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1:32" s="69" customFormat="1" ht="15.75" x14ac:dyDescent="0.25">
      <c r="A55" s="477" t="s">
        <v>94</v>
      </c>
      <c r="B55" s="478">
        <f>SUM(B54)</f>
        <v>30</v>
      </c>
      <c r="C55" s="478"/>
      <c r="D55" s="479"/>
      <c r="E55" s="458"/>
      <c r="F55" s="481"/>
      <c r="G55" s="445"/>
      <c r="H55" s="482">
        <f>SUM(H54)</f>
        <v>8635.7908923258619</v>
      </c>
      <c r="I55" s="475">
        <f>10%*H55</f>
        <v>863.57908923258628</v>
      </c>
      <c r="J55" s="476">
        <f>H55-I55</f>
        <v>7772.2118030932761</v>
      </c>
      <c r="K55" s="462"/>
      <c r="L55" s="420">
        <v>0</v>
      </c>
      <c r="M55" s="420">
        <f>H55</f>
        <v>8635.7908923258619</v>
      </c>
      <c r="N55" s="420">
        <f t="shared" si="2"/>
        <v>1069936.6918010598</v>
      </c>
      <c r="O55" s="474">
        <f t="shared" si="3"/>
        <v>264452.8900000006</v>
      </c>
      <c r="P55" s="67"/>
      <c r="Q55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</row>
    <row r="56" spans="1:32" s="69" customFormat="1" ht="15.75" x14ac:dyDescent="0.25">
      <c r="A56" s="484" t="s">
        <v>205</v>
      </c>
      <c r="B56" s="456">
        <v>31</v>
      </c>
      <c r="C56" s="478"/>
      <c r="D56" s="479"/>
      <c r="E56" s="458">
        <v>9.9000000000000005E-2</v>
      </c>
      <c r="F56" s="481"/>
      <c r="G56" s="445"/>
      <c r="H56" s="470">
        <f>N56*E56*B56/365</f>
        <v>8996.2622113354864</v>
      </c>
      <c r="I56" s="475"/>
      <c r="J56" s="476"/>
      <c r="K56" s="462"/>
      <c r="L56" s="420"/>
      <c r="M56" s="420"/>
      <c r="N56" s="420">
        <f t="shared" si="2"/>
        <v>1069936.6918010598</v>
      </c>
      <c r="O56" s="474">
        <f t="shared" si="3"/>
        <v>264452.8900000006</v>
      </c>
      <c r="P56" s="67"/>
      <c r="Q56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</row>
    <row r="57" spans="1:32" s="69" customFormat="1" ht="15.75" x14ac:dyDescent="0.25">
      <c r="A57" s="477" t="s">
        <v>99</v>
      </c>
      <c r="B57" s="478">
        <f>SUM(B56)</f>
        <v>31</v>
      </c>
      <c r="C57" s="478"/>
      <c r="D57" s="479"/>
      <c r="E57" s="458"/>
      <c r="F57" s="481"/>
      <c r="G57" s="445"/>
      <c r="H57" s="482">
        <f>SUM(H56)</f>
        <v>8996.2622113354864</v>
      </c>
      <c r="I57" s="475">
        <f>10%*H57</f>
        <v>899.62622113354871</v>
      </c>
      <c r="J57" s="476">
        <f>H57-I57</f>
        <v>8096.6359902019376</v>
      </c>
      <c r="K57" s="462"/>
      <c r="L57" s="420">
        <v>0</v>
      </c>
      <c r="M57" s="420">
        <f>H57</f>
        <v>8996.2622113354864</v>
      </c>
      <c r="N57" s="420">
        <f t="shared" si="2"/>
        <v>1078932.9540123953</v>
      </c>
      <c r="O57" s="474">
        <f t="shared" si="3"/>
        <v>264452.8900000006</v>
      </c>
      <c r="P57" s="67"/>
      <c r="Q5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1:32" s="69" customFormat="1" ht="15.75" x14ac:dyDescent="0.25">
      <c r="A58" s="484" t="s">
        <v>206</v>
      </c>
      <c r="B58" s="456">
        <v>31</v>
      </c>
      <c r="C58" s="478"/>
      <c r="D58" s="479"/>
      <c r="E58" s="458">
        <v>9.9000000000000005E-2</v>
      </c>
      <c r="F58" s="481"/>
      <c r="G58" s="445"/>
      <c r="H58" s="470">
        <f>N58*E58*B58/365</f>
        <v>9071.9047557918948</v>
      </c>
      <c r="I58" s="475"/>
      <c r="J58" s="476"/>
      <c r="K58" s="462"/>
      <c r="L58" s="420"/>
      <c r="M58" s="420"/>
      <c r="N58" s="420">
        <f t="shared" si="2"/>
        <v>1078932.9540123953</v>
      </c>
      <c r="O58" s="474">
        <f t="shared" si="3"/>
        <v>264452.8900000006</v>
      </c>
      <c r="P58" s="67"/>
      <c r="Q58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 spans="1:32" s="69" customFormat="1" ht="15.75" x14ac:dyDescent="0.25">
      <c r="A59" s="477" t="s">
        <v>102</v>
      </c>
      <c r="B59" s="478">
        <f>SUM(B58)</f>
        <v>31</v>
      </c>
      <c r="C59" s="478"/>
      <c r="D59" s="479"/>
      <c r="E59" s="458"/>
      <c r="F59" s="481"/>
      <c r="G59" s="445"/>
      <c r="H59" s="482">
        <f>SUM(H58)</f>
        <v>9071.9047557918948</v>
      </c>
      <c r="I59" s="475">
        <f>10%*H59</f>
        <v>907.19047557918952</v>
      </c>
      <c r="J59" s="476">
        <f>H59-I59</f>
        <v>8164.7142802127055</v>
      </c>
      <c r="K59" s="462"/>
      <c r="L59" s="420">
        <v>0</v>
      </c>
      <c r="M59" s="420">
        <f>H59</f>
        <v>9071.9047557918948</v>
      </c>
      <c r="N59" s="420">
        <f t="shared" si="2"/>
        <v>1088004.8587681872</v>
      </c>
      <c r="O59" s="474">
        <f t="shared" si="3"/>
        <v>264452.8900000006</v>
      </c>
      <c r="P59" s="67"/>
      <c r="Q59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 spans="1:32" s="69" customFormat="1" ht="15.75" x14ac:dyDescent="0.25">
      <c r="A60" s="484" t="s">
        <v>207</v>
      </c>
      <c r="B60" s="456">
        <v>29</v>
      </c>
      <c r="C60" s="478"/>
      <c r="D60" s="479"/>
      <c r="E60" s="458">
        <v>9.9000000000000005E-2</v>
      </c>
      <c r="F60" s="481"/>
      <c r="G60" s="445"/>
      <c r="H60" s="470">
        <f>N60*E60*B60/365</f>
        <v>8557.9779438999067</v>
      </c>
      <c r="I60" s="475"/>
      <c r="J60" s="476"/>
      <c r="K60" s="462"/>
      <c r="L60" s="420"/>
      <c r="M60" s="420"/>
      <c r="N60" s="420">
        <f t="shared" si="2"/>
        <v>1088004.8587681872</v>
      </c>
      <c r="O60" s="474">
        <f t="shared" si="3"/>
        <v>264452.8900000006</v>
      </c>
      <c r="P60" s="67"/>
      <c r="Q60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1:32" s="69" customFormat="1" ht="15.75" x14ac:dyDescent="0.25">
      <c r="A61" s="477" t="s">
        <v>105</v>
      </c>
      <c r="B61" s="478">
        <f>SUM(B60)</f>
        <v>29</v>
      </c>
      <c r="C61" s="478"/>
      <c r="D61" s="479"/>
      <c r="E61" s="458"/>
      <c r="F61" s="481"/>
      <c r="G61" s="445"/>
      <c r="H61" s="482">
        <f>SUM(H60)</f>
        <v>8557.9779438999067</v>
      </c>
      <c r="I61" s="475">
        <f>10%*H61</f>
        <v>855.79779438999071</v>
      </c>
      <c r="J61" s="476">
        <f>H61-I61</f>
        <v>7702.1801495099162</v>
      </c>
      <c r="K61" s="462"/>
      <c r="L61" s="420">
        <v>0</v>
      </c>
      <c r="M61" s="420">
        <f>H61</f>
        <v>8557.9779438999067</v>
      </c>
      <c r="N61" s="420">
        <f t="shared" si="2"/>
        <v>1096562.836712087</v>
      </c>
      <c r="O61" s="474">
        <f t="shared" si="3"/>
        <v>264452.8900000006</v>
      </c>
      <c r="P61" s="67"/>
      <c r="Q61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1:32" s="69" customFormat="1" ht="15.75" x14ac:dyDescent="0.25">
      <c r="A62" s="484" t="s">
        <v>208</v>
      </c>
      <c r="B62" s="456">
        <v>31</v>
      </c>
      <c r="C62" s="478"/>
      <c r="D62" s="479"/>
      <c r="E62" s="458">
        <v>9.9000000000000005E-2</v>
      </c>
      <c r="F62" s="481"/>
      <c r="G62" s="445"/>
      <c r="H62" s="470">
        <f>N62*E62*B62/365</f>
        <v>9220.1406736147819</v>
      </c>
      <c r="I62" s="475"/>
      <c r="J62" s="476"/>
      <c r="K62" s="462"/>
      <c r="L62" s="420"/>
      <c r="M62" s="420"/>
      <c r="N62" s="420">
        <f t="shared" si="2"/>
        <v>1096562.836712087</v>
      </c>
      <c r="O62" s="474">
        <f t="shared" si="3"/>
        <v>264452.8900000006</v>
      </c>
      <c r="P62" s="67"/>
      <c r="Q62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1:32" s="69" customFormat="1" ht="15.75" x14ac:dyDescent="0.25">
      <c r="A63" s="477" t="s">
        <v>107</v>
      </c>
      <c r="B63" s="478">
        <f>SUM(B62)</f>
        <v>31</v>
      </c>
      <c r="C63" s="478"/>
      <c r="D63" s="479"/>
      <c r="E63" s="458"/>
      <c r="F63" s="481"/>
      <c r="G63" s="445"/>
      <c r="H63" s="482">
        <f>SUM(H62)</f>
        <v>9220.1406736147819</v>
      </c>
      <c r="I63" s="475">
        <f>10%*H63</f>
        <v>922.01406736147828</v>
      </c>
      <c r="J63" s="476">
        <f>H63-I63</f>
        <v>8298.1266062533032</v>
      </c>
      <c r="K63" s="462"/>
      <c r="L63" s="420">
        <v>0</v>
      </c>
      <c r="M63" s="420">
        <f>H63</f>
        <v>9220.1406736147819</v>
      </c>
      <c r="N63" s="420">
        <f t="shared" si="2"/>
        <v>1105782.9773857018</v>
      </c>
      <c r="O63" s="474">
        <f t="shared" si="3"/>
        <v>264452.8900000006</v>
      </c>
      <c r="P63" s="67"/>
      <c r="Q63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1:32" s="69" customFormat="1" ht="15.75" x14ac:dyDescent="0.25">
      <c r="A64" s="484" t="s">
        <v>209</v>
      </c>
      <c r="B64" s="456">
        <v>30</v>
      </c>
      <c r="C64" s="478"/>
      <c r="D64" s="479"/>
      <c r="E64" s="458">
        <v>9.9000000000000005E-2</v>
      </c>
      <c r="F64" s="481"/>
      <c r="G64" s="445"/>
      <c r="H64" s="470">
        <f>N64*E64*B64/365</f>
        <v>8997.7409392754362</v>
      </c>
      <c r="I64" s="475"/>
      <c r="J64" s="476"/>
      <c r="K64" s="462"/>
      <c r="L64" s="420"/>
      <c r="M64" s="420"/>
      <c r="N64" s="420">
        <f t="shared" si="2"/>
        <v>1105782.9773857018</v>
      </c>
      <c r="O64" s="474">
        <f t="shared" si="3"/>
        <v>264452.8900000006</v>
      </c>
      <c r="P64" s="67"/>
      <c r="Q64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1:32" s="69" customFormat="1" ht="15.75" x14ac:dyDescent="0.25">
      <c r="A65" s="477" t="s">
        <v>109</v>
      </c>
      <c r="B65" s="478">
        <f>SUM(B64)</f>
        <v>30</v>
      </c>
      <c r="C65" s="478"/>
      <c r="D65" s="479"/>
      <c r="E65" s="458"/>
      <c r="F65" s="481"/>
      <c r="G65" s="445"/>
      <c r="H65" s="482">
        <f>SUM(H64)</f>
        <v>8997.7409392754362</v>
      </c>
      <c r="I65" s="475">
        <f>10%*H65</f>
        <v>899.77409392754362</v>
      </c>
      <c r="J65" s="476">
        <f>H65-I65</f>
        <v>8097.9668453478926</v>
      </c>
      <c r="K65" s="462"/>
      <c r="L65" s="420">
        <v>0</v>
      </c>
      <c r="M65" s="420">
        <f>H65</f>
        <v>8997.7409392754362</v>
      </c>
      <c r="N65" s="420">
        <f t="shared" si="2"/>
        <v>1114780.7183249772</v>
      </c>
      <c r="O65" s="474">
        <f t="shared" si="3"/>
        <v>264452.8900000006</v>
      </c>
      <c r="P65" s="67"/>
      <c r="Q65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</row>
    <row r="66" spans="1:32" s="69" customFormat="1" ht="15.75" x14ac:dyDescent="0.25">
      <c r="A66" s="484" t="s">
        <v>210</v>
      </c>
      <c r="B66" s="456">
        <v>31</v>
      </c>
      <c r="C66" s="478"/>
      <c r="D66" s="479"/>
      <c r="E66" s="458">
        <v>9.9000000000000005E-2</v>
      </c>
      <c r="F66" s="481"/>
      <c r="G66" s="445"/>
      <c r="H66" s="470">
        <f>N66*E66*B66/365</f>
        <v>9373.3206151763152</v>
      </c>
      <c r="I66" s="475"/>
      <c r="J66" s="476"/>
      <c r="K66" s="462"/>
      <c r="L66" s="420"/>
      <c r="M66" s="420"/>
      <c r="N66" s="420">
        <f t="shared" si="2"/>
        <v>1114780.7183249772</v>
      </c>
      <c r="O66" s="474">
        <f t="shared" si="3"/>
        <v>264452.8900000006</v>
      </c>
      <c r="P66" s="67"/>
      <c r="Q66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</row>
    <row r="67" spans="1:32" s="69" customFormat="1" ht="15.75" x14ac:dyDescent="0.25">
      <c r="A67" s="477" t="s">
        <v>118</v>
      </c>
      <c r="B67" s="478">
        <f>SUM(B66)</f>
        <v>31</v>
      </c>
      <c r="C67" s="478"/>
      <c r="D67" s="479"/>
      <c r="E67" s="458"/>
      <c r="F67" s="481"/>
      <c r="G67" s="445"/>
      <c r="H67" s="482">
        <f>SUM(H66)</f>
        <v>9373.3206151763152</v>
      </c>
      <c r="I67" s="475">
        <f>10%*H67</f>
        <v>937.33206151763159</v>
      </c>
      <c r="J67" s="476">
        <f>H67-I67</f>
        <v>8435.9885536586844</v>
      </c>
      <c r="K67" s="462"/>
      <c r="L67" s="420">
        <v>0</v>
      </c>
      <c r="M67" s="420">
        <f>H67</f>
        <v>9373.3206151763152</v>
      </c>
      <c r="N67" s="420">
        <f t="shared" si="2"/>
        <v>1124154.0389401536</v>
      </c>
      <c r="O67" s="474">
        <f t="shared" si="3"/>
        <v>264452.8900000006</v>
      </c>
      <c r="P67" s="67"/>
      <c r="Q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</row>
    <row r="68" spans="1:32" s="69" customFormat="1" ht="15.75" x14ac:dyDescent="0.25">
      <c r="A68" s="484" t="s">
        <v>211</v>
      </c>
      <c r="B68" s="456">
        <v>30</v>
      </c>
      <c r="C68" s="478"/>
      <c r="D68" s="479"/>
      <c r="E68" s="458">
        <v>9.9000000000000005E-2</v>
      </c>
      <c r="F68" s="481"/>
      <c r="G68" s="445"/>
      <c r="H68" s="470">
        <f>N68*E68*B68/365</f>
        <v>9147.2260154856322</v>
      </c>
      <c r="I68" s="475"/>
      <c r="J68" s="476"/>
      <c r="K68" s="462"/>
      <c r="L68" s="420"/>
      <c r="M68" s="420"/>
      <c r="N68" s="420">
        <f t="shared" si="2"/>
        <v>1124154.0389401536</v>
      </c>
      <c r="O68" s="474">
        <f t="shared" si="3"/>
        <v>264452.8900000006</v>
      </c>
      <c r="P68" s="67"/>
      <c r="Q68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</row>
    <row r="69" spans="1:32" s="69" customFormat="1" ht="15.75" x14ac:dyDescent="0.25">
      <c r="A69" s="477" t="s">
        <v>121</v>
      </c>
      <c r="B69" s="478">
        <f>SUM(B68)</f>
        <v>30</v>
      </c>
      <c r="C69" s="478"/>
      <c r="D69" s="479"/>
      <c r="E69" s="458"/>
      <c r="F69" s="481"/>
      <c r="G69" s="445"/>
      <c r="H69" s="482">
        <f>SUM(H68)</f>
        <v>9147.2260154856322</v>
      </c>
      <c r="I69" s="475">
        <f>10%*H69</f>
        <v>914.72260154856326</v>
      </c>
      <c r="J69" s="476">
        <f>H69-I69</f>
        <v>8232.5034139370691</v>
      </c>
      <c r="K69" s="462"/>
      <c r="L69" s="420">
        <v>0</v>
      </c>
      <c r="M69" s="420">
        <f>H69</f>
        <v>9147.2260154856322</v>
      </c>
      <c r="N69" s="420">
        <f t="shared" si="2"/>
        <v>1133301.2649556391</v>
      </c>
      <c r="O69" s="474">
        <f t="shared" si="3"/>
        <v>264452.8900000006</v>
      </c>
      <c r="P69" s="67"/>
      <c r="Q69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</row>
    <row r="70" spans="1:32" s="69" customFormat="1" ht="15.75" x14ac:dyDescent="0.25">
      <c r="A70" s="484" t="s">
        <v>212</v>
      </c>
      <c r="B70" s="456">
        <v>31</v>
      </c>
      <c r="C70" s="478"/>
      <c r="D70" s="479"/>
      <c r="E70" s="458">
        <v>9.9000000000000005E-2</v>
      </c>
      <c r="F70" s="481"/>
      <c r="G70" s="445"/>
      <c r="H70" s="470">
        <f>N70*E70*B70/365</f>
        <v>9529.0454305448129</v>
      </c>
      <c r="I70" s="475"/>
      <c r="J70" s="476"/>
      <c r="K70" s="462"/>
      <c r="L70" s="420"/>
      <c r="M70" s="420"/>
      <c r="N70" s="420">
        <f t="shared" si="2"/>
        <v>1133301.2649556391</v>
      </c>
      <c r="O70" s="474">
        <f t="shared" si="3"/>
        <v>264452.8900000006</v>
      </c>
      <c r="P70" s="67"/>
      <c r="Q70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</row>
    <row r="71" spans="1:32" s="69" customFormat="1" ht="15.75" x14ac:dyDescent="0.25">
      <c r="A71" s="477" t="s">
        <v>28</v>
      </c>
      <c r="B71" s="478">
        <f>SUM(B70)</f>
        <v>31</v>
      </c>
      <c r="C71" s="478"/>
      <c r="D71" s="479"/>
      <c r="E71" s="458"/>
      <c r="F71" s="481"/>
      <c r="G71" s="445"/>
      <c r="H71" s="482">
        <f>SUM(H70)</f>
        <v>9529.0454305448129</v>
      </c>
      <c r="I71" s="475">
        <f>10%*H71</f>
        <v>952.90454305448134</v>
      </c>
      <c r="J71" s="476">
        <f>H71-I71</f>
        <v>8576.1408874903318</v>
      </c>
      <c r="K71" s="462"/>
      <c r="L71" s="420">
        <v>0</v>
      </c>
      <c r="M71" s="420">
        <f>H71</f>
        <v>9529.0454305448129</v>
      </c>
      <c r="N71" s="420">
        <f t="shared" si="2"/>
        <v>1142830.3103861839</v>
      </c>
      <c r="O71" s="474">
        <f t="shared" si="3"/>
        <v>264452.8900000006</v>
      </c>
      <c r="P71" s="67"/>
      <c r="Q71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</row>
    <row r="72" spans="1:32" s="69" customFormat="1" ht="15.75" x14ac:dyDescent="0.25">
      <c r="A72" s="484" t="s">
        <v>213</v>
      </c>
      <c r="B72" s="456">
        <v>31</v>
      </c>
      <c r="C72" s="478"/>
      <c r="D72" s="479"/>
      <c r="E72" s="458">
        <v>9.9000000000000005E-2</v>
      </c>
      <c r="F72" s="481"/>
      <c r="G72" s="445"/>
      <c r="H72" s="470">
        <f>N72*E72*B72/365</f>
        <v>9609.167733082737</v>
      </c>
      <c r="I72" s="475"/>
      <c r="J72" s="476"/>
      <c r="K72" s="462"/>
      <c r="L72" s="420"/>
      <c r="M72" s="420"/>
      <c r="N72" s="420">
        <f t="shared" si="2"/>
        <v>1142830.3103861839</v>
      </c>
      <c r="O72" s="474">
        <f t="shared" si="3"/>
        <v>264452.8900000006</v>
      </c>
      <c r="P72" s="67"/>
      <c r="Q72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</row>
    <row r="73" spans="1:32" s="69" customFormat="1" ht="15.75" x14ac:dyDescent="0.25">
      <c r="A73" s="477" t="s">
        <v>81</v>
      </c>
      <c r="B73" s="478">
        <f>SUM(B72)</f>
        <v>31</v>
      </c>
      <c r="C73" s="478"/>
      <c r="D73" s="479"/>
      <c r="E73" s="458"/>
      <c r="F73" s="481"/>
      <c r="G73" s="445"/>
      <c r="H73" s="482">
        <f>SUM(H72)</f>
        <v>9609.167733082737</v>
      </c>
      <c r="I73" s="475">
        <f>10%*H73</f>
        <v>960.91677330827372</v>
      </c>
      <c r="J73" s="476">
        <f>H73-I73</f>
        <v>8648.2509597744629</v>
      </c>
      <c r="K73" s="462"/>
      <c r="L73" s="420">
        <v>0</v>
      </c>
      <c r="M73" s="420">
        <f>H73</f>
        <v>9609.167733082737</v>
      </c>
      <c r="N73" s="420">
        <f t="shared" si="2"/>
        <v>1152439.4781192667</v>
      </c>
      <c r="O73" s="474">
        <f t="shared" si="3"/>
        <v>264452.8900000006</v>
      </c>
      <c r="P73" s="67"/>
      <c r="Q73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</row>
    <row r="74" spans="1:32" s="69" customFormat="1" ht="15.75" x14ac:dyDescent="0.25">
      <c r="A74" s="484" t="s">
        <v>214</v>
      </c>
      <c r="B74" s="456">
        <v>30</v>
      </c>
      <c r="C74" s="478"/>
      <c r="D74" s="479"/>
      <c r="E74" s="458">
        <v>9.9000000000000005E-2</v>
      </c>
      <c r="F74" s="481"/>
      <c r="G74" s="445"/>
      <c r="H74" s="470">
        <f>N74*E74*B74/365</f>
        <v>9377.3842466143069</v>
      </c>
      <c r="I74" s="475"/>
      <c r="J74" s="476"/>
      <c r="K74" s="462"/>
      <c r="L74" s="420"/>
      <c r="M74" s="420"/>
      <c r="N74" s="420">
        <f t="shared" si="2"/>
        <v>1152439.4781192667</v>
      </c>
      <c r="O74" s="474">
        <f t="shared" si="3"/>
        <v>264452.8900000006</v>
      </c>
      <c r="P74" s="67"/>
      <c r="Q74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</row>
    <row r="75" spans="1:32" s="69" customFormat="1" ht="15.75" x14ac:dyDescent="0.25">
      <c r="A75" s="477" t="s">
        <v>85</v>
      </c>
      <c r="B75" s="478">
        <f>SUM(B74)</f>
        <v>30</v>
      </c>
      <c r="C75" s="478"/>
      <c r="D75" s="479"/>
      <c r="E75" s="458"/>
      <c r="F75" s="481"/>
      <c r="G75" s="445"/>
      <c r="H75" s="482">
        <f>SUM(H74)</f>
        <v>9377.3842466143069</v>
      </c>
      <c r="I75" s="475">
        <f>10%*H75</f>
        <v>937.73842466143071</v>
      </c>
      <c r="J75" s="476">
        <f>H75-I75</f>
        <v>8439.6458219528758</v>
      </c>
      <c r="K75" s="462"/>
      <c r="L75" s="420">
        <v>0</v>
      </c>
      <c r="M75" s="420">
        <f>H75</f>
        <v>9377.3842466143069</v>
      </c>
      <c r="N75" s="420">
        <f t="shared" si="2"/>
        <v>1161816.862365881</v>
      </c>
      <c r="O75" s="474">
        <f t="shared" si="3"/>
        <v>264452.8900000006</v>
      </c>
      <c r="P75" s="67"/>
      <c r="Q75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</row>
    <row r="76" spans="1:32" s="69" customFormat="1" ht="15.75" x14ac:dyDescent="0.25">
      <c r="A76" s="484" t="s">
        <v>215</v>
      </c>
      <c r="B76" s="456">
        <v>31</v>
      </c>
      <c r="C76" s="478"/>
      <c r="D76" s="479"/>
      <c r="E76" s="458">
        <v>9.9000000000000005E-2</v>
      </c>
      <c r="F76" s="481"/>
      <c r="G76" s="445"/>
      <c r="H76" s="470">
        <f>N76*E76*B76/365</f>
        <v>9768.8108235640793</v>
      </c>
      <c r="I76" s="475"/>
      <c r="J76" s="476"/>
      <c r="K76" s="462"/>
      <c r="L76" s="420"/>
      <c r="M76" s="420"/>
      <c r="N76" s="420">
        <f t="shared" si="2"/>
        <v>1161816.862365881</v>
      </c>
      <c r="O76" s="474">
        <f t="shared" si="3"/>
        <v>264452.8900000006</v>
      </c>
      <c r="P76" s="67"/>
      <c r="Q76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</row>
    <row r="77" spans="1:32" s="69" customFormat="1" ht="15.75" x14ac:dyDescent="0.25">
      <c r="A77" s="477" t="s">
        <v>91</v>
      </c>
      <c r="B77" s="478">
        <f>SUM(B76)</f>
        <v>31</v>
      </c>
      <c r="C77" s="478"/>
      <c r="D77" s="479"/>
      <c r="E77" s="458"/>
      <c r="F77" s="481"/>
      <c r="G77" s="445"/>
      <c r="H77" s="482">
        <f>SUM(H76)</f>
        <v>9768.8108235640793</v>
      </c>
      <c r="I77" s="475">
        <f>10%*H77</f>
        <v>976.881082356408</v>
      </c>
      <c r="J77" s="476">
        <f>H77-I77</f>
        <v>8791.9297412076721</v>
      </c>
      <c r="K77" s="462"/>
      <c r="L77" s="420">
        <v>0</v>
      </c>
      <c r="M77" s="420">
        <f>H77</f>
        <v>9768.8108235640793</v>
      </c>
      <c r="N77" s="420">
        <f t="shared" si="2"/>
        <v>1171585.6731894452</v>
      </c>
      <c r="O77" s="474">
        <f t="shared" si="3"/>
        <v>264452.8900000006</v>
      </c>
      <c r="P77" s="67"/>
      <c r="Q7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</row>
    <row r="78" spans="1:32" s="69" customFormat="1" ht="12" customHeight="1" x14ac:dyDescent="0.2">
      <c r="A78" s="188"/>
      <c r="B78" s="49"/>
      <c r="C78" s="49"/>
      <c r="D78" s="50"/>
      <c r="E78" s="51"/>
      <c r="F78" s="52"/>
      <c r="G78" s="53"/>
      <c r="H78" s="54"/>
      <c r="I78" s="70"/>
      <c r="J78" s="70"/>
      <c r="L78"/>
      <c r="M78" s="19"/>
      <c r="N78" s="54"/>
      <c r="O78" s="54"/>
      <c r="P78" s="67"/>
      <c r="Q78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</row>
    <row r="79" spans="1:32" s="69" customFormat="1" x14ac:dyDescent="0.2">
      <c r="A79" s="188" t="str">
        <f ca="1">CELL("FILENAME")</f>
        <v>I:\UNMANAGD\CQM\[Ice Dri1.xls]Can $ Only-Bankruptcy</v>
      </c>
      <c r="B79" s="251"/>
      <c r="C79" s="251"/>
      <c r="D79" s="251"/>
      <c r="E79" s="251"/>
      <c r="F79" s="251"/>
      <c r="G79" s="251"/>
      <c r="H79" s="251"/>
      <c r="I79" s="59"/>
      <c r="J79" s="70"/>
      <c r="K79" s="248"/>
      <c r="L79"/>
      <c r="M79" s="19"/>
      <c r="N79" s="59"/>
      <c r="O79" s="59"/>
      <c r="P79" s="67"/>
      <c r="Q79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</row>
    <row r="80" spans="1:32" s="69" customFormat="1" x14ac:dyDescent="0.2">
      <c r="A80"/>
      <c r="B80"/>
      <c r="C80"/>
      <c r="D80"/>
      <c r="E80"/>
      <c r="F80" s="251"/>
      <c r="G80" s="251"/>
      <c r="H80" s="251"/>
      <c r="I80" s="59"/>
      <c r="J80" s="242"/>
      <c r="K80" s="244"/>
      <c r="L80"/>
      <c r="M80" s="19"/>
      <c r="N80" s="59"/>
      <c r="O80" s="59"/>
      <c r="P80" s="67"/>
      <c r="Q80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</row>
    <row r="81" spans="1:32" s="69" customFormat="1" x14ac:dyDescent="0.2">
      <c r="A81"/>
      <c r="B81"/>
      <c r="C81"/>
      <c r="D81"/>
      <c r="E81"/>
      <c r="F81" s="251"/>
      <c r="G81" s="251"/>
      <c r="H81" s="251"/>
      <c r="I81" s="70"/>
      <c r="J81" s="70"/>
      <c r="K81" s="244"/>
      <c r="L81"/>
      <c r="M81" s="19"/>
      <c r="N81" s="59"/>
      <c r="O81" s="59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</row>
    <row r="82" spans="1:32" s="69" customFormat="1" x14ac:dyDescent="0.2">
      <c r="A82"/>
      <c r="B82"/>
      <c r="C82"/>
      <c r="D82"/>
      <c r="E82"/>
      <c r="F82" s="251"/>
      <c r="G82" s="251"/>
      <c r="H82" s="251"/>
      <c r="I82" s="70"/>
      <c r="J82" s="70"/>
      <c r="K82" s="260"/>
      <c r="L82"/>
      <c r="M82" s="19"/>
      <c r="N82" s="54"/>
      <c r="O82" s="54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</row>
    <row r="83" spans="1:32" s="69" customFormat="1" x14ac:dyDescent="0.2">
      <c r="A83"/>
      <c r="B83"/>
      <c r="C83"/>
      <c r="D83"/>
      <c r="E83"/>
      <c r="F83" s="251"/>
      <c r="G83" s="251"/>
      <c r="H83" s="251"/>
      <c r="I83" s="55"/>
      <c r="J83" s="237"/>
      <c r="K83" s="260"/>
      <c r="L83"/>
      <c r="M83" s="19"/>
      <c r="N83" s="54"/>
      <c r="O83" s="54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</row>
    <row r="84" spans="1:32" s="69" customFormat="1" x14ac:dyDescent="0.2">
      <c r="A84"/>
      <c r="B84"/>
      <c r="C84"/>
      <c r="D84"/>
      <c r="E84"/>
      <c r="F84"/>
      <c r="G84"/>
      <c r="H84"/>
      <c r="I84" s="59"/>
      <c r="J84" s="70"/>
      <c r="K84" s="42"/>
      <c r="L84"/>
      <c r="M84" s="19"/>
      <c r="N84" s="45"/>
      <c r="O84" s="45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</row>
    <row r="85" spans="1:32" s="69" customFormat="1" x14ac:dyDescent="0.2">
      <c r="A85"/>
      <c r="B85"/>
      <c r="C85"/>
      <c r="D85"/>
      <c r="E85"/>
      <c r="F85" s="52"/>
      <c r="G85" s="53"/>
      <c r="H85" s="59"/>
      <c r="I85" s="59"/>
      <c r="J85" s="70"/>
      <c r="K85" s="42"/>
      <c r="L85"/>
      <c r="M85" s="19"/>
      <c r="N85" s="45"/>
      <c r="O85" s="45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</row>
    <row r="86" spans="1:32" s="55" customFormat="1" x14ac:dyDescent="0.2">
      <c r="A86"/>
      <c r="B86"/>
      <c r="C86"/>
      <c r="D86"/>
      <c r="E86"/>
      <c r="F86" s="78"/>
      <c r="G86" s="53"/>
      <c r="H86" s="54"/>
      <c r="I86" s="50"/>
      <c r="J86" s="239"/>
      <c r="K86" s="51"/>
      <c r="L86"/>
      <c r="M86" s="53"/>
      <c r="N86" s="54"/>
      <c r="O86" s="54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</row>
    <row r="87" spans="1:32" s="55" customFormat="1" x14ac:dyDescent="0.2">
      <c r="A87"/>
      <c r="B87"/>
      <c r="C87"/>
      <c r="D87"/>
      <c r="E87"/>
      <c r="F87" s="78"/>
      <c r="G87" s="53"/>
      <c r="H87" s="54"/>
      <c r="I87" s="59"/>
      <c r="J87" s="70"/>
      <c r="K87" s="54"/>
      <c r="L87"/>
      <c r="M87" s="54"/>
      <c r="N87" s="67"/>
      <c r="O87" s="67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</row>
    <row r="88" spans="1:32" x14ac:dyDescent="0.2">
      <c r="N88" s="67"/>
      <c r="O88" s="67"/>
    </row>
    <row r="89" spans="1:32" x14ac:dyDescent="0.2">
      <c r="N89" s="67"/>
      <c r="O89" s="67"/>
    </row>
    <row r="90" spans="1:32" x14ac:dyDescent="0.2">
      <c r="N90" s="38"/>
      <c r="O90" s="38"/>
    </row>
    <row r="91" spans="1:32" x14ac:dyDescent="0.2">
      <c r="N91" s="38"/>
      <c r="O91" s="38"/>
    </row>
    <row r="92" spans="1:32" x14ac:dyDescent="0.2">
      <c r="N92" s="38"/>
      <c r="O92" s="38"/>
    </row>
    <row r="93" spans="1:32" x14ac:dyDescent="0.2">
      <c r="N93" s="38"/>
      <c r="O93" s="38"/>
    </row>
    <row r="95" spans="1:32" x14ac:dyDescent="0.2">
      <c r="A95"/>
    </row>
    <row r="96" spans="1:32" x14ac:dyDescent="0.2">
      <c r="A96"/>
    </row>
    <row r="97" spans="1:15" x14ac:dyDescent="0.2">
      <c r="A97"/>
    </row>
    <row r="98" spans="1:15" x14ac:dyDescent="0.2">
      <c r="A98"/>
    </row>
    <row r="99" spans="1:15" x14ac:dyDescent="0.2">
      <c r="A99"/>
    </row>
    <row r="104" spans="1:15" s="80" customFormat="1" x14ac:dyDescent="0.2">
      <c r="A104" s="7"/>
      <c r="B104" s="8"/>
      <c r="C104" s="8"/>
      <c r="D104" s="9"/>
      <c r="E104" s="10"/>
      <c r="F104" s="8"/>
      <c r="G104" s="11"/>
      <c r="H104" s="7"/>
      <c r="I104" s="57"/>
      <c r="J104" s="240"/>
      <c r="K104" s="57"/>
      <c r="L104"/>
      <c r="M104" s="7"/>
      <c r="N104" s="7"/>
      <c r="O104" s="7"/>
    </row>
    <row r="105" spans="1:15" s="80" customFormat="1" x14ac:dyDescent="0.2">
      <c r="A105" s="7"/>
      <c r="B105" s="8"/>
      <c r="C105" s="8"/>
      <c r="D105" s="9"/>
      <c r="E105" s="10"/>
      <c r="F105" s="8"/>
      <c r="G105" s="11"/>
      <c r="H105" s="7"/>
      <c r="I105" s="57"/>
      <c r="J105" s="240"/>
      <c r="K105" s="57"/>
      <c r="L105"/>
      <c r="M105" s="7"/>
      <c r="N105" s="7"/>
      <c r="O105" s="7"/>
    </row>
    <row r="106" spans="1:15" s="80" customFormat="1" x14ac:dyDescent="0.2">
      <c r="A106" s="7"/>
      <c r="B106" s="8"/>
      <c r="C106" s="8"/>
      <c r="D106" s="9"/>
      <c r="E106" s="10"/>
      <c r="F106" s="8"/>
      <c r="G106" s="11"/>
      <c r="H106" s="7"/>
      <c r="I106" s="57"/>
      <c r="J106" s="240"/>
      <c r="K106" s="57"/>
      <c r="L106"/>
      <c r="M106" s="7"/>
      <c r="N106" s="7"/>
      <c r="O106" s="7"/>
    </row>
    <row r="107" spans="1:15" x14ac:dyDescent="0.2">
      <c r="I107" s="57"/>
      <c r="J107" s="240"/>
      <c r="K107" s="57"/>
    </row>
    <row r="108" spans="1:15" x14ac:dyDescent="0.2">
      <c r="I108" s="57"/>
      <c r="J108" s="240"/>
      <c r="K108" s="57"/>
    </row>
    <row r="109" spans="1:15" x14ac:dyDescent="0.2">
      <c r="I109" s="57"/>
      <c r="J109" s="240"/>
      <c r="K109" s="57"/>
    </row>
    <row r="110" spans="1:15" x14ac:dyDescent="0.2">
      <c r="I110" s="57"/>
      <c r="J110" s="240"/>
      <c r="K110" s="57"/>
    </row>
    <row r="111" spans="1:15" x14ac:dyDescent="0.2">
      <c r="I111" s="57"/>
      <c r="J111" s="240"/>
      <c r="K111" s="57"/>
    </row>
    <row r="112" spans="1:15" x14ac:dyDescent="0.2">
      <c r="I112" s="57"/>
      <c r="J112" s="240"/>
      <c r="K112" s="57"/>
    </row>
    <row r="113" spans="9:11" x14ac:dyDescent="0.2">
      <c r="I113" s="57"/>
      <c r="J113" s="240"/>
      <c r="K113" s="57"/>
    </row>
    <row r="114" spans="9:11" x14ac:dyDescent="0.2">
      <c r="I114" s="57"/>
      <c r="J114" s="240"/>
      <c r="K114" s="57"/>
    </row>
    <row r="115" spans="9:11" x14ac:dyDescent="0.2">
      <c r="I115" s="57"/>
      <c r="J115" s="240"/>
      <c r="K115" s="57"/>
    </row>
    <row r="116" spans="9:11" x14ac:dyDescent="0.2">
      <c r="I116" s="57"/>
      <c r="J116" s="240"/>
      <c r="K116" s="57"/>
    </row>
    <row r="117" spans="9:11" x14ac:dyDescent="0.2">
      <c r="I117" s="57"/>
      <c r="J117" s="240"/>
      <c r="K117" s="57"/>
    </row>
    <row r="118" spans="9:11" x14ac:dyDescent="0.2">
      <c r="I118" s="57"/>
      <c r="J118" s="240"/>
      <c r="K118" s="57"/>
    </row>
    <row r="119" spans="9:11" x14ac:dyDescent="0.2">
      <c r="I119" s="57"/>
      <c r="J119" s="240"/>
      <c r="K119" s="57"/>
    </row>
    <row r="120" spans="9:11" x14ac:dyDescent="0.2">
      <c r="I120" s="57"/>
      <c r="J120" s="240"/>
      <c r="K120" s="57"/>
    </row>
  </sheetData>
  <pageMargins left="0.5" right="0.5" top="0.5" bottom="0.25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workbookViewId="0">
      <selection activeCell="C14" sqref="C14"/>
    </sheetView>
  </sheetViews>
  <sheetFormatPr defaultRowHeight="12.75" x14ac:dyDescent="0.2"/>
  <cols>
    <col min="1" max="1" width="3.5703125" customWidth="1"/>
    <col min="2" max="2" width="4" customWidth="1"/>
    <col min="3" max="3" width="46.28515625" customWidth="1"/>
    <col min="4" max="4" width="14.7109375" customWidth="1"/>
    <col min="5" max="5" width="3.28515625" customWidth="1"/>
    <col min="6" max="6" width="17.7109375" customWidth="1"/>
    <col min="7" max="7" width="3.28515625" customWidth="1"/>
    <col min="8" max="8" width="14.7109375" hidden="1" customWidth="1"/>
    <col min="9" max="9" width="3.28515625" hidden="1" customWidth="1"/>
    <col min="10" max="10" width="11.140625" hidden="1" customWidth="1"/>
    <col min="11" max="11" width="14.7109375" customWidth="1"/>
    <col min="12" max="12" width="13.85546875" customWidth="1"/>
    <col min="13" max="13" width="11.28515625" customWidth="1"/>
  </cols>
  <sheetData>
    <row r="1" spans="1:12" x14ac:dyDescent="0.2">
      <c r="A1" s="100" t="s">
        <v>131</v>
      </c>
      <c r="B1" s="100"/>
      <c r="C1" s="100"/>
    </row>
    <row r="2" spans="1:12" x14ac:dyDescent="0.2">
      <c r="A2" s="100" t="s">
        <v>151</v>
      </c>
      <c r="B2" s="100"/>
      <c r="C2" s="100"/>
    </row>
    <row r="3" spans="1:12" x14ac:dyDescent="0.2">
      <c r="A3" s="296" t="s">
        <v>150</v>
      </c>
      <c r="B3" s="296"/>
      <c r="C3" s="296"/>
    </row>
    <row r="4" spans="1:12" x14ac:dyDescent="0.2">
      <c r="A4" s="296"/>
      <c r="B4" s="296"/>
      <c r="C4" s="296"/>
      <c r="D4" s="104" t="s">
        <v>181</v>
      </c>
      <c r="F4" s="104" t="s">
        <v>182</v>
      </c>
    </row>
    <row r="5" spans="1:12" x14ac:dyDescent="0.2">
      <c r="A5" s="296"/>
      <c r="B5" s="296"/>
      <c r="C5" s="296"/>
    </row>
    <row r="6" spans="1:12" s="297" customFormat="1" x14ac:dyDescent="0.2">
      <c r="D6" s="132" t="s">
        <v>155</v>
      </c>
      <c r="E6" s="100"/>
      <c r="F6" s="132" t="s">
        <v>155</v>
      </c>
      <c r="G6" s="100"/>
      <c r="H6" s="100"/>
      <c r="I6" s="100"/>
      <c r="J6" s="100" t="s">
        <v>157</v>
      </c>
      <c r="K6" s="100"/>
      <c r="L6" s="100"/>
    </row>
    <row r="7" spans="1:12" s="297" customFormat="1" x14ac:dyDescent="0.2">
      <c r="D7" s="298"/>
      <c r="E7" s="100"/>
      <c r="F7" s="298"/>
      <c r="G7" s="100"/>
      <c r="H7" s="298" t="s">
        <v>156</v>
      </c>
      <c r="I7" s="100"/>
      <c r="J7" s="306" t="s">
        <v>7</v>
      </c>
      <c r="K7" s="100"/>
      <c r="L7" s="100"/>
    </row>
    <row r="9" spans="1:12" x14ac:dyDescent="0.2">
      <c r="A9" s="100" t="s">
        <v>20</v>
      </c>
      <c r="B9" s="100"/>
      <c r="C9" s="100"/>
      <c r="D9" s="299"/>
      <c r="F9" s="299"/>
    </row>
    <row r="10" spans="1:12" x14ac:dyDescent="0.2">
      <c r="B10" t="s">
        <v>152</v>
      </c>
      <c r="D10" s="301">
        <f>'Int Inc calc after WO'!U61</f>
        <v>14670000</v>
      </c>
      <c r="F10" s="301">
        <f>'Can $ Only'!O44</f>
        <v>14670000</v>
      </c>
      <c r="H10" s="301">
        <f>D10/J10</f>
        <v>9979591.8367346935</v>
      </c>
      <c r="J10" s="305">
        <v>1.47</v>
      </c>
    </row>
    <row r="11" spans="1:12" x14ac:dyDescent="0.2">
      <c r="B11" t="s">
        <v>159</v>
      </c>
      <c r="D11" s="301">
        <f>'Int Inc calc after WO'!N63</f>
        <v>-14005547.109999999</v>
      </c>
      <c r="F11" s="301">
        <f>'Int Inc calc after WO'!N63</f>
        <v>-14005547.109999999</v>
      </c>
      <c r="H11" s="301">
        <f>D11/J11</f>
        <v>-9312198.8763297871</v>
      </c>
      <c r="J11" s="305">
        <v>1.504</v>
      </c>
    </row>
    <row r="12" spans="1:12" x14ac:dyDescent="0.2">
      <c r="B12" t="s">
        <v>158</v>
      </c>
      <c r="D12" s="301">
        <v>-400000</v>
      </c>
      <c r="F12" s="301">
        <v>-400000</v>
      </c>
      <c r="H12" s="301">
        <f>D12/J12</f>
        <v>-265957.44680851063</v>
      </c>
      <c r="J12" s="305">
        <v>1.504</v>
      </c>
    </row>
    <row r="13" spans="1:12" x14ac:dyDescent="0.2">
      <c r="B13" s="100" t="s">
        <v>153</v>
      </c>
      <c r="C13" s="100"/>
      <c r="D13" s="302">
        <f>SUM(D10:D12)</f>
        <v>264452.8900000006</v>
      </c>
      <c r="F13" s="302">
        <f>SUM(F10:F12)</f>
        <v>264452.8900000006</v>
      </c>
      <c r="H13" s="302">
        <f>SUM(H10:H11)</f>
        <v>667392.96040490642</v>
      </c>
      <c r="J13" s="305"/>
    </row>
    <row r="14" spans="1:12" x14ac:dyDescent="0.2">
      <c r="D14" s="299"/>
      <c r="F14" s="299"/>
      <c r="J14" s="305"/>
    </row>
    <row r="15" spans="1:12" x14ac:dyDescent="0.2">
      <c r="D15" s="299"/>
      <c r="F15" s="299"/>
      <c r="J15" s="305"/>
    </row>
    <row r="16" spans="1:12" x14ac:dyDescent="0.2">
      <c r="A16" s="100" t="s">
        <v>128</v>
      </c>
      <c r="B16" s="100"/>
      <c r="C16" s="100"/>
      <c r="D16" s="299"/>
      <c r="F16" s="299"/>
      <c r="J16" s="305"/>
    </row>
    <row r="17" spans="1:13" x14ac:dyDescent="0.2">
      <c r="B17" t="s">
        <v>154</v>
      </c>
      <c r="D17" s="301">
        <f>'Int Inc calc after WO'!H51+'Int Inc calc after WO'!H53+'Int Inc calc after WO'!H55+'Int Inc calc after WO'!H57+'Int Inc calc after WO'!H59+'Int Inc calc after WO'!H61</f>
        <v>733582.77506711555</v>
      </c>
      <c r="F17" s="301">
        <f>'Can $ Only'!H33+'Can $ Only'!H35+'Can $ Only'!H37+'Can $ Only'!H39+'Can $ Only'!H41+'Can $ Only'!H43</f>
        <v>735086.38448005018</v>
      </c>
      <c r="H17" s="301">
        <f>D17/J17</f>
        <v>499035.90140620107</v>
      </c>
      <c r="J17" s="305">
        <v>1.47</v>
      </c>
    </row>
    <row r="18" spans="1:13" x14ac:dyDescent="0.2">
      <c r="B18" t="s">
        <v>163</v>
      </c>
      <c r="D18" s="301">
        <f>'Int Inc calc after WO'!H65</f>
        <v>41528.296475459938</v>
      </c>
      <c r="F18" s="301">
        <f>'Can $ Only'!H47</f>
        <v>42157.751628765131</v>
      </c>
      <c r="H18" s="301">
        <f>D18/J18</f>
        <v>28250.541820040773</v>
      </c>
      <c r="J18" s="305">
        <v>1.47</v>
      </c>
    </row>
    <row r="19" spans="1:13" x14ac:dyDescent="0.2">
      <c r="B19" t="s">
        <v>162</v>
      </c>
      <c r="D19" s="301">
        <f>'Int Inc calc after WO'!H74+'Int Inc calc after WO'!H76</f>
        <v>18272.198730225384</v>
      </c>
      <c r="F19" s="301">
        <f>'Can $ Only'!H51+'Can $ Only'!H53</f>
        <v>20450.918738968834</v>
      </c>
      <c r="H19" s="301">
        <f>D19/J19</f>
        <v>12430.067163418629</v>
      </c>
      <c r="J19" s="305">
        <v>1.47</v>
      </c>
    </row>
    <row r="20" spans="1:13" x14ac:dyDescent="0.2">
      <c r="B20" s="100" t="s">
        <v>160</v>
      </c>
      <c r="C20" s="100"/>
      <c r="D20" s="302">
        <f>SUM(D17:D19)</f>
        <v>793383.27027280093</v>
      </c>
      <c r="F20" s="302">
        <f>SUM(F17:F19)</f>
        <v>797695.05484778411</v>
      </c>
      <c r="H20" s="302">
        <f>SUM(H17:H19)</f>
        <v>539716.51038966049</v>
      </c>
      <c r="J20" s="305"/>
      <c r="K20" s="299"/>
      <c r="M20" s="300"/>
    </row>
    <row r="21" spans="1:13" x14ac:dyDescent="0.2">
      <c r="D21" s="300"/>
      <c r="F21" s="300"/>
      <c r="J21" s="305"/>
    </row>
    <row r="22" spans="1:13" x14ac:dyDescent="0.2">
      <c r="D22" s="300"/>
      <c r="F22" s="300"/>
      <c r="J22" s="305"/>
    </row>
    <row r="23" spans="1:13" x14ac:dyDescent="0.2">
      <c r="A23" s="303" t="s">
        <v>161</v>
      </c>
      <c r="D23" s="304">
        <f>D13+D20</f>
        <v>1057836.1602728015</v>
      </c>
      <c r="F23" s="304">
        <f>F13+F20</f>
        <v>1062147.9448477847</v>
      </c>
      <c r="H23" s="304">
        <f>H13+H20</f>
        <v>1207109.4707945669</v>
      </c>
      <c r="J23" s="305"/>
    </row>
    <row r="24" spans="1:13" x14ac:dyDescent="0.2">
      <c r="D24" s="300"/>
      <c r="F24" s="300"/>
    </row>
    <row r="25" spans="1:13" x14ac:dyDescent="0.2">
      <c r="D25" s="300"/>
    </row>
    <row r="26" spans="1:13" x14ac:dyDescent="0.2">
      <c r="D26" s="300"/>
    </row>
    <row r="27" spans="1:13" x14ac:dyDescent="0.2">
      <c r="D27" s="300"/>
    </row>
    <row r="30" spans="1:13" x14ac:dyDescent="0.2">
      <c r="D30" s="300"/>
    </row>
    <row r="31" spans="1:13" x14ac:dyDescent="0.2">
      <c r="D31" s="300"/>
    </row>
    <row r="32" spans="1:13" x14ac:dyDescent="0.2">
      <c r="D32" s="300"/>
    </row>
    <row r="33" spans="3:4" x14ac:dyDescent="0.2">
      <c r="D33" s="300"/>
    </row>
    <row r="34" spans="3:4" x14ac:dyDescent="0.2">
      <c r="D34" s="300"/>
    </row>
    <row r="35" spans="3:4" x14ac:dyDescent="0.2">
      <c r="C35" s="100"/>
      <c r="D35" s="300"/>
    </row>
    <row r="36" spans="3:4" x14ac:dyDescent="0.2">
      <c r="D36" s="300"/>
    </row>
    <row r="37" spans="3:4" x14ac:dyDescent="0.2">
      <c r="D37" s="300"/>
    </row>
  </sheetData>
  <pageMargins left="0.75" right="0.75" top="1" bottom="1" header="0.5" footer="0.5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99"/>
  <sheetViews>
    <sheetView topLeftCell="J26" workbookViewId="0">
      <selection activeCell="C14" sqref="C14"/>
    </sheetView>
  </sheetViews>
  <sheetFormatPr defaultRowHeight="12.75" x14ac:dyDescent="0.2"/>
  <cols>
    <col min="1" max="1" width="20.710937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2.710937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9" width="16.42578125" style="7" customWidth="1"/>
    <col min="10" max="10" width="16.42578125" style="231" customWidth="1"/>
    <col min="11" max="11" width="14.42578125" style="7" customWidth="1"/>
    <col min="12" max="12" width="17.28515625" customWidth="1"/>
    <col min="13" max="13" width="13.7109375" style="7" customWidth="1"/>
    <col min="14" max="15" width="17.5703125" style="7" customWidth="1"/>
    <col min="16" max="16" width="3" style="7" customWidth="1"/>
    <col min="17" max="17" width="15.140625" style="7" customWidth="1"/>
    <col min="18" max="16384" width="9.140625" style="7"/>
  </cols>
  <sheetData>
    <row r="1" spans="1:32" s="386" customFormat="1" x14ac:dyDescent="0.2">
      <c r="A1" s="387" t="s">
        <v>131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385"/>
      <c r="N1" s="385"/>
      <c r="O1" s="385"/>
    </row>
    <row r="2" spans="1:32" s="386" customFormat="1" x14ac:dyDescent="0.2">
      <c r="A2" s="387" t="s">
        <v>176</v>
      </c>
      <c r="B2" s="2"/>
      <c r="C2" s="2"/>
      <c r="D2" s="3"/>
      <c r="E2" s="4"/>
      <c r="F2" s="2"/>
      <c r="G2" s="5"/>
      <c r="H2" s="3"/>
      <c r="I2" s="3"/>
      <c r="J2" s="230"/>
      <c r="K2" s="3"/>
      <c r="L2" s="385"/>
      <c r="N2" s="385"/>
      <c r="O2" s="385"/>
    </row>
    <row r="3" spans="1:32" x14ac:dyDescent="0.2">
      <c r="A3" s="3"/>
      <c r="G3" s="5"/>
      <c r="H3" s="3"/>
      <c r="I3" s="3"/>
      <c r="J3" s="230"/>
      <c r="K3" s="3"/>
      <c r="L3" s="251"/>
      <c r="N3" s="251"/>
      <c r="O3" s="251"/>
    </row>
    <row r="4" spans="1:32" x14ac:dyDescent="0.2">
      <c r="A4" s="3"/>
      <c r="G4" s="5"/>
      <c r="H4" s="3"/>
      <c r="I4" s="3"/>
      <c r="J4" s="230"/>
      <c r="K4" s="3"/>
      <c r="L4" s="251"/>
      <c r="N4" s="251"/>
      <c r="O4" s="251"/>
    </row>
    <row r="5" spans="1:32" x14ac:dyDescent="0.2">
      <c r="L5" s="251"/>
      <c r="N5" s="251"/>
      <c r="O5" s="251"/>
    </row>
    <row r="6" spans="1:32" ht="14.25" customHeight="1" x14ac:dyDescent="0.2">
      <c r="A6" s="224"/>
      <c r="D6" s="22"/>
      <c r="J6" s="7"/>
      <c r="L6" s="251"/>
    </row>
    <row r="7" spans="1:32" ht="14.25" customHeight="1" x14ac:dyDescent="0.2">
      <c r="A7" s="224"/>
      <c r="D7" s="22"/>
      <c r="H7" s="22" t="s">
        <v>114</v>
      </c>
      <c r="K7" s="22" t="s">
        <v>6</v>
      </c>
      <c r="N7" s="25" t="s">
        <v>115</v>
      </c>
      <c r="O7" s="25"/>
    </row>
    <row r="8" spans="1:32" x14ac:dyDescent="0.2">
      <c r="C8" s="23" t="s">
        <v>7</v>
      </c>
      <c r="D8" s="22" t="s">
        <v>8</v>
      </c>
      <c r="E8" s="23"/>
      <c r="F8" s="22" t="s">
        <v>9</v>
      </c>
      <c r="G8" s="24" t="s">
        <v>10</v>
      </c>
      <c r="H8" s="26" t="s">
        <v>112</v>
      </c>
      <c r="I8" s="390">
        <v>0.1</v>
      </c>
      <c r="J8" s="391">
        <v>0.9</v>
      </c>
      <c r="K8" s="29" t="s">
        <v>179</v>
      </c>
      <c r="L8" s="255" t="s">
        <v>180</v>
      </c>
      <c r="M8" s="22" t="s">
        <v>113</v>
      </c>
      <c r="N8" s="25" t="s">
        <v>111</v>
      </c>
      <c r="O8" s="25" t="s">
        <v>67</v>
      </c>
    </row>
    <row r="9" spans="1:32" x14ac:dyDescent="0.2">
      <c r="A9" s="26" t="s">
        <v>14</v>
      </c>
      <c r="B9" s="27" t="s">
        <v>15</v>
      </c>
      <c r="C9" s="27" t="s">
        <v>16</v>
      </c>
      <c r="D9" s="26" t="s">
        <v>17</v>
      </c>
      <c r="E9" s="23" t="s">
        <v>7</v>
      </c>
      <c r="F9" s="22" t="s">
        <v>18</v>
      </c>
      <c r="G9" s="28" t="s">
        <v>19</v>
      </c>
      <c r="H9" s="22" t="s">
        <v>113</v>
      </c>
      <c r="I9" s="22" t="s">
        <v>177</v>
      </c>
      <c r="J9" s="235" t="s">
        <v>178</v>
      </c>
      <c r="K9" s="29" t="s">
        <v>13</v>
      </c>
      <c r="L9" s="255" t="s">
        <v>135</v>
      </c>
      <c r="M9" s="29" t="s">
        <v>13</v>
      </c>
      <c r="N9" s="29" t="s">
        <v>126</v>
      </c>
      <c r="O9" s="25" t="s">
        <v>139</v>
      </c>
    </row>
    <row r="10" spans="1:32" ht="6.75" customHeight="1" x14ac:dyDescent="0.2">
      <c r="A10" s="31"/>
      <c r="B10" s="32"/>
      <c r="C10" s="32"/>
      <c r="D10" s="31"/>
      <c r="E10" s="33"/>
      <c r="F10" s="32"/>
      <c r="G10" s="34"/>
      <c r="H10" s="31"/>
      <c r="I10" s="35"/>
      <c r="J10" s="236"/>
      <c r="K10" s="35"/>
      <c r="L10" s="256"/>
      <c r="M10" s="35"/>
      <c r="N10" s="36"/>
      <c r="O10" s="36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s="48" customFormat="1" x14ac:dyDescent="0.2">
      <c r="A11" s="257" t="s">
        <v>25</v>
      </c>
      <c r="B11" s="49"/>
      <c r="C11" s="49"/>
      <c r="D11" s="37"/>
      <c r="E11" s="51"/>
      <c r="F11" s="258"/>
      <c r="G11" s="19"/>
      <c r="H11" s="82"/>
      <c r="I11" s="54"/>
      <c r="J11" s="210"/>
      <c r="K11" s="54">
        <v>6321000</v>
      </c>
      <c r="L11" s="7"/>
      <c r="M11" s="271"/>
      <c r="N11" s="272">
        <f>K11</f>
        <v>6321000</v>
      </c>
      <c r="O11" s="259">
        <v>6321000</v>
      </c>
    </row>
    <row r="12" spans="1:32" x14ac:dyDescent="0.2">
      <c r="A12" s="58" t="s">
        <v>26</v>
      </c>
      <c r="B12" s="49">
        <v>21</v>
      </c>
      <c r="C12" s="49" t="s">
        <v>24</v>
      </c>
      <c r="D12" s="50">
        <v>35873</v>
      </c>
      <c r="E12" s="51">
        <v>9.9000000000000005E-2</v>
      </c>
      <c r="F12" s="52">
        <v>6.25E-2</v>
      </c>
      <c r="G12" s="53">
        <f>E12+F12</f>
        <v>0.1615</v>
      </c>
      <c r="H12" s="388">
        <f>N12*E12*B12/365</f>
        <v>36003.72328767123</v>
      </c>
      <c r="I12" s="55"/>
      <c r="J12" s="237"/>
      <c r="K12" s="260"/>
      <c r="L12" s="251"/>
      <c r="M12" s="55"/>
      <c r="N12" s="54">
        <f t="shared" ref="N12:N53" si="0">N11+K12+M12</f>
        <v>6321000</v>
      </c>
      <c r="O12" s="212">
        <f t="shared" ref="O12:O53" si="1">O11+K12</f>
        <v>6321000</v>
      </c>
    </row>
    <row r="13" spans="1:32" x14ac:dyDescent="0.2">
      <c r="A13" s="58" t="s">
        <v>27</v>
      </c>
      <c r="B13" s="49">
        <v>9</v>
      </c>
      <c r="C13" s="49"/>
      <c r="D13" s="50"/>
      <c r="E13" s="51">
        <v>9.9000000000000005E-2</v>
      </c>
      <c r="F13" s="52"/>
      <c r="G13" s="53"/>
      <c r="H13" s="388">
        <f>N13*E13*B13/365</f>
        <v>17871.26301369863</v>
      </c>
      <c r="I13" s="59"/>
      <c r="J13" s="70"/>
      <c r="K13" s="260">
        <v>1000000</v>
      </c>
      <c r="L13" s="261"/>
      <c r="M13" s="55"/>
      <c r="N13" s="54">
        <f t="shared" si="0"/>
        <v>7321000</v>
      </c>
      <c r="O13" s="212">
        <f t="shared" si="1"/>
        <v>7321000</v>
      </c>
    </row>
    <row r="14" spans="1:32" s="68" customFormat="1" ht="12" x14ac:dyDescent="0.2">
      <c r="A14" s="262" t="s">
        <v>28</v>
      </c>
      <c r="B14" s="61">
        <f>SUM(B12:B13)</f>
        <v>30</v>
      </c>
      <c r="C14" s="61"/>
      <c r="D14" s="263"/>
      <c r="E14" s="63"/>
      <c r="F14" s="64"/>
      <c r="G14" s="28"/>
      <c r="H14" s="389">
        <f>SUM(H12:H13)</f>
        <v>53874.986301369863</v>
      </c>
      <c r="I14" s="59">
        <f>10%*H14</f>
        <v>5387.4986301369863</v>
      </c>
      <c r="J14" s="70">
        <f>H14-I14</f>
        <v>48487.487671232877</v>
      </c>
      <c r="K14" s="59"/>
      <c r="L14" s="54">
        <f>-J14</f>
        <v>-48487.487671232877</v>
      </c>
      <c r="M14" s="54">
        <f>J14+L14</f>
        <v>0</v>
      </c>
      <c r="N14" s="54">
        <f t="shared" si="0"/>
        <v>7321000</v>
      </c>
      <c r="O14" s="212">
        <f t="shared" si="1"/>
        <v>7321000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</row>
    <row r="15" spans="1:32" s="69" customFormat="1" ht="12" x14ac:dyDescent="0.2">
      <c r="A15" s="58" t="s">
        <v>79</v>
      </c>
      <c r="B15" s="49">
        <v>11</v>
      </c>
      <c r="C15" s="49"/>
      <c r="D15" s="50"/>
      <c r="E15" s="51">
        <v>9.9000000000000005E-2</v>
      </c>
      <c r="F15" s="52"/>
      <c r="G15" s="53"/>
      <c r="H15" s="388">
        <f>N15*E15*B15/365</f>
        <v>21842.654794520549</v>
      </c>
      <c r="I15" s="55"/>
      <c r="J15" s="237"/>
      <c r="K15" s="260"/>
      <c r="L15" s="55"/>
      <c r="M15" s="55"/>
      <c r="N15" s="54">
        <f t="shared" si="0"/>
        <v>7321000</v>
      </c>
      <c r="O15" s="212">
        <f t="shared" si="1"/>
        <v>7321000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</row>
    <row r="16" spans="1:32" s="69" customFormat="1" ht="12" x14ac:dyDescent="0.2">
      <c r="A16" s="58" t="s">
        <v>80</v>
      </c>
      <c r="B16" s="49">
        <v>20</v>
      </c>
      <c r="C16" s="49"/>
      <c r="D16" s="50"/>
      <c r="E16" s="51">
        <v>9.9000000000000005E-2</v>
      </c>
      <c r="F16" s="52"/>
      <c r="G16" s="53"/>
      <c r="H16" s="388">
        <f>N16*E16*B16/365</f>
        <v>45138.575342465752</v>
      </c>
      <c r="I16" s="59"/>
      <c r="J16" s="70"/>
      <c r="K16" s="260">
        <v>1000000</v>
      </c>
      <c r="L16" s="55"/>
      <c r="M16" s="55"/>
      <c r="N16" s="54">
        <f t="shared" si="0"/>
        <v>8321000</v>
      </c>
      <c r="O16" s="212">
        <f t="shared" si="1"/>
        <v>8321000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 spans="1:32" s="69" customFormat="1" ht="12" x14ac:dyDescent="0.2">
      <c r="A17" s="186" t="s">
        <v>81</v>
      </c>
      <c r="B17" s="61">
        <f>SUM(B15:B16)</f>
        <v>31</v>
      </c>
      <c r="C17" s="49"/>
      <c r="D17" s="50"/>
      <c r="E17" s="51"/>
      <c r="F17" s="52"/>
      <c r="G17" s="53"/>
      <c r="H17" s="389">
        <f>SUM(H15:H16)</f>
        <v>66981.230136986298</v>
      </c>
      <c r="I17" s="59">
        <f>10%*H17</f>
        <v>6698.1230136986305</v>
      </c>
      <c r="J17" s="70">
        <f>H17-I17</f>
        <v>60283.107123287671</v>
      </c>
      <c r="K17" s="260"/>
      <c r="L17" s="54">
        <f>-J17</f>
        <v>-60283.107123287671</v>
      </c>
      <c r="M17" s="54">
        <f>J17+L17</f>
        <v>0</v>
      </c>
      <c r="N17" s="54">
        <f t="shared" si="0"/>
        <v>8321000</v>
      </c>
      <c r="O17" s="212">
        <f t="shared" si="1"/>
        <v>8321000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</row>
    <row r="18" spans="1:32" s="69" customFormat="1" ht="12" x14ac:dyDescent="0.2">
      <c r="A18" s="58" t="s">
        <v>87</v>
      </c>
      <c r="B18" s="49">
        <v>17</v>
      </c>
      <c r="C18" s="49"/>
      <c r="D18" s="50"/>
      <c r="E18" s="51">
        <v>9.9000000000000005E-2</v>
      </c>
      <c r="F18" s="52"/>
      <c r="G18" s="53"/>
      <c r="H18" s="388">
        <f>N18*E18*B18/365</f>
        <v>38367.789041095893</v>
      </c>
      <c r="I18" s="59"/>
      <c r="J18" s="70"/>
      <c r="K18" s="260"/>
      <c r="L18" s="55"/>
      <c r="M18" s="55"/>
      <c r="N18" s="54">
        <f t="shared" si="0"/>
        <v>8321000</v>
      </c>
      <c r="O18" s="212">
        <f t="shared" si="1"/>
        <v>8321000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 spans="1:32" s="69" customFormat="1" ht="12" x14ac:dyDescent="0.2">
      <c r="A19" s="58" t="s">
        <v>88</v>
      </c>
      <c r="B19" s="49">
        <v>13</v>
      </c>
      <c r="C19" s="49"/>
      <c r="D19" s="50"/>
      <c r="E19" s="51">
        <v>9.9000000000000005E-2</v>
      </c>
      <c r="F19" s="52"/>
      <c r="G19" s="53"/>
      <c r="H19" s="388">
        <f>N19*E19*B19/365</f>
        <v>38680.520547945205</v>
      </c>
      <c r="I19" s="59"/>
      <c r="J19" s="70"/>
      <c r="K19" s="260">
        <v>2649000</v>
      </c>
      <c r="L19" s="55"/>
      <c r="M19" s="55"/>
      <c r="N19" s="54">
        <f t="shared" si="0"/>
        <v>10970000</v>
      </c>
      <c r="O19" s="212">
        <f t="shared" si="1"/>
        <v>10970000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</row>
    <row r="20" spans="1:32" s="69" customFormat="1" ht="12" x14ac:dyDescent="0.2">
      <c r="A20" s="186" t="s">
        <v>85</v>
      </c>
      <c r="B20" s="61">
        <f>SUM(B18:B19)</f>
        <v>30</v>
      </c>
      <c r="C20" s="49"/>
      <c r="D20" s="50"/>
      <c r="E20" s="51"/>
      <c r="F20" s="52"/>
      <c r="G20" s="53"/>
      <c r="H20" s="389">
        <f>SUM(H18:H19)</f>
        <v>77048.309589041106</v>
      </c>
      <c r="I20" s="59">
        <f>10%*H20</f>
        <v>7704.830958904111</v>
      </c>
      <c r="J20" s="70">
        <f>H20-I20</f>
        <v>69343.47863013699</v>
      </c>
      <c r="K20" s="260"/>
      <c r="L20" s="54">
        <f>-J20</f>
        <v>-69343.47863013699</v>
      </c>
      <c r="M20" s="54">
        <f>J20+L20</f>
        <v>0</v>
      </c>
      <c r="N20" s="54">
        <f t="shared" si="0"/>
        <v>10970000</v>
      </c>
      <c r="O20" s="212">
        <f t="shared" si="1"/>
        <v>10970000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 spans="1:32" s="69" customFormat="1" ht="12" x14ac:dyDescent="0.2">
      <c r="A21" s="58" t="s">
        <v>89</v>
      </c>
      <c r="B21" s="49">
        <v>27</v>
      </c>
      <c r="C21" s="49"/>
      <c r="D21" s="50"/>
      <c r="E21" s="51">
        <v>9.9000000000000005E-2</v>
      </c>
      <c r="F21" s="52"/>
      <c r="G21" s="53"/>
      <c r="H21" s="388">
        <f>N21*E21*B21/365</f>
        <v>80336.465753424651</v>
      </c>
      <c r="I21" s="59"/>
      <c r="J21" s="70"/>
      <c r="K21" s="260"/>
      <c r="L21" s="55"/>
      <c r="M21" s="55"/>
      <c r="N21" s="54">
        <f t="shared" si="0"/>
        <v>10970000</v>
      </c>
      <c r="O21" s="212">
        <f t="shared" si="1"/>
        <v>10970000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</row>
    <row r="22" spans="1:32" s="69" customFormat="1" ht="12" x14ac:dyDescent="0.2">
      <c r="A22" s="201" t="s">
        <v>90</v>
      </c>
      <c r="B22" s="49">
        <v>4</v>
      </c>
      <c r="C22" s="61"/>
      <c r="D22" s="263"/>
      <c r="E22" s="51">
        <v>9.9000000000000005E-2</v>
      </c>
      <c r="F22" s="52"/>
      <c r="G22" s="53"/>
      <c r="H22" s="388">
        <f>N22*E22*B22/365</f>
        <v>12986.630136986301</v>
      </c>
      <c r="I22" s="59"/>
      <c r="J22" s="70"/>
      <c r="K22" s="54">
        <v>1000000</v>
      </c>
      <c r="L22" s="55"/>
      <c r="M22" s="55"/>
      <c r="N22" s="54">
        <f t="shared" si="0"/>
        <v>11970000</v>
      </c>
      <c r="O22" s="212">
        <f t="shared" si="1"/>
        <v>11970000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 spans="1:32" s="69" customFormat="1" ht="12" x14ac:dyDescent="0.2">
      <c r="A23" s="262" t="s">
        <v>91</v>
      </c>
      <c r="B23" s="61">
        <f>SUM(B21:B22)</f>
        <v>31</v>
      </c>
      <c r="C23" s="61"/>
      <c r="D23" s="263"/>
      <c r="E23" s="63"/>
      <c r="F23" s="64"/>
      <c r="G23" s="28"/>
      <c r="H23" s="389">
        <f>SUM(H21:H22)</f>
        <v>93323.095890410958</v>
      </c>
      <c r="I23" s="59">
        <f>10%*H23</f>
        <v>9332.3095890410968</v>
      </c>
      <c r="J23" s="70">
        <f>H23-I23</f>
        <v>83990.786301369866</v>
      </c>
      <c r="K23" s="59"/>
      <c r="L23" s="54">
        <f>-J23</f>
        <v>-83990.786301369866</v>
      </c>
      <c r="M23" s="54">
        <f>J23+L23</f>
        <v>0</v>
      </c>
      <c r="N23" s="54">
        <f t="shared" si="0"/>
        <v>11970000</v>
      </c>
      <c r="O23" s="212">
        <f t="shared" si="1"/>
        <v>11970000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 spans="1:32" s="69" customFormat="1" ht="12" x14ac:dyDescent="0.2">
      <c r="A24" s="201" t="s">
        <v>93</v>
      </c>
      <c r="B24" s="49">
        <v>30</v>
      </c>
      <c r="C24" s="61"/>
      <c r="D24" s="263"/>
      <c r="E24" s="51">
        <v>9.9000000000000005E-2</v>
      </c>
      <c r="F24" s="64"/>
      <c r="G24" s="28"/>
      <c r="H24" s="388">
        <f>N24*E24*B24/365</f>
        <v>97399.726027397264</v>
      </c>
      <c r="I24" s="59"/>
      <c r="J24" s="70"/>
      <c r="K24" s="59"/>
      <c r="L24" s="55"/>
      <c r="M24" s="55"/>
      <c r="N24" s="54">
        <f t="shared" si="0"/>
        <v>11970000</v>
      </c>
      <c r="O24" s="212">
        <f t="shared" si="1"/>
        <v>11970000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 spans="1:32" s="69" customFormat="1" ht="12" x14ac:dyDescent="0.2">
      <c r="A25" s="262" t="s">
        <v>94</v>
      </c>
      <c r="B25" s="61">
        <v>30</v>
      </c>
      <c r="C25" s="61"/>
      <c r="D25" s="263"/>
      <c r="E25" s="51" t="s">
        <v>56</v>
      </c>
      <c r="F25" s="64"/>
      <c r="G25" s="28"/>
      <c r="H25" s="389">
        <f>SUM(H24)</f>
        <v>97399.726027397264</v>
      </c>
      <c r="I25" s="59">
        <f>10%*H25</f>
        <v>9739.9726027397264</v>
      </c>
      <c r="J25" s="70">
        <f>H25-I25</f>
        <v>87659.753424657538</v>
      </c>
      <c r="K25" s="59"/>
      <c r="L25" s="54">
        <f>-J25</f>
        <v>-87659.753424657538</v>
      </c>
      <c r="M25" s="54">
        <f>J25+L25</f>
        <v>0</v>
      </c>
      <c r="N25" s="54">
        <f t="shared" si="0"/>
        <v>11970000</v>
      </c>
      <c r="O25" s="212">
        <f t="shared" si="1"/>
        <v>11970000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 spans="1:32" s="69" customFormat="1" ht="12" x14ac:dyDescent="0.2">
      <c r="A26" s="201" t="s">
        <v>96</v>
      </c>
      <c r="B26" s="49">
        <v>3</v>
      </c>
      <c r="C26" s="61"/>
      <c r="D26" s="263"/>
      <c r="E26" s="51">
        <v>9.9000000000000005E-2</v>
      </c>
      <c r="F26" s="64"/>
      <c r="G26" s="28"/>
      <c r="H26" s="388">
        <f>N26*E26*B26/365</f>
        <v>9739.9726027397264</v>
      </c>
      <c r="I26" s="59"/>
      <c r="J26" s="70"/>
      <c r="K26" s="59"/>
      <c r="L26" s="55"/>
      <c r="M26" s="55"/>
      <c r="N26" s="54">
        <f t="shared" si="0"/>
        <v>11970000</v>
      </c>
      <c r="O26" s="212">
        <f t="shared" si="1"/>
        <v>11970000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</row>
    <row r="27" spans="1:32" s="69" customFormat="1" ht="12" x14ac:dyDescent="0.2">
      <c r="A27" s="201" t="s">
        <v>97</v>
      </c>
      <c r="B27" s="49">
        <v>17</v>
      </c>
      <c r="C27" s="61"/>
      <c r="D27" s="263"/>
      <c r="E27" s="51">
        <v>9.9000000000000005E-2</v>
      </c>
      <c r="F27" s="64"/>
      <c r="G27" s="28"/>
      <c r="H27" s="388">
        <f>N27*E27*B27/365</f>
        <v>63031.808219178085</v>
      </c>
      <c r="I27" s="59"/>
      <c r="J27" s="70"/>
      <c r="K27" s="54">
        <v>1700000</v>
      </c>
      <c r="L27" s="55"/>
      <c r="M27" s="55"/>
      <c r="N27" s="54">
        <f t="shared" si="0"/>
        <v>13670000</v>
      </c>
      <c r="O27" s="212">
        <f t="shared" si="1"/>
        <v>13670000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</row>
    <row r="28" spans="1:32" s="69" customFormat="1" ht="12" x14ac:dyDescent="0.2">
      <c r="A28" s="201" t="s">
        <v>98</v>
      </c>
      <c r="B28" s="49">
        <v>11</v>
      </c>
      <c r="C28" s="61"/>
      <c r="D28" s="263"/>
      <c r="E28" s="51">
        <v>9.9000000000000005E-2</v>
      </c>
      <c r="F28" s="64"/>
      <c r="G28" s="28"/>
      <c r="H28" s="388">
        <f>N28*E28*B28/365</f>
        <v>43768.849315068495</v>
      </c>
      <c r="I28" s="59"/>
      <c r="J28" s="70"/>
      <c r="K28" s="54">
        <v>1000000</v>
      </c>
      <c r="L28" s="55"/>
      <c r="M28" s="55"/>
      <c r="N28" s="54">
        <f t="shared" si="0"/>
        <v>14670000</v>
      </c>
      <c r="O28" s="212">
        <f t="shared" si="1"/>
        <v>14670000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</row>
    <row r="29" spans="1:32" s="69" customFormat="1" ht="12" x14ac:dyDescent="0.2">
      <c r="A29" s="262" t="s">
        <v>99</v>
      </c>
      <c r="B29" s="61">
        <f>SUM(B26:B28)</f>
        <v>31</v>
      </c>
      <c r="C29" s="61"/>
      <c r="D29" s="263"/>
      <c r="E29" s="51"/>
      <c r="F29" s="64"/>
      <c r="G29" s="28"/>
      <c r="H29" s="389">
        <f>SUM(H26:H28)</f>
        <v>116540.63013698631</v>
      </c>
      <c r="I29" s="59">
        <f>10%*H29</f>
        <v>11654.063013698631</v>
      </c>
      <c r="J29" s="70">
        <f>H29-I29</f>
        <v>104886.56712328768</v>
      </c>
      <c r="K29" s="54"/>
      <c r="L29" s="54">
        <f>-J29</f>
        <v>-104886.56712328768</v>
      </c>
      <c r="M29" s="54">
        <f>J29+L29</f>
        <v>0</v>
      </c>
      <c r="N29" s="54">
        <f t="shared" si="0"/>
        <v>14670000</v>
      </c>
      <c r="O29" s="212">
        <f t="shared" si="1"/>
        <v>14670000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 spans="1:32" s="69" customFormat="1" ht="12" x14ac:dyDescent="0.2">
      <c r="A30" s="201" t="s">
        <v>101</v>
      </c>
      <c r="B30" s="49">
        <v>31</v>
      </c>
      <c r="C30" s="61"/>
      <c r="D30" s="263"/>
      <c r="E30" s="51">
        <v>9.9000000000000005E-2</v>
      </c>
      <c r="F30" s="64"/>
      <c r="G30" s="28"/>
      <c r="H30" s="388">
        <f>N30*E30*B30/365</f>
        <v>123348.57534246576</v>
      </c>
      <c r="I30" s="59"/>
      <c r="J30" s="70"/>
      <c r="K30" s="54"/>
      <c r="L30" s="55"/>
      <c r="M30" s="55"/>
      <c r="N30" s="54">
        <f t="shared" si="0"/>
        <v>14670000</v>
      </c>
      <c r="O30" s="212">
        <f t="shared" si="1"/>
        <v>14670000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 spans="1:32" s="69" customFormat="1" ht="12" x14ac:dyDescent="0.2">
      <c r="A31" s="262" t="s">
        <v>102</v>
      </c>
      <c r="B31" s="61">
        <f>B30</f>
        <v>31</v>
      </c>
      <c r="C31" s="61"/>
      <c r="D31" s="263"/>
      <c r="E31" s="51"/>
      <c r="F31" s="64"/>
      <c r="G31" s="28"/>
      <c r="H31" s="389">
        <f>SUM(H30)</f>
        <v>123348.57534246576</v>
      </c>
      <c r="I31" s="59">
        <f>10%*H31</f>
        <v>12334.857534246577</v>
      </c>
      <c r="J31" s="70">
        <f>H31-I31</f>
        <v>111013.71780821918</v>
      </c>
      <c r="K31" s="54"/>
      <c r="L31" s="54">
        <f>-J31</f>
        <v>-111013.71780821918</v>
      </c>
      <c r="M31" s="54">
        <f>J31+L31</f>
        <v>0</v>
      </c>
      <c r="N31" s="54">
        <f t="shared" si="0"/>
        <v>14670000</v>
      </c>
      <c r="O31" s="212">
        <f t="shared" si="1"/>
        <v>14670000</v>
      </c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 spans="1:32" s="69" customFormat="1" x14ac:dyDescent="0.2">
      <c r="A32" s="201" t="s">
        <v>104</v>
      </c>
      <c r="B32" s="49">
        <v>28</v>
      </c>
      <c r="C32" s="61"/>
      <c r="D32" s="263"/>
      <c r="E32" s="51">
        <v>9.9000000000000005E-2</v>
      </c>
      <c r="F32" s="64"/>
      <c r="G32" s="28"/>
      <c r="H32" s="388">
        <f>N32*E32*B32/365</f>
        <v>111411.61643835617</v>
      </c>
      <c r="I32" s="59"/>
      <c r="J32" s="70"/>
      <c r="K32" s="54"/>
      <c r="L32" s="55"/>
      <c r="M32" s="261"/>
      <c r="N32" s="54">
        <f t="shared" si="0"/>
        <v>14670000</v>
      </c>
      <c r="O32" s="212">
        <f t="shared" si="1"/>
        <v>14670000</v>
      </c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 spans="1:32" s="69" customFormat="1" ht="12" x14ac:dyDescent="0.2">
      <c r="A33" s="262" t="s">
        <v>105</v>
      </c>
      <c r="B33" s="61">
        <f>B32</f>
        <v>28</v>
      </c>
      <c r="C33" s="61"/>
      <c r="D33" s="263"/>
      <c r="E33" s="51"/>
      <c r="F33" s="64"/>
      <c r="G33" s="28"/>
      <c r="H33" s="389">
        <f>SUM(H32)</f>
        <v>111411.61643835617</v>
      </c>
      <c r="I33" s="59">
        <f>10%*H33</f>
        <v>11141.161643835618</v>
      </c>
      <c r="J33" s="70">
        <f>H33-I33</f>
        <v>100270.45479452056</v>
      </c>
      <c r="L33" s="57">
        <v>0</v>
      </c>
      <c r="M33" s="54">
        <f>H33</f>
        <v>111411.61643835617</v>
      </c>
      <c r="N33" s="54">
        <f t="shared" si="0"/>
        <v>14781411.616438355</v>
      </c>
      <c r="O33" s="212">
        <f t="shared" si="1"/>
        <v>14670000</v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</row>
    <row r="34" spans="1:32" s="69" customFormat="1" ht="12" x14ac:dyDescent="0.2">
      <c r="A34" s="201" t="s">
        <v>106</v>
      </c>
      <c r="B34" s="49">
        <v>31</v>
      </c>
      <c r="C34" s="61"/>
      <c r="D34" s="263"/>
      <c r="E34" s="51">
        <v>9.9000000000000005E-2</v>
      </c>
      <c r="F34" s="64"/>
      <c r="G34" s="28"/>
      <c r="H34" s="388">
        <f>N34*E34*B34/365</f>
        <v>124285.34863246388</v>
      </c>
      <c r="I34" s="59"/>
      <c r="J34" s="70"/>
      <c r="L34" s="57"/>
      <c r="M34" s="54"/>
      <c r="N34" s="54">
        <f t="shared" si="0"/>
        <v>14781411.616438355</v>
      </c>
      <c r="O34" s="212">
        <f t="shared" si="1"/>
        <v>14670000</v>
      </c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 spans="1:32" s="69" customFormat="1" ht="12" x14ac:dyDescent="0.2">
      <c r="A35" s="262" t="s">
        <v>107</v>
      </c>
      <c r="B35" s="61">
        <f>B34</f>
        <v>31</v>
      </c>
      <c r="C35" s="61"/>
      <c r="D35" s="263"/>
      <c r="E35" s="51"/>
      <c r="F35" s="64"/>
      <c r="G35" s="28"/>
      <c r="H35" s="389">
        <f>H34</f>
        <v>124285.34863246388</v>
      </c>
      <c r="I35" s="59">
        <f>10%*H35</f>
        <v>12428.534863246388</v>
      </c>
      <c r="J35" s="70">
        <f>H35-I35</f>
        <v>111856.81376921749</v>
      </c>
      <c r="L35" s="57">
        <v>0</v>
      </c>
      <c r="M35" s="54">
        <f>H35</f>
        <v>124285.34863246388</v>
      </c>
      <c r="N35" s="54">
        <f t="shared" si="0"/>
        <v>14905696.965070819</v>
      </c>
      <c r="O35" s="212">
        <f t="shared" si="1"/>
        <v>14670000</v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 spans="1:32" s="69" customFormat="1" ht="12" x14ac:dyDescent="0.2">
      <c r="A36" s="201" t="s">
        <v>108</v>
      </c>
      <c r="B36" s="49">
        <v>30</v>
      </c>
      <c r="C36" s="61"/>
      <c r="D36" s="263"/>
      <c r="E36" s="51">
        <v>9.9000000000000005E-2</v>
      </c>
      <c r="F36" s="64"/>
      <c r="G36" s="28"/>
      <c r="H36" s="388">
        <f>N36*E36*B36/365</f>
        <v>121287.45201715159</v>
      </c>
      <c r="I36" s="59"/>
      <c r="J36" s="70"/>
      <c r="L36" s="57"/>
      <c r="M36" s="54"/>
      <c r="N36" s="54">
        <f t="shared" si="0"/>
        <v>14905696.965070819</v>
      </c>
      <c r="O36" s="212">
        <f t="shared" si="1"/>
        <v>14670000</v>
      </c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 spans="1:32" s="69" customFormat="1" ht="12" x14ac:dyDescent="0.2">
      <c r="A37" s="262" t="s">
        <v>109</v>
      </c>
      <c r="B37" s="61">
        <f>B36</f>
        <v>30</v>
      </c>
      <c r="C37" s="61"/>
      <c r="D37" s="263"/>
      <c r="E37" s="51"/>
      <c r="F37" s="64"/>
      <c r="G37" s="28"/>
      <c r="H37" s="389">
        <f>H36</f>
        <v>121287.45201715159</v>
      </c>
      <c r="I37" s="59">
        <f>10%*H37</f>
        <v>12128.745201715159</v>
      </c>
      <c r="J37" s="70">
        <f>H37-I37</f>
        <v>109158.70681543642</v>
      </c>
      <c r="L37" s="57">
        <v>0</v>
      </c>
      <c r="M37" s="54">
        <f>H37</f>
        <v>121287.45201715159</v>
      </c>
      <c r="N37" s="54">
        <f t="shared" si="0"/>
        <v>15026984.41708797</v>
      </c>
      <c r="O37" s="212">
        <f t="shared" si="1"/>
        <v>14670000</v>
      </c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 spans="1:32" s="69" customFormat="1" ht="12" x14ac:dyDescent="0.2">
      <c r="A38" s="201" t="s">
        <v>116</v>
      </c>
      <c r="B38" s="49">
        <v>31</v>
      </c>
      <c r="C38" s="61"/>
      <c r="D38" s="263"/>
      <c r="E38" s="51">
        <v>9.9000000000000005E-2</v>
      </c>
      <c r="F38" s="64"/>
      <c r="G38" s="28"/>
      <c r="H38" s="388">
        <f>N38*E38*B38/365</f>
        <v>126350.17856450132</v>
      </c>
      <c r="I38" s="54"/>
      <c r="J38" s="210"/>
      <c r="L38" s="57"/>
      <c r="M38" s="210"/>
      <c r="N38" s="54">
        <f t="shared" si="0"/>
        <v>15026984.41708797</v>
      </c>
      <c r="O38" s="212">
        <f t="shared" si="1"/>
        <v>14670000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1:32" s="69" customFormat="1" ht="12" x14ac:dyDescent="0.2">
      <c r="A39" s="262" t="s">
        <v>117</v>
      </c>
      <c r="B39" s="61">
        <v>31</v>
      </c>
      <c r="C39" s="61"/>
      <c r="D39" s="263"/>
      <c r="E39" s="51"/>
      <c r="F39" s="64"/>
      <c r="G39" s="28"/>
      <c r="H39" s="389">
        <f>H38</f>
        <v>126350.17856450132</v>
      </c>
      <c r="I39" s="59">
        <f>10%*H39</f>
        <v>12635.017856450133</v>
      </c>
      <c r="J39" s="70">
        <f>H39-I39</f>
        <v>113715.16070805117</v>
      </c>
      <c r="L39" s="57">
        <v>0</v>
      </c>
      <c r="M39" s="54">
        <f>H39</f>
        <v>126350.17856450132</v>
      </c>
      <c r="N39" s="54">
        <f t="shared" si="0"/>
        <v>15153334.595652472</v>
      </c>
      <c r="O39" s="212">
        <f t="shared" si="1"/>
        <v>14670000</v>
      </c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1:32" s="69" customFormat="1" ht="12" x14ac:dyDescent="0.2">
      <c r="A40" s="201" t="s">
        <v>119</v>
      </c>
      <c r="B40" s="49">
        <v>30</v>
      </c>
      <c r="C40" s="49"/>
      <c r="D40" s="77"/>
      <c r="E40" s="51">
        <v>9.9000000000000005E-2</v>
      </c>
      <c r="F40" s="64"/>
      <c r="G40" s="28"/>
      <c r="H40" s="388">
        <f>N40*E40*B40/365</f>
        <v>123302.47602489822</v>
      </c>
      <c r="I40" s="54"/>
      <c r="J40" s="210"/>
      <c r="L40" s="57"/>
      <c r="M40" s="210"/>
      <c r="N40" s="54">
        <f t="shared" si="0"/>
        <v>15153334.595652472</v>
      </c>
      <c r="O40" s="212">
        <f t="shared" si="1"/>
        <v>14670000</v>
      </c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1:32" s="69" customFormat="1" ht="12" x14ac:dyDescent="0.2">
      <c r="A41" s="262" t="s">
        <v>120</v>
      </c>
      <c r="B41" s="61">
        <f>B40</f>
        <v>30</v>
      </c>
      <c r="C41" s="61"/>
      <c r="D41" s="263"/>
      <c r="E41" s="51"/>
      <c r="F41" s="64"/>
      <c r="G41" s="28"/>
      <c r="H41" s="389">
        <f>H40</f>
        <v>123302.47602489822</v>
      </c>
      <c r="I41" s="59">
        <f>10%*H41</f>
        <v>12330.247602489822</v>
      </c>
      <c r="J41" s="70">
        <f>H41-I41</f>
        <v>110972.2284224084</v>
      </c>
      <c r="L41" s="57">
        <v>0</v>
      </c>
      <c r="M41" s="54">
        <f>H41</f>
        <v>123302.47602489822</v>
      </c>
      <c r="N41" s="54">
        <f t="shared" si="0"/>
        <v>15276637.07167737</v>
      </c>
      <c r="O41" s="212">
        <f t="shared" si="1"/>
        <v>14670000</v>
      </c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1:32" s="69" customFormat="1" x14ac:dyDescent="0.2">
      <c r="A42" s="201" t="s">
        <v>125</v>
      </c>
      <c r="B42" s="49">
        <v>31</v>
      </c>
      <c r="C42" s="49"/>
      <c r="D42" s="77"/>
      <c r="E42" s="51">
        <v>9.9000000000000005E-2</v>
      </c>
      <c r="F42" s="64"/>
      <c r="G42" s="28"/>
      <c r="H42" s="388">
        <f>N42*E42*B42/365</f>
        <v>128449.31280267904</v>
      </c>
      <c r="I42" s="59"/>
      <c r="J42" s="70"/>
      <c r="K42" s="210"/>
      <c r="L42" s="57"/>
      <c r="M42" s="261"/>
      <c r="N42" s="54">
        <f t="shared" si="0"/>
        <v>15276637.07167737</v>
      </c>
      <c r="O42" s="212">
        <f t="shared" si="1"/>
        <v>14670000</v>
      </c>
      <c r="P42" s="67"/>
      <c r="Q42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 spans="1:32" s="69" customFormat="1" x14ac:dyDescent="0.2">
      <c r="A43" s="262" t="s">
        <v>28</v>
      </c>
      <c r="B43" s="61">
        <v>31</v>
      </c>
      <c r="C43" s="61"/>
      <c r="D43" s="263"/>
      <c r="E43" s="51"/>
      <c r="F43" s="64"/>
      <c r="G43" s="28"/>
      <c r="H43" s="389">
        <f>H42</f>
        <v>128449.31280267904</v>
      </c>
      <c r="I43" s="59">
        <f>10%*H43</f>
        <v>12844.931280267905</v>
      </c>
      <c r="J43" s="70">
        <f>H43-I43</f>
        <v>115604.38152241113</v>
      </c>
      <c r="K43" s="210"/>
      <c r="L43" s="57">
        <v>0</v>
      </c>
      <c r="M43" s="54">
        <f>H43</f>
        <v>128449.31280267904</v>
      </c>
      <c r="N43" s="54">
        <f t="shared" si="0"/>
        <v>15405086.38448005</v>
      </c>
      <c r="O43" s="212">
        <f t="shared" si="1"/>
        <v>14670000</v>
      </c>
      <c r="P43" s="67"/>
      <c r="Q43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s="69" customFormat="1" ht="12" x14ac:dyDescent="0.2">
      <c r="A44" s="201" t="s">
        <v>133</v>
      </c>
      <c r="B44" s="49">
        <v>8</v>
      </c>
      <c r="C44" s="49"/>
      <c r="D44" s="77"/>
      <c r="E44" s="51">
        <v>9.9000000000000005E-2</v>
      </c>
      <c r="F44" s="64"/>
      <c r="G44" s="28"/>
      <c r="H44" s="388">
        <f>N44*E44*B44/365</f>
        <v>33426.927168515613</v>
      </c>
      <c r="I44" s="54"/>
      <c r="J44" s="210"/>
      <c r="K44" s="210"/>
      <c r="L44" s="55"/>
      <c r="M44" s="54"/>
      <c r="N44" s="54">
        <f t="shared" si="0"/>
        <v>15405086.38448005</v>
      </c>
      <c r="O44" s="212">
        <f t="shared" si="1"/>
        <v>14670000</v>
      </c>
      <c r="P44" s="67"/>
      <c r="Q44" s="54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s="69" customFormat="1" x14ac:dyDescent="0.2">
      <c r="A45" s="201" t="s">
        <v>134</v>
      </c>
      <c r="B45" s="61"/>
      <c r="C45" s="61"/>
      <c r="D45" s="263"/>
      <c r="E45" s="51"/>
      <c r="F45" s="64"/>
      <c r="G45" s="28"/>
      <c r="H45" s="389"/>
      <c r="I45" s="59"/>
      <c r="J45" s="70"/>
      <c r="K45" s="210">
        <v>-14005547.109999999</v>
      </c>
      <c r="L45" s="54">
        <v>0</v>
      </c>
      <c r="M45" s="54">
        <f>J45+L45</f>
        <v>0</v>
      </c>
      <c r="N45" s="54">
        <f t="shared" si="0"/>
        <v>1399539.2744800504</v>
      </c>
      <c r="O45" s="212">
        <f t="shared" si="1"/>
        <v>664452.8900000006</v>
      </c>
      <c r="P45" s="67"/>
      <c r="Q45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1:32" s="69" customFormat="1" x14ac:dyDescent="0.2">
      <c r="A46" s="201" t="s">
        <v>138</v>
      </c>
      <c r="B46" s="49">
        <v>23</v>
      </c>
      <c r="C46" s="61"/>
      <c r="D46" s="263"/>
      <c r="E46" s="51">
        <v>9.9000000000000005E-2</v>
      </c>
      <c r="F46" s="64"/>
      <c r="G46" s="28"/>
      <c r="H46" s="388">
        <f>N46*E46*B46/365</f>
        <v>8730.8244602495197</v>
      </c>
      <c r="I46" s="59"/>
      <c r="J46" s="70"/>
      <c r="K46" s="210"/>
      <c r="L46" s="54"/>
      <c r="M46" s="54"/>
      <c r="N46" s="54">
        <f t="shared" si="0"/>
        <v>1399539.2744800504</v>
      </c>
      <c r="O46" s="212">
        <f t="shared" si="1"/>
        <v>664452.8900000006</v>
      </c>
      <c r="P46" s="67"/>
      <c r="Q46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1:32" s="69" customFormat="1" x14ac:dyDescent="0.2">
      <c r="A47" s="262" t="s">
        <v>81</v>
      </c>
      <c r="B47" s="61">
        <f>SUM(B44:B46)</f>
        <v>31</v>
      </c>
      <c r="C47" s="61"/>
      <c r="D47" s="263"/>
      <c r="E47" s="51"/>
      <c r="F47" s="64"/>
      <c r="G47" s="28"/>
      <c r="H47" s="389">
        <f>SUM(H44:H46)</f>
        <v>42157.751628765131</v>
      </c>
      <c r="I47" s="59">
        <f>10%*H47</f>
        <v>4215.7751628765136</v>
      </c>
      <c r="J47" s="70">
        <f>H47-I47</f>
        <v>37941.97646588862</v>
      </c>
      <c r="K47" s="210"/>
      <c r="L47" s="54">
        <v>0</v>
      </c>
      <c r="M47" s="54">
        <f>H47</f>
        <v>42157.751628765131</v>
      </c>
      <c r="N47" s="54">
        <f t="shared" si="0"/>
        <v>1441697.0261088156</v>
      </c>
      <c r="O47" s="212">
        <f t="shared" si="1"/>
        <v>664452.8900000006</v>
      </c>
      <c r="P47" s="67"/>
      <c r="Q4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1:32" s="69" customFormat="1" x14ac:dyDescent="0.2">
      <c r="A48" s="201" t="s">
        <v>149</v>
      </c>
      <c r="B48" s="49">
        <v>21</v>
      </c>
      <c r="C48" s="61"/>
      <c r="D48" s="263"/>
      <c r="E48" s="51">
        <v>9.9000000000000005E-2</v>
      </c>
      <c r="F48" s="64"/>
      <c r="G48" s="28"/>
      <c r="H48" s="388">
        <f>N48*E48*B48/365</f>
        <v>8211.7482665211719</v>
      </c>
      <c r="I48" s="59"/>
      <c r="J48" s="70"/>
      <c r="K48" s="210"/>
      <c r="L48" s="54"/>
      <c r="M48" s="54"/>
      <c r="N48" s="54">
        <f>N47+K48+M48</f>
        <v>1441697.0261088156</v>
      </c>
      <c r="O48" s="212">
        <f>O47+K48</f>
        <v>664452.8900000006</v>
      </c>
      <c r="P48" s="67"/>
      <c r="Q48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1:32" s="69" customFormat="1" x14ac:dyDescent="0.2">
      <c r="A49" s="201" t="s">
        <v>147</v>
      </c>
      <c r="B49" s="61"/>
      <c r="C49" s="61"/>
      <c r="D49" s="263"/>
      <c r="E49" s="51"/>
      <c r="F49" s="64"/>
      <c r="G49" s="28"/>
      <c r="H49" s="389"/>
      <c r="I49" s="59"/>
      <c r="J49" s="70"/>
      <c r="K49" s="210">
        <f>-400000+77926.07</f>
        <v>-322073.93</v>
      </c>
      <c r="L49" s="54">
        <v>0</v>
      </c>
      <c r="M49" s="54">
        <f>J49+L49</f>
        <v>0</v>
      </c>
      <c r="N49" s="54">
        <f t="shared" si="0"/>
        <v>1119623.0961088156</v>
      </c>
      <c r="O49" s="212">
        <f t="shared" si="1"/>
        <v>342378.9600000006</v>
      </c>
      <c r="P49" s="67"/>
      <c r="Q49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1:32" s="69" customFormat="1" x14ac:dyDescent="0.2">
      <c r="A50" s="201" t="s">
        <v>148</v>
      </c>
      <c r="B50" s="49">
        <v>9</v>
      </c>
      <c r="C50" s="61"/>
      <c r="D50" s="263"/>
      <c r="E50" s="51">
        <v>9.9000000000000005E-2</v>
      </c>
      <c r="F50" s="64"/>
      <c r="G50" s="28"/>
      <c r="H50" s="388">
        <f>N50*E50*B50/365</f>
        <v>2733.1073387204237</v>
      </c>
      <c r="I50" s="59"/>
      <c r="J50" s="70"/>
      <c r="K50" s="210"/>
      <c r="L50" s="54"/>
      <c r="M50" s="54"/>
      <c r="N50" s="54">
        <f t="shared" si="0"/>
        <v>1119623.0961088156</v>
      </c>
      <c r="O50" s="212">
        <f t="shared" si="1"/>
        <v>342378.9600000006</v>
      </c>
      <c r="P50" s="67"/>
      <c r="Q50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1:32" s="69" customFormat="1" x14ac:dyDescent="0.2">
      <c r="A51" s="262" t="s">
        <v>85</v>
      </c>
      <c r="B51" s="61">
        <f>SUM(B48:B50)</f>
        <v>30</v>
      </c>
      <c r="C51" s="61"/>
      <c r="D51" s="263"/>
      <c r="E51" s="51"/>
      <c r="F51" s="64"/>
      <c r="G51" s="28"/>
      <c r="H51" s="389">
        <f>SUM(H48:H50)</f>
        <v>10944.855605241595</v>
      </c>
      <c r="I51" s="59">
        <f>10%*H51</f>
        <v>1094.4855605241596</v>
      </c>
      <c r="J51" s="70">
        <f>H51-I51</f>
        <v>9850.370044717436</v>
      </c>
      <c r="K51" s="210"/>
      <c r="L51" s="54">
        <v>0</v>
      </c>
      <c r="M51" s="54">
        <f>H51</f>
        <v>10944.855605241595</v>
      </c>
      <c r="N51" s="54">
        <f t="shared" si="0"/>
        <v>1130567.9517140572</v>
      </c>
      <c r="O51" s="212">
        <f t="shared" si="1"/>
        <v>342378.9600000006</v>
      </c>
      <c r="P51" s="67"/>
      <c r="Q51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1:32" s="69" customFormat="1" x14ac:dyDescent="0.2">
      <c r="A52" s="201" t="s">
        <v>146</v>
      </c>
      <c r="B52" s="49">
        <v>31</v>
      </c>
      <c r="C52" s="61"/>
      <c r="D52" s="263"/>
      <c r="E52" s="51">
        <v>9.9000000000000005E-2</v>
      </c>
      <c r="F52" s="64"/>
      <c r="G52" s="28"/>
      <c r="H52" s="388">
        <f>N52*E52*B52/365</f>
        <v>9506.0631337272389</v>
      </c>
      <c r="I52" s="59"/>
      <c r="J52" s="70"/>
      <c r="K52" s="210"/>
      <c r="L52" s="54"/>
      <c r="M52" s="54"/>
      <c r="N52" s="54">
        <f t="shared" si="0"/>
        <v>1130567.9517140572</v>
      </c>
      <c r="O52" s="212">
        <f t="shared" si="1"/>
        <v>342378.9600000006</v>
      </c>
      <c r="P52" s="67"/>
      <c r="Q52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1:32" s="69" customFormat="1" x14ac:dyDescent="0.2">
      <c r="A53" s="262" t="s">
        <v>91</v>
      </c>
      <c r="B53" s="61">
        <f>SUM(B52)</f>
        <v>31</v>
      </c>
      <c r="C53" s="61"/>
      <c r="D53" s="263"/>
      <c r="E53" s="51"/>
      <c r="F53" s="64"/>
      <c r="G53" s="28"/>
      <c r="H53" s="389">
        <f>SUM(H52)</f>
        <v>9506.0631337272389</v>
      </c>
      <c r="I53" s="59">
        <f>10%*H53</f>
        <v>950.60631337272389</v>
      </c>
      <c r="J53" s="70">
        <f>H53-I53</f>
        <v>8555.456820354515</v>
      </c>
      <c r="K53" s="210"/>
      <c r="L53" s="54">
        <v>0</v>
      </c>
      <c r="M53" s="54">
        <f>H53</f>
        <v>9506.0631337272389</v>
      </c>
      <c r="N53" s="54">
        <f t="shared" si="0"/>
        <v>1140074.0148477845</v>
      </c>
      <c r="O53" s="212">
        <f t="shared" si="1"/>
        <v>342378.9600000006</v>
      </c>
      <c r="P53" s="67"/>
      <c r="Q53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1:32" s="69" customFormat="1" ht="12" x14ac:dyDescent="0.2">
      <c r="A54" s="84"/>
      <c r="B54" s="72"/>
      <c r="C54" s="72"/>
      <c r="D54" s="75"/>
      <c r="E54" s="73"/>
      <c r="F54" s="85"/>
      <c r="G54" s="74"/>
      <c r="H54" s="83"/>
      <c r="I54" s="86"/>
      <c r="J54" s="238"/>
      <c r="K54" s="264"/>
      <c r="L54" s="250"/>
      <c r="M54" s="264"/>
      <c r="N54" s="83"/>
      <c r="O54" s="265"/>
      <c r="P54" s="67"/>
      <c r="Q54" s="70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1:32" s="69" customFormat="1" x14ac:dyDescent="0.2">
      <c r="B55" s="61"/>
      <c r="C55" s="61"/>
      <c r="D55" s="50"/>
      <c r="E55" s="51"/>
      <c r="F55" s="52"/>
      <c r="G55" s="53"/>
      <c r="H55" s="59"/>
      <c r="I55" s="59"/>
      <c r="J55" s="70"/>
      <c r="K55" s="51"/>
      <c r="L55" s="251"/>
      <c r="M55" s="19"/>
      <c r="N55" s="54"/>
      <c r="O55" s="54"/>
      <c r="P55" s="219"/>
      <c r="Q55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</row>
    <row r="56" spans="1:32" s="69" customFormat="1" x14ac:dyDescent="0.2">
      <c r="B56" s="49"/>
      <c r="C56" s="49"/>
      <c r="D56" s="50"/>
      <c r="E56" s="51"/>
      <c r="F56" s="52"/>
      <c r="G56" s="53"/>
      <c r="H56" s="54"/>
      <c r="I56" s="55"/>
      <c r="J56" s="237"/>
      <c r="K56" s="249"/>
      <c r="L56"/>
      <c r="M56" s="392" t="s">
        <v>183</v>
      </c>
      <c r="N56" s="59">
        <f>N53-O53</f>
        <v>797695.05484778387</v>
      </c>
      <c r="O56" s="54"/>
      <c r="P56" s="219"/>
      <c r="Q56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</row>
    <row r="57" spans="1:32" s="69" customFormat="1" x14ac:dyDescent="0.2">
      <c r="A57" s="188"/>
      <c r="B57" s="49"/>
      <c r="C57" s="49"/>
      <c r="D57" s="50"/>
      <c r="E57" s="51"/>
      <c r="F57" s="52"/>
      <c r="G57" s="53"/>
      <c r="H57" s="54"/>
      <c r="I57" s="70"/>
      <c r="J57" s="70"/>
      <c r="L57"/>
      <c r="M57" s="19"/>
      <c r="N57" s="54"/>
      <c r="O57" s="54"/>
      <c r="P57" s="67"/>
      <c r="Q5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1:32" s="69" customFormat="1" x14ac:dyDescent="0.2">
      <c r="A58" s="188" t="str">
        <f ca="1">CELL("FILENAME")</f>
        <v>I:\UNMANAGD\CQM\[Ice Dri1.xls]Can $ Only-Bankruptcy</v>
      </c>
      <c r="B58" s="251"/>
      <c r="C58" s="251"/>
      <c r="D58" s="251"/>
      <c r="E58" s="251"/>
      <c r="F58" s="251"/>
      <c r="G58" s="251"/>
      <c r="H58" s="251"/>
      <c r="I58" s="59"/>
      <c r="J58" s="70"/>
      <c r="K58" s="248"/>
      <c r="L58"/>
      <c r="M58" s="19"/>
      <c r="N58" s="59"/>
      <c r="O58" s="59"/>
      <c r="P58" s="67"/>
      <c r="Q58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 spans="1:32" s="69" customFormat="1" x14ac:dyDescent="0.2">
      <c r="A59"/>
      <c r="B59"/>
      <c r="C59"/>
      <c r="D59"/>
      <c r="E59"/>
      <c r="F59" s="251"/>
      <c r="G59" s="251"/>
      <c r="H59" s="251"/>
      <c r="I59" s="59"/>
      <c r="J59" s="242"/>
      <c r="K59" s="244"/>
      <c r="L59"/>
      <c r="M59" s="19"/>
      <c r="N59" s="59"/>
      <c r="O59" s="59"/>
      <c r="P59" s="67"/>
      <c r="Q59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 spans="1:32" s="69" customFormat="1" x14ac:dyDescent="0.2">
      <c r="A60"/>
      <c r="B60"/>
      <c r="C60"/>
      <c r="D60"/>
      <c r="E60"/>
      <c r="F60" s="251"/>
      <c r="G60" s="251"/>
      <c r="H60" s="251"/>
      <c r="I60" s="70"/>
      <c r="J60" s="70"/>
      <c r="K60" s="244"/>
      <c r="L60"/>
      <c r="M60" s="19"/>
      <c r="N60" s="59"/>
      <c r="O60" s="59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1:32" s="69" customFormat="1" x14ac:dyDescent="0.2">
      <c r="A61"/>
      <c r="B61"/>
      <c r="C61"/>
      <c r="D61"/>
      <c r="E61"/>
      <c r="F61" s="251"/>
      <c r="G61" s="251"/>
      <c r="H61" s="251"/>
      <c r="I61" s="70"/>
      <c r="J61" s="70"/>
      <c r="K61" s="260"/>
      <c r="L61"/>
      <c r="M61" s="19"/>
      <c r="N61" s="54"/>
      <c r="O61" s="54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1:32" s="69" customFormat="1" x14ac:dyDescent="0.2">
      <c r="A62"/>
      <c r="B62"/>
      <c r="C62"/>
      <c r="D62"/>
      <c r="E62"/>
      <c r="F62" s="251"/>
      <c r="G62" s="251"/>
      <c r="H62" s="251"/>
      <c r="I62" s="55"/>
      <c r="J62" s="237"/>
      <c r="K62" s="260"/>
      <c r="L62"/>
      <c r="M62" s="19"/>
      <c r="N62" s="54"/>
      <c r="O62" s="54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1:32" s="69" customFormat="1" x14ac:dyDescent="0.2">
      <c r="A63"/>
      <c r="B63"/>
      <c r="C63"/>
      <c r="D63"/>
      <c r="E63"/>
      <c r="F63"/>
      <c r="G63"/>
      <c r="H63"/>
      <c r="I63" s="59"/>
      <c r="J63" s="70"/>
      <c r="K63" s="42"/>
      <c r="L63"/>
      <c r="M63" s="19"/>
      <c r="N63" s="45"/>
      <c r="O63" s="45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1:32" s="69" customFormat="1" x14ac:dyDescent="0.2">
      <c r="A64"/>
      <c r="B64"/>
      <c r="C64"/>
      <c r="D64"/>
      <c r="E64"/>
      <c r="F64" s="52"/>
      <c r="G64" s="53"/>
      <c r="H64" s="59"/>
      <c r="I64" s="59"/>
      <c r="J64" s="70"/>
      <c r="K64" s="42"/>
      <c r="L64"/>
      <c r="M64" s="19"/>
      <c r="N64" s="45"/>
      <c r="O64" s="45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1:32" s="55" customFormat="1" x14ac:dyDescent="0.2">
      <c r="A65"/>
      <c r="B65"/>
      <c r="C65"/>
      <c r="D65"/>
      <c r="E65"/>
      <c r="F65" s="78"/>
      <c r="G65" s="53"/>
      <c r="H65" s="54"/>
      <c r="I65" s="50"/>
      <c r="J65" s="239"/>
      <c r="K65" s="51"/>
      <c r="L65"/>
      <c r="M65" s="53"/>
      <c r="N65" s="54"/>
      <c r="O65" s="54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s="55" customFormat="1" x14ac:dyDescent="0.2">
      <c r="A66"/>
      <c r="B66"/>
      <c r="C66"/>
      <c r="D66"/>
      <c r="E66"/>
      <c r="F66" s="78"/>
      <c r="G66" s="53"/>
      <c r="H66" s="54"/>
      <c r="I66" s="59"/>
      <c r="J66" s="70"/>
      <c r="K66" s="54"/>
      <c r="L66"/>
      <c r="M66" s="54"/>
      <c r="N66" s="67"/>
      <c r="O66" s="67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1:32" x14ac:dyDescent="0.2">
      <c r="N67" s="67"/>
      <c r="O67" s="67"/>
    </row>
    <row r="68" spans="1:32" x14ac:dyDescent="0.2">
      <c r="N68" s="67"/>
      <c r="O68" s="67"/>
    </row>
    <row r="69" spans="1:32" x14ac:dyDescent="0.2">
      <c r="N69" s="38"/>
      <c r="O69" s="38"/>
    </row>
    <row r="70" spans="1:32" x14ac:dyDescent="0.2">
      <c r="N70" s="38"/>
      <c r="O70" s="38"/>
    </row>
    <row r="71" spans="1:32" x14ac:dyDescent="0.2">
      <c r="N71" s="38"/>
      <c r="O71" s="38"/>
    </row>
    <row r="72" spans="1:32" x14ac:dyDescent="0.2">
      <c r="N72" s="38"/>
      <c r="O72" s="38"/>
    </row>
    <row r="74" spans="1:32" x14ac:dyDescent="0.2">
      <c r="A74"/>
    </row>
    <row r="75" spans="1:32" x14ac:dyDescent="0.2">
      <c r="A75"/>
    </row>
    <row r="76" spans="1:32" x14ac:dyDescent="0.2">
      <c r="A76"/>
    </row>
    <row r="77" spans="1:32" x14ac:dyDescent="0.2">
      <c r="A77"/>
    </row>
    <row r="78" spans="1:32" x14ac:dyDescent="0.2">
      <c r="A78"/>
    </row>
    <row r="83" spans="1:15" s="80" customFormat="1" x14ac:dyDescent="0.2">
      <c r="A83" s="7"/>
      <c r="B83" s="8"/>
      <c r="C83" s="8"/>
      <c r="D83" s="9"/>
      <c r="E83" s="10"/>
      <c r="F83" s="8"/>
      <c r="G83" s="11"/>
      <c r="H83" s="7"/>
      <c r="I83" s="57"/>
      <c r="J83" s="240"/>
      <c r="K83" s="57"/>
      <c r="L83"/>
      <c r="M83" s="7"/>
      <c r="N83" s="7"/>
      <c r="O83" s="7"/>
    </row>
    <row r="84" spans="1:15" s="80" customFormat="1" x14ac:dyDescent="0.2">
      <c r="A84" s="7"/>
      <c r="B84" s="8"/>
      <c r="C84" s="8"/>
      <c r="D84" s="9"/>
      <c r="E84" s="10"/>
      <c r="F84" s="8"/>
      <c r="G84" s="11"/>
      <c r="H84" s="7"/>
      <c r="I84" s="57"/>
      <c r="J84" s="240"/>
      <c r="K84" s="57"/>
      <c r="L84"/>
      <c r="M84" s="7"/>
      <c r="N84" s="7"/>
      <c r="O84" s="7"/>
    </row>
    <row r="85" spans="1:15" s="80" customFormat="1" x14ac:dyDescent="0.2">
      <c r="A85" s="7"/>
      <c r="B85" s="8"/>
      <c r="C85" s="8"/>
      <c r="D85" s="9"/>
      <c r="E85" s="10"/>
      <c r="F85" s="8"/>
      <c r="G85" s="11"/>
      <c r="H85" s="7"/>
      <c r="I85" s="57"/>
      <c r="J85" s="240"/>
      <c r="K85" s="57"/>
      <c r="L85"/>
      <c r="M85" s="7"/>
      <c r="N85" s="7"/>
      <c r="O85" s="7"/>
    </row>
    <row r="86" spans="1:15" x14ac:dyDescent="0.2">
      <c r="I86" s="57"/>
      <c r="J86" s="240"/>
      <c r="K86" s="57"/>
    </row>
    <row r="87" spans="1:15" x14ac:dyDescent="0.2">
      <c r="I87" s="57"/>
      <c r="J87" s="240"/>
      <c r="K87" s="57"/>
    </row>
    <row r="88" spans="1:15" x14ac:dyDescent="0.2">
      <c r="I88" s="57"/>
      <c r="J88" s="240"/>
      <c r="K88" s="57"/>
    </row>
    <row r="89" spans="1:15" x14ac:dyDescent="0.2">
      <c r="I89" s="57"/>
      <c r="J89" s="240"/>
      <c r="K89" s="57"/>
    </row>
    <row r="90" spans="1:15" x14ac:dyDescent="0.2">
      <c r="I90" s="57"/>
      <c r="J90" s="240"/>
      <c r="K90" s="57"/>
    </row>
    <row r="91" spans="1:15" x14ac:dyDescent="0.2">
      <c r="I91" s="57"/>
      <c r="J91" s="240"/>
      <c r="K91" s="57"/>
    </row>
    <row r="92" spans="1:15" x14ac:dyDescent="0.2">
      <c r="I92" s="57"/>
      <c r="J92" s="240"/>
      <c r="K92" s="57"/>
    </row>
    <row r="93" spans="1:15" x14ac:dyDescent="0.2">
      <c r="I93" s="57"/>
      <c r="J93" s="240"/>
      <c r="K93" s="57"/>
    </row>
    <row r="94" spans="1:15" x14ac:dyDescent="0.2">
      <c r="I94" s="57"/>
      <c r="J94" s="240"/>
      <c r="K94" s="57"/>
    </row>
    <row r="95" spans="1:15" x14ac:dyDescent="0.2">
      <c r="I95" s="57"/>
      <c r="J95" s="240"/>
      <c r="K95" s="57"/>
    </row>
    <row r="96" spans="1:15" x14ac:dyDescent="0.2">
      <c r="I96" s="57"/>
      <c r="J96" s="240"/>
      <c r="K96" s="57"/>
    </row>
    <row r="97" spans="9:11" x14ac:dyDescent="0.2">
      <c r="I97" s="57"/>
      <c r="J97" s="240"/>
      <c r="K97" s="57"/>
    </row>
    <row r="98" spans="9:11" x14ac:dyDescent="0.2">
      <c r="I98" s="57"/>
      <c r="J98" s="240"/>
      <c r="K98" s="57"/>
    </row>
    <row r="99" spans="9:11" x14ac:dyDescent="0.2">
      <c r="I99" s="57"/>
      <c r="J99" s="240"/>
      <c r="K99" s="57"/>
    </row>
  </sheetData>
  <pageMargins left="0.5" right="0.5" top="0.5" bottom="0.25" header="0.5" footer="0.5"/>
  <pageSetup scale="7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30"/>
  <sheetViews>
    <sheetView topLeftCell="L1" workbookViewId="0">
      <pane ySplit="1215" topLeftCell="A63" activePane="bottomLeft"/>
      <selection activeCell="C14" sqref="C14"/>
      <selection pane="bottomLeft" activeCell="C14" sqref="C14"/>
    </sheetView>
  </sheetViews>
  <sheetFormatPr defaultRowHeight="12.75" x14ac:dyDescent="0.2"/>
  <cols>
    <col min="1" max="1" width="20.710937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5.710937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11" width="16.42578125" style="7" customWidth="1"/>
    <col min="12" max="12" width="16.42578125" style="231" customWidth="1"/>
    <col min="13" max="13" width="16.42578125" style="7" customWidth="1"/>
    <col min="14" max="14" width="14.42578125" style="7" customWidth="1"/>
    <col min="15" max="15" width="17.28515625" customWidth="1"/>
    <col min="16" max="16" width="16.42578125" style="7" customWidth="1"/>
    <col min="17" max="18" width="12.85546875" style="7" customWidth="1"/>
    <col min="19" max="19" width="13.7109375" style="7" customWidth="1"/>
    <col min="20" max="21" width="17.5703125" style="7" customWidth="1"/>
    <col min="22" max="22" width="20.42578125" style="7" customWidth="1"/>
    <col min="23" max="23" width="15.140625" style="7" customWidth="1"/>
    <col min="24" max="16384" width="9.140625" style="7"/>
  </cols>
  <sheetData>
    <row r="1" spans="1:21" x14ac:dyDescent="0.2">
      <c r="A1" s="488" t="s">
        <v>131</v>
      </c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8"/>
      <c r="O1" s="251"/>
      <c r="T1" s="251"/>
      <c r="U1" s="251"/>
    </row>
    <row r="2" spans="1:21" x14ac:dyDescent="0.2">
      <c r="A2" s="1" t="s">
        <v>124</v>
      </c>
      <c r="B2" s="2"/>
      <c r="C2" s="2"/>
      <c r="D2" s="3"/>
      <c r="E2" s="4"/>
      <c r="F2" s="2"/>
      <c r="G2" s="5"/>
      <c r="H2" s="3"/>
      <c r="I2" s="3"/>
      <c r="J2" s="3"/>
      <c r="K2" s="3"/>
      <c r="L2" s="230"/>
      <c r="M2" s="3"/>
      <c r="N2" s="3"/>
      <c r="O2" s="251"/>
      <c r="T2" s="251"/>
      <c r="U2" s="251"/>
    </row>
    <row r="3" spans="1:21" x14ac:dyDescent="0.2">
      <c r="A3" s="3"/>
      <c r="G3" s="5"/>
      <c r="H3" s="3"/>
      <c r="I3" s="3"/>
      <c r="J3" s="3"/>
      <c r="K3" s="3"/>
      <c r="L3" s="230"/>
      <c r="M3" s="3"/>
      <c r="N3" s="3"/>
      <c r="O3" s="251"/>
      <c r="T3" s="251"/>
      <c r="U3" s="251"/>
    </row>
    <row r="4" spans="1:21" x14ac:dyDescent="0.2">
      <c r="A4" s="3"/>
      <c r="G4" s="5"/>
      <c r="H4" s="3"/>
      <c r="I4" s="3"/>
      <c r="J4" s="3"/>
      <c r="K4" s="3"/>
      <c r="L4" s="230"/>
      <c r="M4" s="3"/>
      <c r="N4" s="3"/>
      <c r="O4" s="251"/>
      <c r="T4" s="251"/>
      <c r="U4" s="251"/>
    </row>
    <row r="5" spans="1:21" x14ac:dyDescent="0.2">
      <c r="O5" s="251"/>
      <c r="T5" s="251"/>
      <c r="U5" s="251"/>
    </row>
    <row r="6" spans="1:21" x14ac:dyDescent="0.2">
      <c r="A6" s="227" t="s">
        <v>0</v>
      </c>
      <c r="E6" s="13">
        <v>35978</v>
      </c>
      <c r="H6" s="13"/>
      <c r="I6" s="14"/>
      <c r="J6" s="14"/>
      <c r="K6" s="14"/>
      <c r="L6" s="232"/>
      <c r="M6" s="14"/>
      <c r="N6" s="251"/>
      <c r="O6" s="251"/>
    </row>
    <row r="7" spans="1:21" x14ac:dyDescent="0.2">
      <c r="A7" s="227" t="s">
        <v>130</v>
      </c>
      <c r="E7" s="226">
        <v>6321000</v>
      </c>
      <c r="H7" s="226"/>
      <c r="I7" s="15"/>
      <c r="J7" s="252"/>
      <c r="K7" s="15"/>
      <c r="L7" s="233"/>
      <c r="M7" s="15"/>
      <c r="O7" s="251"/>
    </row>
    <row r="8" spans="1:21" x14ac:dyDescent="0.2">
      <c r="F8" s="16"/>
      <c r="H8" s="17"/>
      <c r="I8" s="18"/>
      <c r="J8" s="18"/>
      <c r="K8" s="18"/>
      <c r="L8" s="234"/>
      <c r="M8" s="18"/>
      <c r="N8" s="251"/>
      <c r="O8" s="251"/>
    </row>
    <row r="9" spans="1:21" x14ac:dyDescent="0.2">
      <c r="A9" s="227" t="s">
        <v>132</v>
      </c>
      <c r="E9" s="7" t="s">
        <v>29</v>
      </c>
      <c r="G9" s="19"/>
      <c r="H9" s="18"/>
      <c r="I9" s="18"/>
      <c r="J9" s="18"/>
      <c r="K9" s="18"/>
      <c r="L9" s="234"/>
      <c r="M9" s="18"/>
      <c r="N9" s="251"/>
      <c r="O9" s="251"/>
    </row>
    <row r="10" spans="1:21" x14ac:dyDescent="0.2">
      <c r="E10" s="7" t="s">
        <v>31</v>
      </c>
      <c r="G10" s="19"/>
      <c r="H10" s="18"/>
      <c r="I10" s="18"/>
      <c r="J10" s="18"/>
      <c r="K10" s="18"/>
      <c r="L10" s="234"/>
      <c r="M10" s="18"/>
      <c r="N10" s="251"/>
      <c r="O10" s="251"/>
    </row>
    <row r="11" spans="1:21" x14ac:dyDescent="0.2">
      <c r="E11" s="7" t="s">
        <v>30</v>
      </c>
      <c r="G11" s="19"/>
      <c r="H11" s="18"/>
      <c r="I11" s="18"/>
      <c r="J11" s="18"/>
      <c r="K11" s="18"/>
      <c r="L11" s="234"/>
      <c r="M11" s="18"/>
      <c r="N11" s="251"/>
      <c r="O11" s="251"/>
    </row>
    <row r="12" spans="1:21" x14ac:dyDescent="0.2">
      <c r="A12" s="227" t="s">
        <v>136</v>
      </c>
      <c r="E12" s="226">
        <v>194081.63</v>
      </c>
      <c r="N12" s="251"/>
      <c r="O12" s="251"/>
    </row>
    <row r="13" spans="1:21" x14ac:dyDescent="0.2">
      <c r="E13" s="226"/>
      <c r="N13" s="251"/>
      <c r="O13" s="251"/>
    </row>
    <row r="14" spans="1:21" ht="13.5" thickBot="1" x14ac:dyDescent="0.25">
      <c r="N14" s="251"/>
      <c r="O14" s="251"/>
    </row>
    <row r="15" spans="1:21" ht="14.25" customHeight="1" x14ac:dyDescent="0.2">
      <c r="A15" s="253" t="s">
        <v>2</v>
      </c>
      <c r="E15" s="90" t="s">
        <v>43</v>
      </c>
      <c r="F15" s="91"/>
      <c r="G15" s="92"/>
      <c r="H15" s="93"/>
      <c r="N15" s="251"/>
      <c r="O15" s="251"/>
    </row>
    <row r="16" spans="1:21" ht="14.25" customHeight="1" x14ac:dyDescent="0.2">
      <c r="A16" s="254" t="s">
        <v>32</v>
      </c>
      <c r="E16" s="94" t="s">
        <v>44</v>
      </c>
      <c r="F16" s="49"/>
      <c r="G16" s="19"/>
      <c r="H16" s="95"/>
      <c r="N16" s="251"/>
      <c r="O16" s="251"/>
    </row>
    <row r="17" spans="1:38" ht="14.25" customHeight="1" x14ac:dyDescent="0.2">
      <c r="A17" s="254" t="s">
        <v>33</v>
      </c>
      <c r="E17" s="94" t="s">
        <v>45</v>
      </c>
      <c r="F17" s="49"/>
      <c r="G17" s="19"/>
      <c r="H17" s="95"/>
      <c r="N17" s="251"/>
      <c r="O17" s="251"/>
    </row>
    <row r="18" spans="1:38" ht="14.25" customHeight="1" x14ac:dyDescent="0.2">
      <c r="A18" s="254" t="s">
        <v>34</v>
      </c>
      <c r="E18" s="94" t="s">
        <v>46</v>
      </c>
      <c r="F18" s="49"/>
      <c r="G18" s="19"/>
      <c r="H18" s="95"/>
      <c r="N18" s="251"/>
      <c r="O18" s="251"/>
    </row>
    <row r="19" spans="1:38" ht="14.25" customHeight="1" x14ac:dyDescent="0.2">
      <c r="A19" s="254" t="s">
        <v>35</v>
      </c>
      <c r="E19" s="94" t="s">
        <v>47</v>
      </c>
      <c r="F19" s="49"/>
      <c r="G19" s="19"/>
      <c r="H19" s="95"/>
      <c r="N19" s="251"/>
      <c r="O19" s="251"/>
    </row>
    <row r="20" spans="1:38" ht="14.25" customHeight="1" thickBot="1" x14ac:dyDescent="0.25">
      <c r="A20" s="254" t="s">
        <v>37</v>
      </c>
      <c r="E20" s="96"/>
      <c r="F20" s="97"/>
      <c r="G20" s="98"/>
      <c r="H20" s="99"/>
      <c r="N20" s="251"/>
      <c r="O20" s="251"/>
    </row>
    <row r="21" spans="1:38" ht="14.25" customHeight="1" thickBot="1" x14ac:dyDescent="0.25">
      <c r="A21" s="88" t="s">
        <v>38</v>
      </c>
      <c r="D21" s="22" t="s">
        <v>3</v>
      </c>
      <c r="L21" s="7"/>
      <c r="O21" s="251"/>
    </row>
    <row r="22" spans="1:38" ht="14.25" customHeight="1" x14ac:dyDescent="0.2">
      <c r="A22" s="224"/>
      <c r="D22" s="22"/>
      <c r="L22" s="7"/>
      <c r="O22" s="251"/>
    </row>
    <row r="23" spans="1:38" ht="14.25" customHeight="1" x14ac:dyDescent="0.2">
      <c r="A23" s="224"/>
      <c r="D23" s="22"/>
      <c r="L23" s="7"/>
      <c r="O23" s="251"/>
    </row>
    <row r="24" spans="1:38" ht="14.25" customHeight="1" x14ac:dyDescent="0.2">
      <c r="A24" s="224"/>
      <c r="D24" s="22"/>
      <c r="H24" s="22"/>
      <c r="I24" s="22"/>
      <c r="J24" s="22"/>
      <c r="K24" s="22"/>
      <c r="L24" s="235"/>
      <c r="M24" s="22"/>
      <c r="N24" s="22"/>
      <c r="O24" s="251"/>
      <c r="P24" s="22"/>
      <c r="Q24" s="22"/>
      <c r="R24" s="22"/>
      <c r="S24" s="22"/>
    </row>
    <row r="25" spans="1:38" ht="14.25" customHeight="1" x14ac:dyDescent="0.2">
      <c r="A25" s="224"/>
      <c r="D25" s="22"/>
      <c r="H25" s="22" t="s">
        <v>114</v>
      </c>
      <c r="I25" s="22" t="s">
        <v>48</v>
      </c>
      <c r="K25" s="22" t="s">
        <v>48</v>
      </c>
      <c r="L25" s="235"/>
      <c r="M25" s="22" t="s">
        <v>48</v>
      </c>
      <c r="N25" s="22" t="s">
        <v>6</v>
      </c>
      <c r="O25" s="255"/>
      <c r="P25" s="22" t="s">
        <v>48</v>
      </c>
      <c r="Q25" s="29" t="s">
        <v>55</v>
      </c>
      <c r="R25" s="22" t="s">
        <v>48</v>
      </c>
      <c r="T25" s="25" t="s">
        <v>115</v>
      </c>
      <c r="U25" s="25"/>
      <c r="V25" s="22" t="s">
        <v>48</v>
      </c>
    </row>
    <row r="26" spans="1:38" x14ac:dyDescent="0.2">
      <c r="C26" s="23" t="s">
        <v>7</v>
      </c>
      <c r="D26" s="22" t="s">
        <v>8</v>
      </c>
      <c r="E26" s="23"/>
      <c r="F26" s="22" t="s">
        <v>9</v>
      </c>
      <c r="G26" s="24" t="s">
        <v>10</v>
      </c>
      <c r="H26" s="26" t="s">
        <v>112</v>
      </c>
      <c r="I26" s="22" t="s">
        <v>49</v>
      </c>
      <c r="J26" s="390">
        <v>0.1</v>
      </c>
      <c r="K26" s="22" t="s">
        <v>49</v>
      </c>
      <c r="L26" s="391">
        <v>0.9</v>
      </c>
      <c r="M26" s="22" t="s">
        <v>49</v>
      </c>
      <c r="N26" s="29" t="s">
        <v>22</v>
      </c>
      <c r="O26" s="255" t="s">
        <v>193</v>
      </c>
      <c r="P26" s="22" t="s">
        <v>49</v>
      </c>
      <c r="Q26" s="29" t="s">
        <v>128</v>
      </c>
      <c r="R26" s="22" t="s">
        <v>49</v>
      </c>
      <c r="S26" s="22" t="s">
        <v>113</v>
      </c>
      <c r="T26" s="25" t="s">
        <v>111</v>
      </c>
      <c r="U26" s="25" t="s">
        <v>67</v>
      </c>
      <c r="V26" s="22" t="s">
        <v>49</v>
      </c>
    </row>
    <row r="27" spans="1:38" x14ac:dyDescent="0.2">
      <c r="A27" s="26" t="s">
        <v>14</v>
      </c>
      <c r="B27" s="27" t="s">
        <v>15</v>
      </c>
      <c r="C27" s="27" t="s">
        <v>16</v>
      </c>
      <c r="D27" s="26" t="s">
        <v>17</v>
      </c>
      <c r="E27" s="23" t="s">
        <v>7</v>
      </c>
      <c r="F27" s="22" t="s">
        <v>18</v>
      </c>
      <c r="G27" s="28" t="s">
        <v>19</v>
      </c>
      <c r="H27" s="22" t="s">
        <v>113</v>
      </c>
      <c r="I27" s="29" t="s">
        <v>50</v>
      </c>
      <c r="J27" s="22" t="s">
        <v>177</v>
      </c>
      <c r="K27" s="29" t="s">
        <v>50</v>
      </c>
      <c r="L27" s="235" t="s">
        <v>178</v>
      </c>
      <c r="M27" s="29" t="s">
        <v>50</v>
      </c>
      <c r="N27" s="29" t="s">
        <v>13</v>
      </c>
      <c r="O27" s="255" t="s">
        <v>135</v>
      </c>
      <c r="P27" s="29" t="s">
        <v>50</v>
      </c>
      <c r="Q27" s="29" t="s">
        <v>129</v>
      </c>
      <c r="R27" s="29" t="s">
        <v>50</v>
      </c>
      <c r="S27" s="29" t="s">
        <v>13</v>
      </c>
      <c r="T27" s="29" t="s">
        <v>126</v>
      </c>
      <c r="U27" s="25" t="s">
        <v>139</v>
      </c>
      <c r="V27" s="29" t="s">
        <v>50</v>
      </c>
    </row>
    <row r="28" spans="1:38" x14ac:dyDescent="0.2">
      <c r="A28" s="31"/>
      <c r="B28" s="32"/>
      <c r="C28" s="32"/>
      <c r="D28" s="31"/>
      <c r="E28" s="33"/>
      <c r="F28" s="32"/>
      <c r="G28" s="34"/>
      <c r="H28" s="31"/>
      <c r="I28" s="35"/>
      <c r="J28" s="35"/>
      <c r="K28" s="35"/>
      <c r="L28" s="236"/>
      <c r="M28" s="35"/>
      <c r="N28" s="35"/>
      <c r="O28" s="256"/>
      <c r="P28" s="267" t="s">
        <v>137</v>
      </c>
      <c r="Q28" s="256"/>
      <c r="R28" s="256"/>
      <c r="S28" s="35"/>
      <c r="T28" s="36"/>
      <c r="U28" s="36"/>
      <c r="V28" s="267" t="s">
        <v>203</v>
      </c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</row>
    <row r="29" spans="1:38" s="48" customFormat="1" hidden="1" x14ac:dyDescent="0.2">
      <c r="A29" s="257" t="s">
        <v>25</v>
      </c>
      <c r="B29" s="49"/>
      <c r="C29" s="49"/>
      <c r="D29" s="37"/>
      <c r="E29" s="51"/>
      <c r="F29" s="258"/>
      <c r="G29" s="19"/>
      <c r="H29" s="82"/>
      <c r="I29" s="54"/>
      <c r="J29" s="54"/>
      <c r="K29" s="54"/>
      <c r="L29" s="210"/>
      <c r="M29" s="54"/>
      <c r="N29" s="54">
        <v>6321000</v>
      </c>
      <c r="O29" s="7"/>
      <c r="P29" s="251"/>
      <c r="Q29" s="251"/>
      <c r="R29" s="251"/>
      <c r="S29" s="271"/>
      <c r="T29" s="272">
        <f>N29</f>
        <v>6321000</v>
      </c>
      <c r="U29" s="259">
        <v>6321000</v>
      </c>
    </row>
    <row r="30" spans="1:38" hidden="1" x14ac:dyDescent="0.2">
      <c r="A30" s="58" t="s">
        <v>26</v>
      </c>
      <c r="B30" s="49">
        <v>21</v>
      </c>
      <c r="C30" s="49" t="s">
        <v>24</v>
      </c>
      <c r="D30" s="50">
        <v>35873</v>
      </c>
      <c r="E30" s="51">
        <v>9.9000000000000005E-2</v>
      </c>
      <c r="F30" s="52">
        <v>6.25E-2</v>
      </c>
      <c r="G30" s="53">
        <f>E30+F30</f>
        <v>0.1615</v>
      </c>
      <c r="H30" s="82">
        <f>T30*E30*B30/365</f>
        <v>36003.72328767123</v>
      </c>
      <c r="I30" s="55"/>
      <c r="J30" s="55"/>
      <c r="K30" s="55"/>
      <c r="L30" s="237"/>
      <c r="M30" s="55"/>
      <c r="N30" s="260"/>
      <c r="O30" s="251"/>
      <c r="P30" s="9"/>
      <c r="Q30" s="22"/>
      <c r="R30" s="9"/>
      <c r="S30" s="55"/>
      <c r="T30" s="54">
        <f t="shared" ref="T30:T65" si="0">T29+N30+S30</f>
        <v>6321000</v>
      </c>
      <c r="U30" s="212">
        <f>U29+N30</f>
        <v>6321000</v>
      </c>
    </row>
    <row r="31" spans="1:38" hidden="1" x14ac:dyDescent="0.2">
      <c r="A31" s="58" t="s">
        <v>27</v>
      </c>
      <c r="B31" s="49">
        <v>9</v>
      </c>
      <c r="C31" s="49"/>
      <c r="D31" s="50"/>
      <c r="E31" s="51">
        <v>9.9000000000000005E-2</v>
      </c>
      <c r="F31" s="52"/>
      <c r="G31" s="53"/>
      <c r="H31" s="82">
        <f>T31*E31*B31/365</f>
        <v>17871.26301369863</v>
      </c>
      <c r="I31" s="59"/>
      <c r="J31" s="59"/>
      <c r="K31" s="59"/>
      <c r="L31" s="70"/>
      <c r="M31" s="59"/>
      <c r="N31" s="260">
        <v>1000000</v>
      </c>
      <c r="O31" s="261"/>
      <c r="P31" s="240"/>
      <c r="Q31" s="57"/>
      <c r="R31" s="57"/>
      <c r="S31" s="55"/>
      <c r="T31" s="54">
        <f t="shared" si="0"/>
        <v>7321000</v>
      </c>
      <c r="U31" s="212">
        <f t="shared" ref="U31:U65" si="1">U30+N31</f>
        <v>7321000</v>
      </c>
    </row>
    <row r="32" spans="1:38" s="68" customFormat="1" ht="12" hidden="1" x14ac:dyDescent="0.2">
      <c r="A32" s="262" t="s">
        <v>28</v>
      </c>
      <c r="B32" s="61">
        <f>SUM(B30:B31)</f>
        <v>30</v>
      </c>
      <c r="C32" s="61"/>
      <c r="D32" s="263"/>
      <c r="E32" s="63"/>
      <c r="F32" s="64"/>
      <c r="G32" s="28"/>
      <c r="H32" s="29">
        <f>SUM(H30:H31)</f>
        <v>53874.986301369863</v>
      </c>
      <c r="I32" s="89">
        <f>H32/1.47</f>
        <v>36649.650545149569</v>
      </c>
      <c r="J32" s="59">
        <f>10%*H32</f>
        <v>5387.4986301369863</v>
      </c>
      <c r="K32" s="89">
        <f>J32/1.47</f>
        <v>3664.9650545149566</v>
      </c>
      <c r="L32" s="70">
        <f>H32-J32</f>
        <v>48487.487671232877</v>
      </c>
      <c r="M32" s="89">
        <f>L32/1.47</f>
        <v>32984.685490634613</v>
      </c>
      <c r="N32" s="59"/>
      <c r="O32" s="54">
        <f>-L32</f>
        <v>-48487.487671232877</v>
      </c>
      <c r="P32" s="210">
        <f>O32/1.47</f>
        <v>-32984.685490634613</v>
      </c>
      <c r="Q32" s="54">
        <f>L32</f>
        <v>48487.487671232877</v>
      </c>
      <c r="R32" s="210">
        <f>Q32/1.47</f>
        <v>32984.685490634613</v>
      </c>
      <c r="S32" s="54">
        <f>L32+O32</f>
        <v>0</v>
      </c>
      <c r="T32" s="54">
        <f t="shared" si="0"/>
        <v>7321000</v>
      </c>
      <c r="U32" s="212">
        <f t="shared" si="1"/>
        <v>7321000</v>
      </c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</row>
    <row r="33" spans="1:38" s="69" customFormat="1" ht="12" hidden="1" x14ac:dyDescent="0.2">
      <c r="A33" s="58" t="s">
        <v>79</v>
      </c>
      <c r="B33" s="49">
        <v>11</v>
      </c>
      <c r="C33" s="49"/>
      <c r="D33" s="50"/>
      <c r="E33" s="51">
        <v>9.9000000000000005E-2</v>
      </c>
      <c r="F33" s="52"/>
      <c r="G33" s="53"/>
      <c r="H33" s="82">
        <f>T33*E33*B33/365</f>
        <v>21842.654794520549</v>
      </c>
      <c r="I33" s="55"/>
      <c r="J33" s="55"/>
      <c r="K33" s="55"/>
      <c r="L33" s="237"/>
      <c r="M33" s="55"/>
      <c r="N33" s="260"/>
      <c r="O33" s="55"/>
      <c r="P33" s="266"/>
      <c r="Q33" s="53"/>
      <c r="R33" s="53"/>
      <c r="S33" s="55"/>
      <c r="T33" s="54">
        <f t="shared" si="0"/>
        <v>7321000</v>
      </c>
      <c r="U33" s="212">
        <f t="shared" si="1"/>
        <v>7321000</v>
      </c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</row>
    <row r="34" spans="1:38" s="69" customFormat="1" ht="12" hidden="1" x14ac:dyDescent="0.2">
      <c r="A34" s="58" t="s">
        <v>80</v>
      </c>
      <c r="B34" s="49">
        <v>20</v>
      </c>
      <c r="C34" s="49"/>
      <c r="D34" s="50"/>
      <c r="E34" s="51">
        <v>9.9000000000000005E-2</v>
      </c>
      <c r="F34" s="52"/>
      <c r="G34" s="53"/>
      <c r="H34" s="82">
        <f>T34*E34*B34/365</f>
        <v>45138.575342465752</v>
      </c>
      <c r="I34" s="59"/>
      <c r="J34" s="59"/>
      <c r="K34" s="59"/>
      <c r="L34" s="70"/>
      <c r="M34" s="59"/>
      <c r="N34" s="260">
        <v>1000000</v>
      </c>
      <c r="O34" s="55"/>
      <c r="P34" s="266"/>
      <c r="Q34" s="53"/>
      <c r="R34" s="53"/>
      <c r="S34" s="55"/>
      <c r="T34" s="54">
        <f t="shared" si="0"/>
        <v>8321000</v>
      </c>
      <c r="U34" s="212">
        <f t="shared" si="1"/>
        <v>8321000</v>
      </c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</row>
    <row r="35" spans="1:38" s="69" customFormat="1" ht="12" hidden="1" x14ac:dyDescent="0.2">
      <c r="A35" s="186" t="s">
        <v>81</v>
      </c>
      <c r="B35" s="61">
        <f>SUM(B33:B34)</f>
        <v>31</v>
      </c>
      <c r="C35" s="49"/>
      <c r="D35" s="50"/>
      <c r="E35" s="51"/>
      <c r="F35" s="52"/>
      <c r="G35" s="53"/>
      <c r="H35" s="29">
        <f>SUM(H33:H34)</f>
        <v>66981.230136986298</v>
      </c>
      <c r="I35" s="89">
        <f>H35/1.47</f>
        <v>45565.462678221971</v>
      </c>
      <c r="J35" s="59">
        <f>10%*H35</f>
        <v>6698.1230136986305</v>
      </c>
      <c r="K35" s="89">
        <f>J35/1.47</f>
        <v>4556.5462678221975</v>
      </c>
      <c r="L35" s="70">
        <f>H35-J35</f>
        <v>60283.107123287671</v>
      </c>
      <c r="M35" s="89">
        <f>L35/1.47</f>
        <v>41008.916410399775</v>
      </c>
      <c r="N35" s="260"/>
      <c r="O35" s="54">
        <f>-L35</f>
        <v>-60283.107123287671</v>
      </c>
      <c r="P35" s="210">
        <f>O35/1.47</f>
        <v>-41008.916410399775</v>
      </c>
      <c r="Q35" s="54">
        <f>L35</f>
        <v>60283.107123287671</v>
      </c>
      <c r="R35" s="210">
        <f>Q35/1.47</f>
        <v>41008.916410399775</v>
      </c>
      <c r="S35" s="54">
        <f>L35+O35</f>
        <v>0</v>
      </c>
      <c r="T35" s="54">
        <f t="shared" si="0"/>
        <v>8321000</v>
      </c>
      <c r="U35" s="212">
        <f t="shared" si="1"/>
        <v>8321000</v>
      </c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</row>
    <row r="36" spans="1:38" s="69" customFormat="1" ht="12" hidden="1" x14ac:dyDescent="0.2">
      <c r="A36" s="58" t="s">
        <v>87</v>
      </c>
      <c r="B36" s="49">
        <v>17</v>
      </c>
      <c r="C36" s="49"/>
      <c r="D36" s="50"/>
      <c r="E36" s="51">
        <v>9.9000000000000005E-2</v>
      </c>
      <c r="F36" s="52"/>
      <c r="G36" s="53"/>
      <c r="H36" s="82">
        <f>T36*E36*B36/365</f>
        <v>38367.789041095893</v>
      </c>
      <c r="I36" s="55"/>
      <c r="J36" s="59"/>
      <c r="K36" s="59"/>
      <c r="L36" s="70"/>
      <c r="M36" s="59"/>
      <c r="N36" s="260"/>
      <c r="O36" s="55"/>
      <c r="P36" s="266"/>
      <c r="Q36" s="53"/>
      <c r="R36" s="53"/>
      <c r="S36" s="55"/>
      <c r="T36" s="54">
        <f t="shared" si="0"/>
        <v>8321000</v>
      </c>
      <c r="U36" s="212">
        <f t="shared" si="1"/>
        <v>8321000</v>
      </c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</row>
    <row r="37" spans="1:38" s="69" customFormat="1" ht="12" hidden="1" x14ac:dyDescent="0.2">
      <c r="A37" s="58" t="s">
        <v>88</v>
      </c>
      <c r="B37" s="49">
        <v>13</v>
      </c>
      <c r="C37" s="49"/>
      <c r="D37" s="50"/>
      <c r="E37" s="51">
        <v>9.9000000000000005E-2</v>
      </c>
      <c r="F37" s="52"/>
      <c r="G37" s="53"/>
      <c r="H37" s="82">
        <f>T37*E37*B37/365</f>
        <v>38680.520547945205</v>
      </c>
      <c r="I37" s="55"/>
      <c r="J37" s="59"/>
      <c r="K37" s="59"/>
      <c r="L37" s="70"/>
      <c r="M37" s="59"/>
      <c r="N37" s="260">
        <v>2649000</v>
      </c>
      <c r="O37" s="55"/>
      <c r="P37" s="266"/>
      <c r="Q37" s="53"/>
      <c r="R37" s="53"/>
      <c r="S37" s="55"/>
      <c r="T37" s="54">
        <f t="shared" si="0"/>
        <v>10970000</v>
      </c>
      <c r="U37" s="212">
        <f t="shared" si="1"/>
        <v>10970000</v>
      </c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</row>
    <row r="38" spans="1:38" s="69" customFormat="1" ht="12" hidden="1" x14ac:dyDescent="0.2">
      <c r="A38" s="186" t="s">
        <v>85</v>
      </c>
      <c r="B38" s="61">
        <f>SUM(B36:B37)</f>
        <v>30</v>
      </c>
      <c r="C38" s="49"/>
      <c r="D38" s="50"/>
      <c r="E38" s="51"/>
      <c r="F38" s="52"/>
      <c r="G38" s="53"/>
      <c r="H38" s="29">
        <f>SUM(H36:H37)</f>
        <v>77048.309589041106</v>
      </c>
      <c r="I38" s="89">
        <f>H38/1.47</f>
        <v>52413.816046966742</v>
      </c>
      <c r="J38" s="59">
        <f>10%*H38</f>
        <v>7704.830958904111</v>
      </c>
      <c r="K38" s="89">
        <f>J38/1.47</f>
        <v>5241.381604696674</v>
      </c>
      <c r="L38" s="70">
        <f>H38-J38</f>
        <v>69343.47863013699</v>
      </c>
      <c r="M38" s="89">
        <f>L38/1.47</f>
        <v>47172.43444227006</v>
      </c>
      <c r="N38" s="260"/>
      <c r="O38" s="54">
        <f>-L38</f>
        <v>-69343.47863013699</v>
      </c>
      <c r="P38" s="210">
        <f>O38/1.47</f>
        <v>-47172.43444227006</v>
      </c>
      <c r="Q38" s="54">
        <f>L38</f>
        <v>69343.47863013699</v>
      </c>
      <c r="R38" s="210">
        <f>Q38/1.47</f>
        <v>47172.43444227006</v>
      </c>
      <c r="S38" s="54">
        <f>L38+O38</f>
        <v>0</v>
      </c>
      <c r="T38" s="54">
        <f t="shared" si="0"/>
        <v>10970000</v>
      </c>
      <c r="U38" s="212">
        <f t="shared" si="1"/>
        <v>10970000</v>
      </c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</row>
    <row r="39" spans="1:38" s="69" customFormat="1" ht="12" hidden="1" x14ac:dyDescent="0.2">
      <c r="A39" s="58" t="s">
        <v>89</v>
      </c>
      <c r="B39" s="49">
        <v>27</v>
      </c>
      <c r="C39" s="49"/>
      <c r="D39" s="50"/>
      <c r="E39" s="51">
        <v>9.9000000000000005E-2</v>
      </c>
      <c r="F39" s="52"/>
      <c r="G39" s="53"/>
      <c r="H39" s="82">
        <f>T39*E39*B39/365</f>
        <v>80336.465753424651</v>
      </c>
      <c r="I39" s="55"/>
      <c r="J39" s="59"/>
      <c r="K39" s="59"/>
      <c r="L39" s="70"/>
      <c r="M39" s="59"/>
      <c r="N39" s="260"/>
      <c r="O39" s="55"/>
      <c r="P39" s="266"/>
      <c r="Q39" s="53"/>
      <c r="R39" s="53"/>
      <c r="S39" s="55"/>
      <c r="T39" s="54">
        <f t="shared" si="0"/>
        <v>10970000</v>
      </c>
      <c r="U39" s="212">
        <f t="shared" si="1"/>
        <v>10970000</v>
      </c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</row>
    <row r="40" spans="1:38" s="69" customFormat="1" ht="12" hidden="1" x14ac:dyDescent="0.2">
      <c r="A40" s="201" t="s">
        <v>90</v>
      </c>
      <c r="B40" s="49">
        <v>4</v>
      </c>
      <c r="C40" s="61"/>
      <c r="D40" s="263"/>
      <c r="E40" s="51">
        <v>9.9000000000000005E-2</v>
      </c>
      <c r="F40" s="52"/>
      <c r="G40" s="53"/>
      <c r="H40" s="82">
        <f>T40*E40*B40/365</f>
        <v>12986.630136986301</v>
      </c>
      <c r="I40" s="59"/>
      <c r="J40" s="59"/>
      <c r="K40" s="59"/>
      <c r="L40" s="70"/>
      <c r="M40" s="59"/>
      <c r="N40" s="54">
        <v>1000000</v>
      </c>
      <c r="O40" s="55"/>
      <c r="P40" s="266"/>
      <c r="Q40" s="53"/>
      <c r="R40" s="53"/>
      <c r="S40" s="55"/>
      <c r="T40" s="54">
        <f t="shared" si="0"/>
        <v>11970000</v>
      </c>
      <c r="U40" s="212">
        <f t="shared" si="1"/>
        <v>11970000</v>
      </c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</row>
    <row r="41" spans="1:38" s="69" customFormat="1" ht="12" hidden="1" x14ac:dyDescent="0.2">
      <c r="A41" s="262" t="s">
        <v>91</v>
      </c>
      <c r="B41" s="61">
        <f>SUM(B39:B40)</f>
        <v>31</v>
      </c>
      <c r="C41" s="61"/>
      <c r="D41" s="263"/>
      <c r="E41" s="63"/>
      <c r="F41" s="64"/>
      <c r="G41" s="28"/>
      <c r="H41" s="29">
        <f>SUM(H39:H40)</f>
        <v>93323.095890410958</v>
      </c>
      <c r="I41" s="89">
        <f>H41/1.47</f>
        <v>63485.099245177524</v>
      </c>
      <c r="J41" s="59">
        <f>10%*H41</f>
        <v>9332.3095890410968</v>
      </c>
      <c r="K41" s="89">
        <f>J41/1.47</f>
        <v>6348.5099245177535</v>
      </c>
      <c r="L41" s="70">
        <f>H41-J41</f>
        <v>83990.786301369866</v>
      </c>
      <c r="M41" s="89">
        <f>L41/1.47</f>
        <v>57136.589320659776</v>
      </c>
      <c r="N41" s="59"/>
      <c r="O41" s="54">
        <f>-L41</f>
        <v>-83990.786301369866</v>
      </c>
      <c r="P41" s="210">
        <f>O41/1.47</f>
        <v>-57136.589320659776</v>
      </c>
      <c r="Q41" s="54">
        <f>L41</f>
        <v>83990.786301369866</v>
      </c>
      <c r="R41" s="210">
        <f>Q41/1.47</f>
        <v>57136.589320659776</v>
      </c>
      <c r="S41" s="54">
        <f>L41+O41</f>
        <v>0</v>
      </c>
      <c r="T41" s="54">
        <f t="shared" si="0"/>
        <v>11970000</v>
      </c>
      <c r="U41" s="212">
        <f t="shared" si="1"/>
        <v>11970000</v>
      </c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</row>
    <row r="42" spans="1:38" s="69" customFormat="1" ht="12" hidden="1" x14ac:dyDescent="0.2">
      <c r="A42" s="201" t="s">
        <v>93</v>
      </c>
      <c r="B42" s="49">
        <v>30</v>
      </c>
      <c r="C42" s="61"/>
      <c r="D42" s="263"/>
      <c r="E42" s="51">
        <v>9.9000000000000005E-2</v>
      </c>
      <c r="F42" s="64"/>
      <c r="G42" s="28"/>
      <c r="H42" s="82">
        <f>T42*E42*B42/365</f>
        <v>97399.726027397264</v>
      </c>
      <c r="I42" s="59"/>
      <c r="J42" s="59"/>
      <c r="K42" s="70"/>
      <c r="L42" s="70"/>
      <c r="M42" s="70"/>
      <c r="N42" s="59"/>
      <c r="O42" s="55"/>
      <c r="P42" s="266"/>
      <c r="Q42" s="53"/>
      <c r="R42" s="53"/>
      <c r="S42" s="55"/>
      <c r="T42" s="54">
        <f t="shared" si="0"/>
        <v>11970000</v>
      </c>
      <c r="U42" s="212">
        <f t="shared" si="1"/>
        <v>11970000</v>
      </c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</row>
    <row r="43" spans="1:38" s="69" customFormat="1" ht="12" hidden="1" x14ac:dyDescent="0.2">
      <c r="A43" s="262" t="s">
        <v>94</v>
      </c>
      <c r="B43" s="61">
        <v>30</v>
      </c>
      <c r="C43" s="61"/>
      <c r="D43" s="263"/>
      <c r="E43" s="51" t="s">
        <v>56</v>
      </c>
      <c r="F43" s="64"/>
      <c r="G43" s="28"/>
      <c r="H43" s="29">
        <f>SUM(H42)</f>
        <v>97399.726027397264</v>
      </c>
      <c r="I43" s="89">
        <f>H43/1.47</f>
        <v>66258.317025440323</v>
      </c>
      <c r="J43" s="59">
        <f>10%*H43</f>
        <v>9739.9726027397264</v>
      </c>
      <c r="K43" s="89">
        <f>J43/1.47</f>
        <v>6625.8317025440319</v>
      </c>
      <c r="L43" s="70">
        <f>H43-J43</f>
        <v>87659.753424657538</v>
      </c>
      <c r="M43" s="89">
        <f>L43/1.47</f>
        <v>59632.485322896282</v>
      </c>
      <c r="N43" s="59"/>
      <c r="O43" s="54">
        <f>-L43</f>
        <v>-87659.753424657538</v>
      </c>
      <c r="P43" s="210">
        <f>O43/1.47</f>
        <v>-59632.485322896282</v>
      </c>
      <c r="Q43" s="54">
        <f>L43</f>
        <v>87659.753424657538</v>
      </c>
      <c r="R43" s="210">
        <f>Q43/1.47</f>
        <v>59632.485322896282</v>
      </c>
      <c r="S43" s="54">
        <f>L43+O43</f>
        <v>0</v>
      </c>
      <c r="T43" s="54">
        <f t="shared" si="0"/>
        <v>11970000</v>
      </c>
      <c r="U43" s="212">
        <f t="shared" si="1"/>
        <v>11970000</v>
      </c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</row>
    <row r="44" spans="1:38" s="69" customFormat="1" ht="12" hidden="1" x14ac:dyDescent="0.2">
      <c r="A44" s="201" t="s">
        <v>96</v>
      </c>
      <c r="B44" s="49">
        <v>3</v>
      </c>
      <c r="C44" s="61"/>
      <c r="D44" s="263"/>
      <c r="E44" s="51">
        <v>9.9000000000000005E-2</v>
      </c>
      <c r="F44" s="64"/>
      <c r="G44" s="28"/>
      <c r="H44" s="82">
        <f>T44*E44*B44/365</f>
        <v>9739.9726027397264</v>
      </c>
      <c r="I44" s="59"/>
      <c r="J44" s="59"/>
      <c r="K44" s="59"/>
      <c r="L44" s="70"/>
      <c r="M44" s="59"/>
      <c r="N44" s="59"/>
      <c r="O44" s="55"/>
      <c r="P44" s="266"/>
      <c r="Q44" s="53"/>
      <c r="R44" s="53"/>
      <c r="S44" s="55"/>
      <c r="T44" s="54">
        <f t="shared" si="0"/>
        <v>11970000</v>
      </c>
      <c r="U44" s="212">
        <f t="shared" si="1"/>
        <v>11970000</v>
      </c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</row>
    <row r="45" spans="1:38" s="69" customFormat="1" ht="12" hidden="1" x14ac:dyDescent="0.2">
      <c r="A45" s="201" t="s">
        <v>97</v>
      </c>
      <c r="B45" s="49">
        <v>17</v>
      </c>
      <c r="C45" s="61"/>
      <c r="D45" s="263"/>
      <c r="E45" s="51">
        <v>9.9000000000000005E-2</v>
      </c>
      <c r="F45" s="64"/>
      <c r="G45" s="28"/>
      <c r="H45" s="82">
        <f>T45*E45*B45/365</f>
        <v>63031.808219178085</v>
      </c>
      <c r="I45" s="59"/>
      <c r="J45" s="59"/>
      <c r="K45" s="59"/>
      <c r="L45" s="70"/>
      <c r="M45" s="59"/>
      <c r="N45" s="54">
        <v>1700000</v>
      </c>
      <c r="O45" s="55"/>
      <c r="P45" s="266"/>
      <c r="Q45" s="53"/>
      <c r="R45" s="53"/>
      <c r="S45" s="55"/>
      <c r="T45" s="54">
        <f t="shared" si="0"/>
        <v>13670000</v>
      </c>
      <c r="U45" s="212">
        <f t="shared" si="1"/>
        <v>13670000</v>
      </c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</row>
    <row r="46" spans="1:38" s="69" customFormat="1" ht="12" hidden="1" x14ac:dyDescent="0.2">
      <c r="A46" s="201" t="s">
        <v>98</v>
      </c>
      <c r="B46" s="49">
        <v>11</v>
      </c>
      <c r="C46" s="61"/>
      <c r="D46" s="263"/>
      <c r="E46" s="51">
        <v>9.9000000000000005E-2</v>
      </c>
      <c r="F46" s="64"/>
      <c r="G46" s="28"/>
      <c r="H46" s="82">
        <f>T46*E46*B46/365</f>
        <v>43768.849315068495</v>
      </c>
      <c r="I46" s="59"/>
      <c r="J46" s="59"/>
      <c r="K46" s="59"/>
      <c r="L46" s="70"/>
      <c r="M46" s="59"/>
      <c r="N46" s="54">
        <v>1000000</v>
      </c>
      <c r="O46" s="55"/>
      <c r="P46" s="266"/>
      <c r="Q46" s="53"/>
      <c r="R46" s="53"/>
      <c r="S46" s="55"/>
      <c r="T46" s="54">
        <f t="shared" si="0"/>
        <v>14670000</v>
      </c>
      <c r="U46" s="212">
        <f t="shared" si="1"/>
        <v>14670000</v>
      </c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</row>
    <row r="47" spans="1:38" s="69" customFormat="1" ht="12" hidden="1" x14ac:dyDescent="0.2">
      <c r="A47" s="262" t="s">
        <v>99</v>
      </c>
      <c r="B47" s="61">
        <f>SUM(B44:B46)</f>
        <v>31</v>
      </c>
      <c r="C47" s="61"/>
      <c r="D47" s="263"/>
      <c r="E47" s="51"/>
      <c r="F47" s="64"/>
      <c r="G47" s="28"/>
      <c r="H47" s="29">
        <f>SUM(H44:H46)</f>
        <v>116540.63013698631</v>
      </c>
      <c r="I47" s="89">
        <f>H47/1.47</f>
        <v>79279.340229242385</v>
      </c>
      <c r="J47" s="59">
        <f>10%*H47</f>
        <v>11654.063013698631</v>
      </c>
      <c r="K47" s="89">
        <f>J47/1.47</f>
        <v>7927.9340229242389</v>
      </c>
      <c r="L47" s="70">
        <f>H47-J47</f>
        <v>104886.56712328768</v>
      </c>
      <c r="M47" s="89">
        <f>L47/1.47</f>
        <v>71351.406206318148</v>
      </c>
      <c r="N47" s="54"/>
      <c r="O47" s="54">
        <f>-L47</f>
        <v>-104886.56712328768</v>
      </c>
      <c r="P47" s="210">
        <f>O47/1.47</f>
        <v>-71351.406206318148</v>
      </c>
      <c r="Q47" s="54">
        <f>L47</f>
        <v>104886.56712328768</v>
      </c>
      <c r="R47" s="210">
        <f>Q47/1.47</f>
        <v>71351.406206318148</v>
      </c>
      <c r="S47" s="54">
        <f>L47+O47</f>
        <v>0</v>
      </c>
      <c r="T47" s="54">
        <f t="shared" si="0"/>
        <v>14670000</v>
      </c>
      <c r="U47" s="212">
        <f t="shared" si="1"/>
        <v>14670000</v>
      </c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</row>
    <row r="48" spans="1:38" s="69" customFormat="1" ht="12" x14ac:dyDescent="0.2">
      <c r="A48" s="201" t="s">
        <v>101</v>
      </c>
      <c r="B48" s="49">
        <v>31</v>
      </c>
      <c r="C48" s="61"/>
      <c r="D48" s="263"/>
      <c r="E48" s="51">
        <v>9.9000000000000005E-2</v>
      </c>
      <c r="F48" s="64"/>
      <c r="G48" s="28"/>
      <c r="H48" s="82">
        <f>T48*E48*B48/365</f>
        <v>123348.57534246576</v>
      </c>
      <c r="I48" s="59"/>
      <c r="J48" s="59"/>
      <c r="K48" s="70"/>
      <c r="L48" s="70"/>
      <c r="M48" s="70"/>
      <c r="N48" s="54"/>
      <c r="O48" s="55"/>
      <c r="P48" s="266"/>
      <c r="Q48" s="53"/>
      <c r="R48" s="53"/>
      <c r="S48" s="55"/>
      <c r="T48" s="54">
        <f t="shared" si="0"/>
        <v>14670000</v>
      </c>
      <c r="U48" s="54">
        <f>U47+N48</f>
        <v>14670000</v>
      </c>
      <c r="V48" s="212">
        <f>U48/1.47</f>
        <v>9979591.8367346935</v>
      </c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</row>
    <row r="49" spans="1:38" s="69" customFormat="1" ht="12" x14ac:dyDescent="0.2">
      <c r="A49" s="262" t="s">
        <v>102</v>
      </c>
      <c r="B49" s="61">
        <f>B48</f>
        <v>31</v>
      </c>
      <c r="C49" s="61"/>
      <c r="D49" s="263"/>
      <c r="E49" s="51"/>
      <c r="F49" s="64"/>
      <c r="G49" s="28"/>
      <c r="H49" s="29">
        <f>SUM(H48)</f>
        <v>123348.57534246576</v>
      </c>
      <c r="I49" s="89">
        <f>H49/1.47</f>
        <v>83910.595471065142</v>
      </c>
      <c r="J49" s="59">
        <f>10%*H49</f>
        <v>12334.857534246577</v>
      </c>
      <c r="K49" s="89">
        <f>J49/1.47</f>
        <v>8391.0595471065153</v>
      </c>
      <c r="L49" s="70">
        <f>H49-J49</f>
        <v>111013.71780821918</v>
      </c>
      <c r="M49" s="89">
        <f>L49/1.47</f>
        <v>75519.535923958625</v>
      </c>
      <c r="N49" s="54"/>
      <c r="O49" s="54">
        <f>-L49</f>
        <v>-111013.71780821918</v>
      </c>
      <c r="P49" s="210">
        <f>O49/1.47</f>
        <v>-75519.535923958625</v>
      </c>
      <c r="Q49" s="54">
        <f>L49</f>
        <v>111013.71780821918</v>
      </c>
      <c r="R49" s="210">
        <f>Q49/1.47</f>
        <v>75519.535923958625</v>
      </c>
      <c r="S49" s="54">
        <f>L49+O49</f>
        <v>0</v>
      </c>
      <c r="T49" s="54">
        <f t="shared" si="0"/>
        <v>14670000</v>
      </c>
      <c r="U49" s="54">
        <f t="shared" si="1"/>
        <v>14670000</v>
      </c>
      <c r="V49" s="212">
        <f t="shared" ref="V49:V62" si="2">V48+N49/1.47</f>
        <v>9979591.8367346935</v>
      </c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</row>
    <row r="50" spans="1:38" s="69" customFormat="1" x14ac:dyDescent="0.2">
      <c r="A50" s="201" t="s">
        <v>104</v>
      </c>
      <c r="B50" s="49">
        <v>28</v>
      </c>
      <c r="C50" s="61"/>
      <c r="D50" s="263"/>
      <c r="E50" s="51">
        <v>9.9000000000000005E-2</v>
      </c>
      <c r="F50" s="64"/>
      <c r="G50" s="28"/>
      <c r="H50" s="82">
        <f>T50*E50*B50/365</f>
        <v>111411.61643835617</v>
      </c>
      <c r="I50" s="59"/>
      <c r="J50" s="59"/>
      <c r="K50" s="59"/>
      <c r="L50" s="70"/>
      <c r="M50" s="59"/>
      <c r="N50" s="54"/>
      <c r="O50" s="55"/>
      <c r="P50" s="210"/>
      <c r="Q50" s="54"/>
      <c r="R50" s="54"/>
      <c r="S50" s="261"/>
      <c r="T50" s="54">
        <f t="shared" si="0"/>
        <v>14670000</v>
      </c>
      <c r="U50" s="54">
        <f t="shared" si="1"/>
        <v>14670000</v>
      </c>
      <c r="V50" s="212">
        <f t="shared" si="2"/>
        <v>9979591.8367346935</v>
      </c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</row>
    <row r="51" spans="1:38" s="69" customFormat="1" ht="12" x14ac:dyDescent="0.2">
      <c r="A51" s="262" t="s">
        <v>105</v>
      </c>
      <c r="B51" s="61">
        <f>B50</f>
        <v>28</v>
      </c>
      <c r="C51" s="61"/>
      <c r="D51" s="263"/>
      <c r="E51" s="51"/>
      <c r="F51" s="64"/>
      <c r="G51" s="28"/>
      <c r="H51" s="29">
        <f>SUM(H50)</f>
        <v>111411.61643835617</v>
      </c>
      <c r="I51" s="89">
        <f>H51/1.47</f>
        <v>75790.215264187878</v>
      </c>
      <c r="J51" s="59">
        <f>10%*H51</f>
        <v>11141.161643835618</v>
      </c>
      <c r="K51" s="89">
        <f>J51/1.47</f>
        <v>7579.0215264187873</v>
      </c>
      <c r="L51" s="70">
        <f>H51-J51</f>
        <v>100270.45479452056</v>
      </c>
      <c r="M51" s="89">
        <f>L51/1.47</f>
        <v>68211.193737769092</v>
      </c>
      <c r="O51" s="57">
        <v>0</v>
      </c>
      <c r="P51" s="210">
        <f>O51/1.47</f>
        <v>0</v>
      </c>
      <c r="Q51" s="54">
        <f>L51</f>
        <v>100270.45479452056</v>
      </c>
      <c r="R51" s="210">
        <f>Q51/1.47</f>
        <v>68211.193737769092</v>
      </c>
      <c r="S51" s="54">
        <f>L51+O51</f>
        <v>100270.45479452056</v>
      </c>
      <c r="T51" s="54">
        <f t="shared" si="0"/>
        <v>14770270.454794521</v>
      </c>
      <c r="U51" s="54">
        <f t="shared" si="1"/>
        <v>14670000</v>
      </c>
      <c r="V51" s="212">
        <f t="shared" si="2"/>
        <v>9979591.8367346935</v>
      </c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</row>
    <row r="52" spans="1:38" s="69" customFormat="1" ht="12" x14ac:dyDescent="0.2">
      <c r="A52" s="201" t="s">
        <v>106</v>
      </c>
      <c r="B52" s="49">
        <v>31</v>
      </c>
      <c r="C52" s="61"/>
      <c r="D52" s="263"/>
      <c r="E52" s="51">
        <v>9.9000000000000005E-2</v>
      </c>
      <c r="F52" s="64"/>
      <c r="G52" s="28"/>
      <c r="H52" s="82">
        <f>T52*E52*B52/365</f>
        <v>124191.67130346407</v>
      </c>
      <c r="I52" s="59"/>
      <c r="J52" s="59"/>
      <c r="K52" s="59"/>
      <c r="L52" s="70"/>
      <c r="M52" s="59"/>
      <c r="O52" s="57"/>
      <c r="P52" s="210"/>
      <c r="Q52" s="54"/>
      <c r="R52" s="54"/>
      <c r="S52" s="54"/>
      <c r="T52" s="54">
        <f t="shared" si="0"/>
        <v>14770270.454794521</v>
      </c>
      <c r="U52" s="54">
        <f t="shared" si="1"/>
        <v>14670000</v>
      </c>
      <c r="V52" s="212">
        <f t="shared" si="2"/>
        <v>9979591.8367346935</v>
      </c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</row>
    <row r="53" spans="1:38" s="69" customFormat="1" ht="12" x14ac:dyDescent="0.2">
      <c r="A53" s="262" t="s">
        <v>107</v>
      </c>
      <c r="B53" s="61">
        <f>B52</f>
        <v>31</v>
      </c>
      <c r="C53" s="61"/>
      <c r="D53" s="263"/>
      <c r="E53" s="51"/>
      <c r="F53" s="64"/>
      <c r="G53" s="28"/>
      <c r="H53" s="29">
        <f>H52</f>
        <v>124191.67130346407</v>
      </c>
      <c r="I53" s="89">
        <f>H53/1.47</f>
        <v>84484.130138410939</v>
      </c>
      <c r="J53" s="59">
        <f>10%*H53</f>
        <v>12419.167130346408</v>
      </c>
      <c r="K53" s="89">
        <f>J53/1.47</f>
        <v>8448.4130138410947</v>
      </c>
      <c r="L53" s="70">
        <f>H53-J53</f>
        <v>111772.50417311766</v>
      </c>
      <c r="M53" s="89">
        <f>L53/1.47</f>
        <v>76035.717124569841</v>
      </c>
      <c r="O53" s="57">
        <v>0</v>
      </c>
      <c r="P53" s="210">
        <f>O53/1.47</f>
        <v>0</v>
      </c>
      <c r="Q53" s="54">
        <f>Q51+S53</f>
        <v>212042.9589676382</v>
      </c>
      <c r="R53" s="210">
        <f>Q53/1.47</f>
        <v>144246.9108623389</v>
      </c>
      <c r="S53" s="54">
        <f>L53+O53</f>
        <v>111772.50417311766</v>
      </c>
      <c r="T53" s="54">
        <f t="shared" si="0"/>
        <v>14882042.958967637</v>
      </c>
      <c r="U53" s="54">
        <f t="shared" si="1"/>
        <v>14670000</v>
      </c>
      <c r="V53" s="212">
        <f t="shared" si="2"/>
        <v>9979591.8367346935</v>
      </c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</row>
    <row r="54" spans="1:38" s="69" customFormat="1" ht="12" x14ac:dyDescent="0.2">
      <c r="A54" s="201" t="s">
        <v>108</v>
      </c>
      <c r="B54" s="49">
        <v>30</v>
      </c>
      <c r="C54" s="61"/>
      <c r="D54" s="263"/>
      <c r="E54" s="51">
        <v>9.9000000000000005E-2</v>
      </c>
      <c r="F54" s="64"/>
      <c r="G54" s="28"/>
      <c r="H54" s="82">
        <f>T54*E54*B54/365</f>
        <v>121094.97969351748</v>
      </c>
      <c r="I54" s="59"/>
      <c r="J54" s="59"/>
      <c r="K54" s="59"/>
      <c r="L54" s="70"/>
      <c r="M54" s="59"/>
      <c r="O54" s="57"/>
      <c r="P54" s="266"/>
      <c r="Q54" s="53"/>
      <c r="R54" s="53"/>
      <c r="S54" s="54"/>
      <c r="T54" s="54">
        <f t="shared" si="0"/>
        <v>14882042.958967637</v>
      </c>
      <c r="U54" s="54">
        <f t="shared" si="1"/>
        <v>14670000</v>
      </c>
      <c r="V54" s="212">
        <f t="shared" si="2"/>
        <v>9979591.8367346935</v>
      </c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</row>
    <row r="55" spans="1:38" s="69" customFormat="1" ht="12" x14ac:dyDescent="0.2">
      <c r="A55" s="262" t="s">
        <v>109</v>
      </c>
      <c r="B55" s="61">
        <f>B54</f>
        <v>30</v>
      </c>
      <c r="C55" s="61"/>
      <c r="D55" s="263"/>
      <c r="E55" s="51"/>
      <c r="F55" s="64"/>
      <c r="G55" s="28"/>
      <c r="H55" s="29">
        <f>H54</f>
        <v>121094.97969351748</v>
      </c>
      <c r="I55" s="89">
        <f>H55/1.47</f>
        <v>82377.537206474473</v>
      </c>
      <c r="J55" s="59">
        <f>10%*H55</f>
        <v>12109.497969351749</v>
      </c>
      <c r="K55" s="89">
        <f>J55/1.47</f>
        <v>8237.7537206474481</v>
      </c>
      <c r="L55" s="70">
        <f>H55-J55</f>
        <v>108985.48172416573</v>
      </c>
      <c r="M55" s="89">
        <f>L55/1.47</f>
        <v>74139.783485827022</v>
      </c>
      <c r="O55" s="57">
        <v>0</v>
      </c>
      <c r="P55" s="210">
        <f>O55/1.47</f>
        <v>0</v>
      </c>
      <c r="Q55" s="54">
        <f>Q53+S55</f>
        <v>321028.44069180393</v>
      </c>
      <c r="R55" s="210">
        <f>Q55/1.47</f>
        <v>218386.69434816594</v>
      </c>
      <c r="S55" s="54">
        <f>L55+O55</f>
        <v>108985.48172416573</v>
      </c>
      <c r="T55" s="54">
        <f t="shared" si="0"/>
        <v>14991028.440691803</v>
      </c>
      <c r="U55" s="54">
        <f t="shared" si="1"/>
        <v>14670000</v>
      </c>
      <c r="V55" s="212">
        <f t="shared" si="2"/>
        <v>9979591.8367346935</v>
      </c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</row>
    <row r="56" spans="1:38" s="69" customFormat="1" ht="12" x14ac:dyDescent="0.2">
      <c r="A56" s="201" t="s">
        <v>116</v>
      </c>
      <c r="B56" s="49">
        <v>31</v>
      </c>
      <c r="C56" s="61"/>
      <c r="D56" s="263"/>
      <c r="E56" s="51">
        <v>9.9000000000000005E-2</v>
      </c>
      <c r="F56" s="64"/>
      <c r="G56" s="28"/>
      <c r="H56" s="82">
        <f>T56*E56*B56/365</f>
        <v>126047.85283420038</v>
      </c>
      <c r="I56" s="59"/>
      <c r="J56" s="54"/>
      <c r="K56" s="210"/>
      <c r="L56" s="210"/>
      <c r="M56" s="210"/>
      <c r="O56" s="57"/>
      <c r="P56" s="266"/>
      <c r="Q56" s="53"/>
      <c r="R56" s="53"/>
      <c r="S56" s="210"/>
      <c r="T56" s="54">
        <f t="shared" si="0"/>
        <v>14991028.440691803</v>
      </c>
      <c r="U56" s="54">
        <f t="shared" si="1"/>
        <v>14670000</v>
      </c>
      <c r="V56" s="212">
        <f t="shared" si="2"/>
        <v>9979591.8367346935</v>
      </c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</row>
    <row r="57" spans="1:38" s="69" customFormat="1" ht="12" x14ac:dyDescent="0.2">
      <c r="A57" s="262" t="s">
        <v>117</v>
      </c>
      <c r="B57" s="61">
        <v>31</v>
      </c>
      <c r="C57" s="61"/>
      <c r="D57" s="263"/>
      <c r="E57" s="51"/>
      <c r="F57" s="64"/>
      <c r="G57" s="28"/>
      <c r="H57" s="29">
        <f>H56</f>
        <v>126047.85283420038</v>
      </c>
      <c r="I57" s="89">
        <f>H57/1.47</f>
        <v>85746.838662721348</v>
      </c>
      <c r="J57" s="59">
        <f>10%*H57</f>
        <v>12604.785283420038</v>
      </c>
      <c r="K57" s="89">
        <f>J57/1.47</f>
        <v>8574.6838662721348</v>
      </c>
      <c r="L57" s="70">
        <f>H57-J57</f>
        <v>113443.06755078034</v>
      </c>
      <c r="M57" s="89">
        <f>L57/1.47</f>
        <v>77172.154796449206</v>
      </c>
      <c r="O57" s="57">
        <v>0</v>
      </c>
      <c r="P57" s="210">
        <f>O57/1.47</f>
        <v>0</v>
      </c>
      <c r="Q57" s="54">
        <f>Q55+S57</f>
        <v>434471.5082425843</v>
      </c>
      <c r="R57" s="210">
        <f>Q57/1.47</f>
        <v>295558.84914461517</v>
      </c>
      <c r="S57" s="54">
        <f>L57+O57</f>
        <v>113443.06755078034</v>
      </c>
      <c r="T57" s="54">
        <f t="shared" si="0"/>
        <v>15104471.508242583</v>
      </c>
      <c r="U57" s="54">
        <f t="shared" si="1"/>
        <v>14670000</v>
      </c>
      <c r="V57" s="212">
        <f t="shared" si="2"/>
        <v>9979591.8367346935</v>
      </c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</row>
    <row r="58" spans="1:38" s="69" customFormat="1" ht="12" x14ac:dyDescent="0.2">
      <c r="A58" s="201" t="s">
        <v>119</v>
      </c>
      <c r="B58" s="49">
        <v>30</v>
      </c>
      <c r="C58" s="49"/>
      <c r="D58" s="77"/>
      <c r="E58" s="51">
        <v>9.9000000000000005E-2</v>
      </c>
      <c r="F58" s="64"/>
      <c r="G58" s="28"/>
      <c r="H58" s="82">
        <f>T58*E58*B58/365</f>
        <v>122904.8777520013</v>
      </c>
      <c r="I58" s="54"/>
      <c r="J58" s="54"/>
      <c r="K58" s="54"/>
      <c r="L58" s="210"/>
      <c r="M58" s="59"/>
      <c r="O58" s="57"/>
      <c r="P58" s="266"/>
      <c r="Q58" s="53"/>
      <c r="R58" s="53"/>
      <c r="S58" s="210"/>
      <c r="T58" s="54">
        <f t="shared" si="0"/>
        <v>15104471.508242583</v>
      </c>
      <c r="U58" s="54">
        <f t="shared" si="1"/>
        <v>14670000</v>
      </c>
      <c r="V58" s="212">
        <f t="shared" si="2"/>
        <v>9979591.8367346935</v>
      </c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</row>
    <row r="59" spans="1:38" s="69" customFormat="1" ht="12" x14ac:dyDescent="0.2">
      <c r="A59" s="262" t="s">
        <v>120</v>
      </c>
      <c r="B59" s="61">
        <f>B58</f>
        <v>30</v>
      </c>
      <c r="C59" s="61"/>
      <c r="D59" s="263"/>
      <c r="E59" s="51"/>
      <c r="F59" s="64"/>
      <c r="G59" s="28"/>
      <c r="H59" s="29">
        <f>H58</f>
        <v>122904.8777520013</v>
      </c>
      <c r="I59" s="89">
        <f>H59/1.47</f>
        <v>83608.76037551109</v>
      </c>
      <c r="J59" s="59">
        <f>10%*H59</f>
        <v>12290.48777520013</v>
      </c>
      <c r="K59" s="89">
        <f>J59/1.47</f>
        <v>8360.8760375511083</v>
      </c>
      <c r="L59" s="70">
        <f>H59-J59</f>
        <v>110614.38997680116</v>
      </c>
      <c r="M59" s="89">
        <f>L59/1.47</f>
        <v>75247.884337959971</v>
      </c>
      <c r="O59" s="57">
        <v>0</v>
      </c>
      <c r="P59" s="210">
        <f>O59/1.47</f>
        <v>0</v>
      </c>
      <c r="Q59" s="54">
        <f>Q57+S59</f>
        <v>545085.89821938542</v>
      </c>
      <c r="R59" s="210">
        <f>Q59/1.47</f>
        <v>370806.7334825751</v>
      </c>
      <c r="S59" s="54">
        <f>L59+O59</f>
        <v>110614.38997680116</v>
      </c>
      <c r="T59" s="54">
        <f t="shared" si="0"/>
        <v>15215085.898219384</v>
      </c>
      <c r="U59" s="54">
        <f t="shared" si="1"/>
        <v>14670000</v>
      </c>
      <c r="V59" s="212">
        <f t="shared" si="2"/>
        <v>9979591.8367346935</v>
      </c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</row>
    <row r="60" spans="1:38" s="69" customFormat="1" x14ac:dyDescent="0.2">
      <c r="A60" s="201" t="s">
        <v>125</v>
      </c>
      <c r="B60" s="49">
        <v>31</v>
      </c>
      <c r="C60" s="49"/>
      <c r="D60" s="77"/>
      <c r="E60" s="51">
        <v>9.9000000000000005E-2</v>
      </c>
      <c r="F60" s="64"/>
      <c r="G60" s="28"/>
      <c r="H60" s="82">
        <f>T60*E60*B60/365</f>
        <v>127931.77704557613</v>
      </c>
      <c r="I60" s="59"/>
      <c r="J60" s="59"/>
      <c r="K60" s="59"/>
      <c r="L60" s="70"/>
      <c r="M60" s="59"/>
      <c r="N60" s="210"/>
      <c r="O60" s="57"/>
      <c r="P60" s="210"/>
      <c r="Q60" s="53"/>
      <c r="R60" s="210"/>
      <c r="S60" s="261"/>
      <c r="T60" s="54">
        <f t="shared" si="0"/>
        <v>15215085.898219384</v>
      </c>
      <c r="U60" s="54">
        <f t="shared" si="1"/>
        <v>14670000</v>
      </c>
      <c r="V60" s="212">
        <f t="shared" si="2"/>
        <v>9979591.8367346935</v>
      </c>
      <c r="W60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</row>
    <row r="61" spans="1:38" s="69" customFormat="1" x14ac:dyDescent="0.2">
      <c r="A61" s="262" t="s">
        <v>28</v>
      </c>
      <c r="B61" s="61">
        <v>31</v>
      </c>
      <c r="C61" s="61"/>
      <c r="D61" s="263"/>
      <c r="E61" s="51"/>
      <c r="F61" s="64"/>
      <c r="G61" s="28"/>
      <c r="H61" s="29">
        <f>H60</f>
        <v>127931.77704557613</v>
      </c>
      <c r="I61" s="89">
        <f>H61/1.47</f>
        <v>87028.419758895325</v>
      </c>
      <c r="J61" s="59">
        <f>10%*H61</f>
        <v>12793.177704557615</v>
      </c>
      <c r="K61" s="89">
        <f>J61/1.47</f>
        <v>8702.8419758895343</v>
      </c>
      <c r="L61" s="70">
        <f>H61-J61</f>
        <v>115138.59934101852</v>
      </c>
      <c r="M61" s="89">
        <f>L61/1.47</f>
        <v>78325.577783005792</v>
      </c>
      <c r="N61" s="210"/>
      <c r="O61" s="57">
        <v>0</v>
      </c>
      <c r="P61" s="210">
        <f>O61/1.47</f>
        <v>0</v>
      </c>
      <c r="Q61" s="54">
        <f>Q59+S61</f>
        <v>660224.49756040389</v>
      </c>
      <c r="R61" s="210">
        <f>Q61/1.47</f>
        <v>449132.31126558088</v>
      </c>
      <c r="S61" s="54">
        <f>L61+O61</f>
        <v>115138.59934101852</v>
      </c>
      <c r="T61" s="54">
        <f t="shared" si="0"/>
        <v>15330224.497560402</v>
      </c>
      <c r="U61" s="54">
        <f t="shared" si="1"/>
        <v>14670000</v>
      </c>
      <c r="V61" s="212">
        <f t="shared" si="2"/>
        <v>9979591.8367346935</v>
      </c>
      <c r="W61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</row>
    <row r="62" spans="1:38" s="69" customFormat="1" ht="12" x14ac:dyDescent="0.2">
      <c r="A62" s="201" t="s">
        <v>133</v>
      </c>
      <c r="B62" s="49">
        <v>8</v>
      </c>
      <c r="C62" s="49"/>
      <c r="D62" s="77"/>
      <c r="E62" s="51">
        <v>9.9000000000000005E-2</v>
      </c>
      <c r="F62" s="64"/>
      <c r="G62" s="28"/>
      <c r="H62" s="82">
        <f>T62*E62*B62/365</f>
        <v>33264.487128952984</v>
      </c>
      <c r="I62" s="82"/>
      <c r="J62" s="54"/>
      <c r="K62" s="82"/>
      <c r="L62" s="210"/>
      <c r="M62" s="82"/>
      <c r="N62" s="210"/>
      <c r="O62" s="55"/>
      <c r="P62" s="210"/>
      <c r="Q62" s="54"/>
      <c r="R62" s="210"/>
      <c r="S62" s="54"/>
      <c r="T62" s="54">
        <f t="shared" si="0"/>
        <v>15330224.497560402</v>
      </c>
      <c r="U62" s="54">
        <f t="shared" si="1"/>
        <v>14670000</v>
      </c>
      <c r="V62" s="212">
        <f t="shared" si="2"/>
        <v>9979591.8367346935</v>
      </c>
      <c r="W62" s="54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</row>
    <row r="63" spans="1:38" s="69" customFormat="1" x14ac:dyDescent="0.2">
      <c r="A63" s="201" t="s">
        <v>134</v>
      </c>
      <c r="B63" s="61"/>
      <c r="C63" s="61"/>
      <c r="D63" s="263"/>
      <c r="E63" s="51"/>
      <c r="F63" s="64"/>
      <c r="G63" s="28"/>
      <c r="H63" s="29"/>
      <c r="I63" s="29"/>
      <c r="J63" s="59"/>
      <c r="K63" s="29"/>
      <c r="L63" s="70"/>
      <c r="M63" s="29"/>
      <c r="N63" s="210">
        <v>-14005547.109999999</v>
      </c>
      <c r="O63" s="54">
        <v>0</v>
      </c>
      <c r="P63" s="210">
        <f>O63/1.504</f>
        <v>0</v>
      </c>
      <c r="Q63" s="54">
        <f>Q61+S63</f>
        <v>660224.49756040389</v>
      </c>
      <c r="R63" s="210">
        <f>Q63/1.47</f>
        <v>449132.31126558088</v>
      </c>
      <c r="S63" s="54">
        <f>L63+O63</f>
        <v>0</v>
      </c>
      <c r="T63" s="54">
        <f>T62+N63+S63</f>
        <v>1324677.387560403</v>
      </c>
      <c r="U63" s="54">
        <f>U62+N63</f>
        <v>664452.8900000006</v>
      </c>
      <c r="V63" s="212">
        <f>V62+(N63/1.504)</f>
        <v>667392.96040490642</v>
      </c>
      <c r="W63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</row>
    <row r="64" spans="1:38" s="69" customFormat="1" x14ac:dyDescent="0.2">
      <c r="A64" s="201" t="s">
        <v>138</v>
      </c>
      <c r="B64" s="49">
        <v>23</v>
      </c>
      <c r="C64" s="61"/>
      <c r="D64" s="263"/>
      <c r="E64" s="51">
        <v>9.9000000000000005E-2</v>
      </c>
      <c r="F64" s="64"/>
      <c r="G64" s="28"/>
      <c r="H64" s="82">
        <f>T64*E64*B64/365</f>
        <v>8263.8093465069505</v>
      </c>
      <c r="I64" s="29"/>
      <c r="J64" s="59"/>
      <c r="K64" s="29"/>
      <c r="L64" s="70"/>
      <c r="M64" s="29"/>
      <c r="N64" s="210"/>
      <c r="O64" s="54"/>
      <c r="P64" s="210"/>
      <c r="Q64" s="54"/>
      <c r="R64" s="210"/>
      <c r="S64" s="54"/>
      <c r="T64" s="54">
        <f t="shared" si="0"/>
        <v>1324677.387560403</v>
      </c>
      <c r="U64" s="54">
        <f t="shared" si="1"/>
        <v>664452.8900000006</v>
      </c>
      <c r="V64" s="212">
        <f>V63+(N64/1.504)</f>
        <v>667392.96040490642</v>
      </c>
      <c r="W64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</row>
    <row r="65" spans="1:39" s="69" customFormat="1" x14ac:dyDescent="0.2">
      <c r="A65" s="262" t="s">
        <v>81</v>
      </c>
      <c r="B65" s="61">
        <f>SUM(B62:B64)</f>
        <v>31</v>
      </c>
      <c r="C65" s="61"/>
      <c r="D65" s="263"/>
      <c r="E65" s="51"/>
      <c r="F65" s="64"/>
      <c r="G65" s="28"/>
      <c r="H65" s="29">
        <f>SUM(H62:H64)</f>
        <v>41528.296475459938</v>
      </c>
      <c r="I65" s="89">
        <f>H65/1.47</f>
        <v>28250.541820040773</v>
      </c>
      <c r="J65" s="59">
        <f>10%*H65</f>
        <v>4152.8296475459938</v>
      </c>
      <c r="K65" s="89">
        <f>J65/1.47</f>
        <v>2825.0541820040776</v>
      </c>
      <c r="L65" s="70">
        <f>H65-J65</f>
        <v>37375.466827913944</v>
      </c>
      <c r="M65" s="89">
        <f>L65/1.47</f>
        <v>25425.487638036699</v>
      </c>
      <c r="N65" s="210"/>
      <c r="O65" s="54">
        <v>0</v>
      </c>
      <c r="P65" s="210">
        <f>O65/1.47</f>
        <v>0</v>
      </c>
      <c r="Q65" s="54">
        <f>Q63+S65</f>
        <v>697599.96438831789</v>
      </c>
      <c r="R65" s="210">
        <f>Q65/1.47</f>
        <v>474557.7989036176</v>
      </c>
      <c r="S65" s="54">
        <f>L65+O65</f>
        <v>37375.466827913944</v>
      </c>
      <c r="T65" s="54">
        <f t="shared" si="0"/>
        <v>1362052.8543883169</v>
      </c>
      <c r="U65" s="54">
        <f t="shared" si="1"/>
        <v>664452.8900000006</v>
      </c>
      <c r="V65" s="212">
        <f>V64+(N65/1.504)</f>
        <v>667392.96040490642</v>
      </c>
      <c r="W65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</row>
    <row r="66" spans="1:39" s="69" customFormat="1" x14ac:dyDescent="0.2">
      <c r="A66" s="393" t="s">
        <v>184</v>
      </c>
      <c r="B66" s="61"/>
      <c r="C66" s="61"/>
      <c r="D66" s="263"/>
      <c r="E66" s="51"/>
      <c r="F66" s="64"/>
      <c r="G66" s="28"/>
      <c r="H66" s="229"/>
      <c r="I66" s="70"/>
      <c r="J66" s="70"/>
      <c r="K66" s="70"/>
      <c r="L66" s="70"/>
      <c r="M66" s="70"/>
      <c r="N66" s="210"/>
      <c r="O66" s="210"/>
      <c r="P66" s="210"/>
      <c r="Q66" s="210"/>
      <c r="R66" s="210"/>
      <c r="S66" s="210"/>
      <c r="T66" s="210"/>
      <c r="U66" s="54"/>
      <c r="V66" s="212"/>
      <c r="W66" s="294"/>
      <c r="X66" s="286"/>
      <c r="Y66" s="286"/>
      <c r="Z66" s="286"/>
      <c r="AA66" s="286"/>
      <c r="AB66" s="286"/>
      <c r="AC66" s="286"/>
      <c r="AD66" s="286"/>
      <c r="AE66" s="286"/>
      <c r="AF66" s="286"/>
      <c r="AG66" s="286"/>
      <c r="AH66" s="286"/>
      <c r="AI66" s="286"/>
      <c r="AJ66" s="286"/>
      <c r="AK66" s="286"/>
      <c r="AL66" s="286"/>
      <c r="AM66" s="242"/>
    </row>
    <row r="67" spans="1:39" s="69" customFormat="1" x14ac:dyDescent="0.2">
      <c r="A67" s="393" t="s">
        <v>185</v>
      </c>
      <c r="B67" s="61"/>
      <c r="C67" s="61"/>
      <c r="D67" s="263"/>
      <c r="E67" s="51"/>
      <c r="F67" s="64"/>
      <c r="G67" s="28"/>
      <c r="H67" s="229"/>
      <c r="I67" s="70"/>
      <c r="J67" s="70"/>
      <c r="K67" s="70"/>
      <c r="L67" s="70"/>
      <c r="M67" s="70"/>
      <c r="N67" s="210"/>
      <c r="O67" s="210"/>
      <c r="P67" s="210"/>
      <c r="Q67" s="210"/>
      <c r="R67" s="210"/>
      <c r="S67" s="210"/>
      <c r="T67" s="210"/>
      <c r="U67" s="210"/>
      <c r="V67" s="293"/>
      <c r="W67" s="294"/>
      <c r="X67" s="286"/>
      <c r="Y67" s="286"/>
      <c r="Z67" s="286"/>
      <c r="AA67" s="286"/>
      <c r="AB67" s="286"/>
      <c r="AC67" s="286"/>
      <c r="AD67" s="286"/>
      <c r="AE67" s="286"/>
      <c r="AF67" s="286"/>
      <c r="AG67" s="286"/>
      <c r="AH67" s="286"/>
      <c r="AI67" s="286"/>
      <c r="AJ67" s="286"/>
      <c r="AK67" s="286"/>
      <c r="AL67" s="286"/>
      <c r="AM67" s="242"/>
    </row>
    <row r="68" spans="1:39" s="69" customFormat="1" x14ac:dyDescent="0.2">
      <c r="A68" s="393"/>
      <c r="B68" s="61"/>
      <c r="C68" s="61"/>
      <c r="D68" s="263"/>
      <c r="E68" s="51"/>
      <c r="F68" s="64"/>
      <c r="G68" s="28"/>
      <c r="H68" s="229"/>
      <c r="I68" s="70"/>
      <c r="J68" s="70"/>
      <c r="K68" s="70"/>
      <c r="L68" s="70"/>
      <c r="M68" s="70"/>
      <c r="N68" s="210"/>
      <c r="O68" s="210"/>
      <c r="P68" s="210"/>
      <c r="Q68" s="210"/>
      <c r="R68" s="210"/>
      <c r="S68" s="210"/>
      <c r="T68" s="210"/>
      <c r="U68"/>
      <c r="V68" s="415"/>
      <c r="W68"/>
      <c r="X68" s="286"/>
      <c r="Y68" s="286"/>
      <c r="Z68" s="286"/>
      <c r="AA68" s="286"/>
      <c r="AB68" s="286"/>
      <c r="AC68" s="286"/>
      <c r="AD68" s="286"/>
      <c r="AE68" s="286"/>
      <c r="AF68" s="286"/>
      <c r="AG68" s="286"/>
      <c r="AH68" s="286"/>
      <c r="AI68" s="286"/>
      <c r="AJ68" s="286"/>
      <c r="AK68" s="286"/>
      <c r="AL68" s="286"/>
      <c r="AM68" s="242"/>
    </row>
    <row r="69" spans="1:39" s="69" customFormat="1" x14ac:dyDescent="0.2">
      <c r="A69" s="393"/>
      <c r="B69" s="61"/>
      <c r="C69" s="61"/>
      <c r="D69" s="263"/>
      <c r="E69" s="51"/>
      <c r="F69" s="64"/>
      <c r="G69" s="28"/>
      <c r="H69" s="229"/>
      <c r="I69" s="70"/>
      <c r="J69" s="70"/>
      <c r="K69" s="70"/>
      <c r="L69" s="70"/>
      <c r="M69" s="70"/>
      <c r="N69" s="210"/>
      <c r="O69" s="210"/>
      <c r="P69" s="210"/>
      <c r="Q69" s="210"/>
      <c r="R69" s="210"/>
      <c r="S69" s="210"/>
      <c r="T69" s="210"/>
      <c r="U69"/>
      <c r="V69" s="415"/>
      <c r="W69"/>
      <c r="X69" s="286"/>
      <c r="Y69" s="286"/>
      <c r="Z69" s="286"/>
      <c r="AA69" s="286"/>
      <c r="AB69" s="286"/>
      <c r="AC69" s="286"/>
      <c r="AD69" s="286"/>
      <c r="AE69" s="286"/>
      <c r="AF69" s="286"/>
      <c r="AG69" s="286"/>
      <c r="AH69" s="286"/>
      <c r="AI69" s="286"/>
      <c r="AJ69" s="286"/>
      <c r="AK69" s="286"/>
      <c r="AL69" s="286"/>
      <c r="AM69" s="242"/>
    </row>
    <row r="70" spans="1:39" s="69" customFormat="1" x14ac:dyDescent="0.2">
      <c r="A70" s="393" t="s">
        <v>186</v>
      </c>
      <c r="B70" s="61"/>
      <c r="C70" s="61"/>
      <c r="D70" s="263"/>
      <c r="E70" s="51"/>
      <c r="F70" s="64"/>
      <c r="G70" s="28"/>
      <c r="H70" s="229"/>
      <c r="I70" s="70"/>
      <c r="J70" s="70"/>
      <c r="K70" s="70"/>
      <c r="L70" s="70"/>
      <c r="M70" s="70"/>
      <c r="N70" s="210"/>
      <c r="O70" s="210"/>
      <c r="P70" s="210"/>
      <c r="Q70" s="210"/>
      <c r="R70" s="210"/>
      <c r="S70" s="210"/>
      <c r="T70" s="210"/>
      <c r="U70"/>
      <c r="V70" s="415"/>
      <c r="W70"/>
      <c r="X70" s="286"/>
      <c r="Y70" s="286"/>
      <c r="Z70" s="286"/>
      <c r="AA70" s="286"/>
      <c r="AB70" s="286"/>
      <c r="AC70" s="286"/>
      <c r="AD70" s="286"/>
      <c r="AE70" s="286"/>
      <c r="AF70" s="286"/>
      <c r="AG70" s="286"/>
      <c r="AH70" s="286"/>
      <c r="AI70" s="286"/>
      <c r="AJ70" s="286"/>
      <c r="AK70" s="286"/>
      <c r="AL70" s="286"/>
      <c r="AM70" s="242"/>
    </row>
    <row r="71" spans="1:39" s="69" customFormat="1" x14ac:dyDescent="0.2">
      <c r="A71" s="201" t="s">
        <v>149</v>
      </c>
      <c r="B71" s="49">
        <v>21</v>
      </c>
      <c r="C71" s="61"/>
      <c r="D71" s="263"/>
      <c r="E71" s="51">
        <v>9.9000000000000005E-2</v>
      </c>
      <c r="F71" s="64"/>
      <c r="G71" s="28"/>
      <c r="H71" s="394">
        <f>T71*E71*B71/365</f>
        <v>7758.1037925296196</v>
      </c>
      <c r="I71" s="229"/>
      <c r="J71" s="70"/>
      <c r="K71" s="229"/>
      <c r="L71" s="70"/>
      <c r="M71" s="229"/>
      <c r="N71" s="210"/>
      <c r="O71" s="210"/>
      <c r="P71" s="210"/>
      <c r="Q71" s="210"/>
      <c r="R71" s="210"/>
      <c r="S71" s="210"/>
      <c r="T71" s="210">
        <f>T65+N71+S71</f>
        <v>1362052.8543883169</v>
      </c>
      <c r="U71" s="54">
        <f>U65+N71</f>
        <v>664452.8900000006</v>
      </c>
      <c r="V71" s="212">
        <f>V65+(N71/1.504)</f>
        <v>667392.96040490642</v>
      </c>
      <c r="W71"/>
      <c r="X71" s="286"/>
      <c r="Y71" s="286"/>
      <c r="Z71" s="286"/>
      <c r="AA71" s="286"/>
      <c r="AB71" s="286"/>
      <c r="AC71" s="286"/>
      <c r="AD71" s="286"/>
      <c r="AE71" s="286"/>
      <c r="AF71" s="286"/>
      <c r="AG71" s="286"/>
      <c r="AH71" s="286"/>
      <c r="AI71" s="286"/>
      <c r="AJ71" s="286"/>
      <c r="AK71" s="286"/>
      <c r="AL71" s="286"/>
      <c r="AM71" s="242"/>
    </row>
    <row r="72" spans="1:39" s="69" customFormat="1" x14ac:dyDescent="0.2">
      <c r="A72" s="201" t="s">
        <v>147</v>
      </c>
      <c r="B72" s="61"/>
      <c r="C72" s="61"/>
      <c r="D72" s="263"/>
      <c r="E72" s="51"/>
      <c r="F72" s="64"/>
      <c r="G72" s="28"/>
      <c r="H72" s="29"/>
      <c r="I72" s="29"/>
      <c r="J72" s="59"/>
      <c r="K72" s="29"/>
      <c r="L72" s="70"/>
      <c r="M72" s="29"/>
      <c r="N72" s="210">
        <v>-400000</v>
      </c>
      <c r="O72" s="54">
        <v>0</v>
      </c>
      <c r="P72" s="210">
        <f>O72/1.4725</f>
        <v>0</v>
      </c>
      <c r="Q72" s="54">
        <f>Q65+S72</f>
        <v>697599.96438831789</v>
      </c>
      <c r="R72" s="210">
        <f>Q72/1.47</f>
        <v>474557.7989036176</v>
      </c>
      <c r="S72" s="54">
        <f>L72+O72</f>
        <v>0</v>
      </c>
      <c r="T72" s="54">
        <f>T71+N72+S72</f>
        <v>962052.85438831686</v>
      </c>
      <c r="U72" s="54">
        <f>U71+N72</f>
        <v>264452.8900000006</v>
      </c>
      <c r="V72" s="212">
        <f>V71+(N72/1.4725)</f>
        <v>395746.10132171458</v>
      </c>
      <c r="W72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</row>
    <row r="73" spans="1:39" s="69" customFormat="1" x14ac:dyDescent="0.2">
      <c r="A73" s="201" t="s">
        <v>148</v>
      </c>
      <c r="B73" s="49">
        <v>9</v>
      </c>
      <c r="C73" s="61"/>
      <c r="D73" s="263"/>
      <c r="E73" s="51">
        <v>9.9000000000000005E-2</v>
      </c>
      <c r="F73" s="64"/>
      <c r="G73" s="28"/>
      <c r="H73" s="82">
        <f>T73*E73*B73/365</f>
        <v>2348.4632692054533</v>
      </c>
      <c r="I73" s="29"/>
      <c r="J73" s="59"/>
      <c r="K73" s="29"/>
      <c r="L73" s="70"/>
      <c r="M73" s="29"/>
      <c r="N73" s="210"/>
      <c r="O73" s="54"/>
      <c r="P73" s="210"/>
      <c r="Q73" s="54"/>
      <c r="R73" s="210"/>
      <c r="S73" s="54"/>
      <c r="T73" s="54">
        <f>T72+N73+S73</f>
        <v>962052.85438831686</v>
      </c>
      <c r="U73" s="54">
        <f>U72+N73</f>
        <v>264452.8900000006</v>
      </c>
      <c r="V73" s="212">
        <f>V72+(N73/1.47)</f>
        <v>395746.10132171458</v>
      </c>
      <c r="W73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</row>
    <row r="74" spans="1:39" s="69" customFormat="1" x14ac:dyDescent="0.2">
      <c r="A74" s="262" t="s">
        <v>85</v>
      </c>
      <c r="B74" s="61">
        <f>SUM(B71:B73)</f>
        <v>30</v>
      </c>
      <c r="C74" s="61"/>
      <c r="D74" s="263"/>
      <c r="E74" s="51"/>
      <c r="F74" s="64"/>
      <c r="G74" s="28"/>
      <c r="H74" s="29">
        <f>SUM(H71:H73)</f>
        <v>10106.567061735073</v>
      </c>
      <c r="I74" s="89">
        <f>H74/1.47</f>
        <v>6875.2156882551517</v>
      </c>
      <c r="J74" s="59">
        <f>10%*H74</f>
        <v>1010.6567061735074</v>
      </c>
      <c r="K74" s="89">
        <f>J74/1.47</f>
        <v>687.52156882551526</v>
      </c>
      <c r="L74" s="70">
        <f>H74-J74</f>
        <v>9095.9103555615657</v>
      </c>
      <c r="M74" s="89">
        <f>L74/1.47</f>
        <v>6187.6941194296369</v>
      </c>
      <c r="N74" s="210"/>
      <c r="O74" s="54">
        <v>0</v>
      </c>
      <c r="P74" s="210">
        <f>O74/1.47</f>
        <v>0</v>
      </c>
      <c r="Q74" s="54">
        <f>Q72+S74</f>
        <v>706695.87474387942</v>
      </c>
      <c r="R74" s="210">
        <f>Q74/1.47</f>
        <v>480745.49302304722</v>
      </c>
      <c r="S74" s="54">
        <f>L74+O74</f>
        <v>9095.9103555615657</v>
      </c>
      <c r="T74" s="54">
        <f>T73+N74+S74</f>
        <v>971148.76474387839</v>
      </c>
      <c r="U74" s="54">
        <f>U73+N74</f>
        <v>264452.8900000006</v>
      </c>
      <c r="V74" s="212">
        <f>V73+(N74/1.47)</f>
        <v>395746.10132171458</v>
      </c>
      <c r="W74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</row>
    <row r="75" spans="1:39" s="69" customFormat="1" x14ac:dyDescent="0.2">
      <c r="A75" s="201" t="s">
        <v>146</v>
      </c>
      <c r="B75" s="49">
        <v>31</v>
      </c>
      <c r="C75" s="61"/>
      <c r="D75" s="263"/>
      <c r="E75" s="51">
        <v>9.9000000000000005E-2</v>
      </c>
      <c r="F75" s="64"/>
      <c r="G75" s="28"/>
      <c r="H75" s="82">
        <f>T75*E75*B75/365</f>
        <v>8165.6316684903095</v>
      </c>
      <c r="I75" s="29"/>
      <c r="J75" s="59"/>
      <c r="K75" s="29"/>
      <c r="L75" s="70"/>
      <c r="M75" s="29"/>
      <c r="N75" s="210"/>
      <c r="O75" s="54"/>
      <c r="P75" s="210"/>
      <c r="Q75" s="54"/>
      <c r="R75" s="210"/>
      <c r="S75" s="54"/>
      <c r="T75" s="54">
        <f>T74+N75+S75</f>
        <v>971148.76474387839</v>
      </c>
      <c r="U75" s="54">
        <f>U74+N75</f>
        <v>264452.8900000006</v>
      </c>
      <c r="V75" s="212">
        <f>V74+(N75/1.47)</f>
        <v>395746.10132171458</v>
      </c>
      <c r="W75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</row>
    <row r="76" spans="1:39" s="69" customFormat="1" x14ac:dyDescent="0.2">
      <c r="A76" s="262" t="s">
        <v>91</v>
      </c>
      <c r="B76" s="61">
        <f>SUM(B75)</f>
        <v>31</v>
      </c>
      <c r="C76" s="61"/>
      <c r="D76" s="263"/>
      <c r="E76" s="51"/>
      <c r="F76" s="64"/>
      <c r="G76" s="28"/>
      <c r="H76" s="29">
        <f>SUM(H75)</f>
        <v>8165.6316684903095</v>
      </c>
      <c r="I76" s="89">
        <f>H76/1.47</f>
        <v>5554.8514751634757</v>
      </c>
      <c r="J76" s="59">
        <f>10%*H76</f>
        <v>816.56316684903095</v>
      </c>
      <c r="K76" s="89">
        <f>J76/1.47</f>
        <v>555.48514751634764</v>
      </c>
      <c r="L76" s="70">
        <f>H76-J76</f>
        <v>7349.068501641279</v>
      </c>
      <c r="M76" s="89">
        <f>L76/1.47</f>
        <v>4999.3663276471289</v>
      </c>
      <c r="N76" s="210"/>
      <c r="O76" s="54">
        <v>0</v>
      </c>
      <c r="P76" s="210">
        <f>O76/1.47</f>
        <v>0</v>
      </c>
      <c r="Q76" s="54">
        <f>Q74+S76</f>
        <v>714044.9432455207</v>
      </c>
      <c r="R76" s="210">
        <f>Q76/1.47</f>
        <v>485744.85935069434</v>
      </c>
      <c r="S76" s="54">
        <f>L76+O76</f>
        <v>7349.068501641279</v>
      </c>
      <c r="T76" s="54">
        <f>T75+N76+S76</f>
        <v>978497.83324551967</v>
      </c>
      <c r="U76" s="54">
        <f>U75+N76</f>
        <v>264452.8900000006</v>
      </c>
      <c r="V76" s="212">
        <f>V75+(N76/1.47)</f>
        <v>395746.10132171458</v>
      </c>
      <c r="W76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</row>
    <row r="77" spans="1:39" s="69" customFormat="1" x14ac:dyDescent="0.2">
      <c r="A77" s="262"/>
      <c r="B77" s="61"/>
      <c r="C77" s="61"/>
      <c r="D77" s="263"/>
      <c r="E77" s="51"/>
      <c r="F77" s="64"/>
      <c r="G77" s="28"/>
      <c r="H77" s="29"/>
      <c r="I77" s="70"/>
      <c r="J77" s="70"/>
      <c r="K77" s="70"/>
      <c r="L77" s="70"/>
      <c r="M77" s="70"/>
      <c r="N77" s="70"/>
      <c r="O77" s="70"/>
      <c r="P77" s="70"/>
      <c r="Q77" s="70"/>
      <c r="R77" s="210"/>
      <c r="S77" s="54"/>
      <c r="T77" s="54"/>
      <c r="U77" s="54"/>
      <c r="V77" s="415"/>
      <c r="W7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</row>
    <row r="78" spans="1:39" s="242" customFormat="1" x14ac:dyDescent="0.2">
      <c r="A78" s="281"/>
      <c r="B78" s="282"/>
      <c r="C78" s="282"/>
      <c r="D78" s="283"/>
      <c r="E78" s="292"/>
      <c r="F78" s="284"/>
      <c r="G78" s="285"/>
      <c r="H78" s="229"/>
      <c r="I78" s="70"/>
      <c r="J78" s="70"/>
      <c r="K78" s="70"/>
      <c r="L78" s="70"/>
      <c r="M78" s="70"/>
      <c r="N78" s="70"/>
      <c r="O78" s="70"/>
      <c r="P78" s="70"/>
      <c r="Q78" s="70"/>
      <c r="R78" s="210"/>
      <c r="S78" s="210"/>
      <c r="T78" s="210"/>
      <c r="U78" s="54"/>
      <c r="V78" s="415"/>
      <c r="W78" s="294"/>
      <c r="X78" s="286"/>
      <c r="Y78" s="286"/>
      <c r="Z78" s="286"/>
      <c r="AA78" s="286"/>
      <c r="AB78" s="286"/>
      <c r="AC78" s="286"/>
      <c r="AD78" s="286"/>
      <c r="AE78" s="286"/>
      <c r="AF78" s="286"/>
      <c r="AG78" s="286"/>
      <c r="AH78" s="286"/>
      <c r="AI78" s="286"/>
      <c r="AJ78" s="286"/>
      <c r="AK78" s="286"/>
      <c r="AL78" s="286"/>
    </row>
    <row r="79" spans="1:39" s="69" customFormat="1" x14ac:dyDescent="0.2">
      <c r="A79" s="84"/>
      <c r="B79" s="72"/>
      <c r="C79" s="72"/>
      <c r="D79" s="75"/>
      <c r="E79" s="73"/>
      <c r="F79" s="85"/>
      <c r="G79" s="74"/>
      <c r="H79" s="83"/>
      <c r="I79" s="86"/>
      <c r="J79" s="86"/>
      <c r="K79" s="86"/>
      <c r="L79" s="238"/>
      <c r="M79" s="86"/>
      <c r="N79" s="264"/>
      <c r="O79" s="250"/>
      <c r="P79" s="74"/>
      <c r="Q79" s="74"/>
      <c r="R79" s="74"/>
      <c r="S79" s="264"/>
      <c r="T79" s="83"/>
      <c r="U79" s="243"/>
      <c r="V79" s="416"/>
      <c r="W79" s="70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</row>
    <row r="80" spans="1:39" s="69" customFormat="1" x14ac:dyDescent="0.2">
      <c r="A80" s="188"/>
      <c r="B80" s="49"/>
      <c r="C80" s="49"/>
      <c r="D80" s="50"/>
      <c r="E80" s="51"/>
      <c r="F80" s="52"/>
      <c r="G80" s="53"/>
      <c r="H80" s="54"/>
      <c r="I80" s="55"/>
      <c r="J80" s="55"/>
      <c r="K80" s="55"/>
      <c r="L80" s="237"/>
      <c r="M80" s="55"/>
      <c r="N80" s="260"/>
      <c r="P80" s="53"/>
      <c r="Q80" s="53"/>
      <c r="R80" s="53"/>
      <c r="S80" s="260"/>
      <c r="T80" s="54"/>
      <c r="U80" s="59"/>
      <c r="V80"/>
      <c r="W80" s="70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</row>
    <row r="81" spans="1:38" s="69" customFormat="1" x14ac:dyDescent="0.2">
      <c r="B81" s="61"/>
      <c r="C81" s="61"/>
      <c r="D81" s="50"/>
      <c r="E81" s="51"/>
      <c r="F81" s="52"/>
      <c r="G81" s="53"/>
      <c r="H81" s="59"/>
      <c r="I81" s="59"/>
      <c r="J81" s="59"/>
      <c r="K81" s="59"/>
      <c r="L81" s="70"/>
      <c r="M81" s="59"/>
      <c r="N81" s="51"/>
      <c r="O81" s="251"/>
      <c r="P81" s="19"/>
      <c r="Q81" s="19"/>
      <c r="R81" s="19"/>
      <c r="S81" s="19"/>
      <c r="T81" s="54"/>
      <c r="U81" s="419"/>
      <c r="V81" s="67"/>
      <c r="W81"/>
      <c r="X81" s="219"/>
      <c r="Y81" s="219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</row>
    <row r="82" spans="1:38" s="69" customFormat="1" x14ac:dyDescent="0.2">
      <c r="B82" s="19"/>
      <c r="C82" s="210">
        <f>U57+U59+U61+U63</f>
        <v>44674452.890000001</v>
      </c>
      <c r="D82" s="54"/>
      <c r="F82" s="52"/>
      <c r="G82" s="53"/>
      <c r="H82" s="210" t="s">
        <v>187</v>
      </c>
      <c r="I82" s="54">
        <f>I49+I51+I53+I55</f>
        <v>326562.47808013845</v>
      </c>
      <c r="M82" s="59"/>
      <c r="N82" s="51"/>
      <c r="O82" s="251"/>
      <c r="P82" s="19"/>
      <c r="Q82" s="19"/>
      <c r="R82" s="19"/>
      <c r="S82" s="19"/>
      <c r="T82" s="29"/>
      <c r="U82" s="54"/>
      <c r="V82" s="67"/>
      <c r="W82"/>
      <c r="X82" s="219"/>
      <c r="Y82" s="219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</row>
    <row r="83" spans="1:38" s="69" customFormat="1" x14ac:dyDescent="0.2">
      <c r="B83" s="19"/>
      <c r="C83" s="210"/>
      <c r="D83" s="54"/>
      <c r="F83" s="52"/>
      <c r="G83" s="53"/>
      <c r="H83" s="19" t="s">
        <v>188</v>
      </c>
      <c r="I83" s="396">
        <f>I57+I59+I61+I65</f>
        <v>284634.56061716855</v>
      </c>
      <c r="M83" s="59"/>
      <c r="N83" s="51"/>
      <c r="O83" s="251"/>
      <c r="P83" s="19"/>
      <c r="Q83" s="19"/>
      <c r="R83" s="19"/>
      <c r="S83" s="19"/>
      <c r="T83" s="29"/>
      <c r="U83" s="54"/>
      <c r="V83" s="67"/>
      <c r="W83"/>
      <c r="X83" s="219"/>
      <c r="Y83" s="219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</row>
    <row r="84" spans="1:38" s="69" customFormat="1" x14ac:dyDescent="0.2">
      <c r="B84" s="19"/>
      <c r="C84" s="210"/>
      <c r="D84" s="54"/>
      <c r="F84" s="52"/>
      <c r="G84" s="53"/>
      <c r="H84" s="392" t="s">
        <v>192</v>
      </c>
      <c r="I84" s="70">
        <f>SUM(I82:I83)</f>
        <v>611197.038697307</v>
      </c>
      <c r="M84" s="59"/>
      <c r="N84" s="51"/>
      <c r="O84" s="251"/>
      <c r="P84" s="19"/>
      <c r="Q84" s="19"/>
      <c r="R84" s="19"/>
      <c r="S84" s="19"/>
      <c r="T84" s="29"/>
      <c r="U84" s="54"/>
      <c r="V84" s="67"/>
      <c r="W84"/>
      <c r="X84" s="219"/>
      <c r="Y84" s="219"/>
      <c r="Z84" s="219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19"/>
      <c r="AL84" s="219"/>
    </row>
    <row r="85" spans="1:38" s="69" customFormat="1" x14ac:dyDescent="0.2">
      <c r="B85" s="19"/>
      <c r="C85" s="210"/>
      <c r="D85" s="54"/>
      <c r="F85" s="52"/>
      <c r="G85" s="53"/>
      <c r="H85" s="401" t="s">
        <v>194</v>
      </c>
      <c r="I85" s="402">
        <f>I84*0.9</f>
        <v>550077.3348275763</v>
      </c>
      <c r="M85" s="59"/>
      <c r="N85" s="51"/>
      <c r="O85" s="251"/>
      <c r="P85" s="19"/>
      <c r="Q85" s="19"/>
      <c r="R85" s="19"/>
      <c r="S85" s="19"/>
      <c r="T85" s="29"/>
      <c r="U85" s="54"/>
      <c r="V85" s="67"/>
      <c r="W85"/>
      <c r="X85" s="219"/>
      <c r="Y85" s="219"/>
      <c r="Z85" s="219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19"/>
      <c r="AL85" s="219"/>
    </row>
    <row r="86" spans="1:38" s="69" customFormat="1" x14ac:dyDescent="0.2">
      <c r="B86" s="19"/>
      <c r="C86" s="210"/>
      <c r="D86" s="54"/>
      <c r="F86" s="52"/>
      <c r="G86" s="53"/>
      <c r="H86" s="19"/>
      <c r="I86" s="210"/>
      <c r="L86"/>
      <c r="M86" s="59"/>
      <c r="N86" s="51"/>
      <c r="O86" s="251"/>
      <c r="P86" s="19"/>
      <c r="Q86" s="19"/>
      <c r="R86" s="19"/>
      <c r="S86" s="19"/>
      <c r="T86" s="29"/>
      <c r="U86" s="54"/>
      <c r="V86" s="67"/>
      <c r="W86"/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</row>
    <row r="87" spans="1:38" s="69" customFormat="1" ht="13.5" thickBot="1" x14ac:dyDescent="0.25">
      <c r="B87" s="49"/>
      <c r="C87" s="49"/>
      <c r="D87" s="50"/>
      <c r="E87" s="51"/>
      <c r="F87" s="52"/>
      <c r="G87" s="53"/>
      <c r="H87" s="69" t="s">
        <v>191</v>
      </c>
      <c r="I87" s="399">
        <f>P49</f>
        <v>-75519.535923958625</v>
      </c>
      <c r="J87" s="251"/>
      <c r="K87" s="251"/>
      <c r="L87"/>
      <c r="M87" s="55"/>
      <c r="N87" s="249"/>
      <c r="O87"/>
      <c r="P87" s="210"/>
      <c r="Q87" s="19"/>
      <c r="R87" s="19"/>
      <c r="S87" s="392"/>
      <c r="T87" s="59"/>
      <c r="U87" s="54"/>
      <c r="V87" s="67"/>
      <c r="W87"/>
      <c r="X87" s="219"/>
      <c r="Y87" s="219"/>
      <c r="Z87" s="219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19"/>
      <c r="AL87" s="219"/>
    </row>
    <row r="88" spans="1:38" s="69" customFormat="1" ht="13.5" thickTop="1" x14ac:dyDescent="0.2">
      <c r="A88" s="188"/>
      <c r="B88" s="49"/>
      <c r="C88" s="49"/>
      <c r="D88" s="50"/>
      <c r="E88" s="51"/>
      <c r="F88" s="52"/>
      <c r="G88" s="53"/>
      <c r="H88" s="54"/>
      <c r="I88" s="70"/>
      <c r="J88" s="70"/>
      <c r="K88" s="70"/>
      <c r="L88"/>
      <c r="O88"/>
      <c r="P88" s="19"/>
      <c r="Q88" s="19"/>
      <c r="R88" s="19"/>
      <c r="S88" s="19"/>
      <c r="T88" s="54"/>
      <c r="U88" s="54"/>
      <c r="V88" s="67"/>
      <c r="W88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</row>
    <row r="89" spans="1:38" s="69" customFormat="1" x14ac:dyDescent="0.2">
      <c r="B89" s="251"/>
      <c r="C89" s="251"/>
      <c r="D89" s="251"/>
      <c r="E89" s="251"/>
      <c r="F89" s="251"/>
      <c r="G89" s="251"/>
      <c r="H89" s="251"/>
      <c r="I89" s="251"/>
      <c r="J89" s="59"/>
      <c r="K89" s="59"/>
      <c r="L89" s="70"/>
      <c r="M89" s="245"/>
      <c r="N89" s="248"/>
      <c r="O89"/>
      <c r="P89" s="19"/>
      <c r="Q89" s="19"/>
      <c r="R89" s="19"/>
      <c r="S89" s="19"/>
      <c r="T89" s="59"/>
      <c r="U89" s="45"/>
      <c r="V89" s="67"/>
      <c r="W89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</row>
    <row r="90" spans="1:38" s="69" customFormat="1" x14ac:dyDescent="0.2">
      <c r="A90"/>
      <c r="B90"/>
      <c r="C90"/>
      <c r="D90"/>
      <c r="E90"/>
      <c r="F90" s="251"/>
      <c r="G90" s="251"/>
      <c r="H90" s="251"/>
      <c r="I90" s="251"/>
      <c r="J90" s="59"/>
      <c r="L90" s="242"/>
      <c r="M90" s="246"/>
      <c r="N90" s="244"/>
      <c r="O90"/>
      <c r="P90" s="19"/>
      <c r="Q90" s="19"/>
      <c r="R90" s="19"/>
      <c r="S90" s="19"/>
      <c r="T90" s="59"/>
      <c r="U90" s="45"/>
      <c r="V90" s="67"/>
      <c r="W90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</row>
    <row r="91" spans="1:38" s="69" customFormat="1" x14ac:dyDescent="0.2">
      <c r="A91" s="188" t="str">
        <f ca="1">CELL("FILENAME")</f>
        <v>I:\UNMANAGD\CQM\[Ice Dri1.xls]Can $ Only-Bankruptcy</v>
      </c>
      <c r="B91"/>
      <c r="C91"/>
      <c r="D91"/>
      <c r="E91"/>
      <c r="F91" s="251"/>
      <c r="G91" s="251"/>
      <c r="H91" s="251"/>
      <c r="I91" s="251"/>
      <c r="J91" s="70"/>
      <c r="K91" s="70"/>
      <c r="L91" s="70"/>
      <c r="M91" s="247"/>
      <c r="N91" s="244"/>
      <c r="O91"/>
      <c r="P91" s="19"/>
      <c r="Q91" s="19"/>
      <c r="R91" s="19"/>
      <c r="S91" s="19"/>
      <c r="T91" s="59"/>
      <c r="U91" s="54"/>
      <c r="V91" s="38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</row>
    <row r="92" spans="1:38" s="69" customFormat="1" x14ac:dyDescent="0.2">
      <c r="A92"/>
      <c r="B92"/>
      <c r="C92"/>
      <c r="D92"/>
      <c r="E92"/>
      <c r="F92" s="251"/>
      <c r="G92" s="251"/>
      <c r="H92" s="251"/>
      <c r="I92" s="251"/>
      <c r="J92" s="70"/>
      <c r="K92" s="70"/>
      <c r="L92" s="70"/>
      <c r="M92" s="70"/>
      <c r="N92" s="260"/>
      <c r="O92"/>
      <c r="P92" s="19"/>
      <c r="Q92" s="19"/>
      <c r="R92" s="19"/>
      <c r="S92" s="19"/>
      <c r="T92" s="54"/>
      <c r="U92" s="67"/>
      <c r="V92" s="38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</row>
    <row r="93" spans="1:38" s="69" customFormat="1" x14ac:dyDescent="0.2">
      <c r="A93"/>
      <c r="B93"/>
      <c r="C93"/>
      <c r="D93"/>
      <c r="E93"/>
      <c r="F93" s="251"/>
      <c r="G93" s="251"/>
      <c r="H93" s="251"/>
      <c r="I93" s="251"/>
      <c r="J93" s="55"/>
      <c r="K93" s="55"/>
      <c r="L93" s="237"/>
      <c r="M93" s="55"/>
      <c r="N93" s="260"/>
      <c r="O93"/>
      <c r="P93" s="19"/>
      <c r="Q93" s="19"/>
      <c r="R93" s="19"/>
      <c r="S93" s="19"/>
      <c r="T93" s="54"/>
      <c r="U93" s="67"/>
      <c r="V93" s="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</row>
    <row r="94" spans="1:38" s="69" customFormat="1" x14ac:dyDescent="0.2">
      <c r="A94"/>
      <c r="B94"/>
      <c r="C94"/>
      <c r="D94"/>
      <c r="E94"/>
      <c r="F94"/>
      <c r="G94"/>
      <c r="H94"/>
      <c r="I94"/>
      <c r="J94" s="59"/>
      <c r="K94" s="59"/>
      <c r="L94" s="70"/>
      <c r="M94" s="59"/>
      <c r="N94" s="42"/>
      <c r="O94"/>
      <c r="P94" s="19"/>
      <c r="Q94" s="19"/>
      <c r="R94" s="19"/>
      <c r="S94" s="19"/>
      <c r="T94" s="45"/>
      <c r="U94" s="67"/>
      <c r="V94" s="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</row>
    <row r="95" spans="1:38" s="69" customFormat="1" x14ac:dyDescent="0.2">
      <c r="A95"/>
      <c r="B95"/>
      <c r="C95"/>
      <c r="D95"/>
      <c r="E95"/>
      <c r="F95" s="52"/>
      <c r="G95" s="53"/>
      <c r="H95" s="59"/>
      <c r="I95" s="59"/>
      <c r="J95" s="59"/>
      <c r="K95" s="59"/>
      <c r="L95" s="70"/>
      <c r="M95" s="59"/>
      <c r="N95" s="42"/>
      <c r="O95"/>
      <c r="P95" s="19"/>
      <c r="Q95" s="19"/>
      <c r="R95" s="19"/>
      <c r="S95" s="19"/>
      <c r="T95" s="45"/>
      <c r="U95" s="38"/>
      <c r="V95" s="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</row>
    <row r="96" spans="1:38" s="55" customFormat="1" x14ac:dyDescent="0.2">
      <c r="A96"/>
      <c r="B96"/>
      <c r="C96"/>
      <c r="D96"/>
      <c r="E96"/>
      <c r="F96" s="78"/>
      <c r="G96" s="53"/>
      <c r="H96" s="54"/>
      <c r="I96" s="50"/>
      <c r="J96" s="50"/>
      <c r="K96" s="50"/>
      <c r="L96" s="239"/>
      <c r="M96" s="50"/>
      <c r="N96" s="51"/>
      <c r="O96"/>
      <c r="P96" s="53"/>
      <c r="Q96" s="53"/>
      <c r="R96" s="53"/>
      <c r="S96" s="53"/>
      <c r="T96" s="54"/>
      <c r="U96" s="38"/>
      <c r="V96" s="7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</row>
    <row r="97" spans="1:38" s="55" customFormat="1" x14ac:dyDescent="0.2">
      <c r="A97"/>
      <c r="B97"/>
      <c r="C97"/>
      <c r="D97"/>
      <c r="E97"/>
      <c r="F97" s="78"/>
      <c r="G97" s="53"/>
      <c r="H97" s="54"/>
      <c r="I97" s="59"/>
      <c r="J97" s="59"/>
      <c r="K97" s="59"/>
      <c r="L97" s="70"/>
      <c r="M97" s="59"/>
      <c r="N97" s="54"/>
      <c r="O97"/>
      <c r="P97" s="54"/>
      <c r="Q97" s="54"/>
      <c r="R97" s="54"/>
      <c r="S97" s="54"/>
      <c r="T97" s="67"/>
      <c r="U97" s="38"/>
      <c r="V97" s="7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</row>
    <row r="98" spans="1:38" x14ac:dyDescent="0.2">
      <c r="T98" s="67"/>
      <c r="U98" s="38"/>
    </row>
    <row r="99" spans="1:38" x14ac:dyDescent="0.2">
      <c r="T99" s="67"/>
    </row>
    <row r="100" spans="1:38" x14ac:dyDescent="0.2">
      <c r="T100" s="38"/>
    </row>
    <row r="101" spans="1:38" x14ac:dyDescent="0.2">
      <c r="T101" s="38"/>
    </row>
    <row r="102" spans="1:38" x14ac:dyDescent="0.2">
      <c r="T102" s="38"/>
    </row>
    <row r="103" spans="1:38" x14ac:dyDescent="0.2">
      <c r="T103" s="38"/>
    </row>
    <row r="105" spans="1:38" x14ac:dyDescent="0.2">
      <c r="A105"/>
    </row>
    <row r="106" spans="1:38" x14ac:dyDescent="0.2">
      <c r="A106"/>
    </row>
    <row r="107" spans="1:38" x14ac:dyDescent="0.2">
      <c r="A107"/>
    </row>
    <row r="108" spans="1:38" x14ac:dyDescent="0.2">
      <c r="A108"/>
    </row>
    <row r="109" spans="1:38" x14ac:dyDescent="0.2">
      <c r="A109"/>
      <c r="V109" s="80"/>
    </row>
    <row r="110" spans="1:38" x14ac:dyDescent="0.2">
      <c r="V110" s="80"/>
    </row>
    <row r="111" spans="1:38" x14ac:dyDescent="0.2">
      <c r="V111" s="80"/>
    </row>
    <row r="114" spans="1:22" s="80" customFormat="1" x14ac:dyDescent="0.2">
      <c r="A114" s="7"/>
      <c r="B114" s="8"/>
      <c r="C114" s="8"/>
      <c r="D114" s="9"/>
      <c r="E114" s="10"/>
      <c r="F114" s="8"/>
      <c r="G114" s="11"/>
      <c r="H114" s="7"/>
      <c r="I114" s="57"/>
      <c r="J114" s="57"/>
      <c r="K114" s="57"/>
      <c r="L114" s="240"/>
      <c r="M114" s="57"/>
      <c r="N114" s="57"/>
      <c r="O114"/>
      <c r="P114" s="7"/>
      <c r="Q114" s="7"/>
      <c r="R114" s="7"/>
      <c r="S114" s="7"/>
      <c r="T114" s="7"/>
      <c r="U114" s="7"/>
      <c r="V114" s="7"/>
    </row>
    <row r="115" spans="1:22" s="80" customFormat="1" x14ac:dyDescent="0.2">
      <c r="A115" s="7"/>
      <c r="B115" s="8"/>
      <c r="C115" s="8"/>
      <c r="D115" s="9"/>
      <c r="E115" s="10"/>
      <c r="F115" s="8"/>
      <c r="G115" s="11"/>
      <c r="H115" s="7"/>
      <c r="I115" s="57"/>
      <c r="J115" s="57"/>
      <c r="K115" s="57"/>
      <c r="L115" s="240"/>
      <c r="M115" s="57"/>
      <c r="N115" s="57"/>
      <c r="O115"/>
      <c r="P115" s="7"/>
      <c r="Q115" s="7"/>
      <c r="R115" s="7"/>
      <c r="S115" s="7"/>
      <c r="T115" s="7"/>
      <c r="U115" s="7"/>
      <c r="V115" s="7"/>
    </row>
    <row r="116" spans="1:22" s="80" customFormat="1" x14ac:dyDescent="0.2">
      <c r="A116" s="7"/>
      <c r="B116" s="8"/>
      <c r="C116" s="8"/>
      <c r="D116" s="9"/>
      <c r="E116" s="10"/>
      <c r="F116" s="8"/>
      <c r="G116" s="11"/>
      <c r="H116" s="7"/>
      <c r="I116" s="57"/>
      <c r="J116" s="57"/>
      <c r="K116" s="57"/>
      <c r="L116" s="240"/>
      <c r="M116" s="57"/>
      <c r="N116" s="57"/>
      <c r="O116"/>
      <c r="P116" s="7"/>
      <c r="Q116" s="7"/>
      <c r="R116" s="7"/>
      <c r="S116" s="7"/>
      <c r="T116" s="7"/>
      <c r="U116" s="7"/>
      <c r="V116" s="7"/>
    </row>
    <row r="117" spans="1:22" x14ac:dyDescent="0.2">
      <c r="I117" s="57"/>
      <c r="J117" s="57"/>
      <c r="K117" s="57"/>
      <c r="L117" s="240"/>
      <c r="M117" s="57"/>
      <c r="N117" s="57"/>
    </row>
    <row r="118" spans="1:22" x14ac:dyDescent="0.2">
      <c r="I118" s="57"/>
      <c r="J118" s="57"/>
      <c r="K118" s="57"/>
      <c r="L118" s="240"/>
      <c r="M118" s="57"/>
      <c r="N118" s="57"/>
    </row>
    <row r="119" spans="1:22" x14ac:dyDescent="0.2">
      <c r="I119" s="57"/>
      <c r="J119" s="57"/>
      <c r="K119" s="57"/>
      <c r="L119" s="240"/>
      <c r="M119" s="57"/>
      <c r="N119" s="57"/>
    </row>
    <row r="120" spans="1:22" x14ac:dyDescent="0.2">
      <c r="I120" s="57"/>
      <c r="J120" s="57"/>
      <c r="K120" s="57"/>
      <c r="L120" s="240"/>
      <c r="M120" s="57"/>
      <c r="N120" s="57"/>
    </row>
    <row r="121" spans="1:22" x14ac:dyDescent="0.2">
      <c r="I121" s="57"/>
      <c r="J121" s="57"/>
      <c r="K121" s="57"/>
      <c r="L121" s="240"/>
      <c r="M121" s="57"/>
      <c r="N121" s="57"/>
    </row>
    <row r="122" spans="1:22" x14ac:dyDescent="0.2">
      <c r="I122" s="57"/>
      <c r="J122" s="57"/>
      <c r="K122" s="57"/>
      <c r="L122" s="240"/>
      <c r="M122" s="57"/>
      <c r="N122" s="57"/>
    </row>
    <row r="123" spans="1:22" x14ac:dyDescent="0.2">
      <c r="I123" s="57"/>
      <c r="J123" s="57"/>
      <c r="K123" s="57"/>
      <c r="L123" s="240"/>
      <c r="M123" s="57"/>
      <c r="N123" s="57"/>
    </row>
    <row r="124" spans="1:22" x14ac:dyDescent="0.2">
      <c r="I124" s="57"/>
      <c r="J124" s="57"/>
      <c r="K124" s="57"/>
      <c r="L124" s="240"/>
      <c r="M124" s="57"/>
      <c r="N124" s="57"/>
    </row>
    <row r="125" spans="1:22" x14ac:dyDescent="0.2">
      <c r="I125" s="57"/>
      <c r="J125" s="57"/>
      <c r="K125" s="57"/>
      <c r="L125" s="240"/>
      <c r="M125" s="57"/>
      <c r="N125" s="57"/>
    </row>
    <row r="126" spans="1:22" x14ac:dyDescent="0.2">
      <c r="I126" s="57"/>
      <c r="J126" s="57"/>
      <c r="K126" s="57"/>
      <c r="L126" s="240"/>
      <c r="M126" s="57"/>
      <c r="N126" s="57"/>
    </row>
    <row r="127" spans="1:22" x14ac:dyDescent="0.2">
      <c r="I127" s="57"/>
      <c r="J127" s="57"/>
      <c r="K127" s="57"/>
      <c r="L127" s="240"/>
      <c r="M127" s="57"/>
      <c r="N127" s="57"/>
    </row>
    <row r="128" spans="1:22" x14ac:dyDescent="0.2">
      <c r="I128" s="57"/>
      <c r="J128" s="57"/>
      <c r="K128" s="57"/>
      <c r="L128" s="240"/>
      <c r="M128" s="57"/>
      <c r="N128" s="57"/>
    </row>
    <row r="129" spans="9:14" x14ac:dyDescent="0.2">
      <c r="I129" s="57"/>
      <c r="J129" s="57"/>
      <c r="K129" s="57"/>
      <c r="L129" s="240"/>
      <c r="M129" s="57"/>
      <c r="N129" s="57"/>
    </row>
    <row r="130" spans="9:14" x14ac:dyDescent="0.2">
      <c r="I130" s="57"/>
      <c r="J130" s="57"/>
      <c r="K130" s="57"/>
      <c r="L130" s="240"/>
      <c r="M130" s="57"/>
      <c r="N130" s="57"/>
    </row>
  </sheetData>
  <mergeCells count="1">
    <mergeCell ref="A1:N1"/>
  </mergeCells>
  <pageMargins left="0.5" right="0.5" top="0.5" bottom="0.5" header="0.5" footer="0.5"/>
  <pageSetup paperSize="5"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5"/>
  <sheetViews>
    <sheetView topLeftCell="O52" workbookViewId="0">
      <selection activeCell="C14" sqref="C14"/>
    </sheetView>
  </sheetViews>
  <sheetFormatPr defaultRowHeight="12.75" x14ac:dyDescent="0.2"/>
  <cols>
    <col min="1" max="1" width="29.4257812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5.710937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11" width="16.42578125" style="7" customWidth="1"/>
    <col min="12" max="12" width="16.42578125" style="231" customWidth="1"/>
    <col min="13" max="13" width="16.42578125" style="7" customWidth="1"/>
    <col min="14" max="14" width="14.42578125" style="7" customWidth="1"/>
    <col min="15" max="15" width="17.28515625" customWidth="1"/>
    <col min="16" max="16" width="16.42578125" style="7" customWidth="1"/>
    <col min="17" max="17" width="12.85546875" style="7" customWidth="1"/>
    <col min="18" max="18" width="14.42578125" style="7" customWidth="1"/>
    <col min="19" max="19" width="13.7109375" style="7" customWidth="1"/>
    <col min="20" max="21" width="17.5703125" style="7" customWidth="1"/>
    <col min="22" max="22" width="16.7109375" style="7" customWidth="1"/>
    <col min="23" max="16384" width="9.140625" style="7"/>
  </cols>
  <sheetData>
    <row r="1" spans="1:21" x14ac:dyDescent="0.2">
      <c r="A1" s="488" t="s">
        <v>131</v>
      </c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8"/>
      <c r="O1" s="251"/>
      <c r="T1" s="251"/>
      <c r="U1" s="251"/>
    </row>
    <row r="2" spans="1:21" x14ac:dyDescent="0.2">
      <c r="A2" s="1" t="s">
        <v>124</v>
      </c>
      <c r="B2" s="2"/>
      <c r="C2" s="2"/>
      <c r="D2" s="3"/>
      <c r="E2" s="4"/>
      <c r="F2" s="2"/>
      <c r="G2" s="5"/>
      <c r="H2" s="3"/>
      <c r="I2" s="3"/>
      <c r="J2" s="3"/>
      <c r="K2" s="3"/>
      <c r="L2" s="230"/>
      <c r="M2" s="3"/>
      <c r="N2" s="3"/>
      <c r="O2" s="251"/>
      <c r="T2" s="251"/>
      <c r="U2" s="251"/>
    </row>
    <row r="3" spans="1:21" x14ac:dyDescent="0.2">
      <c r="A3" s="3"/>
      <c r="G3" s="5"/>
      <c r="H3" s="3"/>
      <c r="I3" s="3"/>
      <c r="J3" s="3"/>
      <c r="K3" s="3"/>
      <c r="L3" s="230"/>
      <c r="M3" s="3"/>
      <c r="N3" s="3"/>
      <c r="O3" s="251"/>
      <c r="T3" s="251"/>
      <c r="U3" s="251"/>
    </row>
    <row r="4" spans="1:21" x14ac:dyDescent="0.2">
      <c r="A4" s="3"/>
      <c r="G4" s="5"/>
      <c r="H4" s="3"/>
      <c r="I4" s="3"/>
      <c r="J4" s="3"/>
      <c r="K4" s="3"/>
      <c r="L4" s="230"/>
      <c r="M4" s="3"/>
      <c r="N4" s="3"/>
      <c r="O4" s="251"/>
      <c r="T4" s="251"/>
      <c r="U4" s="251"/>
    </row>
    <row r="5" spans="1:21" x14ac:dyDescent="0.2">
      <c r="O5" s="251"/>
      <c r="T5" s="251"/>
      <c r="U5" s="251"/>
    </row>
    <row r="6" spans="1:21" x14ac:dyDescent="0.2">
      <c r="A6" s="227" t="s">
        <v>0</v>
      </c>
      <c r="E6" s="13">
        <v>35978</v>
      </c>
      <c r="H6" s="13"/>
      <c r="I6" s="14"/>
      <c r="J6" s="14"/>
      <c r="K6" s="14"/>
      <c r="L6" s="232"/>
      <c r="M6" s="14"/>
      <c r="N6" s="251"/>
      <c r="O6" s="251"/>
    </row>
    <row r="7" spans="1:21" x14ac:dyDescent="0.2">
      <c r="A7" s="227" t="s">
        <v>130</v>
      </c>
      <c r="E7" s="226">
        <v>6321000</v>
      </c>
      <c r="H7" s="226"/>
      <c r="I7" s="15"/>
      <c r="J7" s="252"/>
      <c r="K7" s="15"/>
      <c r="L7" s="233"/>
      <c r="M7" s="15"/>
      <c r="O7" s="251"/>
    </row>
    <row r="8" spans="1:21" x14ac:dyDescent="0.2">
      <c r="F8" s="16"/>
      <c r="H8" s="17"/>
      <c r="I8" s="18"/>
      <c r="J8" s="18"/>
      <c r="K8" s="18"/>
      <c r="L8" s="234"/>
      <c r="M8" s="18"/>
      <c r="N8" s="251"/>
      <c r="O8" s="251"/>
    </row>
    <row r="9" spans="1:21" x14ac:dyDescent="0.2">
      <c r="A9" s="227" t="s">
        <v>132</v>
      </c>
      <c r="E9" s="7" t="s">
        <v>29</v>
      </c>
      <c r="G9" s="19"/>
      <c r="H9" s="18"/>
      <c r="I9" s="18"/>
      <c r="J9" s="18"/>
      <c r="K9" s="18"/>
      <c r="L9" s="234"/>
      <c r="M9" s="18"/>
      <c r="N9" s="251"/>
      <c r="O9" s="251"/>
    </row>
    <row r="10" spans="1:21" x14ac:dyDescent="0.2">
      <c r="E10" s="7" t="s">
        <v>31</v>
      </c>
      <c r="G10" s="19"/>
      <c r="H10" s="18"/>
      <c r="I10" s="18"/>
      <c r="J10" s="18"/>
      <c r="K10" s="18"/>
      <c r="L10" s="234"/>
      <c r="M10" s="18"/>
      <c r="N10" s="251"/>
      <c r="O10" s="251"/>
    </row>
    <row r="11" spans="1:21" x14ac:dyDescent="0.2">
      <c r="E11" s="7" t="s">
        <v>30</v>
      </c>
      <c r="G11" s="19"/>
      <c r="H11" s="18"/>
      <c r="I11" s="18"/>
      <c r="J11" s="18"/>
      <c r="K11" s="18"/>
      <c r="L11" s="234"/>
      <c r="M11" s="18"/>
      <c r="N11" s="251"/>
      <c r="O11" s="251"/>
    </row>
    <row r="12" spans="1:21" x14ac:dyDescent="0.2">
      <c r="A12" s="227" t="s">
        <v>136</v>
      </c>
      <c r="E12" s="226">
        <v>194081.63</v>
      </c>
      <c r="N12" s="251"/>
      <c r="O12" s="251"/>
    </row>
    <row r="13" spans="1:21" x14ac:dyDescent="0.2">
      <c r="E13" s="226"/>
      <c r="N13" s="251"/>
      <c r="O13" s="251"/>
    </row>
    <row r="14" spans="1:21" ht="13.5" thickBot="1" x14ac:dyDescent="0.25">
      <c r="N14" s="251"/>
      <c r="O14" s="251"/>
    </row>
    <row r="15" spans="1:21" ht="14.25" customHeight="1" x14ac:dyDescent="0.2">
      <c r="A15" s="253" t="s">
        <v>2</v>
      </c>
      <c r="E15" s="90" t="s">
        <v>43</v>
      </c>
      <c r="F15" s="91"/>
      <c r="G15" s="92"/>
      <c r="H15" s="93"/>
      <c r="N15" s="251"/>
      <c r="O15" s="251"/>
    </row>
    <row r="16" spans="1:21" ht="14.25" customHeight="1" x14ac:dyDescent="0.2">
      <c r="A16" s="254" t="s">
        <v>32</v>
      </c>
      <c r="E16" s="94" t="s">
        <v>44</v>
      </c>
      <c r="F16" s="49"/>
      <c r="G16" s="19"/>
      <c r="H16" s="95"/>
      <c r="N16" s="251"/>
      <c r="O16" s="251"/>
    </row>
    <row r="17" spans="1:37" ht="14.25" customHeight="1" x14ac:dyDescent="0.2">
      <c r="A17" s="254" t="s">
        <v>33</v>
      </c>
      <c r="E17" s="94" t="s">
        <v>45</v>
      </c>
      <c r="F17" s="49"/>
      <c r="G17" s="19"/>
      <c r="H17" s="95"/>
      <c r="N17" s="251"/>
      <c r="O17" s="251"/>
    </row>
    <row r="18" spans="1:37" ht="14.25" customHeight="1" x14ac:dyDescent="0.2">
      <c r="A18" s="254" t="s">
        <v>34</v>
      </c>
      <c r="E18" s="94" t="s">
        <v>46</v>
      </c>
      <c r="F18" s="49"/>
      <c r="G18" s="19"/>
      <c r="H18" s="95"/>
      <c r="N18" s="251"/>
      <c r="O18" s="251"/>
    </row>
    <row r="19" spans="1:37" ht="14.25" customHeight="1" x14ac:dyDescent="0.2">
      <c r="A19" s="254" t="s">
        <v>35</v>
      </c>
      <c r="E19" s="94" t="s">
        <v>47</v>
      </c>
      <c r="F19" s="49"/>
      <c r="G19" s="19"/>
      <c r="H19" s="95"/>
      <c r="N19" s="251"/>
      <c r="O19" s="251"/>
    </row>
    <row r="20" spans="1:37" ht="14.25" customHeight="1" thickBot="1" x14ac:dyDescent="0.25">
      <c r="A20" s="254" t="s">
        <v>37</v>
      </c>
      <c r="E20" s="96"/>
      <c r="F20" s="97"/>
      <c r="G20" s="98"/>
      <c r="H20" s="99"/>
      <c r="N20" s="251"/>
      <c r="O20" s="251"/>
    </row>
    <row r="21" spans="1:37" ht="14.25" customHeight="1" thickBot="1" x14ac:dyDescent="0.25">
      <c r="A21" s="88" t="s">
        <v>38</v>
      </c>
      <c r="D21" s="22" t="s">
        <v>3</v>
      </c>
      <c r="L21" s="7"/>
      <c r="O21" s="251"/>
    </row>
    <row r="22" spans="1:37" ht="14.25" customHeight="1" x14ac:dyDescent="0.2">
      <c r="A22" s="224"/>
      <c r="D22" s="22"/>
      <c r="L22" s="7"/>
      <c r="O22" s="251"/>
    </row>
    <row r="23" spans="1:37" ht="14.25" customHeight="1" x14ac:dyDescent="0.2">
      <c r="A23" s="224"/>
      <c r="D23" s="22"/>
      <c r="L23" s="7"/>
      <c r="O23" s="251"/>
    </row>
    <row r="24" spans="1:37" ht="14.25" customHeight="1" x14ac:dyDescent="0.2">
      <c r="A24" s="224"/>
      <c r="D24" s="22"/>
      <c r="H24" s="22"/>
      <c r="I24" s="22"/>
      <c r="J24" s="22"/>
      <c r="K24" s="22"/>
      <c r="L24" s="235"/>
      <c r="M24" s="22"/>
      <c r="N24" s="22"/>
      <c r="O24" s="251"/>
      <c r="P24" s="22"/>
      <c r="Q24" s="22"/>
      <c r="R24" s="22"/>
      <c r="S24" s="22"/>
    </row>
    <row r="25" spans="1:37" ht="14.25" customHeight="1" x14ac:dyDescent="0.2">
      <c r="A25" s="224"/>
      <c r="D25" s="22"/>
      <c r="H25" s="22" t="s">
        <v>114</v>
      </c>
      <c r="I25" s="22" t="s">
        <v>48</v>
      </c>
      <c r="J25" s="22" t="s">
        <v>39</v>
      </c>
      <c r="K25" s="22" t="s">
        <v>48</v>
      </c>
      <c r="L25" s="235" t="s">
        <v>127</v>
      </c>
      <c r="M25" s="22" t="s">
        <v>48</v>
      </c>
      <c r="N25" s="22" t="s">
        <v>6</v>
      </c>
      <c r="O25" s="255" t="s">
        <v>128</v>
      </c>
      <c r="P25" s="22" t="s">
        <v>48</v>
      </c>
      <c r="Q25" s="29" t="s">
        <v>55</v>
      </c>
      <c r="R25" s="22" t="s">
        <v>48</v>
      </c>
      <c r="S25" s="22" t="s">
        <v>113</v>
      </c>
      <c r="T25" s="25" t="s">
        <v>115</v>
      </c>
      <c r="U25" s="25"/>
      <c r="V25" s="22" t="s">
        <v>48</v>
      </c>
    </row>
    <row r="26" spans="1:37" x14ac:dyDescent="0.2">
      <c r="C26" s="23" t="s">
        <v>7</v>
      </c>
      <c r="D26" s="22" t="s">
        <v>8</v>
      </c>
      <c r="E26" s="23"/>
      <c r="F26" s="22" t="s">
        <v>9</v>
      </c>
      <c r="G26" s="24" t="s">
        <v>10</v>
      </c>
      <c r="H26" s="26" t="s">
        <v>112</v>
      </c>
      <c r="I26" s="22" t="s">
        <v>49</v>
      </c>
      <c r="J26" s="22" t="s">
        <v>40</v>
      </c>
      <c r="K26" s="22" t="s">
        <v>49</v>
      </c>
      <c r="L26" s="235" t="s">
        <v>110</v>
      </c>
      <c r="M26" s="22" t="s">
        <v>49</v>
      </c>
      <c r="N26" s="29" t="s">
        <v>22</v>
      </c>
      <c r="O26" s="255" t="s">
        <v>135</v>
      </c>
      <c r="P26" s="22" t="s">
        <v>49</v>
      </c>
      <c r="Q26" s="29" t="s">
        <v>128</v>
      </c>
      <c r="R26" s="22" t="s">
        <v>49</v>
      </c>
      <c r="S26" s="29" t="s">
        <v>13</v>
      </c>
      <c r="T26" s="25" t="s">
        <v>111</v>
      </c>
      <c r="U26" s="25" t="s">
        <v>67</v>
      </c>
      <c r="V26" s="22" t="s">
        <v>49</v>
      </c>
    </row>
    <row r="27" spans="1:37" x14ac:dyDescent="0.2">
      <c r="A27" s="26" t="s">
        <v>14</v>
      </c>
      <c r="B27" s="27" t="s">
        <v>15</v>
      </c>
      <c r="C27" s="27" t="s">
        <v>16</v>
      </c>
      <c r="D27" s="26" t="s">
        <v>17</v>
      </c>
      <c r="E27" s="23" t="s">
        <v>7</v>
      </c>
      <c r="F27" s="22" t="s">
        <v>18</v>
      </c>
      <c r="G27" s="28" t="s">
        <v>19</v>
      </c>
      <c r="H27" s="22" t="s">
        <v>113</v>
      </c>
      <c r="I27" s="29" t="s">
        <v>50</v>
      </c>
      <c r="J27" s="29"/>
      <c r="K27" s="29" t="s">
        <v>50</v>
      </c>
      <c r="L27" s="229"/>
      <c r="M27" s="29" t="s">
        <v>50</v>
      </c>
      <c r="N27" s="29" t="s">
        <v>13</v>
      </c>
      <c r="P27" s="29" t="s">
        <v>50</v>
      </c>
      <c r="Q27" s="29" t="s">
        <v>129</v>
      </c>
      <c r="R27" s="29" t="s">
        <v>50</v>
      </c>
      <c r="T27" s="29" t="s">
        <v>126</v>
      </c>
      <c r="U27" s="25" t="s">
        <v>139</v>
      </c>
      <c r="V27" s="29" t="s">
        <v>50</v>
      </c>
    </row>
    <row r="28" spans="1:37" x14ac:dyDescent="0.2">
      <c r="A28" s="31"/>
      <c r="B28" s="32"/>
      <c r="C28" s="32"/>
      <c r="D28" s="31"/>
      <c r="E28" s="33"/>
      <c r="F28" s="32"/>
      <c r="G28" s="34"/>
      <c r="H28" s="31"/>
      <c r="I28" s="35"/>
      <c r="J28" s="35"/>
      <c r="K28" s="35"/>
      <c r="L28" s="236"/>
      <c r="M28" s="35"/>
      <c r="N28" s="35"/>
      <c r="O28" s="256"/>
      <c r="P28" s="267" t="s">
        <v>137</v>
      </c>
      <c r="Q28" s="256"/>
      <c r="R28" s="256"/>
      <c r="S28" s="35"/>
      <c r="T28" s="36"/>
      <c r="U28" s="36"/>
      <c r="V28" s="267" t="s">
        <v>137</v>
      </c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 spans="1:37" s="48" customFormat="1" hidden="1" x14ac:dyDescent="0.2">
      <c r="A29" s="257" t="s">
        <v>25</v>
      </c>
      <c r="B29" s="49"/>
      <c r="C29" s="49"/>
      <c r="D29" s="37"/>
      <c r="E29" s="51"/>
      <c r="F29" s="258"/>
      <c r="G29" s="19"/>
      <c r="H29" s="82"/>
      <c r="I29" s="54"/>
      <c r="J29" s="54"/>
      <c r="K29" s="54"/>
      <c r="L29" s="210"/>
      <c r="M29" s="54"/>
      <c r="N29" s="54">
        <v>6321000</v>
      </c>
      <c r="O29" s="7"/>
      <c r="P29" s="251"/>
      <c r="Q29" s="251"/>
      <c r="R29" s="251"/>
      <c r="S29" s="271"/>
      <c r="T29" s="272">
        <f>N29</f>
        <v>6321000</v>
      </c>
      <c r="U29" s="259">
        <v>6321000</v>
      </c>
    </row>
    <row r="30" spans="1:37" hidden="1" x14ac:dyDescent="0.2">
      <c r="A30" s="58" t="s">
        <v>26</v>
      </c>
      <c r="B30" s="49">
        <v>21</v>
      </c>
      <c r="C30" s="49" t="s">
        <v>24</v>
      </c>
      <c r="D30" s="50">
        <v>35873</v>
      </c>
      <c r="E30" s="51">
        <v>9.9000000000000005E-2</v>
      </c>
      <c r="F30" s="52">
        <v>6.25E-2</v>
      </c>
      <c r="G30" s="53">
        <f>E30+F30</f>
        <v>0.1615</v>
      </c>
      <c r="H30" s="82">
        <f>T30*E30*B30/365</f>
        <v>36003.72328767123</v>
      </c>
      <c r="I30" s="55"/>
      <c r="J30" s="55"/>
      <c r="K30" s="55"/>
      <c r="L30" s="237"/>
      <c r="M30" s="55"/>
      <c r="N30" s="260"/>
      <c r="O30" s="251"/>
      <c r="P30" s="9"/>
      <c r="Q30" s="22"/>
      <c r="R30" s="9"/>
      <c r="S30" s="55"/>
      <c r="T30" s="54">
        <f t="shared" ref="T30:T65" si="0">T29+N30+S30</f>
        <v>6321000</v>
      </c>
      <c r="U30" s="212">
        <f>U29+N30</f>
        <v>6321000</v>
      </c>
    </row>
    <row r="31" spans="1:37" hidden="1" x14ac:dyDescent="0.2">
      <c r="A31" s="58" t="s">
        <v>27</v>
      </c>
      <c r="B31" s="49">
        <v>9</v>
      </c>
      <c r="C31" s="49"/>
      <c r="D31" s="50"/>
      <c r="E31" s="51">
        <v>9.9000000000000005E-2</v>
      </c>
      <c r="F31" s="52"/>
      <c r="G31" s="53"/>
      <c r="H31" s="82">
        <f>T31*E31*B31/365</f>
        <v>17871.26301369863</v>
      </c>
      <c r="I31" s="59"/>
      <c r="J31" s="59"/>
      <c r="K31" s="59"/>
      <c r="L31" s="70"/>
      <c r="M31" s="59"/>
      <c r="N31" s="260">
        <v>1000000</v>
      </c>
      <c r="O31" s="261"/>
      <c r="P31" s="240"/>
      <c r="Q31" s="57"/>
      <c r="R31" s="57"/>
      <c r="S31" s="55"/>
      <c r="T31" s="54">
        <f t="shared" si="0"/>
        <v>7321000</v>
      </c>
      <c r="U31" s="212">
        <f t="shared" ref="U31:U65" si="1">U30+N31</f>
        <v>7321000</v>
      </c>
    </row>
    <row r="32" spans="1:37" s="68" customFormat="1" ht="12" hidden="1" x14ac:dyDescent="0.2">
      <c r="A32" s="262" t="s">
        <v>28</v>
      </c>
      <c r="B32" s="61">
        <f>SUM(B30:B31)</f>
        <v>30</v>
      </c>
      <c r="C32" s="61"/>
      <c r="D32" s="263"/>
      <c r="E32" s="63"/>
      <c r="F32" s="64"/>
      <c r="G32" s="28"/>
      <c r="H32" s="29">
        <f>SUM(H30:H31)</f>
        <v>53874.986301369863</v>
      </c>
      <c r="I32" s="89">
        <f>H32/1.47</f>
        <v>36649.650545149569</v>
      </c>
      <c r="J32" s="59">
        <f>10%*H32</f>
        <v>5387.4986301369863</v>
      </c>
      <c r="K32" s="89">
        <f>J32/1.47</f>
        <v>3664.9650545149566</v>
      </c>
      <c r="L32" s="70">
        <f>H32-J32</f>
        <v>48487.487671232877</v>
      </c>
      <c r="M32" s="89">
        <f>L32/1.47</f>
        <v>32984.685490634613</v>
      </c>
      <c r="N32" s="59"/>
      <c r="O32" s="54">
        <f>-L32</f>
        <v>-48487.487671232877</v>
      </c>
      <c r="P32" s="210">
        <f>O32/1.47</f>
        <v>-32984.685490634613</v>
      </c>
      <c r="Q32" s="54">
        <f>L32</f>
        <v>48487.487671232877</v>
      </c>
      <c r="R32" s="210">
        <f>Q32/1.47</f>
        <v>32984.685490634613</v>
      </c>
      <c r="S32" s="54">
        <f>L32+O32</f>
        <v>0</v>
      </c>
      <c r="T32" s="54">
        <f t="shared" si="0"/>
        <v>7321000</v>
      </c>
      <c r="U32" s="212">
        <f t="shared" si="1"/>
        <v>7321000</v>
      </c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</row>
    <row r="33" spans="1:37" s="69" customFormat="1" ht="12" hidden="1" x14ac:dyDescent="0.2">
      <c r="A33" s="58" t="s">
        <v>79</v>
      </c>
      <c r="B33" s="49">
        <v>11</v>
      </c>
      <c r="C33" s="49"/>
      <c r="D33" s="50"/>
      <c r="E33" s="51">
        <v>9.9000000000000005E-2</v>
      </c>
      <c r="F33" s="52"/>
      <c r="G33" s="53"/>
      <c r="H33" s="82">
        <f>T33*E33*B33/365</f>
        <v>21842.654794520549</v>
      </c>
      <c r="I33" s="55"/>
      <c r="J33" s="55"/>
      <c r="K33" s="55"/>
      <c r="L33" s="237"/>
      <c r="M33" s="55"/>
      <c r="N33" s="260"/>
      <c r="O33" s="55"/>
      <c r="P33" s="266"/>
      <c r="Q33" s="53"/>
      <c r="R33" s="53"/>
      <c r="S33" s="55"/>
      <c r="T33" s="54">
        <f t="shared" si="0"/>
        <v>7321000</v>
      </c>
      <c r="U33" s="212">
        <f t="shared" si="1"/>
        <v>7321000</v>
      </c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</row>
    <row r="34" spans="1:37" s="69" customFormat="1" ht="12" hidden="1" x14ac:dyDescent="0.2">
      <c r="A34" s="58" t="s">
        <v>80</v>
      </c>
      <c r="B34" s="49">
        <v>20</v>
      </c>
      <c r="C34" s="49"/>
      <c r="D34" s="50"/>
      <c r="E34" s="51">
        <v>9.9000000000000005E-2</v>
      </c>
      <c r="F34" s="52"/>
      <c r="G34" s="53"/>
      <c r="H34" s="82">
        <f>T34*E34*B34/365</f>
        <v>45138.575342465752</v>
      </c>
      <c r="I34" s="59"/>
      <c r="J34" s="59"/>
      <c r="K34" s="59"/>
      <c r="L34" s="70"/>
      <c r="M34" s="59"/>
      <c r="N34" s="260">
        <v>1000000</v>
      </c>
      <c r="O34" s="55"/>
      <c r="P34" s="266"/>
      <c r="Q34" s="53"/>
      <c r="R34" s="53"/>
      <c r="S34" s="55"/>
      <c r="T34" s="54">
        <f t="shared" si="0"/>
        <v>8321000</v>
      </c>
      <c r="U34" s="212">
        <f t="shared" si="1"/>
        <v>8321000</v>
      </c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</row>
    <row r="35" spans="1:37" s="69" customFormat="1" ht="12" hidden="1" x14ac:dyDescent="0.2">
      <c r="A35" s="186" t="s">
        <v>81</v>
      </c>
      <c r="B35" s="61">
        <f>SUM(B33:B34)</f>
        <v>31</v>
      </c>
      <c r="C35" s="49"/>
      <c r="D35" s="50"/>
      <c r="E35" s="51"/>
      <c r="F35" s="52"/>
      <c r="G35" s="53"/>
      <c r="H35" s="29">
        <f>SUM(H33:H34)</f>
        <v>66981.230136986298</v>
      </c>
      <c r="I35" s="89">
        <f>H35/1.47</f>
        <v>45565.462678221971</v>
      </c>
      <c r="J35" s="59">
        <f>10%*H35</f>
        <v>6698.1230136986305</v>
      </c>
      <c r="K35" s="89">
        <f>J35/1.47</f>
        <v>4556.5462678221975</v>
      </c>
      <c r="L35" s="70">
        <f>H35-J35</f>
        <v>60283.107123287671</v>
      </c>
      <c r="M35" s="89">
        <f>L35/1.47</f>
        <v>41008.916410399775</v>
      </c>
      <c r="N35" s="260"/>
      <c r="O35" s="54">
        <f>-L35</f>
        <v>-60283.107123287671</v>
      </c>
      <c r="P35" s="210">
        <f>O35/1.47</f>
        <v>-41008.916410399775</v>
      </c>
      <c r="Q35" s="54">
        <f>L35</f>
        <v>60283.107123287671</v>
      </c>
      <c r="R35" s="210">
        <f>Q35/1.47</f>
        <v>41008.916410399775</v>
      </c>
      <c r="S35" s="54">
        <f>L35+O35</f>
        <v>0</v>
      </c>
      <c r="T35" s="54">
        <f t="shared" si="0"/>
        <v>8321000</v>
      </c>
      <c r="U35" s="212">
        <f t="shared" si="1"/>
        <v>8321000</v>
      </c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</row>
    <row r="36" spans="1:37" s="69" customFormat="1" ht="12" hidden="1" x14ac:dyDescent="0.2">
      <c r="A36" s="58" t="s">
        <v>87</v>
      </c>
      <c r="B36" s="49">
        <v>17</v>
      </c>
      <c r="C36" s="49"/>
      <c r="D36" s="50"/>
      <c r="E36" s="51">
        <v>9.9000000000000005E-2</v>
      </c>
      <c r="F36" s="52"/>
      <c r="G36" s="53"/>
      <c r="H36" s="82">
        <f>T36*E36*B36/365</f>
        <v>38367.789041095893</v>
      </c>
      <c r="I36" s="55"/>
      <c r="J36" s="59"/>
      <c r="K36" s="59"/>
      <c r="L36" s="70"/>
      <c r="M36" s="59"/>
      <c r="N36" s="260"/>
      <c r="O36" s="55"/>
      <c r="P36" s="266"/>
      <c r="Q36" s="53"/>
      <c r="R36" s="53"/>
      <c r="S36" s="55"/>
      <c r="T36" s="54">
        <f t="shared" si="0"/>
        <v>8321000</v>
      </c>
      <c r="U36" s="212">
        <f t="shared" si="1"/>
        <v>8321000</v>
      </c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</row>
    <row r="37" spans="1:37" s="69" customFormat="1" ht="12" hidden="1" x14ac:dyDescent="0.2">
      <c r="A37" s="58" t="s">
        <v>88</v>
      </c>
      <c r="B37" s="49">
        <v>13</v>
      </c>
      <c r="C37" s="49"/>
      <c r="D37" s="50"/>
      <c r="E37" s="51">
        <v>9.9000000000000005E-2</v>
      </c>
      <c r="F37" s="52"/>
      <c r="G37" s="53"/>
      <c r="H37" s="82">
        <f>T37*E37*B37/365</f>
        <v>38680.520547945205</v>
      </c>
      <c r="I37" s="55"/>
      <c r="J37" s="59"/>
      <c r="K37" s="59"/>
      <c r="L37" s="70"/>
      <c r="M37" s="59"/>
      <c r="N37" s="260">
        <v>2649000</v>
      </c>
      <c r="O37" s="55"/>
      <c r="P37" s="266"/>
      <c r="Q37" s="53"/>
      <c r="R37" s="53"/>
      <c r="S37" s="55"/>
      <c r="T37" s="54">
        <f t="shared" si="0"/>
        <v>10970000</v>
      </c>
      <c r="U37" s="212">
        <f t="shared" si="1"/>
        <v>10970000</v>
      </c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</row>
    <row r="38" spans="1:37" s="69" customFormat="1" ht="12" hidden="1" x14ac:dyDescent="0.2">
      <c r="A38" s="186" t="s">
        <v>85</v>
      </c>
      <c r="B38" s="61">
        <f>SUM(B36:B37)</f>
        <v>30</v>
      </c>
      <c r="C38" s="49"/>
      <c r="D38" s="50"/>
      <c r="E38" s="51"/>
      <c r="F38" s="52"/>
      <c r="G38" s="53"/>
      <c r="H38" s="29">
        <f>SUM(H36:H37)</f>
        <v>77048.309589041106</v>
      </c>
      <c r="I38" s="89">
        <f>H38/1.47</f>
        <v>52413.816046966742</v>
      </c>
      <c r="J38" s="59">
        <f>10%*H38</f>
        <v>7704.830958904111</v>
      </c>
      <c r="K38" s="89">
        <f>J38/1.47</f>
        <v>5241.381604696674</v>
      </c>
      <c r="L38" s="70">
        <f>H38-J38</f>
        <v>69343.47863013699</v>
      </c>
      <c r="M38" s="89">
        <f>L38/1.47</f>
        <v>47172.43444227006</v>
      </c>
      <c r="N38" s="260"/>
      <c r="O38" s="54">
        <f>-L38</f>
        <v>-69343.47863013699</v>
      </c>
      <c r="P38" s="210">
        <f>O38/1.47</f>
        <v>-47172.43444227006</v>
      </c>
      <c r="Q38" s="54">
        <f>L38</f>
        <v>69343.47863013699</v>
      </c>
      <c r="R38" s="210">
        <f>Q38/1.47</f>
        <v>47172.43444227006</v>
      </c>
      <c r="S38" s="54">
        <f>L38+O38</f>
        <v>0</v>
      </c>
      <c r="T38" s="54">
        <f t="shared" si="0"/>
        <v>10970000</v>
      </c>
      <c r="U38" s="212">
        <f t="shared" si="1"/>
        <v>10970000</v>
      </c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</row>
    <row r="39" spans="1:37" s="69" customFormat="1" ht="12" hidden="1" x14ac:dyDescent="0.2">
      <c r="A39" s="58" t="s">
        <v>89</v>
      </c>
      <c r="B39" s="49">
        <v>27</v>
      </c>
      <c r="C39" s="49"/>
      <c r="D39" s="50"/>
      <c r="E39" s="51">
        <v>9.9000000000000005E-2</v>
      </c>
      <c r="F39" s="52"/>
      <c r="G39" s="53"/>
      <c r="H39" s="82">
        <f>T39*E39*B39/365</f>
        <v>80336.465753424651</v>
      </c>
      <c r="I39" s="55"/>
      <c r="J39" s="59"/>
      <c r="K39" s="59"/>
      <c r="L39" s="70"/>
      <c r="M39" s="59"/>
      <c r="N39" s="260"/>
      <c r="O39" s="55"/>
      <c r="P39" s="266"/>
      <c r="Q39" s="53"/>
      <c r="R39" s="53"/>
      <c r="S39" s="55"/>
      <c r="T39" s="54">
        <f t="shared" si="0"/>
        <v>10970000</v>
      </c>
      <c r="U39" s="212">
        <f t="shared" si="1"/>
        <v>10970000</v>
      </c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</row>
    <row r="40" spans="1:37" s="69" customFormat="1" ht="12" hidden="1" x14ac:dyDescent="0.2">
      <c r="A40" s="201" t="s">
        <v>90</v>
      </c>
      <c r="B40" s="49">
        <v>4</v>
      </c>
      <c r="C40" s="61"/>
      <c r="D40" s="263"/>
      <c r="E40" s="51">
        <v>9.9000000000000005E-2</v>
      </c>
      <c r="F40" s="52"/>
      <c r="G40" s="53"/>
      <c r="H40" s="82">
        <f>T40*E40*B40/365</f>
        <v>12986.630136986301</v>
      </c>
      <c r="I40" s="59"/>
      <c r="J40" s="59"/>
      <c r="K40" s="59"/>
      <c r="L40" s="70"/>
      <c r="M40" s="59"/>
      <c r="N40" s="54">
        <v>1000000</v>
      </c>
      <c r="O40" s="55"/>
      <c r="P40" s="266"/>
      <c r="Q40" s="53"/>
      <c r="R40" s="53"/>
      <c r="S40" s="55"/>
      <c r="T40" s="54">
        <f t="shared" si="0"/>
        <v>11970000</v>
      </c>
      <c r="U40" s="212">
        <f t="shared" si="1"/>
        <v>11970000</v>
      </c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</row>
    <row r="41" spans="1:37" s="69" customFormat="1" ht="12" hidden="1" x14ac:dyDescent="0.2">
      <c r="A41" s="262" t="s">
        <v>91</v>
      </c>
      <c r="B41" s="61">
        <f>SUM(B39:B40)</f>
        <v>31</v>
      </c>
      <c r="C41" s="61"/>
      <c r="D41" s="263"/>
      <c r="E41" s="63"/>
      <c r="F41" s="64"/>
      <c r="G41" s="28"/>
      <c r="H41" s="29">
        <f>SUM(H39:H40)</f>
        <v>93323.095890410958</v>
      </c>
      <c r="I41" s="89">
        <f>H41/1.47</f>
        <v>63485.099245177524</v>
      </c>
      <c r="J41" s="59">
        <f>10%*H41</f>
        <v>9332.3095890410968</v>
      </c>
      <c r="K41" s="89">
        <f>J41/1.47</f>
        <v>6348.5099245177535</v>
      </c>
      <c r="L41" s="70">
        <f>H41-J41</f>
        <v>83990.786301369866</v>
      </c>
      <c r="M41" s="89">
        <f>L41/1.47</f>
        <v>57136.589320659776</v>
      </c>
      <c r="N41" s="59"/>
      <c r="O41" s="54">
        <f>-L41</f>
        <v>-83990.786301369866</v>
      </c>
      <c r="P41" s="210">
        <f>O41/1.47</f>
        <v>-57136.589320659776</v>
      </c>
      <c r="Q41" s="54">
        <f>L41</f>
        <v>83990.786301369866</v>
      </c>
      <c r="R41" s="210">
        <f>Q41/1.47</f>
        <v>57136.589320659776</v>
      </c>
      <c r="S41" s="54">
        <f>L41+O41</f>
        <v>0</v>
      </c>
      <c r="T41" s="54">
        <f t="shared" si="0"/>
        <v>11970000</v>
      </c>
      <c r="U41" s="212">
        <f t="shared" si="1"/>
        <v>11970000</v>
      </c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</row>
    <row r="42" spans="1:37" s="69" customFormat="1" ht="12" hidden="1" x14ac:dyDescent="0.2">
      <c r="A42" s="201" t="s">
        <v>93</v>
      </c>
      <c r="B42" s="49">
        <v>30</v>
      </c>
      <c r="C42" s="61"/>
      <c r="D42" s="263"/>
      <c r="E42" s="51">
        <v>9.9000000000000005E-2</v>
      </c>
      <c r="F42" s="64"/>
      <c r="G42" s="28"/>
      <c r="H42" s="82">
        <f>T42*E42*B42/365</f>
        <v>97399.726027397264</v>
      </c>
      <c r="I42" s="59"/>
      <c r="J42" s="59"/>
      <c r="K42" s="70"/>
      <c r="L42" s="70"/>
      <c r="M42" s="70"/>
      <c r="N42" s="59"/>
      <c r="O42" s="55"/>
      <c r="P42" s="266"/>
      <c r="Q42" s="53"/>
      <c r="R42" s="53"/>
      <c r="S42" s="55"/>
      <c r="T42" s="54">
        <f t="shared" si="0"/>
        <v>11970000</v>
      </c>
      <c r="U42" s="212">
        <f t="shared" si="1"/>
        <v>11970000</v>
      </c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</row>
    <row r="43" spans="1:37" s="69" customFormat="1" ht="12" hidden="1" x14ac:dyDescent="0.2">
      <c r="A43" s="262" t="s">
        <v>94</v>
      </c>
      <c r="B43" s="61">
        <v>30</v>
      </c>
      <c r="C43" s="61"/>
      <c r="D43" s="263"/>
      <c r="E43" s="51" t="s">
        <v>56</v>
      </c>
      <c r="F43" s="64"/>
      <c r="G43" s="28"/>
      <c r="H43" s="29">
        <f>SUM(H42)</f>
        <v>97399.726027397264</v>
      </c>
      <c r="I43" s="89">
        <f>H43/1.47</f>
        <v>66258.317025440323</v>
      </c>
      <c r="J43" s="59">
        <f>10%*H43</f>
        <v>9739.9726027397264</v>
      </c>
      <c r="K43" s="89">
        <f>J43/1.47</f>
        <v>6625.8317025440319</v>
      </c>
      <c r="L43" s="70">
        <f>H43-J43</f>
        <v>87659.753424657538</v>
      </c>
      <c r="M43" s="89">
        <f>L43/1.47</f>
        <v>59632.485322896282</v>
      </c>
      <c r="N43" s="59"/>
      <c r="O43" s="54">
        <f>-L43</f>
        <v>-87659.753424657538</v>
      </c>
      <c r="P43" s="210">
        <f>O43/1.47</f>
        <v>-59632.485322896282</v>
      </c>
      <c r="Q43" s="54">
        <f>L43</f>
        <v>87659.753424657538</v>
      </c>
      <c r="R43" s="210">
        <f>Q43/1.47</f>
        <v>59632.485322896282</v>
      </c>
      <c r="S43" s="54">
        <f>L43+O43</f>
        <v>0</v>
      </c>
      <c r="T43" s="54">
        <f t="shared" si="0"/>
        <v>11970000</v>
      </c>
      <c r="U43" s="212">
        <f t="shared" si="1"/>
        <v>11970000</v>
      </c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</row>
    <row r="44" spans="1:37" s="69" customFormat="1" ht="12" hidden="1" x14ac:dyDescent="0.2">
      <c r="A44" s="201" t="s">
        <v>96</v>
      </c>
      <c r="B44" s="49">
        <v>3</v>
      </c>
      <c r="C44" s="61"/>
      <c r="D44" s="263"/>
      <c r="E44" s="51">
        <v>9.9000000000000005E-2</v>
      </c>
      <c r="F44" s="64"/>
      <c r="G44" s="28"/>
      <c r="H44" s="82">
        <f>T44*E44*B44/365</f>
        <v>9739.9726027397264</v>
      </c>
      <c r="I44" s="59"/>
      <c r="J44" s="59"/>
      <c r="K44" s="59"/>
      <c r="L44" s="70"/>
      <c r="M44" s="59"/>
      <c r="N44" s="59"/>
      <c r="O44" s="55"/>
      <c r="P44" s="266"/>
      <c r="Q44" s="53"/>
      <c r="R44" s="53"/>
      <c r="S44" s="55"/>
      <c r="T44" s="54">
        <f t="shared" si="0"/>
        <v>11970000</v>
      </c>
      <c r="U44" s="212">
        <f t="shared" si="1"/>
        <v>11970000</v>
      </c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</row>
    <row r="45" spans="1:37" s="69" customFormat="1" ht="12" hidden="1" x14ac:dyDescent="0.2">
      <c r="A45" s="201" t="s">
        <v>97</v>
      </c>
      <c r="B45" s="49">
        <v>17</v>
      </c>
      <c r="C45" s="61"/>
      <c r="D45" s="263"/>
      <c r="E45" s="51">
        <v>9.9000000000000005E-2</v>
      </c>
      <c r="F45" s="64"/>
      <c r="G45" s="28"/>
      <c r="H45" s="82">
        <f>T45*E45*B45/365</f>
        <v>63031.808219178085</v>
      </c>
      <c r="I45" s="59"/>
      <c r="J45" s="59"/>
      <c r="K45" s="59"/>
      <c r="L45" s="70"/>
      <c r="M45" s="59"/>
      <c r="N45" s="54">
        <v>1700000</v>
      </c>
      <c r="O45" s="55"/>
      <c r="P45" s="266"/>
      <c r="Q45" s="53"/>
      <c r="R45" s="53"/>
      <c r="S45" s="55"/>
      <c r="T45" s="54">
        <f t="shared" si="0"/>
        <v>13670000</v>
      </c>
      <c r="U45" s="212">
        <f t="shared" si="1"/>
        <v>13670000</v>
      </c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</row>
    <row r="46" spans="1:37" s="69" customFormat="1" ht="12" hidden="1" x14ac:dyDescent="0.2">
      <c r="A46" s="201" t="s">
        <v>98</v>
      </c>
      <c r="B46" s="49">
        <v>11</v>
      </c>
      <c r="C46" s="61"/>
      <c r="D46" s="263"/>
      <c r="E46" s="51">
        <v>9.9000000000000005E-2</v>
      </c>
      <c r="F46" s="64"/>
      <c r="G46" s="28"/>
      <c r="H46" s="82">
        <f>T46*E46*B46/365</f>
        <v>43768.849315068495</v>
      </c>
      <c r="I46" s="59"/>
      <c r="J46" s="59"/>
      <c r="K46" s="59"/>
      <c r="L46" s="70"/>
      <c r="M46" s="59"/>
      <c r="N46" s="54">
        <v>1000000</v>
      </c>
      <c r="O46" s="55"/>
      <c r="P46" s="266"/>
      <c r="Q46" s="53"/>
      <c r="R46" s="53"/>
      <c r="S46" s="55"/>
      <c r="T46" s="54">
        <f t="shared" si="0"/>
        <v>14670000</v>
      </c>
      <c r="U46" s="212">
        <f t="shared" si="1"/>
        <v>14670000</v>
      </c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</row>
    <row r="47" spans="1:37" s="69" customFormat="1" ht="12" hidden="1" x14ac:dyDescent="0.2">
      <c r="A47" s="262" t="s">
        <v>99</v>
      </c>
      <c r="B47" s="61">
        <f>SUM(B44:B46)</f>
        <v>31</v>
      </c>
      <c r="C47" s="61"/>
      <c r="D47" s="263"/>
      <c r="E47" s="51"/>
      <c r="F47" s="64"/>
      <c r="G47" s="28"/>
      <c r="H47" s="29">
        <f>SUM(H44:H46)</f>
        <v>116540.63013698631</v>
      </c>
      <c r="I47" s="89">
        <f>H47/1.47</f>
        <v>79279.340229242385</v>
      </c>
      <c r="J47" s="59">
        <f>10%*H47</f>
        <v>11654.063013698631</v>
      </c>
      <c r="K47" s="89">
        <f>J47/1.47</f>
        <v>7927.9340229242389</v>
      </c>
      <c r="L47" s="70">
        <f>H47-J47</f>
        <v>104886.56712328768</v>
      </c>
      <c r="M47" s="89">
        <f>L47/1.47</f>
        <v>71351.406206318148</v>
      </c>
      <c r="N47" s="54"/>
      <c r="O47" s="54">
        <f>-L47</f>
        <v>-104886.56712328768</v>
      </c>
      <c r="P47" s="210">
        <f>O47/1.47</f>
        <v>-71351.406206318148</v>
      </c>
      <c r="Q47" s="54">
        <f>L47</f>
        <v>104886.56712328768</v>
      </c>
      <c r="R47" s="210">
        <f>Q47/1.47</f>
        <v>71351.406206318148</v>
      </c>
      <c r="S47" s="54">
        <f>L47+O47</f>
        <v>0</v>
      </c>
      <c r="T47" s="54">
        <f t="shared" si="0"/>
        <v>14670000</v>
      </c>
      <c r="U47" s="212">
        <f t="shared" si="1"/>
        <v>14670000</v>
      </c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</row>
    <row r="48" spans="1:37" s="69" customFormat="1" ht="12" x14ac:dyDescent="0.2">
      <c r="A48" s="201" t="s">
        <v>101</v>
      </c>
      <c r="B48" s="49">
        <v>31</v>
      </c>
      <c r="C48" s="61"/>
      <c r="D48" s="263"/>
      <c r="E48" s="51">
        <v>9.9000000000000005E-2</v>
      </c>
      <c r="F48" s="64"/>
      <c r="G48" s="28"/>
      <c r="H48" s="82">
        <f>T48*E48*B48/365</f>
        <v>123348.57534246576</v>
      </c>
      <c r="I48" s="59"/>
      <c r="J48" s="59"/>
      <c r="K48" s="70"/>
      <c r="L48" s="70"/>
      <c r="M48" s="70"/>
      <c r="N48" s="54"/>
      <c r="O48" s="55"/>
      <c r="P48" s="266"/>
      <c r="Q48" s="53"/>
      <c r="R48" s="53"/>
      <c r="S48" s="55"/>
      <c r="T48" s="54">
        <f t="shared" si="0"/>
        <v>14670000</v>
      </c>
      <c r="U48" s="54">
        <f>U47+N48</f>
        <v>14670000</v>
      </c>
      <c r="V48" s="212">
        <f>U48/1.47</f>
        <v>9979591.8367346935</v>
      </c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</row>
    <row r="49" spans="1:37" s="69" customFormat="1" ht="12" x14ac:dyDescent="0.2">
      <c r="A49" s="262" t="s">
        <v>102</v>
      </c>
      <c r="B49" s="61">
        <f>B48</f>
        <v>31</v>
      </c>
      <c r="C49" s="61"/>
      <c r="D49" s="263"/>
      <c r="E49" s="51"/>
      <c r="F49" s="64"/>
      <c r="G49" s="28"/>
      <c r="H49" s="29">
        <f>SUM(H48)</f>
        <v>123348.57534246576</v>
      </c>
      <c r="I49" s="89">
        <f>H49/1.47</f>
        <v>83910.595471065142</v>
      </c>
      <c r="J49" s="59">
        <f>10%*H49</f>
        <v>12334.857534246577</v>
      </c>
      <c r="K49" s="89">
        <f>J49/1.47</f>
        <v>8391.0595471065153</v>
      </c>
      <c r="L49" s="70">
        <f>H49-J49</f>
        <v>111013.71780821918</v>
      </c>
      <c r="M49" s="89">
        <f>L49/1.47</f>
        <v>75519.535923958625</v>
      </c>
      <c r="N49" s="54"/>
      <c r="O49" s="54">
        <f>-L49</f>
        <v>-111013.71780821918</v>
      </c>
      <c r="P49" s="210">
        <f>O49/1.47</f>
        <v>-75519.535923958625</v>
      </c>
      <c r="Q49" s="54">
        <f>L49</f>
        <v>111013.71780821918</v>
      </c>
      <c r="R49" s="210">
        <f>Q49/1.47</f>
        <v>75519.535923958625</v>
      </c>
      <c r="S49" s="54">
        <f>L49+O49</f>
        <v>0</v>
      </c>
      <c r="T49" s="54">
        <f t="shared" si="0"/>
        <v>14670000</v>
      </c>
      <c r="U49" s="54">
        <f t="shared" si="1"/>
        <v>14670000</v>
      </c>
      <c r="V49" s="212">
        <f t="shared" ref="V49:V62" si="2">V48+N49/1.47</f>
        <v>9979591.8367346935</v>
      </c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</row>
    <row r="50" spans="1:37" s="69" customFormat="1" x14ac:dyDescent="0.2">
      <c r="A50" s="201" t="s">
        <v>104</v>
      </c>
      <c r="B50" s="49">
        <v>28</v>
      </c>
      <c r="C50" s="61"/>
      <c r="D50" s="263"/>
      <c r="E50" s="51">
        <v>9.9000000000000005E-2</v>
      </c>
      <c r="F50" s="64"/>
      <c r="G50" s="28"/>
      <c r="H50" s="82">
        <f>T50*E50*B50/365</f>
        <v>111411.61643835617</v>
      </c>
      <c r="I50" s="59"/>
      <c r="J50" s="59"/>
      <c r="K50" s="59"/>
      <c r="L50" s="70"/>
      <c r="M50" s="59"/>
      <c r="N50" s="54"/>
      <c r="O50" s="55"/>
      <c r="P50" s="210"/>
      <c r="Q50" s="54"/>
      <c r="R50" s="54"/>
      <c r="S50" s="261"/>
      <c r="T50" s="54">
        <f t="shared" si="0"/>
        <v>14670000</v>
      </c>
      <c r="U50" s="54">
        <f t="shared" si="1"/>
        <v>14670000</v>
      </c>
      <c r="V50" s="212">
        <f t="shared" si="2"/>
        <v>9979591.8367346935</v>
      </c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</row>
    <row r="51" spans="1:37" s="69" customFormat="1" ht="12" x14ac:dyDescent="0.2">
      <c r="A51" s="262" t="s">
        <v>105</v>
      </c>
      <c r="B51" s="61">
        <f>B50</f>
        <v>28</v>
      </c>
      <c r="C51" s="61"/>
      <c r="D51" s="263"/>
      <c r="E51" s="51"/>
      <c r="F51" s="64"/>
      <c r="G51" s="28"/>
      <c r="H51" s="29">
        <f>SUM(H50)</f>
        <v>111411.61643835617</v>
      </c>
      <c r="I51" s="89">
        <f>H51/1.47</f>
        <v>75790.215264187878</v>
      </c>
      <c r="J51" s="59">
        <f>10%*H51</f>
        <v>11141.161643835618</v>
      </c>
      <c r="K51" s="89">
        <f>J51/1.47</f>
        <v>7579.0215264187873</v>
      </c>
      <c r="L51" s="70">
        <f>H51-J51</f>
        <v>100270.45479452056</v>
      </c>
      <c r="M51" s="89">
        <f>L51/1.47</f>
        <v>68211.193737769092</v>
      </c>
      <c r="O51" s="57">
        <v>0</v>
      </c>
      <c r="P51" s="210">
        <f>O51/1.47</f>
        <v>0</v>
      </c>
      <c r="Q51" s="54">
        <f>L51</f>
        <v>100270.45479452056</v>
      </c>
      <c r="R51" s="210">
        <f>Q51/1.47</f>
        <v>68211.193737769092</v>
      </c>
      <c r="S51" s="54">
        <f>L51+O51</f>
        <v>100270.45479452056</v>
      </c>
      <c r="T51" s="54">
        <f t="shared" si="0"/>
        <v>14770270.454794521</v>
      </c>
      <c r="U51" s="54">
        <f t="shared" si="1"/>
        <v>14670000</v>
      </c>
      <c r="V51" s="212">
        <f t="shared" si="2"/>
        <v>9979591.8367346935</v>
      </c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</row>
    <row r="52" spans="1:37" s="69" customFormat="1" ht="12" x14ac:dyDescent="0.2">
      <c r="A52" s="201" t="s">
        <v>106</v>
      </c>
      <c r="B52" s="49">
        <v>31</v>
      </c>
      <c r="C52" s="61"/>
      <c r="D52" s="263"/>
      <c r="E52" s="51">
        <v>9.9000000000000005E-2</v>
      </c>
      <c r="F52" s="64"/>
      <c r="G52" s="28"/>
      <c r="H52" s="82">
        <f>T52*E52*B52/365</f>
        <v>124191.67130346407</v>
      </c>
      <c r="I52" s="59"/>
      <c r="J52" s="59"/>
      <c r="K52" s="59"/>
      <c r="L52" s="70"/>
      <c r="M52" s="59"/>
      <c r="O52" s="57"/>
      <c r="P52" s="210"/>
      <c r="Q52" s="54"/>
      <c r="R52" s="54"/>
      <c r="S52" s="54"/>
      <c r="T52" s="54">
        <f t="shared" si="0"/>
        <v>14770270.454794521</v>
      </c>
      <c r="U52" s="54">
        <f t="shared" si="1"/>
        <v>14670000</v>
      </c>
      <c r="V52" s="212">
        <f t="shared" si="2"/>
        <v>9979591.8367346935</v>
      </c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</row>
    <row r="53" spans="1:37" s="69" customFormat="1" ht="12" x14ac:dyDescent="0.2">
      <c r="A53" s="262" t="s">
        <v>107</v>
      </c>
      <c r="B53" s="61">
        <f>B52</f>
        <v>31</v>
      </c>
      <c r="C53" s="61"/>
      <c r="D53" s="263"/>
      <c r="E53" s="51"/>
      <c r="F53" s="64"/>
      <c r="G53" s="28"/>
      <c r="H53" s="29">
        <f>H52</f>
        <v>124191.67130346407</v>
      </c>
      <c r="I53" s="89">
        <f>H53/1.47</f>
        <v>84484.130138410939</v>
      </c>
      <c r="J53" s="59">
        <f>10%*H53</f>
        <v>12419.167130346408</v>
      </c>
      <c r="K53" s="89">
        <f>J53/1.47</f>
        <v>8448.4130138410947</v>
      </c>
      <c r="L53" s="70">
        <f>H53-J53</f>
        <v>111772.50417311766</v>
      </c>
      <c r="M53" s="89">
        <f>L53/1.47</f>
        <v>76035.717124569841</v>
      </c>
      <c r="O53" s="57">
        <v>0</v>
      </c>
      <c r="P53" s="210">
        <f>O53/1.47</f>
        <v>0</v>
      </c>
      <c r="Q53" s="54">
        <f>Q51+S53</f>
        <v>212042.9589676382</v>
      </c>
      <c r="R53" s="210">
        <f>Q53/1.47</f>
        <v>144246.9108623389</v>
      </c>
      <c r="S53" s="54">
        <f>L53+O53</f>
        <v>111772.50417311766</v>
      </c>
      <c r="T53" s="54">
        <f t="shared" si="0"/>
        <v>14882042.958967637</v>
      </c>
      <c r="U53" s="54">
        <f t="shared" si="1"/>
        <v>14670000</v>
      </c>
      <c r="V53" s="212">
        <f t="shared" si="2"/>
        <v>9979591.8367346935</v>
      </c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</row>
    <row r="54" spans="1:37" s="69" customFormat="1" ht="12" x14ac:dyDescent="0.2">
      <c r="A54" s="201" t="s">
        <v>108</v>
      </c>
      <c r="B54" s="49">
        <v>30</v>
      </c>
      <c r="C54" s="61"/>
      <c r="D54" s="263"/>
      <c r="E54" s="51">
        <v>9.9000000000000005E-2</v>
      </c>
      <c r="F54" s="64"/>
      <c r="G54" s="28"/>
      <c r="H54" s="82">
        <f>T54*E54*B54/365</f>
        <v>121094.97969351748</v>
      </c>
      <c r="I54" s="59"/>
      <c r="J54" s="59"/>
      <c r="K54" s="59"/>
      <c r="L54" s="70"/>
      <c r="M54" s="59"/>
      <c r="O54" s="57"/>
      <c r="P54" s="266"/>
      <c r="Q54" s="53"/>
      <c r="R54" s="53"/>
      <c r="S54" s="54"/>
      <c r="T54" s="54">
        <f t="shared" si="0"/>
        <v>14882042.958967637</v>
      </c>
      <c r="U54" s="54">
        <f t="shared" si="1"/>
        <v>14670000</v>
      </c>
      <c r="V54" s="212">
        <f t="shared" si="2"/>
        <v>9979591.8367346935</v>
      </c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</row>
    <row r="55" spans="1:37" s="69" customFormat="1" ht="12" x14ac:dyDescent="0.2">
      <c r="A55" s="262" t="s">
        <v>109</v>
      </c>
      <c r="B55" s="61">
        <f>B54</f>
        <v>30</v>
      </c>
      <c r="C55" s="61"/>
      <c r="D55" s="263"/>
      <c r="E55" s="51"/>
      <c r="F55" s="64"/>
      <c r="G55" s="28"/>
      <c r="H55" s="29">
        <f>H54</f>
        <v>121094.97969351748</v>
      </c>
      <c r="I55" s="89">
        <f>H55/1.47</f>
        <v>82377.537206474473</v>
      </c>
      <c r="J55" s="59">
        <f>10%*H55</f>
        <v>12109.497969351749</v>
      </c>
      <c r="K55" s="89">
        <f>J55/1.47</f>
        <v>8237.7537206474481</v>
      </c>
      <c r="L55" s="70">
        <f>H55-J55</f>
        <v>108985.48172416573</v>
      </c>
      <c r="M55" s="89">
        <f>L55/1.47</f>
        <v>74139.783485827022</v>
      </c>
      <c r="O55" s="57">
        <v>0</v>
      </c>
      <c r="P55" s="210">
        <f>O55/1.47</f>
        <v>0</v>
      </c>
      <c r="Q55" s="54">
        <f>Q53+S55</f>
        <v>321028.44069180393</v>
      </c>
      <c r="R55" s="210">
        <f>Q55/1.47</f>
        <v>218386.69434816594</v>
      </c>
      <c r="S55" s="54">
        <f>L55+O55</f>
        <v>108985.48172416573</v>
      </c>
      <c r="T55" s="54">
        <f t="shared" si="0"/>
        <v>14991028.440691803</v>
      </c>
      <c r="U55" s="54">
        <f t="shared" si="1"/>
        <v>14670000</v>
      </c>
      <c r="V55" s="212">
        <f t="shared" si="2"/>
        <v>9979591.8367346935</v>
      </c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</row>
    <row r="56" spans="1:37" s="69" customFormat="1" ht="12" x14ac:dyDescent="0.2">
      <c r="A56" s="201" t="s">
        <v>116</v>
      </c>
      <c r="B56" s="49">
        <v>31</v>
      </c>
      <c r="C56" s="61"/>
      <c r="D56" s="263"/>
      <c r="E56" s="51">
        <v>9.9000000000000005E-2</v>
      </c>
      <c r="F56" s="64"/>
      <c r="G56" s="28"/>
      <c r="H56" s="82">
        <f>T56*E56*B56/365</f>
        <v>126047.85283420038</v>
      </c>
      <c r="I56" s="59"/>
      <c r="J56" s="54"/>
      <c r="K56" s="210"/>
      <c r="L56" s="210"/>
      <c r="M56" s="210"/>
      <c r="O56" s="57"/>
      <c r="P56" s="266"/>
      <c r="Q56" s="53"/>
      <c r="R56" s="53"/>
      <c r="S56" s="210"/>
      <c r="T56" s="54">
        <f t="shared" si="0"/>
        <v>14991028.440691803</v>
      </c>
      <c r="U56" s="54">
        <f t="shared" si="1"/>
        <v>14670000</v>
      </c>
      <c r="V56" s="212">
        <f t="shared" si="2"/>
        <v>9979591.8367346935</v>
      </c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</row>
    <row r="57" spans="1:37" s="69" customFormat="1" ht="12" x14ac:dyDescent="0.2">
      <c r="A57" s="262" t="s">
        <v>117</v>
      </c>
      <c r="B57" s="61">
        <v>31</v>
      </c>
      <c r="C57" s="61"/>
      <c r="D57" s="263"/>
      <c r="E57" s="51"/>
      <c r="F57" s="64"/>
      <c r="G57" s="28"/>
      <c r="H57" s="29">
        <f>H56</f>
        <v>126047.85283420038</v>
      </c>
      <c r="I57" s="89">
        <f>H57/1.47</f>
        <v>85746.838662721348</v>
      </c>
      <c r="J57" s="59">
        <f>10%*H57</f>
        <v>12604.785283420038</v>
      </c>
      <c r="K57" s="89">
        <f>J57/1.47</f>
        <v>8574.6838662721348</v>
      </c>
      <c r="L57" s="70">
        <f>H57-J57</f>
        <v>113443.06755078034</v>
      </c>
      <c r="M57" s="89">
        <f>L57/1.47</f>
        <v>77172.154796449206</v>
      </c>
      <c r="O57" s="57">
        <v>0</v>
      </c>
      <c r="P57" s="210">
        <f>O57/1.47</f>
        <v>0</v>
      </c>
      <c r="Q57" s="54">
        <f>Q55+S57</f>
        <v>434471.5082425843</v>
      </c>
      <c r="R57" s="210">
        <f>Q57/1.47</f>
        <v>295558.84914461517</v>
      </c>
      <c r="S57" s="54">
        <f>L57+O57</f>
        <v>113443.06755078034</v>
      </c>
      <c r="T57" s="54">
        <f t="shared" si="0"/>
        <v>15104471.508242583</v>
      </c>
      <c r="U57" s="54">
        <f t="shared" si="1"/>
        <v>14670000</v>
      </c>
      <c r="V57" s="212">
        <f t="shared" si="2"/>
        <v>9979591.8367346935</v>
      </c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</row>
    <row r="58" spans="1:37" s="69" customFormat="1" ht="12" x14ac:dyDescent="0.2">
      <c r="A58" s="201" t="s">
        <v>119</v>
      </c>
      <c r="B58" s="49">
        <v>30</v>
      </c>
      <c r="C58" s="49"/>
      <c r="D58" s="77"/>
      <c r="E58" s="51">
        <v>9.9000000000000005E-2</v>
      </c>
      <c r="F58" s="64"/>
      <c r="G58" s="28"/>
      <c r="H58" s="82">
        <f>T58*E58*B58/365</f>
        <v>122904.8777520013</v>
      </c>
      <c r="I58" s="54"/>
      <c r="J58" s="54"/>
      <c r="K58" s="54"/>
      <c r="L58" s="210"/>
      <c r="M58" s="59"/>
      <c r="O58" s="57"/>
      <c r="P58" s="266"/>
      <c r="Q58" s="53"/>
      <c r="R58" s="53"/>
      <c r="S58" s="210"/>
      <c r="T58" s="54">
        <f t="shared" si="0"/>
        <v>15104471.508242583</v>
      </c>
      <c r="U58" s="54">
        <f t="shared" si="1"/>
        <v>14670000</v>
      </c>
      <c r="V58" s="212">
        <f t="shared" si="2"/>
        <v>9979591.8367346935</v>
      </c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</row>
    <row r="59" spans="1:37" s="69" customFormat="1" ht="12" x14ac:dyDescent="0.2">
      <c r="A59" s="262" t="s">
        <v>120</v>
      </c>
      <c r="B59" s="61">
        <f>B58</f>
        <v>30</v>
      </c>
      <c r="C59" s="61"/>
      <c r="D59" s="263"/>
      <c r="E59" s="51"/>
      <c r="F59" s="64"/>
      <c r="G59" s="28"/>
      <c r="H59" s="29">
        <f>H58</f>
        <v>122904.8777520013</v>
      </c>
      <c r="I59" s="89">
        <f>H59/1.47</f>
        <v>83608.76037551109</v>
      </c>
      <c r="J59" s="59">
        <f>10%*H59</f>
        <v>12290.48777520013</v>
      </c>
      <c r="K59" s="89">
        <f>J59/1.47</f>
        <v>8360.8760375511083</v>
      </c>
      <c r="L59" s="70">
        <f>H59-J59</f>
        <v>110614.38997680116</v>
      </c>
      <c r="M59" s="89">
        <f>L59/1.47</f>
        <v>75247.884337959971</v>
      </c>
      <c r="O59" s="57">
        <v>0</v>
      </c>
      <c r="P59" s="210">
        <f>O59/1.47</f>
        <v>0</v>
      </c>
      <c r="Q59" s="54">
        <f>Q57+S59</f>
        <v>545085.89821938542</v>
      </c>
      <c r="R59" s="210">
        <f>Q59/1.47</f>
        <v>370806.7334825751</v>
      </c>
      <c r="S59" s="54">
        <f>L59+O59</f>
        <v>110614.38997680116</v>
      </c>
      <c r="T59" s="54">
        <f t="shared" si="0"/>
        <v>15215085.898219384</v>
      </c>
      <c r="U59" s="54">
        <f t="shared" si="1"/>
        <v>14670000</v>
      </c>
      <c r="V59" s="212">
        <f t="shared" si="2"/>
        <v>9979591.8367346935</v>
      </c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</row>
    <row r="60" spans="1:37" s="69" customFormat="1" x14ac:dyDescent="0.2">
      <c r="A60" s="201" t="s">
        <v>125</v>
      </c>
      <c r="B60" s="49">
        <v>31</v>
      </c>
      <c r="C60" s="49"/>
      <c r="D60" s="77"/>
      <c r="E60" s="51">
        <v>9.9000000000000005E-2</v>
      </c>
      <c r="F60" s="64"/>
      <c r="G60" s="28"/>
      <c r="H60" s="82">
        <f>T60*E60*B60/365</f>
        <v>127931.77704557613</v>
      </c>
      <c r="I60" s="59"/>
      <c r="J60" s="59"/>
      <c r="K60" s="59"/>
      <c r="L60" s="70"/>
      <c r="M60" s="59"/>
      <c r="N60" s="210"/>
      <c r="O60" s="57"/>
      <c r="P60" s="210"/>
      <c r="Q60" s="53"/>
      <c r="R60" s="210"/>
      <c r="S60" s="261"/>
      <c r="T60" s="54">
        <f t="shared" si="0"/>
        <v>15215085.898219384</v>
      </c>
      <c r="U60" s="54">
        <f t="shared" si="1"/>
        <v>14670000</v>
      </c>
      <c r="V60" s="212">
        <f t="shared" si="2"/>
        <v>9979591.8367346935</v>
      </c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</row>
    <row r="61" spans="1:37" s="69" customFormat="1" ht="12" x14ac:dyDescent="0.2">
      <c r="A61" s="262" t="s">
        <v>28</v>
      </c>
      <c r="B61" s="61">
        <v>31</v>
      </c>
      <c r="C61" s="61"/>
      <c r="D61" s="263"/>
      <c r="E61" s="51"/>
      <c r="F61" s="64"/>
      <c r="G61" s="28"/>
      <c r="H61" s="29">
        <f>H60</f>
        <v>127931.77704557613</v>
      </c>
      <c r="I61" s="89">
        <f>H61/1.47</f>
        <v>87028.419758895325</v>
      </c>
      <c r="J61" s="59">
        <f>10%*H61</f>
        <v>12793.177704557615</v>
      </c>
      <c r="K61" s="89">
        <f>J61/1.47</f>
        <v>8702.8419758895343</v>
      </c>
      <c r="L61" s="70">
        <f>H61-J61</f>
        <v>115138.59934101852</v>
      </c>
      <c r="M61" s="89">
        <f>L61/1.47</f>
        <v>78325.577783005792</v>
      </c>
      <c r="N61" s="210"/>
      <c r="O61" s="57">
        <v>0</v>
      </c>
      <c r="P61" s="210">
        <f>O61/1.47</f>
        <v>0</v>
      </c>
      <c r="Q61" s="54">
        <f>Q59+S61</f>
        <v>660224.49756040389</v>
      </c>
      <c r="R61" s="210">
        <f>Q61/1.47</f>
        <v>449132.31126558088</v>
      </c>
      <c r="S61" s="54">
        <f>L61+O61</f>
        <v>115138.59934101852</v>
      </c>
      <c r="T61" s="54">
        <f t="shared" si="0"/>
        <v>15330224.497560402</v>
      </c>
      <c r="U61" s="54">
        <f t="shared" si="1"/>
        <v>14670000</v>
      </c>
      <c r="V61" s="212">
        <f t="shared" si="2"/>
        <v>9979591.8367346935</v>
      </c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</row>
    <row r="62" spans="1:37" s="69" customFormat="1" ht="12" x14ac:dyDescent="0.2">
      <c r="A62" s="201" t="s">
        <v>133</v>
      </c>
      <c r="B62" s="49">
        <v>8</v>
      </c>
      <c r="C62" s="49"/>
      <c r="D62" s="77"/>
      <c r="E62" s="51">
        <v>9.9000000000000005E-2</v>
      </c>
      <c r="F62" s="64"/>
      <c r="G62" s="28"/>
      <c r="H62" s="82">
        <f>T62*E62*B62/365</f>
        <v>33264.487128952984</v>
      </c>
      <c r="I62" s="82"/>
      <c r="J62" s="54"/>
      <c r="K62" s="82"/>
      <c r="L62" s="210"/>
      <c r="M62" s="82"/>
      <c r="N62" s="210"/>
      <c r="O62" s="55"/>
      <c r="P62" s="210"/>
      <c r="Q62" s="54"/>
      <c r="R62" s="210"/>
      <c r="S62" s="54"/>
      <c r="T62" s="54">
        <f t="shared" si="0"/>
        <v>15330224.497560402</v>
      </c>
      <c r="U62" s="54">
        <f t="shared" si="1"/>
        <v>14670000</v>
      </c>
      <c r="V62" s="212">
        <f t="shared" si="2"/>
        <v>9979591.8367346935</v>
      </c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</row>
    <row r="63" spans="1:37" s="69" customFormat="1" ht="12" x14ac:dyDescent="0.2">
      <c r="A63" s="262" t="s">
        <v>134</v>
      </c>
      <c r="B63" s="61"/>
      <c r="C63" s="61"/>
      <c r="D63" s="263"/>
      <c r="E63" s="51"/>
      <c r="F63" s="64"/>
      <c r="G63" s="28"/>
      <c r="H63" s="29"/>
      <c r="I63" s="29"/>
      <c r="J63" s="59"/>
      <c r="K63" s="29"/>
      <c r="L63" s="70"/>
      <c r="M63" s="29"/>
      <c r="N63" s="210">
        <v>-14005547.109999999</v>
      </c>
      <c r="O63" s="54">
        <v>0</v>
      </c>
      <c r="P63" s="210">
        <f>O63/1.504</f>
        <v>0</v>
      </c>
      <c r="Q63" s="54">
        <f>Q61+S63</f>
        <v>660224.49756040389</v>
      </c>
      <c r="R63" s="210">
        <f>Q63/1.47</f>
        <v>449132.31126558088</v>
      </c>
      <c r="S63" s="54">
        <f>L63+O63</f>
        <v>0</v>
      </c>
      <c r="T63" s="54">
        <f>T62+N63+S63</f>
        <v>1324677.387560403</v>
      </c>
      <c r="U63" s="54">
        <f>U62+N63</f>
        <v>664452.8900000006</v>
      </c>
      <c r="V63" s="212">
        <f>V62+(N63/1.504)</f>
        <v>667392.96040490642</v>
      </c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</row>
    <row r="64" spans="1:37" s="69" customFormat="1" ht="12" x14ac:dyDescent="0.2">
      <c r="A64" s="201" t="s">
        <v>138</v>
      </c>
      <c r="B64" s="49">
        <v>23</v>
      </c>
      <c r="C64" s="61"/>
      <c r="D64" s="263"/>
      <c r="E64" s="51">
        <v>9.9000000000000005E-2</v>
      </c>
      <c r="F64" s="64"/>
      <c r="G64" s="28"/>
      <c r="H64" s="82">
        <f>T64*E64*B64/365</f>
        <v>8263.8093465069505</v>
      </c>
      <c r="I64" s="29"/>
      <c r="J64" s="59"/>
      <c r="K64" s="29"/>
      <c r="L64" s="70"/>
      <c r="M64" s="29"/>
      <c r="N64" s="210"/>
      <c r="O64" s="54"/>
      <c r="P64" s="210"/>
      <c r="Q64" s="54"/>
      <c r="R64" s="210"/>
      <c r="S64" s="54"/>
      <c r="T64" s="54">
        <f t="shared" si="0"/>
        <v>1324677.387560403</v>
      </c>
      <c r="U64" s="54">
        <f t="shared" si="1"/>
        <v>664452.8900000006</v>
      </c>
      <c r="V64" s="212">
        <f>V63+(N64/1.504)</f>
        <v>667392.96040490642</v>
      </c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</row>
    <row r="65" spans="1:37" s="69" customFormat="1" ht="12" x14ac:dyDescent="0.2">
      <c r="A65" s="262" t="s">
        <v>81</v>
      </c>
      <c r="B65" s="61">
        <f>SUM(B62:B64)</f>
        <v>31</v>
      </c>
      <c r="C65" s="61"/>
      <c r="D65" s="263"/>
      <c r="E65" s="51"/>
      <c r="F65" s="64"/>
      <c r="G65" s="28"/>
      <c r="H65" s="29">
        <f>SUM(H62:H64)</f>
        <v>41528.296475459938</v>
      </c>
      <c r="I65" s="89">
        <f>H65/1.47</f>
        <v>28250.541820040773</v>
      </c>
      <c r="J65" s="59">
        <f>10%*H65</f>
        <v>4152.8296475459938</v>
      </c>
      <c r="K65" s="89">
        <f>J65/1.47</f>
        <v>2825.0541820040776</v>
      </c>
      <c r="L65" s="70">
        <f>H65-J65</f>
        <v>37375.466827913944</v>
      </c>
      <c r="M65" s="89">
        <f>L65/1.47</f>
        <v>25425.487638036699</v>
      </c>
      <c r="N65" s="210"/>
      <c r="O65" s="54">
        <v>0</v>
      </c>
      <c r="P65" s="210">
        <v>0</v>
      </c>
      <c r="Q65" s="54">
        <f>Q63+S65</f>
        <v>697599.96438831789</v>
      </c>
      <c r="R65" s="210">
        <f>Q65/1.47</f>
        <v>474557.7989036176</v>
      </c>
      <c r="S65" s="54">
        <f>L65+O65</f>
        <v>37375.466827913944</v>
      </c>
      <c r="T65" s="54">
        <f t="shared" si="0"/>
        <v>1362052.8543883169</v>
      </c>
      <c r="U65" s="54">
        <f t="shared" si="1"/>
        <v>664452.8900000006</v>
      </c>
      <c r="V65" s="212">
        <f>V64+(N65/1.504)</f>
        <v>667392.96040490642</v>
      </c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</row>
    <row r="66" spans="1:37" s="69" customFormat="1" ht="12" x14ac:dyDescent="0.2">
      <c r="A66" s="262"/>
      <c r="B66" s="61"/>
      <c r="C66" s="61"/>
      <c r="D66" s="263"/>
      <c r="E66" s="51"/>
      <c r="F66" s="64"/>
      <c r="G66" s="28"/>
      <c r="H66" s="29"/>
      <c r="I66" s="89"/>
      <c r="J66" s="59"/>
      <c r="K66" s="89"/>
      <c r="L66" s="70"/>
      <c r="M66" s="70"/>
      <c r="N66" s="210"/>
      <c r="O66" s="54"/>
      <c r="P66" s="210"/>
      <c r="Q66" s="54"/>
      <c r="R66" s="210"/>
      <c r="S66" s="54"/>
      <c r="T66" s="54"/>
      <c r="U66" s="54"/>
      <c r="V66" s="212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</row>
    <row r="67" spans="1:37" s="242" customFormat="1" ht="12" x14ac:dyDescent="0.2">
      <c r="A67" s="281"/>
      <c r="B67" s="282"/>
      <c r="C67" s="282"/>
      <c r="D67" s="283"/>
      <c r="E67" s="292"/>
      <c r="F67" s="284"/>
      <c r="G67" s="285"/>
      <c r="H67" s="229"/>
      <c r="I67" s="70"/>
      <c r="J67" s="70"/>
      <c r="K67" s="70"/>
      <c r="L67" s="70"/>
      <c r="M67" s="70"/>
      <c r="N67" s="210"/>
      <c r="O67" s="210"/>
      <c r="P67" s="210"/>
      <c r="Q67" s="210"/>
      <c r="R67" s="210"/>
      <c r="S67" s="210"/>
      <c r="T67" s="210"/>
      <c r="U67" s="210"/>
      <c r="V67" s="293"/>
      <c r="W67" s="286"/>
      <c r="X67" s="286"/>
      <c r="Y67" s="286"/>
      <c r="Z67" s="286"/>
      <c r="AA67" s="286"/>
      <c r="AB67" s="286"/>
      <c r="AC67" s="286"/>
      <c r="AD67" s="286"/>
      <c r="AE67" s="286"/>
      <c r="AF67" s="286"/>
      <c r="AG67" s="286"/>
      <c r="AH67" s="286"/>
      <c r="AI67" s="286"/>
      <c r="AJ67" s="286"/>
      <c r="AK67" s="286"/>
    </row>
    <row r="68" spans="1:37" s="69" customFormat="1" ht="12" x14ac:dyDescent="0.2">
      <c r="A68" s="273" t="s">
        <v>143</v>
      </c>
      <c r="B68" s="287"/>
      <c r="C68" s="287"/>
      <c r="D68" s="288"/>
      <c r="E68" s="289"/>
      <c r="F68" s="277"/>
      <c r="G68" s="278"/>
      <c r="H68" s="290"/>
      <c r="I68" s="279"/>
      <c r="J68" s="89"/>
      <c r="K68" s="279"/>
      <c r="L68" s="89"/>
      <c r="M68" s="279"/>
      <c r="N68" s="211"/>
      <c r="O68" s="211"/>
      <c r="P68" s="211"/>
      <c r="Q68" s="211"/>
      <c r="R68" s="89">
        <f>R65</f>
        <v>474557.7989036176</v>
      </c>
      <c r="S68" s="211"/>
      <c r="T68" s="211"/>
      <c r="U68" s="89"/>
      <c r="V68" s="280">
        <f>V65</f>
        <v>667392.96040490642</v>
      </c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</row>
    <row r="69" spans="1:37" s="242" customFormat="1" ht="12" x14ac:dyDescent="0.2">
      <c r="A69" s="273" t="s">
        <v>202</v>
      </c>
      <c r="B69" s="274"/>
      <c r="C69" s="274"/>
      <c r="D69" s="275"/>
      <c r="E69" s="276"/>
      <c r="F69" s="277"/>
      <c r="G69" s="278"/>
      <c r="H69" s="279"/>
      <c r="I69" s="279"/>
      <c r="J69" s="89"/>
      <c r="K69" s="279"/>
      <c r="L69" s="89"/>
      <c r="M69" s="279"/>
      <c r="N69" s="89"/>
      <c r="O69" s="89"/>
      <c r="P69" s="89"/>
      <c r="Q69" s="89"/>
      <c r="R69" s="413">
        <v>0</v>
      </c>
      <c r="S69" s="89"/>
      <c r="T69" s="89"/>
      <c r="U69" s="89"/>
      <c r="V69" s="295">
        <v>-271646.84999999998</v>
      </c>
      <c r="W69" s="286"/>
      <c r="X69" s="286"/>
      <c r="Y69" s="286"/>
      <c r="Z69" s="286"/>
      <c r="AA69" s="286"/>
      <c r="AB69" s="286"/>
      <c r="AC69" s="286"/>
      <c r="AD69" s="286"/>
      <c r="AE69" s="286"/>
      <c r="AF69" s="286"/>
      <c r="AG69" s="286"/>
      <c r="AH69" s="286"/>
      <c r="AI69" s="286"/>
      <c r="AJ69" s="286"/>
      <c r="AK69" s="286"/>
    </row>
    <row r="70" spans="1:37" s="69" customFormat="1" ht="12" x14ac:dyDescent="0.2">
      <c r="A70" s="291" t="s">
        <v>144</v>
      </c>
      <c r="B70" s="274"/>
      <c r="C70" s="274"/>
      <c r="D70" s="275"/>
      <c r="E70" s="276"/>
      <c r="F70" s="277"/>
      <c r="G70" s="278"/>
      <c r="H70" s="279"/>
      <c r="I70" s="279"/>
      <c r="J70" s="89"/>
      <c r="K70" s="279"/>
      <c r="L70" s="89"/>
      <c r="M70" s="279"/>
      <c r="N70" s="89"/>
      <c r="O70" s="89"/>
      <c r="P70" s="89"/>
      <c r="Q70" s="89"/>
      <c r="R70" s="417">
        <f>SUM(R68:R69)</f>
        <v>474557.7989036176</v>
      </c>
      <c r="S70" s="89"/>
      <c r="T70" s="89"/>
      <c r="U70" s="89"/>
      <c r="V70" s="418">
        <f>SUM(V68:V69)</f>
        <v>395746.11040490645</v>
      </c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</row>
    <row r="71" spans="1:37" s="69" customFormat="1" ht="12" x14ac:dyDescent="0.2">
      <c r="A71" s="84"/>
      <c r="B71" s="72"/>
      <c r="C71" s="72"/>
      <c r="D71" s="75"/>
      <c r="E71" s="73"/>
      <c r="F71" s="85"/>
      <c r="G71" s="74"/>
      <c r="H71" s="83"/>
      <c r="I71" s="86"/>
      <c r="J71" s="86"/>
      <c r="K71" s="86"/>
      <c r="L71" s="238"/>
      <c r="M71" s="86"/>
      <c r="N71" s="264"/>
      <c r="O71" s="250"/>
      <c r="P71" s="74"/>
      <c r="Q71" s="74"/>
      <c r="R71" s="74"/>
      <c r="S71" s="264"/>
      <c r="T71" s="83"/>
      <c r="U71" s="83"/>
      <c r="V71" s="414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</row>
    <row r="72" spans="1:37" s="69" customFormat="1" x14ac:dyDescent="0.2">
      <c r="B72" s="61"/>
      <c r="C72" s="61"/>
      <c r="D72" s="50"/>
      <c r="E72" s="51"/>
      <c r="F72" s="52"/>
      <c r="G72" s="53"/>
      <c r="H72" s="59"/>
      <c r="I72" s="59"/>
      <c r="J72" s="59"/>
      <c r="K72" s="59"/>
      <c r="L72" s="70"/>
      <c r="M72" s="59"/>
      <c r="N72" s="51"/>
      <c r="O72" s="251"/>
      <c r="P72" s="19"/>
      <c r="Q72" s="19"/>
      <c r="R72" s="19"/>
      <c r="S72" s="19"/>
      <c r="T72" s="54"/>
      <c r="U72" s="54"/>
      <c r="V72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</row>
    <row r="73" spans="1:37" s="69" customFormat="1" x14ac:dyDescent="0.2">
      <c r="B73" s="49"/>
      <c r="C73" s="49"/>
      <c r="D73" s="50"/>
      <c r="E73" s="210" t="s">
        <v>187</v>
      </c>
      <c r="F73" s="19"/>
      <c r="G73" s="210">
        <f>R49+R51+R53+R55</f>
        <v>506364.33487223258</v>
      </c>
      <c r="H73" s="54"/>
      <c r="I73" s="54">
        <f>I49+I51+I53+I55</f>
        <v>326562.47808013845</v>
      </c>
      <c r="J73" s="55"/>
      <c r="K73" s="55"/>
      <c r="L73" s="237"/>
      <c r="M73" s="55"/>
      <c r="N73" s="249"/>
      <c r="O73"/>
      <c r="S73" s="19"/>
      <c r="T73" s="54"/>
      <c r="U73" s="54"/>
      <c r="V73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19"/>
    </row>
    <row r="74" spans="1:37" s="69" customFormat="1" x14ac:dyDescent="0.2">
      <c r="A74" s="188"/>
      <c r="B74" s="49"/>
      <c r="C74" s="49"/>
      <c r="D74" s="50"/>
      <c r="E74" s="19" t="s">
        <v>188</v>
      </c>
      <c r="F74" s="19"/>
      <c r="G74" s="210"/>
      <c r="H74" s="54"/>
      <c r="I74" s="396">
        <f>I57+I59+I61+I65</f>
        <v>284634.56061716855</v>
      </c>
      <c r="J74" s="70"/>
      <c r="K74" s="70"/>
      <c r="L74" s="70"/>
      <c r="O74"/>
      <c r="S74" s="19"/>
      <c r="T74" s="54"/>
      <c r="U74" s="54"/>
      <c r="V74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</row>
    <row r="75" spans="1:37" s="69" customFormat="1" ht="13.5" thickBot="1" x14ac:dyDescent="0.25">
      <c r="A75" s="188"/>
      <c r="B75" s="49"/>
      <c r="C75" s="49"/>
      <c r="D75" s="50"/>
      <c r="E75" s="392" t="s">
        <v>189</v>
      </c>
      <c r="F75" s="392"/>
      <c r="G75" s="70"/>
      <c r="H75" s="59"/>
      <c r="I75" s="403">
        <f>SUM(I73:I74)</f>
        <v>611197.038697307</v>
      </c>
      <c r="J75" s="70"/>
      <c r="K75" s="70"/>
      <c r="L75" s="70"/>
      <c r="O75" s="300"/>
      <c r="S75" s="19"/>
      <c r="T75" s="54"/>
      <c r="U75" s="54"/>
      <c r="V75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</row>
    <row r="76" spans="1:37" s="69" customFormat="1" ht="13.5" thickTop="1" x14ac:dyDescent="0.2">
      <c r="A76" s="188"/>
      <c r="B76" s="49"/>
      <c r="C76" s="49"/>
      <c r="D76" s="50"/>
      <c r="E76" s="392" t="s">
        <v>194</v>
      </c>
      <c r="F76" s="19"/>
      <c r="G76" s="210"/>
      <c r="H76" s="54"/>
      <c r="I76" s="70">
        <f>I75*0.9</f>
        <v>550077.3348275763</v>
      </c>
      <c r="J76" s="70"/>
      <c r="K76" s="70"/>
      <c r="L76" s="70"/>
      <c r="O76"/>
      <c r="S76" s="19"/>
      <c r="T76" s="54"/>
      <c r="U76" s="54"/>
      <c r="V76" s="54"/>
      <c r="W76" s="219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</row>
    <row r="77" spans="1:37" s="69" customFormat="1" x14ac:dyDescent="0.2">
      <c r="A77" s="188"/>
      <c r="B77" s="49"/>
      <c r="C77" s="49"/>
      <c r="D77" s="50"/>
      <c r="E77" s="392" t="s">
        <v>195</v>
      </c>
      <c r="F77" s="19"/>
      <c r="G77" s="210"/>
      <c r="H77" s="54"/>
      <c r="I77" s="70">
        <f>I75*0.1</f>
        <v>61119.7038697307</v>
      </c>
      <c r="J77" s="70"/>
      <c r="K77" s="70"/>
      <c r="L77" s="70"/>
      <c r="O77"/>
      <c r="S77" s="19"/>
      <c r="T77" s="54"/>
      <c r="U77" s="54"/>
      <c r="V7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</row>
    <row r="78" spans="1:37" s="69" customFormat="1" x14ac:dyDescent="0.2">
      <c r="A78" s="188"/>
      <c r="B78" s="49"/>
      <c r="C78" s="49"/>
      <c r="D78" s="50"/>
      <c r="E78" s="392"/>
      <c r="F78" s="19"/>
      <c r="G78" s="210"/>
      <c r="H78" s="54"/>
      <c r="I78" s="70"/>
      <c r="J78" s="70"/>
      <c r="K78" s="70"/>
      <c r="L78" s="70"/>
      <c r="O78"/>
      <c r="S78" s="19"/>
      <c r="T78" s="54"/>
      <c r="U78" s="54"/>
      <c r="V78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</row>
    <row r="79" spans="1:37" s="69" customFormat="1" ht="13.5" thickBot="1" x14ac:dyDescent="0.25">
      <c r="B79" s="251"/>
      <c r="C79" s="251"/>
      <c r="D79" s="251"/>
      <c r="E79" s="69" t="s">
        <v>191</v>
      </c>
      <c r="F79" s="399">
        <f>-'Int Inc calc after WO'!P49/0.9</f>
        <v>83910.595471065142</v>
      </c>
      <c r="G79" s="251"/>
      <c r="H79" s="251"/>
      <c r="I79" s="400">
        <f>M49</f>
        <v>75519.535923958625</v>
      </c>
      <c r="J79" s="59"/>
      <c r="K79" s="59"/>
      <c r="L79" s="70"/>
      <c r="M79" s="245"/>
      <c r="N79" s="248"/>
      <c r="O79"/>
      <c r="P79" s="19"/>
      <c r="Q79" s="19"/>
      <c r="R79" s="19"/>
      <c r="S79" s="19"/>
      <c r="T79" s="59"/>
      <c r="U79" s="59"/>
      <c r="V79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</row>
    <row r="80" spans="1:37" s="69" customFormat="1" ht="13.5" thickTop="1" x14ac:dyDescent="0.2">
      <c r="A80"/>
      <c r="B80"/>
      <c r="C80"/>
      <c r="D80"/>
      <c r="E80" s="392" t="s">
        <v>195</v>
      </c>
      <c r="F80" s="251"/>
      <c r="G80" s="251"/>
      <c r="H80" s="251"/>
      <c r="I80" s="404">
        <f>K49</f>
        <v>8391.0595471065153</v>
      </c>
      <c r="J80" s="59"/>
      <c r="L80" s="242"/>
      <c r="M80" s="246"/>
      <c r="N80" s="244"/>
      <c r="O80"/>
      <c r="P80" s="19"/>
      <c r="Q80" s="19"/>
      <c r="R80" s="19"/>
      <c r="S80" s="19"/>
      <c r="T80" s="59"/>
      <c r="U80" s="59"/>
      <c r="V80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</row>
    <row r="81" spans="1:37" s="69" customFormat="1" x14ac:dyDescent="0.2">
      <c r="A81"/>
      <c r="B81"/>
      <c r="C81"/>
      <c r="D81"/>
      <c r="E81"/>
      <c r="F81" s="251"/>
      <c r="G81" s="251"/>
      <c r="H81" s="251"/>
      <c r="I81" s="251"/>
      <c r="J81" s="70"/>
      <c r="K81" s="70"/>
      <c r="L81" s="70"/>
      <c r="M81" s="247"/>
      <c r="N81" s="244"/>
      <c r="O81"/>
      <c r="P81" s="19"/>
      <c r="Q81" s="19"/>
      <c r="R81" s="19"/>
      <c r="S81" s="19"/>
      <c r="T81" s="59"/>
      <c r="U81" s="59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</row>
    <row r="82" spans="1:37" s="69" customFormat="1" x14ac:dyDescent="0.2">
      <c r="A82" s="405" t="s">
        <v>199</v>
      </c>
      <c r="B82" s="406"/>
      <c r="C82" s="406"/>
      <c r="D82" s="406"/>
      <c r="E82" s="406" t="s">
        <v>196</v>
      </c>
      <c r="F82" s="271"/>
      <c r="G82" s="271"/>
      <c r="H82" s="271"/>
      <c r="I82" s="407">
        <f>I77-I80</f>
        <v>52728.644322624183</v>
      </c>
      <c r="J82" s="70"/>
      <c r="K82" s="70"/>
      <c r="L82" s="70"/>
      <c r="M82" s="70"/>
      <c r="N82" s="260"/>
      <c r="O82"/>
      <c r="P82" s="19"/>
      <c r="Q82" s="19"/>
      <c r="R82" s="19"/>
      <c r="S82" s="19"/>
      <c r="T82" s="54"/>
      <c r="U82" s="54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</row>
    <row r="83" spans="1:37" s="69" customFormat="1" x14ac:dyDescent="0.2">
      <c r="A83" s="408" t="s">
        <v>200</v>
      </c>
      <c r="B83" s="221"/>
      <c r="C83" s="221"/>
      <c r="D83" s="221"/>
      <c r="E83" s="221" t="s">
        <v>197</v>
      </c>
      <c r="F83" s="261"/>
      <c r="G83" s="261"/>
      <c r="H83" s="261"/>
      <c r="I83" s="409">
        <f>I73-I49</f>
        <v>242651.88260907331</v>
      </c>
      <c r="J83" s="70"/>
      <c r="K83" s="70"/>
      <c r="L83" s="70"/>
      <c r="M83" s="70"/>
      <c r="N83" s="260"/>
      <c r="O83"/>
      <c r="P83" s="19"/>
      <c r="Q83" s="19"/>
      <c r="R83" s="19"/>
      <c r="S83" s="19"/>
      <c r="T83" s="54"/>
      <c r="U83" s="54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</row>
    <row r="84" spans="1:37" s="69" customFormat="1" x14ac:dyDescent="0.2">
      <c r="A84" s="410" t="s">
        <v>201</v>
      </c>
      <c r="B84" s="411"/>
      <c r="C84" s="411"/>
      <c r="D84" s="411"/>
      <c r="E84" s="411" t="s">
        <v>198</v>
      </c>
      <c r="F84" s="256"/>
      <c r="G84" s="256"/>
      <c r="H84" s="256"/>
      <c r="I84" s="412">
        <f>I74</f>
        <v>284634.56061716855</v>
      </c>
      <c r="J84" s="70"/>
      <c r="K84" s="70"/>
      <c r="L84" s="70"/>
      <c r="M84" s="70"/>
      <c r="N84" s="260"/>
      <c r="O84"/>
      <c r="P84" s="19"/>
      <c r="Q84" s="19"/>
      <c r="R84" s="19"/>
      <c r="S84" s="19"/>
      <c r="T84" s="54"/>
      <c r="U84" s="54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</row>
    <row r="85" spans="1:37" s="69" customFormat="1" x14ac:dyDescent="0.2">
      <c r="A85"/>
      <c r="B85"/>
      <c r="C85"/>
      <c r="D85"/>
      <c r="E85"/>
      <c r="F85" s="251"/>
      <c r="G85" s="251"/>
      <c r="H85" s="251"/>
      <c r="I85" s="404"/>
      <c r="J85" s="70"/>
      <c r="K85" s="70"/>
      <c r="L85" s="70"/>
      <c r="M85" s="70"/>
      <c r="N85" s="260"/>
      <c r="O85"/>
      <c r="P85" s="19"/>
      <c r="Q85" s="19"/>
      <c r="R85" s="19"/>
      <c r="S85" s="19"/>
      <c r="T85" s="54"/>
      <c r="U85" s="54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</row>
    <row r="86" spans="1:37" s="69" customFormat="1" x14ac:dyDescent="0.2">
      <c r="A86"/>
      <c r="B86"/>
      <c r="C86"/>
      <c r="D86"/>
      <c r="E86"/>
      <c r="F86" s="251"/>
      <c r="G86" s="251"/>
      <c r="H86" s="251"/>
      <c r="I86" s="404"/>
      <c r="J86" s="70"/>
      <c r="K86" s="70"/>
      <c r="L86" s="70"/>
      <c r="M86" s="70"/>
      <c r="N86" s="260"/>
      <c r="O86"/>
      <c r="P86" s="19"/>
      <c r="Q86" s="19"/>
      <c r="R86" s="19"/>
      <c r="S86" s="19"/>
      <c r="T86" s="54"/>
      <c r="U86" s="54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</row>
    <row r="87" spans="1:37" s="69" customFormat="1" x14ac:dyDescent="0.2">
      <c r="A87"/>
      <c r="B87"/>
      <c r="C87"/>
      <c r="D87"/>
      <c r="E87"/>
      <c r="F87" s="251"/>
      <c r="G87" s="251"/>
      <c r="H87" s="251"/>
      <c r="I87" s="404"/>
      <c r="J87" s="70"/>
      <c r="K87" s="70"/>
      <c r="L87" s="70"/>
      <c r="M87" s="70"/>
      <c r="N87" s="260"/>
      <c r="O87"/>
      <c r="P87" s="19"/>
      <c r="Q87" s="19"/>
      <c r="R87" s="19"/>
      <c r="S87" s="19"/>
      <c r="T87" s="54"/>
      <c r="U87" s="54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spans="1:37" s="69" customFormat="1" x14ac:dyDescent="0.2">
      <c r="A88" s="188" t="str">
        <f ca="1">CELL("FILENAME")</f>
        <v>I:\UNMANAGD\CQM\[Ice Dri1.xls]Can $ Only-Bankruptcy</v>
      </c>
      <c r="B88"/>
      <c r="C88"/>
      <c r="D88"/>
      <c r="E88"/>
      <c r="F88" s="251"/>
      <c r="G88" s="251"/>
      <c r="H88" s="251"/>
      <c r="I88" s="251"/>
      <c r="J88" s="55"/>
      <c r="K88" s="55"/>
      <c r="L88" s="237"/>
      <c r="M88" s="55"/>
      <c r="N88" s="260"/>
      <c r="O88"/>
      <c r="P88" s="19"/>
      <c r="Q88" s="19"/>
      <c r="R88" s="19"/>
      <c r="S88" s="19"/>
      <c r="T88" s="54"/>
      <c r="U88" s="54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</row>
    <row r="89" spans="1:37" s="69" customFormat="1" x14ac:dyDescent="0.2">
      <c r="A89"/>
      <c r="B89"/>
      <c r="C89"/>
      <c r="D89"/>
      <c r="E89"/>
      <c r="F89"/>
      <c r="G89"/>
      <c r="H89"/>
      <c r="I89"/>
      <c r="J89" s="59"/>
      <c r="K89" s="59"/>
      <c r="L89" s="70"/>
      <c r="M89" s="59"/>
      <c r="N89" s="42"/>
      <c r="O89"/>
      <c r="P89" s="19"/>
      <c r="Q89" s="19"/>
      <c r="R89" s="19"/>
      <c r="S89" s="19"/>
      <c r="T89" s="45"/>
      <c r="U89" s="45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</row>
    <row r="90" spans="1:37" s="69" customFormat="1" x14ac:dyDescent="0.2">
      <c r="A90"/>
      <c r="B90"/>
      <c r="C90"/>
      <c r="D90"/>
      <c r="E90"/>
      <c r="F90" s="52"/>
      <c r="G90" s="53"/>
      <c r="H90" s="59"/>
      <c r="I90" s="59"/>
      <c r="J90" s="59"/>
      <c r="K90" s="59"/>
      <c r="L90" s="70"/>
      <c r="M90" s="59"/>
      <c r="N90" s="42"/>
      <c r="O90"/>
      <c r="P90" s="19"/>
      <c r="Q90" s="19"/>
      <c r="R90" s="19"/>
      <c r="S90" s="19"/>
      <c r="T90" s="45"/>
      <c r="U90" s="45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</row>
    <row r="91" spans="1:37" s="55" customFormat="1" x14ac:dyDescent="0.2">
      <c r="A91"/>
      <c r="B91"/>
      <c r="C91"/>
      <c r="D91"/>
      <c r="E91"/>
      <c r="F91" s="78"/>
      <c r="G91" s="53"/>
      <c r="H91" s="54"/>
      <c r="I91" s="50"/>
      <c r="J91" s="50"/>
      <c r="K91" s="50"/>
      <c r="L91" s="239"/>
      <c r="M91" s="50"/>
      <c r="N91" s="51"/>
      <c r="O91"/>
      <c r="P91" s="53"/>
      <c r="Q91" s="53"/>
      <c r="R91" s="53"/>
      <c r="S91" s="53"/>
      <c r="T91" s="54"/>
      <c r="U91" s="54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</row>
    <row r="92" spans="1:37" s="55" customFormat="1" x14ac:dyDescent="0.2">
      <c r="A92"/>
      <c r="B92"/>
      <c r="C92"/>
      <c r="D92"/>
      <c r="E92"/>
      <c r="F92" s="78"/>
      <c r="G92" s="53"/>
      <c r="H92" s="54"/>
      <c r="I92" s="59"/>
      <c r="J92" s="59"/>
      <c r="K92" s="59"/>
      <c r="L92" s="70"/>
      <c r="M92" s="59"/>
      <c r="N92" s="54"/>
      <c r="O92"/>
      <c r="P92" s="54"/>
      <c r="Q92" s="54"/>
      <c r="R92" s="54"/>
      <c r="S92" s="54"/>
      <c r="T92" s="67"/>
      <c r="U92" s="67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</row>
    <row r="93" spans="1:37" x14ac:dyDescent="0.2">
      <c r="T93" s="67"/>
      <c r="U93" s="67"/>
    </row>
    <row r="94" spans="1:37" x14ac:dyDescent="0.2">
      <c r="T94" s="67"/>
      <c r="U94" s="67"/>
    </row>
    <row r="95" spans="1:37" x14ac:dyDescent="0.2">
      <c r="T95" s="38"/>
      <c r="U95" s="38"/>
    </row>
    <row r="96" spans="1:37" x14ac:dyDescent="0.2">
      <c r="T96" s="38"/>
      <c r="U96" s="38"/>
    </row>
    <row r="97" spans="1:21" x14ac:dyDescent="0.2">
      <c r="T97" s="38"/>
      <c r="U97" s="38"/>
    </row>
    <row r="98" spans="1:21" x14ac:dyDescent="0.2">
      <c r="T98" s="38"/>
      <c r="U98" s="38"/>
    </row>
    <row r="100" spans="1:21" x14ac:dyDescent="0.2">
      <c r="A100"/>
    </row>
    <row r="101" spans="1:21" x14ac:dyDescent="0.2">
      <c r="A101"/>
    </row>
    <row r="102" spans="1:21" x14ac:dyDescent="0.2">
      <c r="A102"/>
    </row>
    <row r="103" spans="1:21" x14ac:dyDescent="0.2">
      <c r="A103"/>
    </row>
    <row r="104" spans="1:21" x14ac:dyDescent="0.2">
      <c r="A104"/>
    </row>
    <row r="109" spans="1:21" s="80" customFormat="1" x14ac:dyDescent="0.2">
      <c r="A109" s="7"/>
      <c r="B109" s="8"/>
      <c r="C109" s="8"/>
      <c r="D109" s="9"/>
      <c r="E109" s="10"/>
      <c r="F109" s="8"/>
      <c r="G109" s="11"/>
      <c r="H109" s="7"/>
      <c r="I109" s="57"/>
      <c r="J109" s="57"/>
      <c r="K109" s="57"/>
      <c r="L109" s="240"/>
      <c r="M109" s="57"/>
      <c r="N109" s="57"/>
      <c r="O109"/>
      <c r="P109" s="7"/>
      <c r="Q109" s="7"/>
      <c r="R109" s="7"/>
      <c r="S109" s="7"/>
      <c r="T109" s="7"/>
      <c r="U109" s="7"/>
    </row>
    <row r="110" spans="1:21" s="80" customFormat="1" x14ac:dyDescent="0.2">
      <c r="A110" s="7"/>
      <c r="B110" s="8"/>
      <c r="C110" s="8"/>
      <c r="D110" s="9"/>
      <c r="E110" s="10"/>
      <c r="F110" s="8"/>
      <c r="G110" s="11"/>
      <c r="H110" s="7"/>
      <c r="I110" s="57"/>
      <c r="J110" s="57"/>
      <c r="K110" s="57"/>
      <c r="L110" s="240"/>
      <c r="M110" s="57"/>
      <c r="N110" s="57"/>
      <c r="O110"/>
      <c r="P110" s="7"/>
      <c r="Q110" s="7"/>
      <c r="R110" s="7"/>
      <c r="S110" s="7"/>
      <c r="T110" s="7"/>
      <c r="U110" s="7"/>
    </row>
    <row r="111" spans="1:21" s="80" customFormat="1" x14ac:dyDescent="0.2">
      <c r="A111" s="7"/>
      <c r="B111" s="8"/>
      <c r="C111" s="8"/>
      <c r="D111" s="9"/>
      <c r="E111" s="10"/>
      <c r="F111" s="8"/>
      <c r="G111" s="11"/>
      <c r="H111" s="7"/>
      <c r="I111" s="57"/>
      <c r="J111" s="57"/>
      <c r="K111" s="57"/>
      <c r="L111" s="240"/>
      <c r="M111" s="57"/>
      <c r="N111" s="57"/>
      <c r="O111"/>
      <c r="P111" s="7"/>
      <c r="Q111" s="7"/>
      <c r="R111" s="7"/>
      <c r="S111" s="7"/>
      <c r="T111" s="7"/>
      <c r="U111" s="7"/>
    </row>
    <row r="112" spans="1:21" x14ac:dyDescent="0.2">
      <c r="I112" s="57"/>
      <c r="J112" s="57"/>
      <c r="K112" s="57"/>
      <c r="L112" s="240"/>
      <c r="M112" s="57"/>
      <c r="N112" s="57"/>
    </row>
    <row r="113" spans="9:14" x14ac:dyDescent="0.2">
      <c r="I113" s="57"/>
      <c r="J113" s="57"/>
      <c r="K113" s="57"/>
      <c r="L113" s="240"/>
      <c r="M113" s="57"/>
      <c r="N113" s="57"/>
    </row>
    <row r="114" spans="9:14" x14ac:dyDescent="0.2">
      <c r="I114" s="57"/>
      <c r="J114" s="57"/>
      <c r="K114" s="57"/>
      <c r="L114" s="240"/>
      <c r="M114" s="57"/>
      <c r="N114" s="57"/>
    </row>
    <row r="115" spans="9:14" x14ac:dyDescent="0.2">
      <c r="I115" s="57"/>
      <c r="J115" s="57"/>
      <c r="K115" s="57"/>
      <c r="L115" s="240"/>
      <c r="M115" s="57"/>
      <c r="N115" s="57"/>
    </row>
    <row r="116" spans="9:14" x14ac:dyDescent="0.2">
      <c r="I116" s="57"/>
      <c r="J116" s="57"/>
      <c r="K116" s="57"/>
      <c r="L116" s="240"/>
      <c r="M116" s="57"/>
      <c r="N116" s="57"/>
    </row>
    <row r="117" spans="9:14" x14ac:dyDescent="0.2">
      <c r="I117" s="57"/>
      <c r="J117" s="57"/>
      <c r="K117" s="57"/>
      <c r="L117" s="240"/>
      <c r="M117" s="57"/>
      <c r="N117" s="57"/>
    </row>
    <row r="118" spans="9:14" x14ac:dyDescent="0.2">
      <c r="I118" s="57"/>
      <c r="J118" s="57"/>
      <c r="K118" s="57"/>
      <c r="L118" s="240"/>
      <c r="M118" s="57"/>
      <c r="N118" s="57"/>
    </row>
    <row r="119" spans="9:14" x14ac:dyDescent="0.2">
      <c r="I119" s="57"/>
      <c r="J119" s="57"/>
      <c r="K119" s="57"/>
      <c r="L119" s="240"/>
      <c r="M119" s="57"/>
      <c r="N119" s="57"/>
    </row>
    <row r="120" spans="9:14" x14ac:dyDescent="0.2">
      <c r="I120" s="57"/>
      <c r="J120" s="57"/>
      <c r="K120" s="57"/>
      <c r="L120" s="240"/>
      <c r="M120" s="57"/>
      <c r="N120" s="57"/>
    </row>
    <row r="121" spans="9:14" x14ac:dyDescent="0.2">
      <c r="I121" s="57"/>
      <c r="J121" s="57"/>
      <c r="K121" s="57"/>
      <c r="L121" s="240"/>
      <c r="M121" s="57"/>
      <c r="N121" s="57"/>
    </row>
    <row r="122" spans="9:14" x14ac:dyDescent="0.2">
      <c r="I122" s="57"/>
      <c r="J122" s="57"/>
      <c r="K122" s="57"/>
      <c r="L122" s="240"/>
      <c r="M122" s="57"/>
      <c r="N122" s="57"/>
    </row>
    <row r="123" spans="9:14" x14ac:dyDescent="0.2">
      <c r="I123" s="57"/>
      <c r="J123" s="57"/>
      <c r="K123" s="57"/>
      <c r="L123" s="240"/>
      <c r="M123" s="57"/>
      <c r="N123" s="57"/>
    </row>
    <row r="124" spans="9:14" x14ac:dyDescent="0.2">
      <c r="I124" s="57"/>
      <c r="J124" s="57"/>
      <c r="K124" s="57"/>
      <c r="L124" s="240"/>
      <c r="M124" s="57"/>
      <c r="N124" s="57"/>
    </row>
    <row r="125" spans="9:14" x14ac:dyDescent="0.2">
      <c r="I125" s="57"/>
      <c r="J125" s="57"/>
      <c r="K125" s="57"/>
      <c r="L125" s="240"/>
      <c r="M125" s="57"/>
      <c r="N125" s="57"/>
    </row>
  </sheetData>
  <mergeCells count="1">
    <mergeCell ref="A1:N1"/>
  </mergeCells>
  <pageMargins left="0.5" right="0.5" top="0.5" bottom="0.5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24"/>
  <sheetViews>
    <sheetView topLeftCell="A17" workbookViewId="0">
      <selection activeCell="C14" sqref="C14"/>
    </sheetView>
  </sheetViews>
  <sheetFormatPr defaultRowHeight="12" x14ac:dyDescent="0.2"/>
  <cols>
    <col min="1" max="1" width="26.710937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6.2851562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11" width="16.42578125" style="7" hidden="1" customWidth="1"/>
    <col min="12" max="12" width="16.42578125" style="7" customWidth="1"/>
    <col min="13" max="13" width="14.42578125" style="7" customWidth="1"/>
    <col min="14" max="14" width="14.85546875" style="79" customWidth="1"/>
    <col min="15" max="15" width="12.85546875" style="7" hidden="1" customWidth="1"/>
    <col min="16" max="16384" width="9.140625" style="7"/>
  </cols>
  <sheetData>
    <row r="1" spans="1:16" ht="12.75" x14ac:dyDescent="0.2">
      <c r="A1" s="241" t="s">
        <v>123</v>
      </c>
      <c r="B1" s="2"/>
      <c r="C1" s="2"/>
      <c r="D1" s="3"/>
      <c r="E1" s="4"/>
      <c r="F1" s="2"/>
      <c r="G1" s="5"/>
      <c r="H1" s="3"/>
      <c r="I1" s="3"/>
      <c r="J1" s="3"/>
      <c r="K1" s="3"/>
      <c r="L1" s="3"/>
      <c r="M1" s="3"/>
      <c r="N1" s="6"/>
      <c r="P1"/>
    </row>
    <row r="2" spans="1:16" ht="12.75" x14ac:dyDescent="0.2">
      <c r="A2" s="1" t="s">
        <v>122</v>
      </c>
      <c r="B2" s="2"/>
      <c r="C2" s="2"/>
      <c r="D2" s="3"/>
      <c r="E2" s="4"/>
      <c r="F2" s="2"/>
      <c r="G2" s="5"/>
      <c r="H2" s="3"/>
      <c r="I2" s="3"/>
      <c r="J2" s="3"/>
      <c r="K2" s="3"/>
      <c r="L2" s="3"/>
      <c r="M2" s="3"/>
      <c r="N2" s="6"/>
      <c r="P2"/>
    </row>
    <row r="3" spans="1:16" ht="12.75" x14ac:dyDescent="0.2">
      <c r="A3" s="3"/>
      <c r="G3" s="5"/>
      <c r="H3" s="3"/>
      <c r="I3" s="3"/>
      <c r="J3" s="3"/>
      <c r="K3" s="3"/>
      <c r="L3" s="3"/>
      <c r="M3" s="3"/>
      <c r="N3" s="6"/>
      <c r="P3"/>
    </row>
    <row r="4" spans="1:16" ht="12.75" x14ac:dyDescent="0.2">
      <c r="A4" s="3"/>
      <c r="G4" s="5"/>
      <c r="H4" s="3"/>
      <c r="I4" s="3"/>
      <c r="J4" s="3"/>
      <c r="K4" s="3"/>
      <c r="L4" s="3"/>
      <c r="M4" s="3"/>
      <c r="N4" s="6"/>
      <c r="P4"/>
    </row>
    <row r="5" spans="1:16" ht="12.75" x14ac:dyDescent="0.2">
      <c r="N5" s="12"/>
      <c r="P5"/>
    </row>
    <row r="6" spans="1:16" ht="12.75" x14ac:dyDescent="0.2">
      <c r="A6" s="227" t="s">
        <v>0</v>
      </c>
      <c r="H6" s="225">
        <v>35978</v>
      </c>
      <c r="I6" s="14"/>
      <c r="J6" s="14"/>
      <c r="K6" s="14"/>
      <c r="L6" s="14"/>
      <c r="M6"/>
      <c r="N6" s="12"/>
    </row>
    <row r="7" spans="1:16" ht="12.75" x14ac:dyDescent="0.2">
      <c r="A7" s="227" t="s">
        <v>1</v>
      </c>
      <c r="H7" s="226">
        <v>6321000</v>
      </c>
      <c r="I7" s="15"/>
      <c r="J7" s="100" t="s">
        <v>36</v>
      </c>
      <c r="K7" s="15"/>
      <c r="L7" s="15"/>
      <c r="N7" s="12"/>
    </row>
    <row r="8" spans="1:16" ht="12.75" x14ac:dyDescent="0.2">
      <c r="F8" s="16"/>
      <c r="H8" s="17"/>
      <c r="I8" s="18"/>
      <c r="J8" s="18"/>
      <c r="K8" s="18"/>
      <c r="L8" s="18"/>
      <c r="M8"/>
      <c r="N8" s="12"/>
    </row>
    <row r="9" spans="1:16" ht="12.75" x14ac:dyDescent="0.2">
      <c r="A9" s="7" t="s">
        <v>29</v>
      </c>
      <c r="G9" s="19"/>
      <c r="H9" s="18"/>
      <c r="I9" s="18"/>
      <c r="J9" s="18"/>
      <c r="K9" s="18"/>
      <c r="L9" s="18"/>
      <c r="M9"/>
      <c r="N9" s="12"/>
    </row>
    <row r="10" spans="1:16" ht="12.75" x14ac:dyDescent="0.2">
      <c r="A10" s="7" t="s">
        <v>31</v>
      </c>
      <c r="G10" s="19"/>
      <c r="H10" s="18"/>
      <c r="I10" s="18"/>
      <c r="J10" s="18"/>
      <c r="K10" s="18"/>
      <c r="L10" s="18"/>
      <c r="M10"/>
      <c r="N10" s="12"/>
    </row>
    <row r="11" spans="1:16" ht="12.75" x14ac:dyDescent="0.2">
      <c r="A11" s="7" t="s">
        <v>30</v>
      </c>
      <c r="G11" s="19"/>
      <c r="H11" s="18"/>
      <c r="I11" s="18"/>
      <c r="J11" s="18"/>
      <c r="K11" s="18"/>
      <c r="L11" s="18"/>
      <c r="M11"/>
      <c r="N11" s="12"/>
    </row>
    <row r="12" spans="1:16" ht="13.5" thickBot="1" x14ac:dyDescent="0.25">
      <c r="M12"/>
      <c r="N12" s="12"/>
    </row>
    <row r="13" spans="1:16" ht="14.25" customHeight="1" x14ac:dyDescent="0.2">
      <c r="A13" s="20" t="s">
        <v>2</v>
      </c>
      <c r="E13" s="90" t="s">
        <v>43</v>
      </c>
      <c r="F13" s="91"/>
      <c r="G13" s="92"/>
      <c r="H13" s="93"/>
      <c r="M13"/>
      <c r="N13" s="12"/>
    </row>
    <row r="14" spans="1:16" ht="14.25" customHeight="1" x14ac:dyDescent="0.2">
      <c r="A14" s="21" t="s">
        <v>32</v>
      </c>
      <c r="E14" s="94" t="s">
        <v>44</v>
      </c>
      <c r="F14" s="49"/>
      <c r="G14" s="19"/>
      <c r="H14" s="95"/>
      <c r="M14"/>
      <c r="N14" s="12"/>
    </row>
    <row r="15" spans="1:16" ht="14.25" customHeight="1" x14ac:dyDescent="0.2">
      <c r="A15" s="21" t="s">
        <v>33</v>
      </c>
      <c r="E15" s="94" t="s">
        <v>45</v>
      </c>
      <c r="F15" s="49"/>
      <c r="G15" s="19"/>
      <c r="H15" s="95"/>
      <c r="M15"/>
      <c r="N15" s="12"/>
    </row>
    <row r="16" spans="1:16" ht="14.25" customHeight="1" x14ac:dyDescent="0.2">
      <c r="A16" s="21" t="s">
        <v>34</v>
      </c>
      <c r="E16" s="94" t="s">
        <v>46</v>
      </c>
      <c r="F16" s="49"/>
      <c r="G16" s="19"/>
      <c r="H16" s="95"/>
      <c r="M16"/>
      <c r="N16" s="12"/>
    </row>
    <row r="17" spans="1:34" ht="14.25" customHeight="1" x14ac:dyDescent="0.2">
      <c r="A17" s="21" t="s">
        <v>35</v>
      </c>
      <c r="E17" s="94" t="s">
        <v>47</v>
      </c>
      <c r="F17" s="49"/>
      <c r="G17" s="19"/>
      <c r="H17" s="95"/>
      <c r="M17"/>
      <c r="N17" s="12"/>
    </row>
    <row r="18" spans="1:34" ht="14.25" customHeight="1" thickBot="1" x14ac:dyDescent="0.25">
      <c r="A18" s="21" t="s">
        <v>37</v>
      </c>
      <c r="E18" s="96"/>
      <c r="F18" s="97"/>
      <c r="G18" s="98"/>
      <c r="H18" s="99"/>
      <c r="M18"/>
      <c r="N18" s="12"/>
    </row>
    <row r="19" spans="1:34" ht="14.25" customHeight="1" thickBot="1" x14ac:dyDescent="0.25">
      <c r="A19" s="88" t="s">
        <v>38</v>
      </c>
      <c r="E19" s="51"/>
      <c r="F19" s="49"/>
      <c r="G19" s="19"/>
      <c r="H19" s="55"/>
      <c r="M19"/>
      <c r="N19" s="12"/>
    </row>
    <row r="20" spans="1:34" ht="14.25" customHeight="1" x14ac:dyDescent="0.2">
      <c r="A20" s="224"/>
      <c r="E20" s="51"/>
      <c r="F20" s="49"/>
      <c r="G20" s="19"/>
      <c r="H20" s="55"/>
      <c r="M20"/>
      <c r="N20" s="12"/>
    </row>
    <row r="21" spans="1:34" ht="14.25" customHeight="1" x14ac:dyDescent="0.2">
      <c r="A21" s="223"/>
      <c r="E21" s="51"/>
      <c r="F21" s="49"/>
      <c r="G21" s="19"/>
      <c r="H21" s="55"/>
      <c r="M21"/>
      <c r="N21" s="12"/>
    </row>
    <row r="22" spans="1:34" ht="14.25" customHeight="1" x14ac:dyDescent="0.2">
      <c r="D22" s="22" t="s">
        <v>3</v>
      </c>
      <c r="H22" s="22" t="s">
        <v>4</v>
      </c>
      <c r="I22" s="22" t="s">
        <v>5</v>
      </c>
      <c r="J22" s="22" t="s">
        <v>39</v>
      </c>
      <c r="K22" s="22" t="s">
        <v>41</v>
      </c>
      <c r="L22" s="22" t="s">
        <v>48</v>
      </c>
      <c r="M22" s="22" t="s">
        <v>6</v>
      </c>
      <c r="N22" s="12"/>
    </row>
    <row r="23" spans="1:34" x14ac:dyDescent="0.2">
      <c r="C23" s="23" t="s">
        <v>7</v>
      </c>
      <c r="D23" s="22" t="s">
        <v>8</v>
      </c>
      <c r="E23" s="23"/>
      <c r="F23" s="22" t="s">
        <v>9</v>
      </c>
      <c r="G23" s="24" t="s">
        <v>10</v>
      </c>
      <c r="H23" s="22" t="s">
        <v>11</v>
      </c>
      <c r="I23" s="22" t="s">
        <v>12</v>
      </c>
      <c r="J23" s="22" t="s">
        <v>40</v>
      </c>
      <c r="K23" s="22" t="s">
        <v>42</v>
      </c>
      <c r="L23" s="22" t="s">
        <v>49</v>
      </c>
      <c r="M23" s="22" t="s">
        <v>13</v>
      </c>
      <c r="N23" s="25" t="s">
        <v>6</v>
      </c>
    </row>
    <row r="24" spans="1:34" x14ac:dyDescent="0.2">
      <c r="A24" s="228" t="s">
        <v>14</v>
      </c>
      <c r="B24" s="32" t="s">
        <v>15</v>
      </c>
      <c r="C24" s="32" t="s">
        <v>16</v>
      </c>
      <c r="D24" s="31" t="s">
        <v>17</v>
      </c>
      <c r="E24" s="33" t="s">
        <v>7</v>
      </c>
      <c r="F24" s="31" t="s">
        <v>18</v>
      </c>
      <c r="G24" s="34" t="s">
        <v>19</v>
      </c>
      <c r="H24" s="31" t="s">
        <v>20</v>
      </c>
      <c r="I24" s="35" t="s">
        <v>21</v>
      </c>
      <c r="J24" s="35"/>
      <c r="K24" s="35"/>
      <c r="L24" s="35" t="s">
        <v>50</v>
      </c>
      <c r="M24" s="35" t="s">
        <v>22</v>
      </c>
      <c r="N24" s="36" t="s">
        <v>11</v>
      </c>
      <c r="O24" s="30" t="s">
        <v>23</v>
      </c>
    </row>
    <row r="25" spans="1:34" x14ac:dyDescent="0.2">
      <c r="A25" s="31"/>
      <c r="B25" s="32"/>
      <c r="C25" s="32"/>
      <c r="D25" s="31"/>
      <c r="E25" s="33"/>
      <c r="F25" s="32"/>
      <c r="G25" s="34"/>
      <c r="H25" s="31"/>
      <c r="I25" s="35"/>
      <c r="J25" s="35"/>
      <c r="K25" s="35"/>
      <c r="L25" s="35"/>
      <c r="M25" s="35"/>
      <c r="N25" s="36"/>
      <c r="O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</row>
    <row r="26" spans="1:34" s="48" customFormat="1" hidden="1" x14ac:dyDescent="0.2">
      <c r="A26" s="39" t="s">
        <v>25</v>
      </c>
      <c r="B26" s="40"/>
      <c r="C26" s="40"/>
      <c r="D26" s="41"/>
      <c r="E26" s="42"/>
      <c r="F26" s="43"/>
      <c r="G26" s="44"/>
      <c r="H26" s="81"/>
      <c r="I26" s="45"/>
      <c r="J26" s="45"/>
      <c r="K26" s="45"/>
      <c r="L26" s="45"/>
      <c r="M26" s="45">
        <f>+H7</f>
        <v>6321000</v>
      </c>
      <c r="N26" s="46">
        <f>+M26</f>
        <v>6321000</v>
      </c>
      <c r="O26" s="47"/>
      <c r="P26" s="7"/>
      <c r="Q26" s="47"/>
    </row>
    <row r="27" spans="1:34" hidden="1" x14ac:dyDescent="0.2">
      <c r="A27" s="58" t="s">
        <v>26</v>
      </c>
      <c r="B27" s="49">
        <v>21</v>
      </c>
      <c r="C27" s="49" t="s">
        <v>24</v>
      </c>
      <c r="D27" s="50">
        <v>35873</v>
      </c>
      <c r="E27" s="51">
        <v>7.0999999999999994E-2</v>
      </c>
      <c r="F27" s="52">
        <v>6.25E-2</v>
      </c>
      <c r="G27" s="53">
        <f>E27+F27</f>
        <v>0.13350000000000001</v>
      </c>
      <c r="H27" s="82">
        <f>N27*E27*B27/365</f>
        <v>25820.852054794515</v>
      </c>
      <c r="I27" s="55"/>
      <c r="J27" s="55"/>
      <c r="K27" s="55"/>
      <c r="L27" s="55"/>
      <c r="M27" s="56"/>
      <c r="N27" s="46">
        <f t="shared" ref="N27:N32" si="0">+N26+M27</f>
        <v>6321000</v>
      </c>
      <c r="O27" s="57"/>
      <c r="Q27" s="57"/>
    </row>
    <row r="28" spans="1:34" hidden="1" x14ac:dyDescent="0.2">
      <c r="A28" s="58" t="s">
        <v>27</v>
      </c>
      <c r="B28" s="49">
        <v>9</v>
      </c>
      <c r="C28" s="49"/>
      <c r="D28" s="50"/>
      <c r="E28" s="51">
        <v>7.0999999999999994E-2</v>
      </c>
      <c r="F28" s="52"/>
      <c r="G28" s="53"/>
      <c r="H28" s="82">
        <f>N28*E28*B28/365</f>
        <v>12816.764383561642</v>
      </c>
      <c r="I28" s="59"/>
      <c r="J28" s="59"/>
      <c r="K28" s="59"/>
      <c r="L28" s="59"/>
      <c r="M28" s="56">
        <v>1000000</v>
      </c>
      <c r="N28" s="46">
        <f t="shared" si="0"/>
        <v>7321000</v>
      </c>
      <c r="O28" s="57"/>
      <c r="Q28" s="57"/>
    </row>
    <row r="29" spans="1:34" s="68" customFormat="1" hidden="1" x14ac:dyDescent="0.2">
      <c r="A29" s="60" t="s">
        <v>28</v>
      </c>
      <c r="B29" s="61">
        <f>SUM(B27:B28)</f>
        <v>30</v>
      </c>
      <c r="C29" s="61"/>
      <c r="D29" s="62"/>
      <c r="E29" s="63"/>
      <c r="F29" s="64"/>
      <c r="G29" s="28"/>
      <c r="H29" s="29">
        <f>SUM(H27:H28)</f>
        <v>38637.616438356155</v>
      </c>
      <c r="I29" s="59"/>
      <c r="J29" s="59">
        <f>10%*H29</f>
        <v>3863.7616438356158</v>
      </c>
      <c r="K29" s="89">
        <f>H29-J29</f>
        <v>34773.854794520543</v>
      </c>
      <c r="L29" s="89">
        <f>H29/1.47</f>
        <v>26284.092815208271</v>
      </c>
      <c r="M29" s="65"/>
      <c r="N29" s="46">
        <f t="shared" si="0"/>
        <v>7321000</v>
      </c>
      <c r="O29" s="66" t="e">
        <f>SUM(N29+#REF!)</f>
        <v>#REF!</v>
      </c>
      <c r="P29" s="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</row>
    <row r="30" spans="1:34" s="69" customFormat="1" hidden="1" x14ac:dyDescent="0.2">
      <c r="A30" s="58" t="s">
        <v>79</v>
      </c>
      <c r="B30" s="49">
        <v>11</v>
      </c>
      <c r="C30" s="49"/>
      <c r="D30" s="50"/>
      <c r="E30" s="51">
        <v>7.0999999999999994E-2</v>
      </c>
      <c r="F30" s="52"/>
      <c r="G30" s="53"/>
      <c r="H30" s="82">
        <f>N30*E30*B30/365</f>
        <v>15664.93424657534</v>
      </c>
      <c r="I30" s="55"/>
      <c r="J30" s="55"/>
      <c r="K30" s="55"/>
      <c r="L30" s="55"/>
      <c r="M30" s="56"/>
      <c r="N30" s="46">
        <f t="shared" si="0"/>
        <v>7321000</v>
      </c>
      <c r="O30" s="53"/>
      <c r="P30" s="54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s="69" customFormat="1" hidden="1" x14ac:dyDescent="0.2">
      <c r="A31" s="58" t="s">
        <v>80</v>
      </c>
      <c r="B31" s="49">
        <v>20</v>
      </c>
      <c r="C31" s="49"/>
      <c r="D31" s="50"/>
      <c r="E31" s="51">
        <v>7.0999999999999994E-2</v>
      </c>
      <c r="F31" s="52"/>
      <c r="G31" s="53"/>
      <c r="H31" s="82">
        <f>N31*E31*B31/365</f>
        <v>32372.109589041094</v>
      </c>
      <c r="I31" s="59"/>
      <c r="J31" s="59"/>
      <c r="K31" s="59"/>
      <c r="L31" s="59"/>
      <c r="M31" s="56">
        <v>1000000</v>
      </c>
      <c r="N31" s="46">
        <f t="shared" si="0"/>
        <v>8321000</v>
      </c>
      <c r="O31" s="53"/>
      <c r="P31" s="54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s="69" customFormat="1" hidden="1" x14ac:dyDescent="0.2">
      <c r="A32" s="186" t="s">
        <v>81</v>
      </c>
      <c r="B32" s="61">
        <f>SUM(B30:B31)</f>
        <v>31</v>
      </c>
      <c r="C32" s="49"/>
      <c r="D32" s="50"/>
      <c r="E32" s="51"/>
      <c r="F32" s="52"/>
      <c r="G32" s="53"/>
      <c r="H32" s="29">
        <f>SUM(H30:H31)</f>
        <v>48037.043835616438</v>
      </c>
      <c r="I32" s="55"/>
      <c r="J32" s="59">
        <f>10%*H32</f>
        <v>4803.7043835616441</v>
      </c>
      <c r="K32" s="89">
        <f>H32-J32</f>
        <v>43233.339452054795</v>
      </c>
      <c r="L32" s="89">
        <f>H32/1.47</f>
        <v>32678.261112664244</v>
      </c>
      <c r="M32" s="56"/>
      <c r="N32" s="46">
        <f t="shared" si="0"/>
        <v>8321000</v>
      </c>
      <c r="O32" s="53"/>
      <c r="P32" s="54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s="69" customFormat="1" hidden="1" x14ac:dyDescent="0.2">
      <c r="A33" s="58" t="s">
        <v>87</v>
      </c>
      <c r="B33" s="49">
        <v>17</v>
      </c>
      <c r="C33" s="61"/>
      <c r="D33" s="62"/>
      <c r="E33" s="51">
        <v>7.0999999999999994E-2</v>
      </c>
      <c r="F33" s="64"/>
      <c r="G33" s="28"/>
      <c r="H33" s="82">
        <f>N33*E33*B33/365</f>
        <v>27516.293150684931</v>
      </c>
      <c r="I33" s="59"/>
      <c r="J33" s="59"/>
      <c r="K33" s="59"/>
      <c r="L33" s="59"/>
      <c r="M33" s="65"/>
      <c r="N33" s="46">
        <f>N32</f>
        <v>8321000</v>
      </c>
      <c r="O33" s="53"/>
      <c r="P33" s="54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s="69" customFormat="1" hidden="1" x14ac:dyDescent="0.2">
      <c r="A34" s="58" t="s">
        <v>88</v>
      </c>
      <c r="B34" s="49">
        <v>13</v>
      </c>
      <c r="C34" s="49"/>
      <c r="D34" s="50"/>
      <c r="E34" s="51">
        <v>7.0999999999999994E-2</v>
      </c>
      <c r="F34" s="52"/>
      <c r="G34" s="53"/>
      <c r="H34" s="82">
        <f>N34*E34*B34/365</f>
        <v>27740.575342465749</v>
      </c>
      <c r="I34" s="55"/>
      <c r="J34" s="55"/>
      <c r="K34" s="55"/>
      <c r="L34" s="55"/>
      <c r="M34" s="56">
        <v>2649000</v>
      </c>
      <c r="N34" s="46">
        <f>N33+M34</f>
        <v>10970000</v>
      </c>
      <c r="O34" s="53"/>
      <c r="P34" s="54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s="69" customFormat="1" hidden="1" x14ac:dyDescent="0.2">
      <c r="A35" s="186" t="s">
        <v>85</v>
      </c>
      <c r="B35" s="61">
        <f>SUM(B33:B34)</f>
        <v>30</v>
      </c>
      <c r="C35" s="49"/>
      <c r="D35" s="50"/>
      <c r="E35" s="51"/>
      <c r="F35" s="52"/>
      <c r="G35" s="53"/>
      <c r="H35" s="29">
        <f>SUM(H33:H34)</f>
        <v>55256.86849315068</v>
      </c>
      <c r="I35" s="70"/>
      <c r="J35" s="59">
        <f>10%*H35</f>
        <v>5525.6868493150687</v>
      </c>
      <c r="K35" s="89">
        <f>H35-J35</f>
        <v>49731.181643835611</v>
      </c>
      <c r="L35" s="89">
        <f>H35/1.47</f>
        <v>37589.706457925633</v>
      </c>
      <c r="M35" s="56"/>
      <c r="N35" s="46">
        <f>N34</f>
        <v>10970000</v>
      </c>
      <c r="O35" s="53"/>
      <c r="P35" s="54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s="69" customFormat="1" hidden="1" x14ac:dyDescent="0.2">
      <c r="A36" s="58" t="s">
        <v>89</v>
      </c>
      <c r="B36" s="49">
        <v>27</v>
      </c>
      <c r="C36" s="49"/>
      <c r="D36" s="50"/>
      <c r="E36" s="51">
        <v>7.0999999999999994E-2</v>
      </c>
      <c r="F36" s="52"/>
      <c r="G36" s="53"/>
      <c r="H36" s="82">
        <f>N36*E36*B36/365</f>
        <v>57615.041095890403</v>
      </c>
      <c r="I36" s="70"/>
      <c r="J36" s="59"/>
      <c r="K36" s="89"/>
      <c r="L36" s="29"/>
      <c r="M36" s="56"/>
      <c r="N36" s="46">
        <f>N35</f>
        <v>10970000</v>
      </c>
      <c r="O36" s="53"/>
      <c r="P36" s="54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s="69" customFormat="1" hidden="1" x14ac:dyDescent="0.2">
      <c r="A37" s="58" t="s">
        <v>90</v>
      </c>
      <c r="B37" s="49">
        <v>4</v>
      </c>
      <c r="C37" s="49"/>
      <c r="D37" s="50"/>
      <c r="E37" s="51">
        <v>7.0999999999999994E-2</v>
      </c>
      <c r="F37" s="52"/>
      <c r="G37" s="53"/>
      <c r="H37" s="82">
        <f>N37*E37*B37/365</f>
        <v>9313.6438356164363</v>
      </c>
      <c r="I37" s="70"/>
      <c r="J37" s="59"/>
      <c r="K37" s="89"/>
      <c r="L37" s="29"/>
      <c r="M37" s="56">
        <v>1000000</v>
      </c>
      <c r="N37" s="46">
        <f>N36+M37</f>
        <v>11970000</v>
      </c>
      <c r="O37" s="53"/>
      <c r="P37" s="54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s="69" customFormat="1" hidden="1" x14ac:dyDescent="0.2">
      <c r="A38" s="186" t="s">
        <v>91</v>
      </c>
      <c r="B38" s="61">
        <f>SUM(B36:B37)</f>
        <v>31</v>
      </c>
      <c r="C38" s="49"/>
      <c r="D38" s="50"/>
      <c r="E38" s="51"/>
      <c r="F38" s="52"/>
      <c r="G38" s="53"/>
      <c r="H38" s="29">
        <f>SUM(H36:H37)</f>
        <v>66928.684931506839</v>
      </c>
      <c r="I38" s="70"/>
      <c r="J38" s="59"/>
      <c r="K38" s="89"/>
      <c r="L38" s="89">
        <f>H38/1.47</f>
        <v>45529.717640480842</v>
      </c>
      <c r="M38" s="56"/>
      <c r="N38" s="46">
        <f>N37</f>
        <v>11970000</v>
      </c>
      <c r="O38" s="53"/>
      <c r="P38" s="54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s="69" customFormat="1" hidden="1" x14ac:dyDescent="0.2">
      <c r="A39" s="58" t="s">
        <v>93</v>
      </c>
      <c r="B39" s="49">
        <v>30</v>
      </c>
      <c r="C39" s="49"/>
      <c r="D39" s="50"/>
      <c r="E39" s="51">
        <v>7.0999999999999994E-2</v>
      </c>
      <c r="F39" s="52"/>
      <c r="G39" s="53"/>
      <c r="H39" s="82">
        <f>N39*E39*B39/365</f>
        <v>69852.328767123283</v>
      </c>
      <c r="I39" s="70"/>
      <c r="J39" s="59"/>
      <c r="K39" s="89"/>
      <c r="L39" s="29"/>
      <c r="M39" s="56"/>
      <c r="N39" s="46">
        <f>N38</f>
        <v>11970000</v>
      </c>
      <c r="O39" s="53"/>
      <c r="P39" s="54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s="69" customFormat="1" hidden="1" x14ac:dyDescent="0.2">
      <c r="A40" s="186" t="s">
        <v>94</v>
      </c>
      <c r="B40" s="61">
        <f>SUM(B39)</f>
        <v>30</v>
      </c>
      <c r="C40" s="49"/>
      <c r="D40" s="50"/>
      <c r="E40" s="51"/>
      <c r="F40" s="52"/>
      <c r="G40" s="53"/>
      <c r="H40" s="29">
        <f>SUM(H39)</f>
        <v>69852.328767123283</v>
      </c>
      <c r="I40" s="70"/>
      <c r="J40" s="59"/>
      <c r="K40" s="89"/>
      <c r="L40" s="89">
        <f>H40/1.47</f>
        <v>47518.590998043052</v>
      </c>
      <c r="M40" s="56"/>
      <c r="N40" s="46">
        <f>N39</f>
        <v>11970000</v>
      </c>
      <c r="O40" s="53"/>
      <c r="P40" s="54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s="69" customFormat="1" hidden="1" x14ac:dyDescent="0.2">
      <c r="A41" s="201" t="s">
        <v>96</v>
      </c>
      <c r="B41" s="49">
        <v>3</v>
      </c>
      <c r="C41" s="49"/>
      <c r="D41" s="50"/>
      <c r="E41" s="51">
        <v>7.0999999999999994E-2</v>
      </c>
      <c r="F41" s="52"/>
      <c r="G41" s="53"/>
      <c r="H41" s="82">
        <f>N41*E41*B41/365</f>
        <v>6985.2328767123272</v>
      </c>
      <c r="I41" s="70"/>
      <c r="J41" s="59"/>
      <c r="K41" s="89"/>
      <c r="L41" s="82"/>
      <c r="N41" s="46">
        <f>N40</f>
        <v>11970000</v>
      </c>
      <c r="O41" s="53"/>
      <c r="P41" s="54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s="69" customFormat="1" hidden="1" x14ac:dyDescent="0.2">
      <c r="A42" s="201" t="s">
        <v>97</v>
      </c>
      <c r="B42" s="49">
        <v>17</v>
      </c>
      <c r="C42" s="49"/>
      <c r="D42" s="50"/>
      <c r="E42" s="51">
        <v>7.0999999999999994E-2</v>
      </c>
      <c r="F42" s="52"/>
      <c r="G42" s="53"/>
      <c r="H42" s="82">
        <f>N42*E42*B42/365</f>
        <v>45204.630136986299</v>
      </c>
      <c r="I42" s="70"/>
      <c r="J42" s="59"/>
      <c r="K42" s="89"/>
      <c r="L42" s="82"/>
      <c r="M42" s="54">
        <v>1700000</v>
      </c>
      <c r="N42" s="46">
        <f>N41+M42</f>
        <v>13670000</v>
      </c>
      <c r="O42" s="53"/>
      <c r="P42" s="54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s="69" customFormat="1" hidden="1" x14ac:dyDescent="0.2">
      <c r="A43" s="201" t="s">
        <v>98</v>
      </c>
      <c r="B43" s="49">
        <v>11</v>
      </c>
      <c r="C43" s="49"/>
      <c r="D43" s="50"/>
      <c r="E43" s="51">
        <v>7.0999999999999994E-2</v>
      </c>
      <c r="F43" s="52"/>
      <c r="G43" s="53"/>
      <c r="H43" s="82">
        <f>N43*E43*B43/365</f>
        <v>31389.780821917804</v>
      </c>
      <c r="I43" s="210"/>
      <c r="J43" s="54"/>
      <c r="K43" s="211"/>
      <c r="L43" s="82"/>
      <c r="M43" s="54">
        <v>1000000</v>
      </c>
      <c r="N43" s="212">
        <f>N42+M43</f>
        <v>14670000</v>
      </c>
      <c r="O43" s="53"/>
      <c r="P43" s="54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s="69" customFormat="1" hidden="1" x14ac:dyDescent="0.2">
      <c r="A44" s="186" t="s">
        <v>99</v>
      </c>
      <c r="B44" s="61">
        <f>SUM(B41:B43)</f>
        <v>31</v>
      </c>
      <c r="C44" s="49"/>
      <c r="D44" s="50"/>
      <c r="E44" s="51"/>
      <c r="F44" s="52"/>
      <c r="G44" s="53"/>
      <c r="H44" s="29">
        <f>SUM(H41:H43)</f>
        <v>83579.643835616429</v>
      </c>
      <c r="I44" s="70"/>
      <c r="J44" s="59"/>
      <c r="K44" s="89"/>
      <c r="L44" s="89">
        <f>H44/1.47</f>
        <v>56856.900568446552</v>
      </c>
      <c r="M44" s="56"/>
      <c r="N44" s="212">
        <f t="shared" ref="N44:N62" si="1">N43+M44</f>
        <v>14670000</v>
      </c>
      <c r="O44" s="53"/>
      <c r="P44" s="54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</row>
    <row r="45" spans="1:34" s="69" customFormat="1" x14ac:dyDescent="0.2">
      <c r="A45" s="58" t="s">
        <v>101</v>
      </c>
      <c r="B45" s="49">
        <v>31</v>
      </c>
      <c r="C45" s="49"/>
      <c r="D45" s="50"/>
      <c r="E45" s="51">
        <v>7.0999999999999994E-2</v>
      </c>
      <c r="F45" s="52"/>
      <c r="G45" s="53"/>
      <c r="H45" s="82">
        <f>N45*E45*B45/365</f>
        <v>88462.10958904108</v>
      </c>
      <c r="I45" s="70"/>
      <c r="J45" s="59"/>
      <c r="K45" s="89"/>
      <c r="L45" s="56"/>
      <c r="M45" s="56"/>
      <c r="N45" s="212">
        <f t="shared" si="1"/>
        <v>14670000</v>
      </c>
      <c r="O45" s="53"/>
      <c r="P45" s="54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</row>
    <row r="46" spans="1:34" s="69" customFormat="1" x14ac:dyDescent="0.2">
      <c r="A46" s="186" t="s">
        <v>102</v>
      </c>
      <c r="B46" s="61">
        <f>SUM(B45)</f>
        <v>31</v>
      </c>
      <c r="C46" s="49"/>
      <c r="D46" s="50"/>
      <c r="E46" s="51"/>
      <c r="F46" s="52"/>
      <c r="G46" s="53"/>
      <c r="H46" s="29">
        <f>SUM(H45)</f>
        <v>88462.10958904108</v>
      </c>
      <c r="I46" s="70"/>
      <c r="J46" s="59"/>
      <c r="K46" s="89"/>
      <c r="L46" s="89">
        <f>H46/1.47</f>
        <v>60178.305842885093</v>
      </c>
      <c r="M46" s="56"/>
      <c r="N46" s="212">
        <f t="shared" si="1"/>
        <v>14670000</v>
      </c>
      <c r="O46" s="53"/>
      <c r="P46" s="54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</row>
    <row r="47" spans="1:34" s="69" customFormat="1" x14ac:dyDescent="0.2">
      <c r="A47" s="58" t="s">
        <v>104</v>
      </c>
      <c r="B47" s="49">
        <v>28</v>
      </c>
      <c r="C47" s="49"/>
      <c r="D47" s="50"/>
      <c r="E47" s="51">
        <v>7.0999999999999994E-2</v>
      </c>
      <c r="F47" s="52"/>
      <c r="G47" s="53"/>
      <c r="H47" s="82">
        <f>N47*E47*B47/365</f>
        <v>79901.260273972599</v>
      </c>
      <c r="I47" s="70"/>
      <c r="J47" s="59"/>
      <c r="K47" s="89"/>
      <c r="L47" s="29"/>
      <c r="M47" s="56"/>
      <c r="N47" s="212">
        <f t="shared" si="1"/>
        <v>14670000</v>
      </c>
      <c r="O47" s="53"/>
      <c r="P47" s="54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</row>
    <row r="48" spans="1:34" s="69" customFormat="1" x14ac:dyDescent="0.2">
      <c r="A48" s="186" t="s">
        <v>105</v>
      </c>
      <c r="B48" s="61">
        <f>B47</f>
        <v>28</v>
      </c>
      <c r="C48" s="49"/>
      <c r="D48" s="50"/>
      <c r="E48" s="51"/>
      <c r="F48" s="52"/>
      <c r="G48" s="53"/>
      <c r="H48" s="29">
        <f>SUM(H47)</f>
        <v>79901.260273972599</v>
      </c>
      <c r="I48" s="70"/>
      <c r="J48" s="59"/>
      <c r="K48" s="89"/>
      <c r="L48" s="89">
        <f>H48/1.47</f>
        <v>54354.598825831701</v>
      </c>
      <c r="M48" s="56"/>
      <c r="N48" s="212">
        <f t="shared" si="1"/>
        <v>14670000</v>
      </c>
      <c r="O48" s="53"/>
      <c r="P48" s="54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</row>
    <row r="49" spans="1:34" s="69" customFormat="1" x14ac:dyDescent="0.2">
      <c r="A49" s="58" t="s">
        <v>106</v>
      </c>
      <c r="B49" s="49">
        <v>31</v>
      </c>
      <c r="C49" s="49"/>
      <c r="D49" s="50"/>
      <c r="E49" s="51">
        <v>7.0999999999999994E-2</v>
      </c>
      <c r="F49" s="52"/>
      <c r="G49" s="53"/>
      <c r="H49" s="82">
        <f>N49*E49*B49/365</f>
        <v>88462.10958904108</v>
      </c>
      <c r="I49" s="70"/>
      <c r="J49" s="59"/>
      <c r="K49" s="89"/>
      <c r="L49" s="29"/>
      <c r="M49" s="56"/>
      <c r="N49" s="212">
        <f t="shared" si="1"/>
        <v>14670000</v>
      </c>
      <c r="O49" s="53"/>
      <c r="P49" s="54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</row>
    <row r="50" spans="1:34" s="69" customFormat="1" x14ac:dyDescent="0.2">
      <c r="A50" s="186" t="s">
        <v>107</v>
      </c>
      <c r="B50" s="61">
        <f>SUM(B49)</f>
        <v>31</v>
      </c>
      <c r="C50" s="49"/>
      <c r="D50" s="50"/>
      <c r="E50" s="51"/>
      <c r="F50" s="52"/>
      <c r="G50" s="53"/>
      <c r="H50" s="29">
        <f>H49</f>
        <v>88462.10958904108</v>
      </c>
      <c r="I50" s="70"/>
      <c r="J50" s="59"/>
      <c r="K50" s="89"/>
      <c r="L50" s="89">
        <f>H50/1.47</f>
        <v>60178.305842885093</v>
      </c>
      <c r="M50" s="56"/>
      <c r="N50" s="212">
        <f t="shared" si="1"/>
        <v>14670000</v>
      </c>
      <c r="O50" s="53"/>
      <c r="P50" s="54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</row>
    <row r="51" spans="1:34" s="69" customFormat="1" x14ac:dyDescent="0.2">
      <c r="A51" s="58" t="s">
        <v>108</v>
      </c>
      <c r="B51" s="49">
        <v>30</v>
      </c>
      <c r="C51" s="49"/>
      <c r="D51" s="50"/>
      <c r="E51" s="51">
        <v>7.0999999999999994E-2</v>
      </c>
      <c r="F51" s="52"/>
      <c r="G51" s="53"/>
      <c r="H51" s="82">
        <f>N51*E51*B51/365</f>
        <v>85608.493150684924</v>
      </c>
      <c r="I51" s="70"/>
      <c r="J51" s="59"/>
      <c r="K51" s="89"/>
      <c r="L51" s="29"/>
      <c r="M51" s="56"/>
      <c r="N51" s="212">
        <f t="shared" si="1"/>
        <v>14670000</v>
      </c>
      <c r="O51" s="53"/>
      <c r="P51" s="54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</row>
    <row r="52" spans="1:34" s="69" customFormat="1" x14ac:dyDescent="0.2">
      <c r="A52" s="186" t="s">
        <v>109</v>
      </c>
      <c r="B52" s="61">
        <f>B51</f>
        <v>30</v>
      </c>
      <c r="C52" s="49"/>
      <c r="D52" s="50"/>
      <c r="E52" s="51"/>
      <c r="F52" s="52"/>
      <c r="G52" s="53"/>
      <c r="H52" s="29">
        <f>H51</f>
        <v>85608.493150684924</v>
      </c>
      <c r="I52" s="70"/>
      <c r="J52" s="59"/>
      <c r="K52" s="89"/>
      <c r="L52" s="89">
        <f>H52/1.47</f>
        <v>58237.07017053396</v>
      </c>
      <c r="M52" s="56"/>
      <c r="N52" s="212">
        <f t="shared" si="1"/>
        <v>14670000</v>
      </c>
      <c r="O52" s="53"/>
      <c r="P52" s="54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</row>
    <row r="53" spans="1:34" s="69" customFormat="1" x14ac:dyDescent="0.2">
      <c r="A53" s="58" t="s">
        <v>116</v>
      </c>
      <c r="B53" s="49">
        <v>31</v>
      </c>
      <c r="C53" s="49"/>
      <c r="D53" s="50"/>
      <c r="E53" s="51">
        <v>7.0999999999999994E-2</v>
      </c>
      <c r="F53" s="52"/>
      <c r="G53" s="53"/>
      <c r="H53" s="82">
        <f>N53*E53*B53/365</f>
        <v>88462.10958904108</v>
      </c>
      <c r="I53" s="70"/>
      <c r="J53" s="59"/>
      <c r="K53" s="89"/>
      <c r="L53" s="29"/>
      <c r="M53" s="56"/>
      <c r="N53" s="212">
        <f t="shared" si="1"/>
        <v>14670000</v>
      </c>
      <c r="O53" s="53"/>
      <c r="P53" s="54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</row>
    <row r="54" spans="1:34" s="69" customFormat="1" x14ac:dyDescent="0.2">
      <c r="A54" s="186" t="s">
        <v>118</v>
      </c>
      <c r="B54" s="61">
        <f>B53</f>
        <v>31</v>
      </c>
      <c r="C54" s="49"/>
      <c r="D54" s="50"/>
      <c r="E54" s="51"/>
      <c r="F54" s="52"/>
      <c r="G54" s="53"/>
      <c r="H54" s="29">
        <f>H53</f>
        <v>88462.10958904108</v>
      </c>
      <c r="I54" s="70"/>
      <c r="J54" s="59"/>
      <c r="K54" s="89"/>
      <c r="L54" s="89">
        <f>H54/1.47</f>
        <v>60178.305842885093</v>
      </c>
      <c r="M54" s="56"/>
      <c r="N54" s="212">
        <f t="shared" si="1"/>
        <v>14670000</v>
      </c>
      <c r="O54" s="53"/>
      <c r="P54" s="54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</row>
    <row r="55" spans="1:34" s="69" customFormat="1" x14ac:dyDescent="0.2">
      <c r="A55" s="58" t="s">
        <v>119</v>
      </c>
      <c r="B55" s="49">
        <v>30</v>
      </c>
      <c r="C55" s="49"/>
      <c r="D55" s="50"/>
      <c r="E55" s="51">
        <v>7.0999999999999994E-2</v>
      </c>
      <c r="F55" s="52"/>
      <c r="G55" s="53"/>
      <c r="H55" s="82">
        <f>N55*E55*B55/365</f>
        <v>85608.493150684924</v>
      </c>
      <c r="I55" s="70"/>
      <c r="J55" s="59"/>
      <c r="K55" s="89"/>
      <c r="L55" s="29"/>
      <c r="M55" s="56"/>
      <c r="N55" s="212">
        <f t="shared" si="1"/>
        <v>14670000</v>
      </c>
      <c r="O55" s="53"/>
      <c r="P55" s="54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</row>
    <row r="56" spans="1:34" s="69" customFormat="1" x14ac:dyDescent="0.2">
      <c r="A56" s="186" t="s">
        <v>121</v>
      </c>
      <c r="B56" s="61">
        <f>B55</f>
        <v>30</v>
      </c>
      <c r="C56" s="49"/>
      <c r="D56" s="50"/>
      <c r="E56" s="51"/>
      <c r="F56" s="52"/>
      <c r="G56" s="53"/>
      <c r="H56" s="29">
        <f>H55</f>
        <v>85608.493150684924</v>
      </c>
      <c r="I56" s="70"/>
      <c r="J56" s="59"/>
      <c r="K56" s="89"/>
      <c r="L56" s="89">
        <f>H56/1.47</f>
        <v>58237.07017053396</v>
      </c>
      <c r="M56" s="56"/>
      <c r="N56" s="212">
        <f t="shared" si="1"/>
        <v>14670000</v>
      </c>
      <c r="O56" s="53"/>
      <c r="P56" s="54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</row>
    <row r="57" spans="1:34" s="69" customFormat="1" x14ac:dyDescent="0.2">
      <c r="A57" s="58" t="s">
        <v>125</v>
      </c>
      <c r="B57" s="49">
        <v>31</v>
      </c>
      <c r="C57" s="49"/>
      <c r="D57" s="50"/>
      <c r="E57" s="51">
        <v>7.0999999999999994E-2</v>
      </c>
      <c r="F57" s="52"/>
      <c r="G57" s="53"/>
      <c r="H57" s="82">
        <f>N57*E57*B57/365</f>
        <v>88462.10958904108</v>
      </c>
      <c r="I57" s="70"/>
      <c r="J57" s="59"/>
      <c r="K57" s="89"/>
      <c r="L57" s="29"/>
      <c r="M57" s="56"/>
      <c r="N57" s="212">
        <f t="shared" si="1"/>
        <v>14670000</v>
      </c>
      <c r="O57" s="53"/>
      <c r="P57" s="54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</row>
    <row r="58" spans="1:34" s="69" customFormat="1" x14ac:dyDescent="0.2">
      <c r="A58" s="186" t="s">
        <v>28</v>
      </c>
      <c r="B58" s="61">
        <f>B57</f>
        <v>31</v>
      </c>
      <c r="C58" s="49"/>
      <c r="D58" s="50"/>
      <c r="E58" s="51"/>
      <c r="F58" s="52"/>
      <c r="G58" s="53"/>
      <c r="H58" s="29">
        <f>H57</f>
        <v>88462.10958904108</v>
      </c>
      <c r="I58" s="70"/>
      <c r="J58" s="59"/>
      <c r="K58" s="89"/>
      <c r="L58" s="89">
        <f>H58/1.47</f>
        <v>60178.305842885093</v>
      </c>
      <c r="M58" s="56"/>
      <c r="N58" s="212">
        <f t="shared" si="1"/>
        <v>14670000</v>
      </c>
      <c r="O58" s="53"/>
      <c r="P58" s="54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9"/>
      <c r="AE58" s="219"/>
      <c r="AF58" s="219"/>
      <c r="AG58" s="219"/>
      <c r="AH58" s="219"/>
    </row>
    <row r="59" spans="1:34" s="69" customFormat="1" x14ac:dyDescent="0.2">
      <c r="A59" s="58" t="s">
        <v>141</v>
      </c>
      <c r="B59" s="49">
        <v>12</v>
      </c>
      <c r="C59" s="49"/>
      <c r="D59" s="50"/>
      <c r="E59" s="51">
        <v>7.0999999999999994E-2</v>
      </c>
      <c r="F59" s="52"/>
      <c r="G59" s="53"/>
      <c r="H59" s="82">
        <f>N59*E59*B59/365</f>
        <v>34243.397260273967</v>
      </c>
      <c r="I59" s="70"/>
      <c r="J59" s="59"/>
      <c r="K59" s="89"/>
      <c r="L59" s="29"/>
      <c r="M59" s="56"/>
      <c r="N59" s="212">
        <f t="shared" si="1"/>
        <v>14670000</v>
      </c>
      <c r="O59" s="53"/>
      <c r="P59" s="54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</row>
    <row r="60" spans="1:34" s="69" customFormat="1" x14ac:dyDescent="0.2">
      <c r="A60" s="58" t="s">
        <v>140</v>
      </c>
      <c r="B60" s="49"/>
      <c r="C60" s="49"/>
      <c r="D60" s="50"/>
      <c r="E60" s="51"/>
      <c r="F60" s="52"/>
      <c r="G60" s="53"/>
      <c r="H60" s="82"/>
      <c r="I60" s="70"/>
      <c r="J60" s="59"/>
      <c r="K60" s="89"/>
      <c r="L60" s="29"/>
      <c r="M60" s="54">
        <v>-14000000</v>
      </c>
      <c r="N60" s="212">
        <f t="shared" si="1"/>
        <v>670000</v>
      </c>
      <c r="O60" s="53"/>
      <c r="P60" s="54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</row>
    <row r="61" spans="1:34" s="69" customFormat="1" x14ac:dyDescent="0.2">
      <c r="A61" s="58" t="s">
        <v>142</v>
      </c>
      <c r="B61" s="49">
        <v>19</v>
      </c>
      <c r="C61" s="49"/>
      <c r="D61" s="50"/>
      <c r="E61" s="51">
        <v>7.0999999999999994E-2</v>
      </c>
      <c r="F61" s="52"/>
      <c r="G61" s="53"/>
      <c r="H61" s="82">
        <f>N61*E61*B61/365</f>
        <v>2476.2465753424653</v>
      </c>
      <c r="I61" s="70"/>
      <c r="J61" s="59"/>
      <c r="K61" s="89"/>
      <c r="L61" s="29"/>
      <c r="M61" s="56"/>
      <c r="N61" s="212">
        <f t="shared" si="1"/>
        <v>670000</v>
      </c>
      <c r="O61" s="53"/>
      <c r="P61" s="54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</row>
    <row r="62" spans="1:34" s="69" customFormat="1" x14ac:dyDescent="0.2">
      <c r="A62" s="186" t="s">
        <v>81</v>
      </c>
      <c r="B62" s="61">
        <f>SUM(B59:B61)</f>
        <v>31</v>
      </c>
      <c r="C62" s="49"/>
      <c r="D62" s="50"/>
      <c r="E62" s="51"/>
      <c r="F62" s="52"/>
      <c r="G62" s="53"/>
      <c r="H62" s="29">
        <f>H59</f>
        <v>34243.397260273967</v>
      </c>
      <c r="I62" s="70"/>
      <c r="J62" s="59"/>
      <c r="K62" s="89"/>
      <c r="L62" s="89">
        <f>H62/1.47</f>
        <v>23294.828068213585</v>
      </c>
      <c r="M62" s="56"/>
      <c r="N62" s="212">
        <f t="shared" si="1"/>
        <v>670000</v>
      </c>
      <c r="O62" s="53"/>
      <c r="P62" s="54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</row>
    <row r="63" spans="1:34" s="69" customFormat="1" x14ac:dyDescent="0.2">
      <c r="A63" s="60"/>
      <c r="B63" s="71"/>
      <c r="C63" s="71"/>
      <c r="D63" s="50"/>
      <c r="E63" s="51"/>
      <c r="F63" s="52"/>
      <c r="G63" s="53"/>
      <c r="H63" s="59"/>
      <c r="I63" s="59"/>
      <c r="J63" s="59"/>
      <c r="K63" s="59"/>
      <c r="L63" s="59"/>
      <c r="M63" s="42"/>
      <c r="N63" s="46"/>
      <c r="O63" s="44"/>
      <c r="P63" s="45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</row>
    <row r="64" spans="1:34" s="69" customFormat="1" x14ac:dyDescent="0.2">
      <c r="A64" s="60" t="s">
        <v>145</v>
      </c>
      <c r="B64" s="71"/>
      <c r="C64" s="71"/>
      <c r="D64" s="50"/>
      <c r="E64" s="51"/>
      <c r="F64" s="52"/>
      <c r="G64" s="53"/>
      <c r="H64" s="59"/>
      <c r="I64" s="59"/>
      <c r="J64" s="59"/>
      <c r="K64" s="59"/>
      <c r="L64" s="59"/>
      <c r="M64" s="42"/>
      <c r="N64" s="46"/>
      <c r="O64" s="44"/>
      <c r="P64" s="45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</row>
    <row r="65" spans="1:34" s="69" customFormat="1" x14ac:dyDescent="0.2">
      <c r="A65" s="268"/>
      <c r="B65" s="269"/>
      <c r="C65" s="269"/>
      <c r="D65" s="75"/>
      <c r="E65" s="73"/>
      <c r="F65" s="85"/>
      <c r="G65" s="74"/>
      <c r="H65" s="243"/>
      <c r="I65" s="243"/>
      <c r="J65" s="243"/>
      <c r="K65" s="243"/>
      <c r="L65" s="243"/>
      <c r="M65" s="270"/>
      <c r="N65" s="87"/>
      <c r="O65" s="44"/>
      <c r="P65" s="45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</row>
    <row r="66" spans="1:34" s="69" customFormat="1" x14ac:dyDescent="0.2">
      <c r="B66" s="49"/>
      <c r="C66" s="49"/>
      <c r="D66" s="50"/>
      <c r="E66" s="51"/>
      <c r="F66" s="52"/>
      <c r="G66" s="53"/>
      <c r="H66" s="54"/>
      <c r="I66" s="55"/>
      <c r="J66" s="55"/>
      <c r="K66" s="55"/>
      <c r="L66" s="55"/>
      <c r="M66" s="56"/>
      <c r="N66" s="45"/>
      <c r="O66" s="44"/>
      <c r="P66" s="45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</row>
    <row r="67" spans="1:34" s="69" customFormat="1" x14ac:dyDescent="0.2">
      <c r="B67" s="49"/>
      <c r="C67" s="49"/>
      <c r="D67" s="50"/>
      <c r="E67" s="51"/>
      <c r="F67" s="52"/>
      <c r="G67" s="53"/>
      <c r="H67" s="54"/>
      <c r="I67" s="55"/>
      <c r="J67" s="55"/>
      <c r="K67" s="55"/>
      <c r="L67" s="55"/>
      <c r="M67" s="56"/>
      <c r="N67" s="45"/>
      <c r="O67" s="44"/>
      <c r="P67" s="45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</row>
    <row r="68" spans="1:34" s="69" customFormat="1" ht="12.75" thickBot="1" x14ac:dyDescent="0.25">
      <c r="C68" s="49"/>
      <c r="D68" s="50"/>
      <c r="F68" s="52"/>
      <c r="G68" s="53"/>
      <c r="H68" s="397" t="s">
        <v>190</v>
      </c>
      <c r="I68" s="291"/>
      <c r="J68" s="291"/>
      <c r="K68" s="291"/>
      <c r="L68" s="398">
        <f>L46+L48+L50+L52+L54+L56+L58+L62</f>
        <v>434836.79060665361</v>
      </c>
      <c r="M68" s="56"/>
      <c r="N68" s="45"/>
      <c r="O68" s="44"/>
      <c r="P68" s="45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</row>
    <row r="69" spans="1:34" s="69" customFormat="1" ht="12.75" thickTop="1" x14ac:dyDescent="0.2">
      <c r="B69" s="49"/>
      <c r="C69" s="49"/>
      <c r="D69" s="50"/>
      <c r="E69" s="395"/>
      <c r="F69" s="52"/>
      <c r="G69" s="53"/>
      <c r="H69" s="54"/>
      <c r="I69" s="55"/>
      <c r="J69" s="55"/>
      <c r="K69" s="55"/>
      <c r="L69" s="54"/>
      <c r="M69" s="56"/>
      <c r="N69" s="45"/>
      <c r="O69" s="44"/>
      <c r="P69" s="45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</row>
    <row r="70" spans="1:34" s="69" customFormat="1" x14ac:dyDescent="0.2">
      <c r="B70" s="49"/>
      <c r="C70" s="49"/>
      <c r="D70" s="50"/>
      <c r="E70" s="51"/>
      <c r="F70" s="52"/>
      <c r="G70" s="53"/>
      <c r="H70" s="54"/>
      <c r="I70" s="55"/>
      <c r="J70" s="55"/>
      <c r="K70" s="55"/>
      <c r="L70" s="54"/>
      <c r="M70" s="56"/>
      <c r="N70" s="45"/>
      <c r="O70" s="44"/>
      <c r="P70" s="45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</row>
    <row r="71" spans="1:34" s="69" customFormat="1" x14ac:dyDescent="0.2">
      <c r="A71" s="188"/>
      <c r="B71" s="49"/>
      <c r="C71" s="49"/>
      <c r="D71" s="50"/>
      <c r="E71" s="51"/>
      <c r="F71" s="52"/>
      <c r="G71" s="53"/>
      <c r="H71" s="54"/>
      <c r="I71" s="70"/>
      <c r="J71" s="70"/>
      <c r="K71" s="70"/>
      <c r="L71" s="70"/>
      <c r="M71" s="56"/>
      <c r="N71" s="45"/>
      <c r="O71" s="44"/>
      <c r="P71" s="45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  <c r="AG71" s="219"/>
      <c r="AH71" s="219"/>
    </row>
    <row r="72" spans="1:34" s="69" customFormat="1" x14ac:dyDescent="0.2">
      <c r="A72" s="188"/>
      <c r="B72" s="49"/>
      <c r="C72" s="49"/>
      <c r="D72" s="50"/>
      <c r="E72" s="51"/>
      <c r="F72" s="52"/>
      <c r="G72" s="53"/>
      <c r="H72" s="54"/>
      <c r="I72" s="70"/>
      <c r="J72" s="70"/>
      <c r="K72" s="70"/>
      <c r="L72" s="70"/>
      <c r="M72" s="56"/>
      <c r="N72" s="45"/>
      <c r="O72" s="44"/>
      <c r="P72" s="45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</row>
    <row r="73" spans="1:34" s="69" customFormat="1" x14ac:dyDescent="0.2">
      <c r="A73" s="188" t="str">
        <f ca="1">CELL("FILENAME")</f>
        <v>I:\UNMANAGD\CQM\[Ice Dri1.xls]Can $ Only-Bankruptcy</v>
      </c>
      <c r="B73" s="49"/>
      <c r="C73" s="49"/>
      <c r="D73" s="50"/>
      <c r="E73" s="51"/>
      <c r="F73" s="52"/>
      <c r="G73" s="53"/>
      <c r="H73" s="54"/>
      <c r="I73" s="55"/>
      <c r="J73" s="55"/>
      <c r="K73" s="55"/>
      <c r="L73" s="55"/>
      <c r="M73" s="56"/>
      <c r="N73" s="45"/>
      <c r="O73" s="44"/>
      <c r="P73" s="45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</row>
    <row r="74" spans="1:34" s="69" customFormat="1" x14ac:dyDescent="0.2">
      <c r="A74" s="187"/>
      <c r="B74" s="71"/>
      <c r="C74" s="71"/>
      <c r="D74" s="50"/>
      <c r="E74" s="51"/>
      <c r="F74" s="52"/>
      <c r="G74" s="53"/>
      <c r="H74" s="59"/>
      <c r="I74" s="59"/>
      <c r="J74" s="59"/>
      <c r="K74" s="59"/>
      <c r="L74" s="59"/>
      <c r="M74" s="42"/>
      <c r="N74" s="45"/>
      <c r="O74" s="44"/>
      <c r="P74" s="45"/>
      <c r="Q74" s="219"/>
      <c r="R74" s="219"/>
      <c r="S74" s="219"/>
      <c r="T74" s="219"/>
      <c r="U74" s="219"/>
      <c r="V74" s="219"/>
      <c r="W74" s="219"/>
      <c r="X74" s="219"/>
      <c r="Y74" s="219"/>
      <c r="Z74" s="219"/>
      <c r="AA74" s="219"/>
      <c r="AB74" s="219"/>
      <c r="AC74" s="219"/>
      <c r="AD74" s="219"/>
      <c r="AE74" s="219"/>
      <c r="AF74" s="219"/>
      <c r="AG74" s="219"/>
      <c r="AH74" s="219"/>
    </row>
    <row r="75" spans="1:34" s="69" customFormat="1" x14ac:dyDescent="0.2">
      <c r="A75" s="188"/>
      <c r="B75" s="49"/>
      <c r="C75" s="49"/>
      <c r="D75" s="50"/>
      <c r="E75" s="51"/>
      <c r="F75" s="52"/>
      <c r="G75" s="53"/>
      <c r="H75" s="54"/>
      <c r="I75" s="55"/>
      <c r="J75" s="55"/>
      <c r="K75" s="55"/>
      <c r="L75" s="55"/>
      <c r="M75" s="56"/>
      <c r="N75" s="45"/>
      <c r="O75" s="44"/>
      <c r="P75" s="45"/>
      <c r="Q75" s="219"/>
      <c r="R75" s="219"/>
      <c r="S75" s="219"/>
      <c r="T75" s="219"/>
      <c r="U75" s="219"/>
      <c r="V75" s="219"/>
      <c r="W75" s="219"/>
      <c r="X75" s="219"/>
      <c r="Y75" s="219"/>
      <c r="Z75" s="219"/>
      <c r="AA75" s="219"/>
      <c r="AB75" s="219"/>
      <c r="AC75" s="219"/>
      <c r="AD75" s="219"/>
      <c r="AE75" s="219"/>
      <c r="AF75" s="219"/>
      <c r="AG75" s="219"/>
      <c r="AH75" s="219"/>
    </row>
    <row r="76" spans="1:34" s="69" customFormat="1" x14ac:dyDescent="0.2">
      <c r="A76" s="188"/>
      <c r="B76" s="49"/>
      <c r="C76" s="49"/>
      <c r="D76" s="50"/>
      <c r="E76" s="51"/>
      <c r="F76" s="52"/>
      <c r="G76" s="53"/>
      <c r="H76" s="54"/>
      <c r="I76" s="70"/>
      <c r="J76" s="70"/>
      <c r="K76" s="70"/>
      <c r="L76" s="70"/>
      <c r="M76" s="56"/>
      <c r="N76" s="45"/>
      <c r="O76" s="44"/>
      <c r="P76" s="45"/>
      <c r="Q76" s="219"/>
      <c r="R76" s="219"/>
      <c r="S76" s="219"/>
      <c r="T76" s="219"/>
      <c r="U76" s="219"/>
      <c r="V76" s="219"/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219"/>
    </row>
    <row r="77" spans="1:34" s="69" customFormat="1" x14ac:dyDescent="0.2">
      <c r="A77" s="188"/>
      <c r="B77" s="49"/>
      <c r="C77" s="49"/>
      <c r="D77" s="50"/>
      <c r="E77" s="51"/>
      <c r="F77" s="52"/>
      <c r="G77" s="53"/>
      <c r="H77" s="54"/>
      <c r="I77" s="70"/>
      <c r="J77" s="70"/>
      <c r="K77" s="70"/>
      <c r="L77" s="70"/>
      <c r="M77" s="56"/>
      <c r="N77" s="45"/>
      <c r="O77" s="44"/>
      <c r="P77" s="45"/>
      <c r="Q77" s="219"/>
      <c r="R77" s="219"/>
      <c r="S77" s="219"/>
      <c r="T77" s="219"/>
      <c r="U77" s="219"/>
      <c r="V77" s="219"/>
      <c r="W77" s="219"/>
      <c r="X77" s="219"/>
      <c r="Y77" s="219"/>
      <c r="Z77" s="219"/>
      <c r="AA77" s="219"/>
      <c r="AB77" s="219"/>
      <c r="AC77" s="219"/>
      <c r="AD77" s="219"/>
      <c r="AE77" s="219"/>
      <c r="AF77" s="219"/>
      <c r="AG77" s="219"/>
      <c r="AH77" s="219"/>
    </row>
    <row r="78" spans="1:34" s="69" customFormat="1" x14ac:dyDescent="0.2">
      <c r="A78" s="189"/>
      <c r="B78" s="49"/>
      <c r="C78" s="49"/>
      <c r="D78" s="50"/>
      <c r="E78" s="51"/>
      <c r="F78" s="52"/>
      <c r="G78" s="53"/>
      <c r="H78" s="54"/>
      <c r="I78" s="55"/>
      <c r="J78" s="55"/>
      <c r="K78" s="55"/>
      <c r="L78" s="55"/>
      <c r="M78" s="56"/>
      <c r="N78" s="45"/>
      <c r="O78" s="44"/>
      <c r="P78" s="45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19"/>
      <c r="AC78" s="219"/>
      <c r="AD78" s="219"/>
      <c r="AE78" s="219"/>
      <c r="AF78" s="219"/>
      <c r="AG78" s="219"/>
      <c r="AH78" s="219"/>
    </row>
    <row r="79" spans="1:34" s="69" customFormat="1" x14ac:dyDescent="0.2">
      <c r="A79" s="187"/>
      <c r="B79" s="71"/>
      <c r="C79" s="71"/>
      <c r="D79" s="50"/>
      <c r="E79" s="51"/>
      <c r="F79" s="52"/>
      <c r="G79" s="53"/>
      <c r="H79" s="59"/>
      <c r="I79" s="59"/>
      <c r="J79" s="59"/>
      <c r="K79" s="59"/>
      <c r="L79" s="59"/>
      <c r="M79" s="42"/>
      <c r="N79" s="45"/>
      <c r="O79" s="44"/>
      <c r="P79" s="45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</row>
    <row r="80" spans="1:34" s="69" customFormat="1" x14ac:dyDescent="0.2">
      <c r="A80" s="187"/>
      <c r="B80" s="71"/>
      <c r="C80" s="71"/>
      <c r="D80" s="50"/>
      <c r="E80" s="51"/>
      <c r="F80" s="52"/>
      <c r="G80" s="53"/>
      <c r="H80" s="59"/>
      <c r="I80" s="59"/>
      <c r="J80" s="59"/>
      <c r="K80" s="59"/>
      <c r="L80" s="59"/>
      <c r="M80" s="42"/>
      <c r="N80" s="45"/>
      <c r="O80" s="44"/>
      <c r="P80" s="45"/>
      <c r="Q80" s="219"/>
      <c r="R80" s="219"/>
      <c r="S80" s="219"/>
      <c r="T80" s="219"/>
      <c r="U80" s="219"/>
      <c r="V80" s="219"/>
      <c r="W80" s="219"/>
      <c r="X80" s="219"/>
      <c r="Y80" s="219"/>
      <c r="Z80" s="219"/>
      <c r="AA80" s="219"/>
      <c r="AB80" s="219"/>
      <c r="AC80" s="219"/>
      <c r="AD80" s="219"/>
      <c r="AE80" s="219"/>
      <c r="AF80" s="219"/>
      <c r="AG80" s="219"/>
      <c r="AH80" s="219"/>
    </row>
    <row r="81" spans="1:34" s="55" customFormat="1" x14ac:dyDescent="0.2">
      <c r="A81" s="76"/>
      <c r="B81" s="49"/>
      <c r="C81" s="49"/>
      <c r="D81" s="77"/>
      <c r="E81" s="51"/>
      <c r="F81" s="78"/>
      <c r="G81" s="53"/>
      <c r="H81" s="54"/>
      <c r="I81" s="50"/>
      <c r="J81" s="50"/>
      <c r="K81" s="50"/>
      <c r="L81" s="50"/>
      <c r="M81" s="51"/>
      <c r="N81" s="52"/>
      <c r="O81" s="53"/>
      <c r="P81" s="54"/>
      <c r="Q81" s="220"/>
      <c r="R81" s="220"/>
      <c r="S81" s="220"/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220"/>
      <c r="AE81" s="220"/>
      <c r="AF81" s="220"/>
      <c r="AG81" s="220"/>
      <c r="AH81" s="220"/>
    </row>
    <row r="82" spans="1:34" s="55" customFormat="1" x14ac:dyDescent="0.2">
      <c r="A82" s="76"/>
      <c r="B82" s="49"/>
      <c r="C82" s="49"/>
      <c r="D82" s="77"/>
      <c r="E82" s="51"/>
      <c r="F82" s="78"/>
      <c r="G82" s="53"/>
      <c r="H82" s="54"/>
      <c r="I82" s="59"/>
      <c r="J82" s="59"/>
      <c r="K82" s="59"/>
      <c r="L82" s="59"/>
      <c r="M82" s="54"/>
      <c r="N82" s="54"/>
      <c r="O82" s="54"/>
      <c r="P82" s="219"/>
      <c r="Q82" s="220"/>
      <c r="R82" s="220"/>
      <c r="S82" s="220"/>
      <c r="T82" s="220"/>
      <c r="U82" s="220"/>
      <c r="V82" s="220"/>
      <c r="W82" s="220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</row>
    <row r="83" spans="1:34" s="55" customFormat="1" x14ac:dyDescent="0.2">
      <c r="B83" s="49"/>
      <c r="C83" s="49"/>
      <c r="D83" s="37"/>
      <c r="E83" s="51"/>
      <c r="F83" s="49"/>
      <c r="G83" s="19"/>
      <c r="P83" s="219"/>
      <c r="Q83" s="54"/>
    </row>
    <row r="84" spans="1:34" s="55" customFormat="1" x14ac:dyDescent="0.2">
      <c r="B84" s="49"/>
      <c r="C84" s="49"/>
      <c r="D84" s="37"/>
      <c r="E84" s="51"/>
      <c r="F84" s="49"/>
      <c r="G84" s="19"/>
      <c r="P84" s="219"/>
      <c r="Q84" s="54"/>
    </row>
    <row r="85" spans="1:34" s="55" customFormat="1" x14ac:dyDescent="0.2">
      <c r="B85" s="49"/>
      <c r="C85" s="49"/>
      <c r="D85" s="37"/>
      <c r="E85" s="51"/>
      <c r="F85" s="49"/>
      <c r="G85" s="19"/>
      <c r="P85" s="220"/>
      <c r="Q85" s="54"/>
    </row>
    <row r="86" spans="1:34" s="55" customFormat="1" x14ac:dyDescent="0.2">
      <c r="B86" s="49"/>
      <c r="C86" s="49"/>
      <c r="D86" s="37"/>
      <c r="E86" s="51"/>
      <c r="F86" s="49"/>
      <c r="G86" s="19"/>
      <c r="P86" s="220"/>
      <c r="Q86" s="54"/>
    </row>
    <row r="87" spans="1:34" s="55" customFormat="1" x14ac:dyDescent="0.2">
      <c r="B87" s="49"/>
      <c r="C87" s="49"/>
      <c r="D87" s="37"/>
      <c r="E87" s="51"/>
      <c r="F87" s="49"/>
      <c r="G87" s="19"/>
      <c r="P87" s="220"/>
      <c r="Q87" s="54"/>
    </row>
    <row r="88" spans="1:34" s="55" customFormat="1" x14ac:dyDescent="0.2">
      <c r="B88" s="49"/>
      <c r="C88" s="49"/>
      <c r="D88" s="37"/>
      <c r="E88" s="51"/>
      <c r="F88" s="49"/>
      <c r="G88" s="19"/>
      <c r="P88" s="220"/>
      <c r="Q88" s="54"/>
    </row>
    <row r="89" spans="1:34" s="55" customFormat="1" x14ac:dyDescent="0.2">
      <c r="B89" s="49"/>
      <c r="C89" s="49"/>
      <c r="D89" s="37"/>
      <c r="E89" s="51"/>
      <c r="F89" s="49"/>
      <c r="G89" s="19"/>
      <c r="Q89" s="54"/>
    </row>
    <row r="90" spans="1:34" s="55" customFormat="1" ht="12.75" x14ac:dyDescent="0.2">
      <c r="A90" s="221"/>
      <c r="B90" s="49"/>
      <c r="C90" s="49"/>
      <c r="D90" s="37"/>
      <c r="E90" s="51"/>
      <c r="F90" s="49"/>
      <c r="G90" s="19"/>
      <c r="Q90" s="54"/>
    </row>
    <row r="91" spans="1:34" s="55" customFormat="1" ht="12.75" x14ac:dyDescent="0.2">
      <c r="A91" s="221"/>
      <c r="B91" s="49"/>
      <c r="C91" s="49"/>
      <c r="D91" s="37"/>
      <c r="E91" s="51"/>
      <c r="F91" s="49"/>
      <c r="G91" s="19"/>
      <c r="Q91" s="54"/>
    </row>
    <row r="92" spans="1:34" s="55" customFormat="1" ht="12.75" x14ac:dyDescent="0.2">
      <c r="A92" s="221"/>
      <c r="B92" s="49"/>
      <c r="C92" s="49"/>
      <c r="D92" s="37"/>
      <c r="E92" s="51"/>
      <c r="F92" s="49"/>
      <c r="G92" s="19"/>
    </row>
    <row r="93" spans="1:34" s="55" customFormat="1" ht="12.75" x14ac:dyDescent="0.2">
      <c r="A93" s="221"/>
      <c r="B93" s="49"/>
      <c r="C93" s="49"/>
      <c r="D93" s="37"/>
      <c r="E93" s="51"/>
      <c r="F93" s="49"/>
      <c r="G93" s="19"/>
    </row>
    <row r="94" spans="1:34" s="55" customFormat="1" ht="12.75" x14ac:dyDescent="0.2">
      <c r="A94" s="221"/>
      <c r="B94" s="49"/>
      <c r="C94" s="49"/>
      <c r="D94" s="37"/>
      <c r="E94" s="51"/>
      <c r="F94" s="49"/>
      <c r="G94" s="19"/>
    </row>
    <row r="95" spans="1:34" s="55" customFormat="1" x14ac:dyDescent="0.2">
      <c r="B95" s="49"/>
      <c r="C95" s="49"/>
      <c r="D95" s="37"/>
      <c r="E95" s="51"/>
      <c r="F95" s="49"/>
      <c r="G95" s="19"/>
    </row>
    <row r="96" spans="1:34" s="55" customFormat="1" x14ac:dyDescent="0.2">
      <c r="B96" s="49"/>
      <c r="C96" s="49"/>
      <c r="D96" s="37"/>
      <c r="E96" s="51"/>
      <c r="F96" s="49"/>
      <c r="G96" s="19"/>
    </row>
    <row r="97" spans="1:17" s="55" customFormat="1" x14ac:dyDescent="0.2">
      <c r="B97" s="49"/>
      <c r="C97" s="49"/>
      <c r="D97" s="37"/>
      <c r="E97" s="51"/>
      <c r="F97" s="49"/>
      <c r="G97" s="19"/>
    </row>
    <row r="98" spans="1:17" s="55" customFormat="1" x14ac:dyDescent="0.2">
      <c r="B98" s="49"/>
      <c r="C98" s="49"/>
      <c r="D98" s="37"/>
      <c r="E98" s="51"/>
      <c r="F98" s="49"/>
      <c r="G98" s="19"/>
    </row>
    <row r="99" spans="1:17" s="222" customFormat="1" x14ac:dyDescent="0.2">
      <c r="A99" s="55"/>
      <c r="B99" s="49"/>
      <c r="C99" s="49"/>
      <c r="D99" s="37"/>
      <c r="E99" s="51"/>
      <c r="F99" s="49"/>
      <c r="G99" s="19"/>
      <c r="H99" s="55"/>
      <c r="I99" s="54"/>
      <c r="J99" s="54"/>
      <c r="K99" s="54"/>
      <c r="L99" s="54"/>
      <c r="M99" s="54"/>
      <c r="N99" s="12"/>
      <c r="O99" s="55"/>
      <c r="P99" s="55"/>
      <c r="Q99" s="55"/>
    </row>
    <row r="100" spans="1:17" s="222" customFormat="1" x14ac:dyDescent="0.2">
      <c r="A100" s="55"/>
      <c r="B100" s="49"/>
      <c r="C100" s="49"/>
      <c r="D100" s="37"/>
      <c r="E100" s="51"/>
      <c r="F100" s="49"/>
      <c r="G100" s="19"/>
      <c r="H100" s="55"/>
      <c r="I100" s="54"/>
      <c r="J100" s="54"/>
      <c r="K100" s="54"/>
      <c r="L100" s="54"/>
      <c r="M100" s="54"/>
      <c r="N100" s="12"/>
      <c r="O100" s="55"/>
      <c r="P100" s="55"/>
      <c r="Q100" s="55"/>
    </row>
    <row r="101" spans="1:17" s="222" customFormat="1" x14ac:dyDescent="0.2">
      <c r="A101" s="55"/>
      <c r="B101" s="49"/>
      <c r="C101" s="49"/>
      <c r="D101" s="37"/>
      <c r="E101" s="51"/>
      <c r="F101" s="49"/>
      <c r="G101" s="19"/>
      <c r="H101" s="55"/>
      <c r="I101" s="54"/>
      <c r="J101" s="54"/>
      <c r="K101" s="54"/>
      <c r="L101" s="54"/>
      <c r="M101" s="54"/>
      <c r="N101" s="12"/>
      <c r="O101" s="55"/>
      <c r="P101" s="55"/>
      <c r="Q101" s="55"/>
    </row>
    <row r="102" spans="1:17" s="55" customFormat="1" x14ac:dyDescent="0.2">
      <c r="B102" s="49"/>
      <c r="C102" s="49"/>
      <c r="D102" s="37"/>
      <c r="E102" s="51"/>
      <c r="F102" s="49"/>
      <c r="G102" s="19"/>
      <c r="I102" s="54"/>
      <c r="J102" s="54"/>
      <c r="K102" s="54"/>
      <c r="L102" s="54"/>
      <c r="M102" s="54"/>
      <c r="N102" s="12"/>
    </row>
    <row r="103" spans="1:17" s="55" customFormat="1" x14ac:dyDescent="0.2">
      <c r="B103" s="49"/>
      <c r="C103" s="49"/>
      <c r="D103" s="37"/>
      <c r="E103" s="51"/>
      <c r="F103" s="49"/>
      <c r="G103" s="19"/>
      <c r="I103" s="54"/>
      <c r="J103" s="54"/>
      <c r="K103" s="54"/>
      <c r="L103" s="54"/>
      <c r="M103" s="54"/>
      <c r="N103" s="12"/>
    </row>
    <row r="104" spans="1:17" s="55" customFormat="1" x14ac:dyDescent="0.2">
      <c r="B104" s="49"/>
      <c r="C104" s="49"/>
      <c r="D104" s="37"/>
      <c r="E104" s="51"/>
      <c r="F104" s="49"/>
      <c r="G104" s="19"/>
      <c r="I104" s="54"/>
      <c r="J104" s="54"/>
      <c r="K104" s="54"/>
      <c r="L104" s="54"/>
      <c r="M104" s="54"/>
      <c r="N104" s="12"/>
    </row>
    <row r="105" spans="1:17" s="55" customFormat="1" x14ac:dyDescent="0.2">
      <c r="B105" s="49"/>
      <c r="C105" s="49"/>
      <c r="D105" s="37"/>
      <c r="E105" s="51"/>
      <c r="F105" s="49"/>
      <c r="G105" s="19"/>
      <c r="I105" s="54"/>
      <c r="J105" s="54"/>
      <c r="K105" s="54"/>
      <c r="L105" s="54"/>
      <c r="M105" s="54"/>
      <c r="N105" s="12"/>
    </row>
    <row r="106" spans="1:17" s="55" customFormat="1" x14ac:dyDescent="0.2">
      <c r="B106" s="49"/>
      <c r="C106" s="49"/>
      <c r="D106" s="37"/>
      <c r="E106" s="51"/>
      <c r="F106" s="49"/>
      <c r="G106" s="19"/>
      <c r="I106" s="54"/>
      <c r="J106" s="54"/>
      <c r="K106" s="54"/>
      <c r="L106" s="54"/>
      <c r="M106" s="54"/>
      <c r="N106" s="12"/>
    </row>
    <row r="107" spans="1:17" s="55" customFormat="1" x14ac:dyDescent="0.2">
      <c r="B107" s="49"/>
      <c r="C107" s="49"/>
      <c r="D107" s="37"/>
      <c r="E107" s="51"/>
      <c r="F107" s="49"/>
      <c r="G107" s="19"/>
      <c r="I107" s="54"/>
      <c r="J107" s="54"/>
      <c r="K107" s="54"/>
      <c r="L107" s="54"/>
      <c r="M107" s="54"/>
      <c r="N107" s="12"/>
    </row>
    <row r="108" spans="1:17" s="55" customFormat="1" x14ac:dyDescent="0.2">
      <c r="B108" s="49"/>
      <c r="C108" s="49"/>
      <c r="D108" s="37"/>
      <c r="E108" s="51"/>
      <c r="F108" s="49"/>
      <c r="G108" s="19"/>
      <c r="I108" s="54"/>
      <c r="J108" s="54"/>
      <c r="K108" s="54"/>
      <c r="L108" s="54"/>
      <c r="M108" s="54"/>
      <c r="N108" s="12"/>
    </row>
    <row r="109" spans="1:17" s="55" customFormat="1" x14ac:dyDescent="0.2">
      <c r="B109" s="49"/>
      <c r="C109" s="49"/>
      <c r="D109" s="37"/>
      <c r="E109" s="51"/>
      <c r="F109" s="49"/>
      <c r="G109" s="19"/>
      <c r="I109" s="54"/>
      <c r="J109" s="54"/>
      <c r="K109" s="54"/>
      <c r="L109" s="54"/>
      <c r="M109" s="54"/>
      <c r="N109" s="12"/>
    </row>
    <row r="110" spans="1:17" s="55" customFormat="1" x14ac:dyDescent="0.2">
      <c r="B110" s="49"/>
      <c r="C110" s="49"/>
      <c r="D110" s="37"/>
      <c r="E110" s="51"/>
      <c r="F110" s="49"/>
      <c r="G110" s="19"/>
      <c r="I110" s="54"/>
      <c r="J110" s="54"/>
      <c r="K110" s="54"/>
      <c r="L110" s="54"/>
      <c r="M110" s="54"/>
      <c r="N110" s="12"/>
    </row>
    <row r="111" spans="1:17" s="55" customFormat="1" x14ac:dyDescent="0.2">
      <c r="B111" s="49"/>
      <c r="C111" s="49"/>
      <c r="D111" s="37"/>
      <c r="E111" s="51"/>
      <c r="F111" s="49"/>
      <c r="G111" s="19"/>
      <c r="I111" s="54"/>
      <c r="J111" s="54"/>
      <c r="K111" s="54"/>
      <c r="L111" s="54"/>
      <c r="M111" s="54"/>
      <c r="N111" s="12"/>
    </row>
    <row r="112" spans="1:17" s="55" customFormat="1" x14ac:dyDescent="0.2">
      <c r="B112" s="49"/>
      <c r="C112" s="49"/>
      <c r="D112" s="37"/>
      <c r="E112" s="51"/>
      <c r="F112" s="49"/>
      <c r="G112" s="19"/>
      <c r="I112" s="54"/>
      <c r="J112" s="54"/>
      <c r="K112" s="54"/>
      <c r="L112" s="54"/>
      <c r="M112" s="54"/>
      <c r="N112" s="12"/>
    </row>
    <row r="113" spans="2:14" s="55" customFormat="1" x14ac:dyDescent="0.2">
      <c r="B113" s="49"/>
      <c r="C113" s="49"/>
      <c r="D113" s="37"/>
      <c r="E113" s="51"/>
      <c r="F113" s="49"/>
      <c r="G113" s="19"/>
      <c r="I113" s="54"/>
      <c r="J113" s="54"/>
      <c r="K113" s="54"/>
      <c r="L113" s="54"/>
      <c r="M113" s="54"/>
      <c r="N113" s="12"/>
    </row>
    <row r="114" spans="2:14" s="55" customFormat="1" x14ac:dyDescent="0.2">
      <c r="B114" s="49"/>
      <c r="C114" s="49"/>
      <c r="D114" s="37"/>
      <c r="E114" s="51"/>
      <c r="F114" s="49"/>
      <c r="G114" s="19"/>
      <c r="I114" s="54"/>
      <c r="J114" s="54"/>
      <c r="K114" s="54"/>
      <c r="L114" s="54"/>
      <c r="M114" s="54"/>
      <c r="N114" s="12"/>
    </row>
    <row r="115" spans="2:14" s="55" customFormat="1" x14ac:dyDescent="0.2">
      <c r="B115" s="49"/>
      <c r="C115" s="49"/>
      <c r="D115" s="37"/>
      <c r="E115" s="51"/>
      <c r="F115" s="49"/>
      <c r="G115" s="19"/>
      <c r="I115" s="54"/>
      <c r="J115" s="54"/>
      <c r="K115" s="54"/>
      <c r="L115" s="54"/>
      <c r="M115" s="54"/>
      <c r="N115" s="12"/>
    </row>
    <row r="116" spans="2:14" s="55" customFormat="1" x14ac:dyDescent="0.2">
      <c r="B116" s="49"/>
      <c r="C116" s="49"/>
      <c r="D116" s="37"/>
      <c r="E116" s="51"/>
      <c r="F116" s="49"/>
      <c r="G116" s="19"/>
      <c r="N116" s="12"/>
    </row>
    <row r="117" spans="2:14" s="55" customFormat="1" x14ac:dyDescent="0.2">
      <c r="B117" s="49"/>
      <c r="C117" s="49"/>
      <c r="D117" s="37"/>
      <c r="E117" s="51"/>
      <c r="F117" s="49"/>
      <c r="G117" s="19"/>
      <c r="N117" s="12"/>
    </row>
    <row r="118" spans="2:14" s="55" customFormat="1" x14ac:dyDescent="0.2">
      <c r="B118" s="49"/>
      <c r="C118" s="49"/>
      <c r="D118" s="37"/>
      <c r="E118" s="51"/>
      <c r="F118" s="49"/>
      <c r="G118" s="19"/>
      <c r="N118" s="12"/>
    </row>
    <row r="119" spans="2:14" s="55" customFormat="1" x14ac:dyDescent="0.2">
      <c r="B119" s="49"/>
      <c r="C119" s="49"/>
      <c r="D119" s="37"/>
      <c r="E119" s="51"/>
      <c r="F119" s="49"/>
      <c r="G119" s="19"/>
      <c r="N119" s="12"/>
    </row>
    <row r="120" spans="2:14" s="55" customFormat="1" x14ac:dyDescent="0.2">
      <c r="B120" s="49"/>
      <c r="C120" s="49"/>
      <c r="D120" s="37"/>
      <c r="E120" s="51"/>
      <c r="F120" s="49"/>
      <c r="G120" s="19"/>
      <c r="N120" s="12"/>
    </row>
    <row r="121" spans="2:14" s="55" customFormat="1" x14ac:dyDescent="0.2">
      <c r="B121" s="49"/>
      <c r="C121" s="49"/>
      <c r="D121" s="37"/>
      <c r="E121" s="51"/>
      <c r="F121" s="49"/>
      <c r="G121" s="19"/>
      <c r="N121" s="12"/>
    </row>
    <row r="122" spans="2:14" s="55" customFormat="1" x14ac:dyDescent="0.2">
      <c r="B122" s="49"/>
      <c r="C122" s="49"/>
      <c r="D122" s="37"/>
      <c r="E122" s="51"/>
      <c r="F122" s="49"/>
      <c r="G122" s="19"/>
      <c r="N122" s="12"/>
    </row>
    <row r="123" spans="2:14" s="55" customFormat="1" x14ac:dyDescent="0.2">
      <c r="B123" s="49"/>
      <c r="C123" s="49"/>
      <c r="D123" s="37"/>
      <c r="E123" s="51"/>
      <c r="F123" s="49"/>
      <c r="G123" s="19"/>
      <c r="N123" s="12"/>
    </row>
    <row r="124" spans="2:14" s="55" customFormat="1" x14ac:dyDescent="0.2">
      <c r="B124" s="49"/>
      <c r="C124" s="49"/>
      <c r="D124" s="37"/>
      <c r="E124" s="51"/>
      <c r="F124" s="49"/>
      <c r="G124" s="19"/>
      <c r="N124" s="12"/>
    </row>
  </sheetData>
  <pageMargins left="1" right="1" top="0.25" bottom="0.25" header="0.5" footer="0.5"/>
  <pageSetup scale="8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66"/>
  <sheetViews>
    <sheetView topLeftCell="A11" workbookViewId="0">
      <selection activeCell="C14" sqref="C14"/>
    </sheetView>
  </sheetViews>
  <sheetFormatPr defaultRowHeight="12.75" x14ac:dyDescent="0.2"/>
  <cols>
    <col min="1" max="1" width="29" style="367" customWidth="1"/>
    <col min="2" max="2" width="18.42578125" style="312" customWidth="1"/>
    <col min="3" max="3" width="12.42578125" style="311" customWidth="1"/>
    <col min="4" max="4" width="19.28515625" style="311" customWidth="1"/>
    <col min="5" max="5" width="15.7109375" style="312" customWidth="1"/>
    <col min="6" max="6" width="6" style="311" customWidth="1"/>
    <col min="7" max="7" width="8.5703125" style="355" customWidth="1"/>
    <col min="8" max="8" width="12.7109375" style="311" customWidth="1"/>
    <col min="9" max="9" width="11.28515625" style="311" customWidth="1"/>
    <col min="10" max="10" width="4.28515625" style="311" customWidth="1"/>
    <col min="11" max="11" width="12.7109375" style="311" customWidth="1"/>
    <col min="12" max="12" width="12.5703125" style="311" customWidth="1"/>
    <col min="13" max="13" width="13.28515625" customWidth="1"/>
    <col min="14" max="16384" width="9.140625" style="311"/>
  </cols>
  <sheetData>
    <row r="1" spans="1:78" x14ac:dyDescent="0.2">
      <c r="A1" s="364" t="s">
        <v>74</v>
      </c>
      <c r="B1" s="309"/>
      <c r="C1" s="310"/>
      <c r="G1" s="352"/>
    </row>
    <row r="2" spans="1:78" x14ac:dyDescent="0.2">
      <c r="A2" s="364" t="s">
        <v>86</v>
      </c>
      <c r="B2" s="309"/>
      <c r="C2" s="310"/>
      <c r="G2" s="352"/>
    </row>
    <row r="3" spans="1:78" x14ac:dyDescent="0.2">
      <c r="A3" s="365" t="s">
        <v>51</v>
      </c>
      <c r="B3" s="313"/>
      <c r="C3" s="314"/>
      <c r="D3" s="308"/>
      <c r="E3" s="315"/>
      <c r="F3" s="308"/>
      <c r="G3" s="353"/>
      <c r="H3" s="308"/>
      <c r="I3" s="308"/>
      <c r="J3" s="308"/>
      <c r="K3" s="308"/>
      <c r="L3" s="308"/>
      <c r="N3" s="308"/>
      <c r="O3" s="308"/>
    </row>
    <row r="4" spans="1:78" x14ac:dyDescent="0.2">
      <c r="A4" s="365"/>
      <c r="B4" s="313"/>
      <c r="C4" s="314"/>
      <c r="D4" s="308"/>
      <c r="E4" s="315"/>
      <c r="F4" s="308"/>
      <c r="G4" s="353"/>
      <c r="H4" s="308"/>
      <c r="I4" s="308"/>
      <c r="J4" s="308"/>
      <c r="K4" s="308"/>
      <c r="L4" s="308"/>
      <c r="N4" s="308"/>
      <c r="O4" s="308"/>
    </row>
    <row r="5" spans="1:78" x14ac:dyDescent="0.2">
      <c r="A5" s="366" t="s">
        <v>164</v>
      </c>
      <c r="B5" s="313"/>
      <c r="C5" s="308"/>
      <c r="D5" s="308"/>
      <c r="E5" s="315"/>
      <c r="F5" s="308"/>
      <c r="G5" s="354"/>
      <c r="H5" s="308"/>
      <c r="I5" s="308"/>
      <c r="J5" s="308"/>
      <c r="K5" s="308"/>
      <c r="L5" s="308"/>
      <c r="N5" s="308"/>
      <c r="O5" s="308"/>
    </row>
    <row r="6" spans="1:78" x14ac:dyDescent="0.2">
      <c r="A6" s="366" t="s">
        <v>165</v>
      </c>
      <c r="B6" s="313"/>
      <c r="C6" s="308"/>
      <c r="D6" s="308"/>
      <c r="E6" s="315"/>
      <c r="F6" s="308"/>
      <c r="G6" s="354"/>
      <c r="H6" s="308"/>
      <c r="I6" s="308"/>
      <c r="J6" s="308"/>
      <c r="K6" s="308"/>
      <c r="L6" s="308"/>
      <c r="N6" s="308"/>
      <c r="O6" s="308"/>
    </row>
    <row r="7" spans="1:78" hidden="1" x14ac:dyDescent="0.2">
      <c r="A7" s="366" t="s">
        <v>52</v>
      </c>
      <c r="B7" s="313"/>
      <c r="C7" s="308"/>
      <c r="D7" s="308"/>
      <c r="E7" s="315"/>
      <c r="F7" s="308"/>
      <c r="G7" s="354"/>
      <c r="H7" s="308"/>
      <c r="I7" s="308"/>
      <c r="J7" s="308"/>
      <c r="K7" s="308"/>
      <c r="L7" s="308"/>
      <c r="N7" s="308"/>
      <c r="O7" s="308"/>
    </row>
    <row r="8" spans="1:78" x14ac:dyDescent="0.2">
      <c r="A8" s="366"/>
      <c r="B8" s="313"/>
      <c r="C8" s="308"/>
      <c r="D8" s="308"/>
      <c r="E8" s="315"/>
      <c r="F8" s="308"/>
      <c r="G8" s="354"/>
      <c r="H8" s="308"/>
      <c r="I8" s="308"/>
      <c r="J8" s="308"/>
      <c r="K8" s="308"/>
      <c r="L8" s="308"/>
      <c r="N8" s="308"/>
      <c r="O8" s="308"/>
    </row>
    <row r="9" spans="1:78" x14ac:dyDescent="0.2">
      <c r="A9" s="365" t="s">
        <v>170</v>
      </c>
      <c r="B9" s="373">
        <v>16170000</v>
      </c>
      <c r="C9" s="307" t="s">
        <v>172</v>
      </c>
      <c r="D9" s="308"/>
      <c r="E9" s="315"/>
      <c r="F9" s="308"/>
      <c r="G9" s="354"/>
      <c r="H9" s="308"/>
      <c r="I9" s="308"/>
      <c r="J9" s="308"/>
      <c r="K9" s="308"/>
      <c r="L9" s="308"/>
      <c r="N9" s="308"/>
      <c r="O9" s="308"/>
    </row>
    <row r="10" spans="1:78" x14ac:dyDescent="0.2">
      <c r="A10" s="365" t="s">
        <v>171</v>
      </c>
      <c r="B10" s="373">
        <v>14670000</v>
      </c>
      <c r="C10" s="307" t="s">
        <v>172</v>
      </c>
      <c r="D10" s="308"/>
      <c r="E10" s="315"/>
      <c r="F10" s="308"/>
      <c r="G10" s="354"/>
      <c r="H10" s="308"/>
      <c r="I10" s="308"/>
      <c r="J10" s="308"/>
      <c r="K10" s="308"/>
      <c r="L10" s="308"/>
      <c r="N10" s="308"/>
      <c r="O10" s="308"/>
    </row>
    <row r="11" spans="1:78" s="221" customFormat="1" x14ac:dyDescent="0.2">
      <c r="M11"/>
    </row>
    <row r="12" spans="1:78" s="318" customFormat="1" x14ac:dyDescent="0.2">
      <c r="A12" s="374"/>
      <c r="B12" s="319"/>
      <c r="E12" s="319"/>
      <c r="G12" s="356"/>
      <c r="H12" s="375"/>
      <c r="I12" s="322"/>
      <c r="J12" s="322"/>
      <c r="K12" s="375"/>
      <c r="M12"/>
    </row>
    <row r="13" spans="1:78" x14ac:dyDescent="0.2">
      <c r="A13" s="374"/>
      <c r="B13" s="316"/>
      <c r="C13" s="317"/>
      <c r="D13" s="318"/>
      <c r="E13" s="319" t="s">
        <v>56</v>
      </c>
      <c r="F13" s="318"/>
      <c r="G13" s="356"/>
      <c r="H13" s="320"/>
      <c r="I13" s="321"/>
      <c r="J13" s="321"/>
      <c r="K13" s="321" t="s">
        <v>50</v>
      </c>
    </row>
    <row r="14" spans="1:78" x14ac:dyDescent="0.2">
      <c r="A14" s="348"/>
      <c r="B14" s="316"/>
      <c r="C14" s="317"/>
      <c r="D14" s="317" t="s">
        <v>58</v>
      </c>
      <c r="E14" s="316" t="s">
        <v>59</v>
      </c>
      <c r="F14" s="318"/>
      <c r="G14" s="341"/>
      <c r="H14" s="321" t="s">
        <v>173</v>
      </c>
      <c r="I14" s="321" t="s">
        <v>173</v>
      </c>
      <c r="J14" s="321"/>
      <c r="K14" s="321" t="s">
        <v>76</v>
      </c>
      <c r="L14" s="321" t="s">
        <v>55</v>
      </c>
    </row>
    <row r="15" spans="1:78" ht="13.5" thickBot="1" x14ac:dyDescent="0.25">
      <c r="A15" s="382" t="s">
        <v>63</v>
      </c>
      <c r="B15" s="323" t="s">
        <v>64</v>
      </c>
      <c r="C15" s="324" t="s">
        <v>65</v>
      </c>
      <c r="D15" s="324" t="s">
        <v>66</v>
      </c>
      <c r="E15" s="323" t="s">
        <v>67</v>
      </c>
      <c r="F15" s="324" t="s">
        <v>68</v>
      </c>
      <c r="G15" s="357" t="s">
        <v>7</v>
      </c>
      <c r="H15" s="325" t="s">
        <v>174</v>
      </c>
      <c r="I15" s="325" t="s">
        <v>70</v>
      </c>
      <c r="J15" s="325"/>
      <c r="K15" s="325" t="s">
        <v>49</v>
      </c>
      <c r="L15" s="325" t="s">
        <v>71</v>
      </c>
    </row>
    <row r="16" spans="1:78" x14ac:dyDescent="0.2">
      <c r="A16" s="368" t="s">
        <v>26</v>
      </c>
      <c r="B16" s="319">
        <v>6321000</v>
      </c>
      <c r="C16" s="318"/>
      <c r="D16" s="326">
        <f>B9-B16</f>
        <v>9849000</v>
      </c>
      <c r="E16" s="319">
        <f>B16</f>
        <v>6321000</v>
      </c>
      <c r="F16" s="318">
        <v>21</v>
      </c>
      <c r="G16" s="358">
        <v>5.0000000000000001E-3</v>
      </c>
      <c r="H16" s="322">
        <f>D16*G16*F16/360</f>
        <v>2872.625</v>
      </c>
      <c r="I16" s="322"/>
      <c r="J16" s="322"/>
      <c r="K16" s="322">
        <f t="shared" ref="K16:K23" si="0">H16/1.47</f>
        <v>1954.1666666666667</v>
      </c>
      <c r="L16" s="321">
        <f>K16</f>
        <v>1954.1666666666667</v>
      </c>
      <c r="N16" s="318"/>
      <c r="O16" s="318"/>
      <c r="P16" s="318"/>
      <c r="Q16" s="318"/>
      <c r="R16" s="318"/>
      <c r="S16" s="318"/>
      <c r="T16" s="318"/>
      <c r="U16" s="318"/>
      <c r="V16" s="318"/>
      <c r="W16" s="318"/>
      <c r="X16" s="318"/>
      <c r="Y16" s="318"/>
      <c r="Z16" s="318"/>
      <c r="AA16" s="318"/>
      <c r="AB16" s="318"/>
      <c r="AC16" s="318"/>
      <c r="AD16" s="318"/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  <c r="BF16" s="318"/>
      <c r="BG16" s="318"/>
      <c r="BH16" s="318"/>
      <c r="BI16" s="318"/>
      <c r="BJ16" s="318"/>
      <c r="BK16" s="318"/>
      <c r="BL16" s="318"/>
      <c r="BM16" s="318"/>
      <c r="BN16" s="318"/>
      <c r="BO16" s="318"/>
      <c r="BP16" s="318"/>
      <c r="BQ16" s="318"/>
      <c r="BR16" s="318"/>
      <c r="BS16" s="318"/>
      <c r="BT16" s="318"/>
      <c r="BU16" s="318"/>
      <c r="BV16" s="318"/>
      <c r="BW16" s="318"/>
      <c r="BX16" s="318"/>
      <c r="BY16" s="318"/>
      <c r="BZ16" s="318"/>
    </row>
    <row r="17" spans="1:58" s="318" customFormat="1" x14ac:dyDescent="0.2">
      <c r="A17" s="369" t="s">
        <v>27</v>
      </c>
      <c r="B17" s="327">
        <v>1000000</v>
      </c>
      <c r="C17" s="328"/>
      <c r="D17" s="329">
        <f>D16-B17</f>
        <v>8849000</v>
      </c>
      <c r="E17" s="330">
        <f>B16+B17</f>
        <v>7321000</v>
      </c>
      <c r="F17" s="331">
        <v>9</v>
      </c>
      <c r="G17" s="359">
        <v>5.0000000000000001E-3</v>
      </c>
      <c r="H17" s="332">
        <f>D17*G17*F17/360</f>
        <v>1106.125</v>
      </c>
      <c r="I17" s="321"/>
      <c r="J17" s="321"/>
      <c r="K17" s="322">
        <f t="shared" si="0"/>
        <v>752.46598639455783</v>
      </c>
      <c r="L17" s="333">
        <f>K17</f>
        <v>752.46598639455783</v>
      </c>
      <c r="M17"/>
    </row>
    <row r="18" spans="1:58" x14ac:dyDescent="0.2">
      <c r="A18" s="347" t="s">
        <v>73</v>
      </c>
      <c r="B18" s="334"/>
      <c r="C18" s="335"/>
      <c r="D18" s="335"/>
      <c r="E18" s="334"/>
      <c r="F18" s="335">
        <f>SUM(F16:F17)</f>
        <v>30</v>
      </c>
      <c r="G18" s="360"/>
      <c r="H18" s="336">
        <f>SUM(H16:H17)</f>
        <v>3978.75</v>
      </c>
      <c r="I18" s="337"/>
      <c r="J18" s="337"/>
      <c r="K18" s="336">
        <f t="shared" si="0"/>
        <v>2706.6326530612246</v>
      </c>
      <c r="L18" s="336">
        <f>SUM(L16:L17)</f>
        <v>2706.6326530612246</v>
      </c>
      <c r="N18" s="310"/>
    </row>
    <row r="19" spans="1:58" x14ac:dyDescent="0.2">
      <c r="A19" s="370" t="s">
        <v>79</v>
      </c>
      <c r="B19" s="338">
        <v>0</v>
      </c>
      <c r="C19" s="339"/>
      <c r="D19" s="326">
        <f>D17</f>
        <v>8849000</v>
      </c>
      <c r="E19" s="319">
        <f>E17</f>
        <v>7321000</v>
      </c>
      <c r="F19" s="318">
        <v>11</v>
      </c>
      <c r="G19" s="358">
        <v>5.0000000000000001E-3</v>
      </c>
      <c r="H19" s="322">
        <f>D19*G19*F19/360</f>
        <v>1351.9305555555557</v>
      </c>
      <c r="I19" s="321"/>
      <c r="J19" s="321"/>
      <c r="K19" s="322">
        <f t="shared" si="0"/>
        <v>919.68065003779293</v>
      </c>
      <c r="L19" s="321">
        <f>K19</f>
        <v>919.68065003779293</v>
      </c>
    </row>
    <row r="20" spans="1:58" x14ac:dyDescent="0.2">
      <c r="A20" s="371" t="s">
        <v>80</v>
      </c>
      <c r="B20" s="327">
        <v>1000000</v>
      </c>
      <c r="C20" s="328"/>
      <c r="D20" s="329">
        <f>D19-B20</f>
        <v>7849000</v>
      </c>
      <c r="E20" s="330">
        <f>E19+B20</f>
        <v>8321000</v>
      </c>
      <c r="F20" s="331">
        <v>20</v>
      </c>
      <c r="G20" s="361">
        <v>5.0000000000000001E-3</v>
      </c>
      <c r="H20" s="340">
        <f>D20*G20*F20/360</f>
        <v>2180.2777777777778</v>
      </c>
      <c r="I20" s="333"/>
      <c r="J20" s="333"/>
      <c r="K20" s="340">
        <f t="shared" si="0"/>
        <v>1483.1821617535904</v>
      </c>
      <c r="L20" s="333">
        <f>K20</f>
        <v>1483.1821617535904</v>
      </c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8"/>
      <c r="AH20" s="318"/>
      <c r="AI20" s="318"/>
      <c r="AJ20" s="318"/>
      <c r="AK20" s="318"/>
      <c r="AL20" s="318"/>
      <c r="AM20" s="318"/>
      <c r="AN20" s="318"/>
      <c r="AO20" s="318"/>
      <c r="AP20" s="318"/>
      <c r="AQ20" s="318"/>
      <c r="AR20" s="318"/>
      <c r="AS20" s="318"/>
      <c r="AT20" s="318"/>
      <c r="AU20" s="318"/>
      <c r="AV20" s="318"/>
      <c r="AW20" s="318"/>
      <c r="AX20" s="318"/>
      <c r="AY20" s="318"/>
      <c r="AZ20" s="318"/>
      <c r="BA20" s="318"/>
      <c r="BB20" s="318"/>
      <c r="BC20" s="318"/>
      <c r="BD20" s="318"/>
      <c r="BE20" s="318"/>
      <c r="BF20" s="318"/>
    </row>
    <row r="21" spans="1:58" x14ac:dyDescent="0.2">
      <c r="A21" s="347" t="s">
        <v>82</v>
      </c>
      <c r="B21" s="334"/>
      <c r="C21" s="335"/>
      <c r="D21" s="335"/>
      <c r="E21" s="334"/>
      <c r="F21" s="335">
        <v>31</v>
      </c>
      <c r="G21" s="360"/>
      <c r="H21" s="336">
        <f>SUM(H19:H20)</f>
        <v>3532.2083333333335</v>
      </c>
      <c r="I21" s="337"/>
      <c r="J21" s="337"/>
      <c r="K21" s="336">
        <f t="shared" si="0"/>
        <v>2402.8628117913836</v>
      </c>
      <c r="L21" s="336">
        <f>SUM(L18:L20)</f>
        <v>5109.4954648526082</v>
      </c>
      <c r="N21" s="310"/>
    </row>
    <row r="22" spans="1:58" x14ac:dyDescent="0.2">
      <c r="A22" s="370" t="s">
        <v>87</v>
      </c>
      <c r="B22" s="338"/>
      <c r="C22" s="339"/>
      <c r="D22" s="326">
        <v>7849000</v>
      </c>
      <c r="E22" s="319">
        <v>8321000</v>
      </c>
      <c r="F22" s="318">
        <v>17</v>
      </c>
      <c r="G22" s="358">
        <v>5.0000000000000001E-3</v>
      </c>
      <c r="H22" s="322">
        <f>D22*G22*F22/360</f>
        <v>1853.2361111111111</v>
      </c>
      <c r="I22" s="321"/>
      <c r="J22" s="321"/>
      <c r="K22" s="322">
        <f t="shared" si="0"/>
        <v>1260.7048374905519</v>
      </c>
      <c r="L22" s="321">
        <f>K22</f>
        <v>1260.7048374905519</v>
      </c>
    </row>
    <row r="23" spans="1:58" x14ac:dyDescent="0.2">
      <c r="A23" s="370" t="s">
        <v>88</v>
      </c>
      <c r="B23" s="338">
        <v>2649000</v>
      </c>
      <c r="C23" s="339"/>
      <c r="D23" s="326">
        <f>D20-B23</f>
        <v>5200000</v>
      </c>
      <c r="E23" s="319">
        <f>E22+B23</f>
        <v>10970000</v>
      </c>
      <c r="F23" s="318">
        <v>13</v>
      </c>
      <c r="G23" s="358">
        <v>5.0000000000000001E-3</v>
      </c>
      <c r="H23" s="322">
        <f>D23*G23*F23/360</f>
        <v>938.88888888888891</v>
      </c>
      <c r="I23" s="321"/>
      <c r="J23" s="321"/>
      <c r="K23" s="322">
        <f t="shared" si="0"/>
        <v>638.69992441421016</v>
      </c>
      <c r="L23" s="321">
        <f>K23</f>
        <v>638.69992441421016</v>
      </c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318"/>
      <c r="Z23" s="318"/>
      <c r="AA23" s="318"/>
      <c r="AB23" s="318"/>
      <c r="AC23" s="318"/>
      <c r="AD23" s="318"/>
      <c r="AE23" s="318"/>
      <c r="AF23" s="318"/>
      <c r="AG23" s="318"/>
      <c r="AH23" s="318"/>
      <c r="AI23" s="318"/>
      <c r="AJ23" s="318"/>
      <c r="AK23" s="318"/>
      <c r="AL23" s="318"/>
      <c r="AM23" s="318"/>
      <c r="AN23" s="318"/>
      <c r="AO23" s="318"/>
      <c r="AP23" s="318"/>
      <c r="AQ23" s="318"/>
      <c r="AR23" s="318"/>
      <c r="AS23" s="318"/>
      <c r="AT23" s="318"/>
      <c r="AU23" s="318"/>
      <c r="AV23" s="318"/>
      <c r="AW23" s="318"/>
      <c r="AX23" s="318"/>
      <c r="AY23" s="318"/>
      <c r="AZ23" s="318"/>
      <c r="BA23" s="318"/>
      <c r="BB23" s="318"/>
      <c r="BC23" s="318"/>
      <c r="BD23" s="318"/>
      <c r="BE23" s="318"/>
      <c r="BF23" s="318"/>
    </row>
    <row r="24" spans="1:58" x14ac:dyDescent="0.2">
      <c r="A24" s="347" t="s">
        <v>84</v>
      </c>
      <c r="B24" s="334"/>
      <c r="C24" s="335"/>
      <c r="D24" s="335"/>
      <c r="E24" s="334"/>
      <c r="F24" s="335">
        <f>SUM(F22:F23)</f>
        <v>30</v>
      </c>
      <c r="G24" s="360"/>
      <c r="H24" s="336">
        <f>SUM(H22:H23)</f>
        <v>2792.125</v>
      </c>
      <c r="I24" s="336">
        <f>(H18+H21+H24)</f>
        <v>10303.083333333334</v>
      </c>
      <c r="J24" s="336"/>
      <c r="K24" s="336">
        <f>SUM(K22:K23)</f>
        <v>1899.4047619047619</v>
      </c>
      <c r="L24" s="336">
        <f>SUM(L21:L23)</f>
        <v>7008.9002267573696</v>
      </c>
      <c r="N24" s="310"/>
    </row>
    <row r="25" spans="1:58" x14ac:dyDescent="0.2">
      <c r="A25" s="350" t="s">
        <v>166</v>
      </c>
      <c r="B25" s="338"/>
      <c r="C25" s="339"/>
      <c r="D25" s="326"/>
      <c r="E25" s="319"/>
      <c r="F25" s="318"/>
      <c r="G25" s="341"/>
      <c r="H25" s="322"/>
      <c r="I25" s="336">
        <f>-I24*0.1</f>
        <v>-1030.3083333333334</v>
      </c>
      <c r="J25" s="321"/>
      <c r="K25" s="322"/>
      <c r="L25" s="345"/>
      <c r="N25" s="310"/>
    </row>
    <row r="26" spans="1:58" x14ac:dyDescent="0.2">
      <c r="A26" s="350" t="s">
        <v>168</v>
      </c>
      <c r="B26" s="338"/>
      <c r="C26" s="339"/>
      <c r="D26" s="326"/>
      <c r="E26" s="319"/>
      <c r="F26" s="318"/>
      <c r="G26" s="341"/>
      <c r="H26" s="322"/>
      <c r="I26" s="321">
        <f>SUM(I24:I25)</f>
        <v>9272.7750000000015</v>
      </c>
      <c r="J26" s="321"/>
      <c r="K26" s="321"/>
      <c r="L26" s="321"/>
      <c r="N26" s="310"/>
    </row>
    <row r="27" spans="1:58" s="318" customFormat="1" x14ac:dyDescent="0.2">
      <c r="A27" s="380"/>
      <c r="B27" s="338"/>
      <c r="C27" s="339"/>
      <c r="D27" s="326"/>
      <c r="E27" s="319"/>
      <c r="G27" s="341"/>
      <c r="H27" s="322"/>
      <c r="I27" s="321"/>
      <c r="J27" s="321"/>
      <c r="K27" s="322"/>
      <c r="L27" s="321"/>
      <c r="M27"/>
    </row>
    <row r="28" spans="1:58" x14ac:dyDescent="0.2">
      <c r="A28" s="376"/>
      <c r="B28" s="377"/>
      <c r="C28" s="378"/>
      <c r="D28" s="378"/>
      <c r="E28" s="377"/>
      <c r="F28" s="378"/>
      <c r="G28" s="379"/>
      <c r="H28" s="333"/>
      <c r="I28" s="333"/>
      <c r="J28" s="333"/>
      <c r="K28" s="333"/>
      <c r="L28" s="333"/>
    </row>
    <row r="29" spans="1:58" x14ac:dyDescent="0.2">
      <c r="A29" s="370" t="s">
        <v>89</v>
      </c>
      <c r="B29" s="338"/>
      <c r="C29" s="339"/>
      <c r="D29" s="326">
        <f>D23</f>
        <v>5200000</v>
      </c>
      <c r="E29" s="319">
        <f>E23</f>
        <v>10970000</v>
      </c>
      <c r="F29" s="318">
        <v>27</v>
      </c>
      <c r="G29" s="358">
        <v>5.0000000000000001E-3</v>
      </c>
      <c r="H29" s="322">
        <f>D29*G29*F29/360</f>
        <v>1950</v>
      </c>
      <c r="I29" s="321"/>
      <c r="J29" s="321"/>
      <c r="K29" s="322">
        <f>H29/1.47</f>
        <v>1326.5306122448981</v>
      </c>
      <c r="L29" s="321">
        <f>K29</f>
        <v>1326.5306122448981</v>
      </c>
    </row>
    <row r="30" spans="1:58" x14ac:dyDescent="0.2">
      <c r="A30" s="370" t="s">
        <v>90</v>
      </c>
      <c r="B30" s="338">
        <v>1000000</v>
      </c>
      <c r="C30" s="339"/>
      <c r="D30" s="326">
        <f>D29-B30</f>
        <v>4200000</v>
      </c>
      <c r="E30" s="319">
        <f>E29+B30</f>
        <v>11970000</v>
      </c>
      <c r="F30" s="318">
        <v>4</v>
      </c>
      <c r="G30" s="358">
        <v>5.0000000000000001E-3</v>
      </c>
      <c r="H30" s="322">
        <f>D30*G30*F30/360</f>
        <v>233.33333333333334</v>
      </c>
      <c r="I30" s="321"/>
      <c r="J30" s="321"/>
      <c r="K30" s="322">
        <f>H30/1.47</f>
        <v>158.73015873015873</v>
      </c>
      <c r="L30" s="321">
        <f>K30</f>
        <v>158.73015873015873</v>
      </c>
    </row>
    <row r="31" spans="1:58" x14ac:dyDescent="0.2">
      <c r="A31" s="347" t="s">
        <v>92</v>
      </c>
      <c r="B31" s="334"/>
      <c r="C31" s="335"/>
      <c r="D31" s="335"/>
      <c r="E31" s="334"/>
      <c r="F31" s="335">
        <f>SUM(F29:F30)</f>
        <v>31</v>
      </c>
      <c r="G31" s="360"/>
      <c r="H31" s="336">
        <f>SUM(H29:H30)</f>
        <v>2183.3333333333335</v>
      </c>
      <c r="I31" s="336"/>
      <c r="J31" s="336"/>
      <c r="K31" s="336">
        <f>SUM(K29:K30)</f>
        <v>1485.2607709750569</v>
      </c>
      <c r="L31" s="336">
        <f>SUM(L29:L30)</f>
        <v>1485.2607709750569</v>
      </c>
    </row>
    <row r="32" spans="1:58" x14ac:dyDescent="0.2">
      <c r="A32" s="370" t="s">
        <v>93</v>
      </c>
      <c r="B32" s="338"/>
      <c r="C32" s="339"/>
      <c r="D32" s="326">
        <f>D30</f>
        <v>4200000</v>
      </c>
      <c r="E32" s="319">
        <f>E30</f>
        <v>11970000</v>
      </c>
      <c r="F32" s="318">
        <v>30</v>
      </c>
      <c r="G32" s="358">
        <v>5.0000000000000001E-3</v>
      </c>
      <c r="H32" s="322">
        <f>D32*G32*F32/360</f>
        <v>1750</v>
      </c>
      <c r="I32" s="321"/>
      <c r="J32" s="321"/>
      <c r="K32" s="322">
        <f>H32/1.47</f>
        <v>1190.4761904761906</v>
      </c>
      <c r="L32" s="321">
        <f>K32</f>
        <v>1190.4761904761906</v>
      </c>
    </row>
    <row r="33" spans="1:13" x14ac:dyDescent="0.2">
      <c r="A33" s="347" t="s">
        <v>95</v>
      </c>
      <c r="B33" s="334"/>
      <c r="C33" s="335"/>
      <c r="D33" s="335"/>
      <c r="E33" s="334"/>
      <c r="F33" s="335">
        <f>SUM(F32)</f>
        <v>30</v>
      </c>
      <c r="G33" s="360"/>
      <c r="H33" s="336">
        <f>SUM(H32)</f>
        <v>1750</v>
      </c>
      <c r="I33" s="336"/>
      <c r="J33" s="336"/>
      <c r="K33" s="336">
        <f>SUM(K32)</f>
        <v>1190.4761904761906</v>
      </c>
      <c r="L33" s="336">
        <f>SUM(L31:L32)</f>
        <v>2675.7369614512472</v>
      </c>
    </row>
    <row r="34" spans="1:13" x14ac:dyDescent="0.2">
      <c r="A34" s="383" t="s">
        <v>96</v>
      </c>
      <c r="B34" s="338"/>
      <c r="D34" s="326">
        <f>D32</f>
        <v>4200000</v>
      </c>
      <c r="E34" s="319">
        <f>E32</f>
        <v>11970000</v>
      </c>
      <c r="F34" s="342">
        <v>3</v>
      </c>
      <c r="G34" s="358">
        <v>5.0000000000000001E-3</v>
      </c>
      <c r="H34" s="322">
        <f>D34*G34*F34/360</f>
        <v>175</v>
      </c>
      <c r="I34" s="321"/>
      <c r="J34" s="321"/>
      <c r="K34" s="322">
        <f>H34/1.47</f>
        <v>119.04761904761905</v>
      </c>
      <c r="L34" s="321">
        <f>K34</f>
        <v>119.04761904761905</v>
      </c>
    </row>
    <row r="35" spans="1:13" x14ac:dyDescent="0.2">
      <c r="A35" s="374" t="s">
        <v>97</v>
      </c>
      <c r="B35" s="338">
        <v>1700000</v>
      </c>
      <c r="C35" s="339"/>
      <c r="D35" s="326">
        <f>D34-B35</f>
        <v>2500000</v>
      </c>
      <c r="E35" s="319">
        <f>E34+B35</f>
        <v>13670000</v>
      </c>
      <c r="F35" s="342">
        <v>17</v>
      </c>
      <c r="G35" s="358">
        <v>5.0000000000000001E-3</v>
      </c>
      <c r="H35" s="322">
        <f>D35*G35*F35/360</f>
        <v>590.27777777777783</v>
      </c>
      <c r="I35" s="321"/>
      <c r="J35" s="321"/>
      <c r="K35" s="322">
        <f>H35/1.47</f>
        <v>401.54950869236586</v>
      </c>
      <c r="L35" s="321">
        <f>K35</f>
        <v>401.54950869236586</v>
      </c>
    </row>
    <row r="36" spans="1:13" x14ac:dyDescent="0.2">
      <c r="A36" s="374" t="s">
        <v>98</v>
      </c>
      <c r="B36" s="338">
        <v>1000000</v>
      </c>
      <c r="C36" s="339"/>
      <c r="D36" s="326">
        <f>D35-B36</f>
        <v>1500000</v>
      </c>
      <c r="E36" s="319">
        <f>E35+B36</f>
        <v>14670000</v>
      </c>
      <c r="F36" s="343">
        <v>11</v>
      </c>
      <c r="G36" s="358">
        <v>5.0000000000000001E-3</v>
      </c>
      <c r="H36" s="322">
        <f>D36*G36*F36/360</f>
        <v>229.16666666666666</v>
      </c>
      <c r="I36" s="321"/>
      <c r="J36" s="321"/>
      <c r="K36" s="322">
        <f>H36/1.47</f>
        <v>155.89569160997732</v>
      </c>
      <c r="L36" s="321">
        <f>K36</f>
        <v>155.89569160997732</v>
      </c>
    </row>
    <row r="37" spans="1:13" x14ac:dyDescent="0.2">
      <c r="A37" s="347" t="s">
        <v>100</v>
      </c>
      <c r="B37" s="334"/>
      <c r="C37" s="335"/>
      <c r="D37" s="335"/>
      <c r="E37" s="334"/>
      <c r="F37" s="344">
        <f>SUM(F34:F36)</f>
        <v>31</v>
      </c>
      <c r="G37" s="360"/>
      <c r="H37" s="336">
        <f>SUM(H34:H36)</f>
        <v>994.44444444444446</v>
      </c>
      <c r="I37" s="336">
        <f>H31+H33+H37</f>
        <v>4927.7777777777783</v>
      </c>
      <c r="J37" s="336"/>
      <c r="K37" s="336">
        <f>SUM(K34:K36)</f>
        <v>676.49281934996225</v>
      </c>
      <c r="L37" s="336">
        <f>SUM(L33:L36)</f>
        <v>3352.2297808012095</v>
      </c>
    </row>
    <row r="38" spans="1:13" x14ac:dyDescent="0.2">
      <c r="A38" s="381" t="s">
        <v>166</v>
      </c>
      <c r="B38" s="338"/>
      <c r="C38" s="339"/>
      <c r="D38" s="326"/>
      <c r="E38" s="319"/>
      <c r="F38" s="318"/>
      <c r="G38" s="341"/>
      <c r="H38" s="322"/>
      <c r="I38" s="336">
        <f>-I37*0.1</f>
        <v>-492.77777777777783</v>
      </c>
      <c r="J38" s="321"/>
      <c r="K38" s="322"/>
      <c r="L38" s="345"/>
    </row>
    <row r="39" spans="1:13" s="318" customFormat="1" x14ac:dyDescent="0.2">
      <c r="A39" s="381" t="s">
        <v>167</v>
      </c>
      <c r="B39" s="338"/>
      <c r="C39" s="339"/>
      <c r="D39" s="326"/>
      <c r="E39" s="319"/>
      <c r="G39" s="341"/>
      <c r="H39" s="322"/>
      <c r="I39" s="321">
        <f>SUM(I37:I38)</f>
        <v>4435</v>
      </c>
      <c r="J39" s="321"/>
      <c r="K39" s="321"/>
      <c r="M39"/>
    </row>
    <row r="40" spans="1:13" x14ac:dyDescent="0.2">
      <c r="A40" s="348"/>
      <c r="B40" s="316"/>
      <c r="C40" s="317"/>
      <c r="D40" s="317"/>
      <c r="E40" s="316"/>
      <c r="F40" s="317"/>
      <c r="G40" s="362"/>
      <c r="H40" s="321"/>
      <c r="I40" s="321"/>
      <c r="J40" s="321"/>
      <c r="K40" s="321"/>
      <c r="L40" s="321"/>
    </row>
    <row r="41" spans="1:13" ht="13.5" thickBot="1" x14ac:dyDescent="0.25">
      <c r="A41" s="351" t="s">
        <v>175</v>
      </c>
      <c r="B41" s="338"/>
      <c r="C41" s="339"/>
      <c r="D41" s="326"/>
      <c r="E41" s="319"/>
      <c r="F41" s="318"/>
      <c r="G41" s="358"/>
      <c r="H41" s="322"/>
      <c r="L41" s="384">
        <f>L24+L37</f>
        <v>10361.130007558579</v>
      </c>
    </row>
    <row r="42" spans="1:13" ht="13.5" thickTop="1" x14ac:dyDescent="0.2">
      <c r="A42" s="349"/>
      <c r="B42" s="338"/>
      <c r="C42" s="339"/>
      <c r="D42" s="326"/>
      <c r="E42" s="319"/>
      <c r="F42" s="318"/>
      <c r="G42" s="358"/>
      <c r="H42" s="322"/>
      <c r="I42" s="321"/>
      <c r="J42" s="321"/>
      <c r="K42" s="321"/>
      <c r="L42" s="321"/>
    </row>
    <row r="43" spans="1:13" x14ac:dyDescent="0.2">
      <c r="A43" s="351" t="s">
        <v>169</v>
      </c>
      <c r="B43" s="316"/>
      <c r="C43" s="317"/>
      <c r="D43" s="317"/>
      <c r="E43" s="316"/>
      <c r="F43" s="317"/>
      <c r="G43" s="362"/>
      <c r="H43" s="321"/>
      <c r="I43" s="321"/>
      <c r="J43" s="321"/>
      <c r="K43" s="321"/>
      <c r="L43" s="321"/>
    </row>
    <row r="44" spans="1:13" x14ac:dyDescent="0.2">
      <c r="A44" s="350"/>
      <c r="B44" s="338"/>
      <c r="C44" s="339"/>
      <c r="D44" s="326"/>
      <c r="E44" s="319"/>
      <c r="F44" s="318"/>
      <c r="G44" s="341"/>
      <c r="H44" s="322"/>
      <c r="I44" s="321"/>
      <c r="J44" s="321"/>
      <c r="K44" s="322"/>
      <c r="L44" s="321"/>
    </row>
    <row r="45" spans="1:13" s="346" customFormat="1" x14ac:dyDescent="0.2">
      <c r="A45" s="367"/>
      <c r="G45" s="363"/>
      <c r="M45"/>
    </row>
    <row r="46" spans="1:13" s="346" customFormat="1" x14ac:dyDescent="0.2">
      <c r="A46" s="367"/>
      <c r="G46" s="363"/>
      <c r="M46"/>
    </row>
    <row r="47" spans="1:13" s="346" customFormat="1" x14ac:dyDescent="0.2">
      <c r="A47" s="367"/>
      <c r="G47" s="363"/>
      <c r="M47"/>
    </row>
    <row r="48" spans="1:13" s="346" customFormat="1" x14ac:dyDescent="0.2">
      <c r="A48" s="367"/>
      <c r="G48" s="363"/>
      <c r="M48"/>
    </row>
    <row r="49" spans="1:13" s="346" customFormat="1" x14ac:dyDescent="0.2">
      <c r="A49" s="367"/>
      <c r="G49" s="363"/>
      <c r="M49"/>
    </row>
    <row r="50" spans="1:13" ht="13.5" customHeight="1" x14ac:dyDescent="0.2">
      <c r="A50" s="372" t="str">
        <f ca="1">CELL("FILENAME")</f>
        <v>I:\UNMANAGD\CQM\[Ice Dri1.xls]Can $ Only-Bankruptcy</v>
      </c>
      <c r="B50" s="338"/>
      <c r="C50" s="339"/>
      <c r="D50" s="326"/>
      <c r="E50" s="319"/>
      <c r="F50" s="318"/>
      <c r="G50" s="341"/>
      <c r="H50" s="322"/>
      <c r="I50" s="321"/>
      <c r="J50" s="321"/>
      <c r="K50" s="322"/>
      <c r="L50" s="321"/>
    </row>
    <row r="51" spans="1:13" customFormat="1" ht="25.5" customHeight="1" x14ac:dyDescent="0.2"/>
    <row r="52" spans="1:13" customFormat="1" x14ac:dyDescent="0.2"/>
    <row r="53" spans="1:13" customFormat="1" x14ac:dyDescent="0.2"/>
    <row r="54" spans="1:13" customFormat="1" x14ac:dyDescent="0.2"/>
    <row r="55" spans="1:13" customFormat="1" x14ac:dyDescent="0.2"/>
    <row r="56" spans="1:13" customFormat="1" x14ac:dyDescent="0.2"/>
    <row r="57" spans="1:13" customFormat="1" x14ac:dyDescent="0.2"/>
    <row r="58" spans="1:13" customFormat="1" x14ac:dyDescent="0.2"/>
    <row r="59" spans="1:13" customFormat="1" x14ac:dyDescent="0.2"/>
    <row r="60" spans="1:13" customFormat="1" x14ac:dyDescent="0.2"/>
    <row r="61" spans="1:13" customFormat="1" x14ac:dyDescent="0.2"/>
    <row r="62" spans="1:13" customFormat="1" x14ac:dyDescent="0.2"/>
    <row r="63" spans="1:13" customFormat="1" x14ac:dyDescent="0.2"/>
    <row r="64" spans="1:13" customFormat="1" x14ac:dyDescent="0.2"/>
    <row r="65" customFormat="1" x14ac:dyDescent="0.2"/>
    <row r="66" customFormat="1" x14ac:dyDescent="0.2"/>
  </sheetData>
  <pageMargins left="0.75" right="0.75" top="0.75" bottom="0.75" header="0.5" footer="0.5"/>
  <pageSetup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80"/>
  <sheetViews>
    <sheetView showGridLines="0" topLeftCell="C2" workbookViewId="0">
      <selection activeCell="C14" sqref="C14"/>
    </sheetView>
  </sheetViews>
  <sheetFormatPr defaultRowHeight="12.75" x14ac:dyDescent="0.2"/>
  <cols>
    <col min="1" max="1" width="31.42578125" style="104" customWidth="1"/>
    <col min="2" max="2" width="18.42578125" style="140" customWidth="1"/>
    <col min="3" max="3" width="12.7109375" style="104" customWidth="1"/>
    <col min="4" max="4" width="19.28515625" style="104" customWidth="1"/>
    <col min="5" max="5" width="15.7109375" style="140" customWidth="1"/>
    <col min="6" max="6" width="2.7109375" style="104" customWidth="1"/>
    <col min="7" max="7" width="6" style="104" customWidth="1"/>
    <col min="8" max="8" width="2.7109375" style="104" customWidth="1"/>
    <col min="9" max="9" width="8.5703125" style="104" customWidth="1"/>
    <col min="10" max="10" width="1.85546875" style="104" customWidth="1"/>
    <col min="11" max="11" width="12.7109375" style="104" customWidth="1"/>
    <col min="12" max="12" width="1.85546875" style="104" customWidth="1"/>
    <col min="13" max="13" width="9.5703125" style="104" customWidth="1"/>
    <col min="14" max="14" width="2.85546875" style="104" customWidth="1"/>
    <col min="15" max="15" width="11.28515625" style="104" customWidth="1"/>
    <col min="16" max="16" width="2.7109375" style="104" customWidth="1"/>
    <col min="17" max="17" width="12.5703125" style="104" customWidth="1"/>
    <col min="18" max="18" width="13.28515625" style="102" customWidth="1"/>
    <col min="19" max="16384" width="9.140625" style="104"/>
  </cols>
  <sheetData>
    <row r="1" spans="1:83" x14ac:dyDescent="0.2">
      <c r="A1" s="109" t="s">
        <v>74</v>
      </c>
      <c r="B1" s="136"/>
      <c r="C1" s="103"/>
      <c r="I1" s="101"/>
      <c r="R1" s="104"/>
    </row>
    <row r="2" spans="1:83" x14ac:dyDescent="0.2">
      <c r="A2" s="190" t="s">
        <v>51</v>
      </c>
      <c r="B2" s="179"/>
      <c r="C2" s="178"/>
      <c r="D2" s="180"/>
      <c r="E2" s="181"/>
      <c r="F2" s="180"/>
      <c r="G2" s="180"/>
      <c r="H2" s="180"/>
      <c r="I2" s="182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</row>
    <row r="3" spans="1:83" x14ac:dyDescent="0.2">
      <c r="A3" s="191" t="s">
        <v>83</v>
      </c>
      <c r="B3" s="179"/>
      <c r="C3" s="180"/>
      <c r="D3" s="180"/>
      <c r="E3" s="181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</row>
    <row r="4" spans="1:83" x14ac:dyDescent="0.2">
      <c r="A4" s="191" t="s">
        <v>75</v>
      </c>
      <c r="B4" s="179"/>
      <c r="C4" s="180"/>
      <c r="D4" s="180"/>
      <c r="E4" s="181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</row>
    <row r="5" spans="1:83" hidden="1" x14ac:dyDescent="0.2">
      <c r="A5" s="183" t="s">
        <v>52</v>
      </c>
      <c r="B5" s="179"/>
      <c r="C5" s="180"/>
      <c r="D5" s="180"/>
      <c r="E5" s="181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</row>
    <row r="6" spans="1:83" x14ac:dyDescent="0.2">
      <c r="A6" s="184" t="s">
        <v>53</v>
      </c>
      <c r="B6" s="179"/>
      <c r="C6" s="180"/>
      <c r="D6" s="180"/>
      <c r="E6" s="181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</row>
    <row r="7" spans="1:83" x14ac:dyDescent="0.2">
      <c r="A7" s="184"/>
      <c r="B7" s="179"/>
      <c r="C7" s="180"/>
      <c r="D7" s="180"/>
      <c r="E7" s="181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</row>
    <row r="8" spans="1:83" x14ac:dyDescent="0.2">
      <c r="A8" s="180"/>
      <c r="B8" s="179"/>
      <c r="C8" s="180"/>
      <c r="D8" s="180"/>
      <c r="E8" s="181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</row>
    <row r="9" spans="1:83" ht="13.5" thickBot="1" x14ac:dyDescent="0.25">
      <c r="B9" s="136"/>
      <c r="D9" s="103"/>
      <c r="E9" s="136" t="s">
        <v>54</v>
      </c>
      <c r="K9" s="115">
        <v>16170000</v>
      </c>
      <c r="L9" s="115"/>
      <c r="M9" s="115"/>
      <c r="N9" s="101"/>
    </row>
    <row r="10" spans="1:83" x14ac:dyDescent="0.2">
      <c r="A10" s="155"/>
      <c r="B10" s="156"/>
      <c r="C10" s="157"/>
      <c r="D10" s="158"/>
      <c r="E10" s="159"/>
      <c r="F10" s="158"/>
      <c r="G10" s="158"/>
      <c r="H10" s="158"/>
      <c r="I10" s="160"/>
      <c r="J10" s="158"/>
      <c r="K10" s="161"/>
      <c r="L10" s="161"/>
      <c r="M10" s="161"/>
      <c r="N10" s="162"/>
      <c r="O10" s="163"/>
      <c r="P10" s="163"/>
      <c r="Q10" s="164" t="s">
        <v>55</v>
      </c>
      <c r="R10" s="165"/>
    </row>
    <row r="11" spans="1:83" x14ac:dyDescent="0.2">
      <c r="A11" s="166"/>
      <c r="B11" s="144"/>
      <c r="C11" s="143"/>
      <c r="D11" s="119"/>
      <c r="E11" s="141" t="s">
        <v>56</v>
      </c>
      <c r="F11" s="119"/>
      <c r="G11" s="119"/>
      <c r="H11" s="119"/>
      <c r="I11" s="167"/>
      <c r="J11" s="119"/>
      <c r="K11" s="168"/>
      <c r="L11" s="168"/>
      <c r="M11" s="135" t="s">
        <v>77</v>
      </c>
      <c r="N11" s="126"/>
      <c r="O11" s="126"/>
      <c r="P11" s="118"/>
      <c r="Q11" s="143" t="s">
        <v>57</v>
      </c>
      <c r="R11" s="169"/>
    </row>
    <row r="12" spans="1:83" x14ac:dyDescent="0.2">
      <c r="A12" s="170"/>
      <c r="B12" s="144"/>
      <c r="C12" s="143"/>
      <c r="D12" s="143" t="s">
        <v>58</v>
      </c>
      <c r="E12" s="144" t="s">
        <v>59</v>
      </c>
      <c r="F12" s="143"/>
      <c r="G12" s="119"/>
      <c r="H12" s="119"/>
      <c r="I12" s="119"/>
      <c r="J12" s="119"/>
      <c r="K12" s="126"/>
      <c r="L12" s="126"/>
      <c r="M12" s="135" t="s">
        <v>78</v>
      </c>
      <c r="N12" s="126"/>
      <c r="O12" s="118" t="s">
        <v>60</v>
      </c>
      <c r="P12" s="118"/>
      <c r="Q12" s="118" t="s">
        <v>61</v>
      </c>
      <c r="R12" s="171" t="s">
        <v>62</v>
      </c>
    </row>
    <row r="13" spans="1:83" ht="13.5" thickBot="1" x14ac:dyDescent="0.25">
      <c r="A13" s="172" t="s">
        <v>63</v>
      </c>
      <c r="B13" s="173" t="s">
        <v>64</v>
      </c>
      <c r="C13" s="174" t="s">
        <v>65</v>
      </c>
      <c r="D13" s="174" t="s">
        <v>66</v>
      </c>
      <c r="E13" s="173" t="s">
        <v>67</v>
      </c>
      <c r="F13" s="174"/>
      <c r="G13" s="174" t="s">
        <v>68</v>
      </c>
      <c r="H13" s="174"/>
      <c r="I13" s="174" t="s">
        <v>7</v>
      </c>
      <c r="J13" s="175"/>
      <c r="K13" s="176" t="s">
        <v>69</v>
      </c>
      <c r="L13" s="176"/>
      <c r="M13" s="176" t="s">
        <v>50</v>
      </c>
      <c r="N13" s="176"/>
      <c r="O13" s="176" t="s">
        <v>70</v>
      </c>
      <c r="P13" s="176"/>
      <c r="Q13" s="176" t="s">
        <v>71</v>
      </c>
      <c r="R13" s="177" t="s">
        <v>72</v>
      </c>
    </row>
    <row r="14" spans="1:83" x14ac:dyDescent="0.2">
      <c r="A14" s="149" t="s">
        <v>26</v>
      </c>
      <c r="B14" s="150">
        <v>6321000</v>
      </c>
      <c r="C14" s="151"/>
      <c r="D14" s="152">
        <f>K9-B14</f>
        <v>9849000</v>
      </c>
      <c r="E14" s="152">
        <f>B14</f>
        <v>6321000</v>
      </c>
      <c r="F14" s="119"/>
      <c r="G14" s="119">
        <v>21</v>
      </c>
      <c r="H14" s="119"/>
      <c r="I14" s="153">
        <v>3.5999999999999999E-3</v>
      </c>
      <c r="J14" s="119"/>
      <c r="K14" s="126">
        <f>D14*I14*G14/360</f>
        <v>2068.29</v>
      </c>
      <c r="L14" s="126"/>
      <c r="M14" s="126">
        <f t="shared" ref="M14:M21" si="0">K14/1.47</f>
        <v>1407</v>
      </c>
      <c r="N14" s="126"/>
      <c r="O14" s="126"/>
      <c r="P14" s="126"/>
      <c r="Q14" s="118">
        <f>M14</f>
        <v>1407</v>
      </c>
      <c r="R14" s="154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</row>
    <row r="15" spans="1:83" s="119" customFormat="1" x14ac:dyDescent="0.2">
      <c r="A15" s="145" t="s">
        <v>27</v>
      </c>
      <c r="B15" s="146">
        <v>1000000</v>
      </c>
      <c r="C15" s="147"/>
      <c r="D15" s="148">
        <f>D14-B15</f>
        <v>8849000</v>
      </c>
      <c r="E15" s="152">
        <f>B14+B15</f>
        <v>7321000</v>
      </c>
      <c r="F15" s="148"/>
      <c r="G15" s="106">
        <v>9</v>
      </c>
      <c r="H15" s="106"/>
      <c r="I15" s="116">
        <v>3.5999999999999999E-3</v>
      </c>
      <c r="J15" s="106"/>
      <c r="K15" s="105">
        <f>D15*I15*G15/360</f>
        <v>796.41</v>
      </c>
      <c r="L15" s="105"/>
      <c r="M15" s="126">
        <f t="shared" si="0"/>
        <v>541.77551020408157</v>
      </c>
      <c r="N15" s="106"/>
      <c r="O15" s="118"/>
      <c r="P15" s="106"/>
      <c r="Q15" s="107">
        <f>M15</f>
        <v>541.77551020408157</v>
      </c>
      <c r="R15" s="112"/>
    </row>
    <row r="16" spans="1:83" x14ac:dyDescent="0.2">
      <c r="A16" s="120" t="s">
        <v>73</v>
      </c>
      <c r="B16" s="137"/>
      <c r="C16" s="120"/>
      <c r="D16" s="120"/>
      <c r="E16" s="137"/>
      <c r="F16" s="120"/>
      <c r="G16" s="120">
        <f>SUM(G14:G15)</f>
        <v>30</v>
      </c>
      <c r="H16" s="120"/>
      <c r="I16" s="120"/>
      <c r="J16" s="120"/>
      <c r="K16" s="117">
        <f>SUM(K14:K15)</f>
        <v>2864.7</v>
      </c>
      <c r="L16" s="117"/>
      <c r="M16" s="185">
        <f t="shared" si="0"/>
        <v>1948.7755102040815</v>
      </c>
      <c r="N16" s="117"/>
      <c r="O16" s="108"/>
      <c r="P16" s="108"/>
      <c r="Q16" s="117">
        <f>SUM(Q14:Q15)</f>
        <v>1948.7755102040815</v>
      </c>
      <c r="R16" s="108"/>
      <c r="S16" s="103"/>
    </row>
    <row r="17" spans="1:19" x14ac:dyDescent="0.2">
      <c r="A17" s="192" t="s">
        <v>79</v>
      </c>
      <c r="B17" s="138">
        <v>0</v>
      </c>
      <c r="C17" s="122"/>
      <c r="D17" s="123">
        <f>D15</f>
        <v>8849000</v>
      </c>
      <c r="E17" s="152">
        <f>E15</f>
        <v>7321000</v>
      </c>
      <c r="F17" s="123"/>
      <c r="G17" s="124">
        <v>11</v>
      </c>
      <c r="H17" s="124"/>
      <c r="I17" s="153">
        <v>3.5999999999999999E-3</v>
      </c>
      <c r="J17" s="119"/>
      <c r="K17" s="126">
        <f>D17*I17*G17/360</f>
        <v>973.38999999999987</v>
      </c>
      <c r="L17" s="126"/>
      <c r="M17" s="126">
        <f t="shared" si="0"/>
        <v>662.17006802721085</v>
      </c>
      <c r="N17" s="118"/>
      <c r="O17" s="118"/>
      <c r="P17" s="118"/>
      <c r="Q17" s="118">
        <f>M17</f>
        <v>662.17006802721085</v>
      </c>
      <c r="R17" s="110"/>
      <c r="S17" s="103"/>
    </row>
    <row r="18" spans="1:19" x14ac:dyDescent="0.2">
      <c r="A18" s="193" t="s">
        <v>80</v>
      </c>
      <c r="B18" s="146">
        <v>1000000</v>
      </c>
      <c r="C18" s="147"/>
      <c r="D18" s="148">
        <f>D17-B18</f>
        <v>7849000</v>
      </c>
      <c r="E18" s="152">
        <f>E17+B18</f>
        <v>8321000</v>
      </c>
      <c r="F18" s="148"/>
      <c r="G18" s="194">
        <v>20</v>
      </c>
      <c r="H18" s="194"/>
      <c r="I18" s="195">
        <v>3.5999999999999999E-3</v>
      </c>
      <c r="J18" s="106"/>
      <c r="K18" s="196">
        <f>D18*I18*G18/360</f>
        <v>1569.8</v>
      </c>
      <c r="L18" s="196"/>
      <c r="M18" s="196">
        <f t="shared" si="0"/>
        <v>1067.8911564625851</v>
      </c>
      <c r="N18" s="107"/>
      <c r="O18" s="107"/>
      <c r="P18" s="107"/>
      <c r="Q18" s="107">
        <f>M18</f>
        <v>1067.8911564625851</v>
      </c>
      <c r="R18" s="197"/>
      <c r="S18" s="103"/>
    </row>
    <row r="19" spans="1:19" x14ac:dyDescent="0.2">
      <c r="A19" s="120" t="s">
        <v>82</v>
      </c>
      <c r="B19" s="137"/>
      <c r="C19" s="120"/>
      <c r="D19" s="120"/>
      <c r="E19" s="137"/>
      <c r="F19" s="120"/>
      <c r="G19" s="120">
        <v>31</v>
      </c>
      <c r="H19" s="120"/>
      <c r="I19" s="120"/>
      <c r="J19" s="120"/>
      <c r="K19" s="117">
        <f>SUM(K17:K18)</f>
        <v>2543.1899999999996</v>
      </c>
      <c r="L19" s="117"/>
      <c r="M19" s="185">
        <f t="shared" si="0"/>
        <v>1730.0612244897957</v>
      </c>
      <c r="N19" s="117"/>
      <c r="O19" s="108"/>
      <c r="P19" s="108"/>
      <c r="Q19" s="117">
        <f>SUM(Q16:Q18)</f>
        <v>3678.8367346938776</v>
      </c>
      <c r="R19" s="108"/>
      <c r="S19" s="103"/>
    </row>
    <row r="20" spans="1:19" x14ac:dyDescent="0.2">
      <c r="A20" s="192" t="s">
        <v>87</v>
      </c>
      <c r="B20" s="138"/>
      <c r="C20" s="122"/>
      <c r="D20" s="123">
        <v>7849000</v>
      </c>
      <c r="E20" s="152">
        <v>8321000</v>
      </c>
      <c r="F20" s="123"/>
      <c r="G20" s="124">
        <v>17</v>
      </c>
      <c r="H20" s="143"/>
      <c r="I20" s="153">
        <v>3.5999999999999999E-3</v>
      </c>
      <c r="J20" s="143"/>
      <c r="K20" s="126">
        <f>D20*I20*G20/360</f>
        <v>1334.33</v>
      </c>
      <c r="L20" s="118"/>
      <c r="M20" s="126">
        <f t="shared" si="0"/>
        <v>907.70748299319723</v>
      </c>
      <c r="N20" s="118"/>
      <c r="O20" s="198"/>
      <c r="P20" s="198"/>
      <c r="Q20" s="118">
        <f>M20</f>
        <v>907.70748299319723</v>
      </c>
      <c r="R20" s="198"/>
      <c r="S20" s="103"/>
    </row>
    <row r="21" spans="1:19" x14ac:dyDescent="0.2">
      <c r="A21" s="192" t="s">
        <v>88</v>
      </c>
      <c r="B21" s="138">
        <v>2649000</v>
      </c>
      <c r="C21" s="122"/>
      <c r="D21" s="123">
        <f>D18-B21</f>
        <v>5200000</v>
      </c>
      <c r="E21" s="152">
        <f>E20+B21</f>
        <v>10970000</v>
      </c>
      <c r="F21" s="123"/>
      <c r="G21" s="124">
        <v>13</v>
      </c>
      <c r="H21" s="199"/>
      <c r="I21" s="195">
        <v>3.5999999999999999E-3</v>
      </c>
      <c r="J21" s="199"/>
      <c r="K21" s="126">
        <f>D21*I21*G21/360</f>
        <v>676</v>
      </c>
      <c r="L21" s="107"/>
      <c r="M21" s="126">
        <f t="shared" si="0"/>
        <v>459.86394557823132</v>
      </c>
      <c r="N21" s="107"/>
      <c r="O21" s="112"/>
      <c r="P21" s="112"/>
      <c r="Q21" s="107">
        <f>M21</f>
        <v>459.86394557823132</v>
      </c>
      <c r="R21" s="112"/>
      <c r="S21" s="103"/>
    </row>
    <row r="22" spans="1:19" x14ac:dyDescent="0.2">
      <c r="A22" s="120" t="s">
        <v>84</v>
      </c>
      <c r="B22" s="137"/>
      <c r="C22" s="120"/>
      <c r="D22" s="120"/>
      <c r="E22" s="137"/>
      <c r="F22" s="120"/>
      <c r="G22" s="120">
        <f>SUM(G20:G21)</f>
        <v>30</v>
      </c>
      <c r="H22" s="120"/>
      <c r="I22" s="120"/>
      <c r="J22" s="120"/>
      <c r="K22" s="117">
        <f>SUM(K20:K21)</f>
        <v>2010.33</v>
      </c>
      <c r="L22" s="117"/>
      <c r="M22" s="200">
        <f>SUM(M20:M21)</f>
        <v>1367.5714285714284</v>
      </c>
      <c r="N22" s="117"/>
      <c r="O22" s="108"/>
      <c r="P22" s="108"/>
      <c r="Q22" s="117">
        <f>SUM(Q19:Q21)</f>
        <v>5046.408163265306</v>
      </c>
      <c r="R22" s="108"/>
      <c r="S22" s="103"/>
    </row>
    <row r="23" spans="1:19" x14ac:dyDescent="0.2">
      <c r="A23" s="151" t="s">
        <v>89</v>
      </c>
      <c r="B23" s="144"/>
      <c r="C23" s="143"/>
      <c r="D23" s="152">
        <f>D21</f>
        <v>5200000</v>
      </c>
      <c r="E23" s="152">
        <f>E21</f>
        <v>10970000</v>
      </c>
      <c r="F23" s="151"/>
      <c r="G23" s="151">
        <v>27</v>
      </c>
      <c r="H23" s="151"/>
      <c r="I23" s="153">
        <v>3.5999999999999999E-3</v>
      </c>
      <c r="J23" s="143"/>
      <c r="K23" s="126">
        <f>D23*I23*G23/360</f>
        <v>1404</v>
      </c>
      <c r="L23" s="118"/>
      <c r="M23" s="126">
        <f>K23/1.47</f>
        <v>955.10204081632651</v>
      </c>
      <c r="N23" s="202"/>
      <c r="O23" s="203"/>
      <c r="P23" s="203"/>
      <c r="Q23" s="118">
        <f>M23</f>
        <v>955.10204081632651</v>
      </c>
      <c r="R23" s="198"/>
      <c r="S23" s="103"/>
    </row>
    <row r="24" spans="1:19" x14ac:dyDescent="0.2">
      <c r="A24" s="204" t="s">
        <v>90</v>
      </c>
      <c r="B24" s="205">
        <v>1000000</v>
      </c>
      <c r="C24" s="199"/>
      <c r="D24" s="206">
        <f>D23-B24</f>
        <v>4200000</v>
      </c>
      <c r="E24" s="206">
        <f>E23+B24</f>
        <v>11970000</v>
      </c>
      <c r="F24" s="204"/>
      <c r="G24" s="204">
        <v>4</v>
      </c>
      <c r="H24" s="204"/>
      <c r="I24" s="195">
        <v>3.5999999999999999E-3</v>
      </c>
      <c r="J24" s="199"/>
      <c r="K24" s="196">
        <f>D24*I24*G24/360</f>
        <v>168</v>
      </c>
      <c r="L24" s="107"/>
      <c r="M24" s="196">
        <f>K24/1.47</f>
        <v>114.28571428571429</v>
      </c>
      <c r="N24" s="207"/>
      <c r="O24" s="145"/>
      <c r="P24" s="145"/>
      <c r="Q24" s="107">
        <f>M24</f>
        <v>114.28571428571429</v>
      </c>
      <c r="R24" s="112"/>
      <c r="S24" s="103"/>
    </row>
    <row r="25" spans="1:19" x14ac:dyDescent="0.2">
      <c r="A25" s="120" t="s">
        <v>92</v>
      </c>
      <c r="B25" s="137"/>
      <c r="C25" s="120"/>
      <c r="D25" s="120"/>
      <c r="E25" s="137"/>
      <c r="F25" s="120"/>
      <c r="G25" s="120">
        <f>SUM(G23:G24)</f>
        <v>31</v>
      </c>
      <c r="H25" s="120"/>
      <c r="I25" s="120"/>
      <c r="J25" s="120"/>
      <c r="K25" s="117">
        <f>SUM(K23:K24)</f>
        <v>1572</v>
      </c>
      <c r="L25" s="117"/>
      <c r="M25" s="200">
        <f>SUM(M23:M24)</f>
        <v>1069.3877551020407</v>
      </c>
      <c r="N25" s="117"/>
      <c r="O25" s="108"/>
      <c r="P25" s="108"/>
      <c r="Q25" s="117">
        <f>SUM(Q22:Q24)</f>
        <v>6115.7959183673474</v>
      </c>
      <c r="R25" s="108"/>
      <c r="S25" s="103"/>
    </row>
    <row r="26" spans="1:19" x14ac:dyDescent="0.2">
      <c r="A26" s="208" t="s">
        <v>93</v>
      </c>
      <c r="B26" s="137"/>
      <c r="C26" s="120"/>
      <c r="D26" s="209">
        <f>D24</f>
        <v>4200000</v>
      </c>
      <c r="E26" s="215">
        <f>E24</f>
        <v>11970000</v>
      </c>
      <c r="F26" s="120"/>
      <c r="G26" s="208">
        <v>30</v>
      </c>
      <c r="H26" s="120"/>
      <c r="I26" s="195">
        <v>3.5999999999999999E-3</v>
      </c>
      <c r="J26" s="199"/>
      <c r="K26" s="196">
        <f>D26*I26*G26/360</f>
        <v>1260</v>
      </c>
      <c r="L26" s="107"/>
      <c r="M26" s="196">
        <f>K26/1.47</f>
        <v>857.14285714285711</v>
      </c>
      <c r="N26" s="117"/>
      <c r="O26" s="108"/>
      <c r="P26" s="108"/>
      <c r="Q26" s="117">
        <f>M26</f>
        <v>857.14285714285711</v>
      </c>
      <c r="R26" s="108"/>
      <c r="S26" s="103"/>
    </row>
    <row r="27" spans="1:19" x14ac:dyDescent="0.2">
      <c r="A27" s="120" t="s">
        <v>95</v>
      </c>
      <c r="B27" s="137"/>
      <c r="C27" s="120"/>
      <c r="D27" s="120"/>
      <c r="E27" s="216"/>
      <c r="F27" s="120"/>
      <c r="G27" s="120">
        <f>SUM(G26)</f>
        <v>30</v>
      </c>
      <c r="H27" s="120"/>
      <c r="I27" s="120"/>
      <c r="J27" s="120"/>
      <c r="K27" s="117">
        <f>SUM(K26)</f>
        <v>1260</v>
      </c>
      <c r="L27" s="117"/>
      <c r="M27" s="200">
        <f>SUM(M26)</f>
        <v>857.14285714285711</v>
      </c>
      <c r="N27" s="117"/>
      <c r="O27" s="108"/>
      <c r="P27" s="108"/>
      <c r="Q27" s="117">
        <f>SUM(Q25:Q26)</f>
        <v>6972.9387755102043</v>
      </c>
      <c r="R27" s="108"/>
      <c r="S27" s="103"/>
    </row>
    <row r="28" spans="1:19" x14ac:dyDescent="0.2">
      <c r="A28" s="201" t="s">
        <v>96</v>
      </c>
      <c r="B28" s="144"/>
      <c r="C28" s="143"/>
      <c r="D28" s="123">
        <f>D26</f>
        <v>4200000</v>
      </c>
      <c r="E28" s="217">
        <f>E26</f>
        <v>11970000</v>
      </c>
      <c r="F28" s="143"/>
      <c r="G28" s="49">
        <v>3</v>
      </c>
      <c r="H28" s="143"/>
      <c r="I28" s="153">
        <v>3.5999999999999999E-3</v>
      </c>
      <c r="J28" s="143"/>
      <c r="K28" s="126">
        <f>D28*I28*G28/360</f>
        <v>126</v>
      </c>
      <c r="L28" s="118"/>
      <c r="M28" s="126">
        <f>K28/1.47</f>
        <v>85.714285714285722</v>
      </c>
      <c r="N28" s="118"/>
      <c r="O28" s="198"/>
      <c r="P28" s="198"/>
      <c r="Q28" s="118">
        <f>M28</f>
        <v>85.714285714285722</v>
      </c>
      <c r="R28" s="198"/>
      <c r="S28" s="103"/>
    </row>
    <row r="29" spans="1:19" x14ac:dyDescent="0.2">
      <c r="A29" s="201" t="s">
        <v>97</v>
      </c>
      <c r="B29" s="138">
        <v>1700000</v>
      </c>
      <c r="C29" s="143"/>
      <c r="D29" s="123">
        <f>D28-B29</f>
        <v>2500000</v>
      </c>
      <c r="E29" s="217">
        <f>E28+B29</f>
        <v>13670000</v>
      </c>
      <c r="F29" s="143"/>
      <c r="G29" s="49">
        <v>17</v>
      </c>
      <c r="H29" s="143"/>
      <c r="I29" s="153">
        <v>3.5999999999999999E-3</v>
      </c>
      <c r="J29" s="143"/>
      <c r="K29" s="126">
        <f>D29*I29*G29/360</f>
        <v>425</v>
      </c>
      <c r="L29" s="118"/>
      <c r="M29" s="126">
        <f>K29/1.47</f>
        <v>289.11564625850343</v>
      </c>
      <c r="N29" s="118"/>
      <c r="O29" s="198"/>
      <c r="P29" s="198"/>
      <c r="Q29" s="118">
        <f>M29</f>
        <v>289.11564625850343</v>
      </c>
      <c r="R29" s="198"/>
      <c r="S29" s="103"/>
    </row>
    <row r="30" spans="1:19" x14ac:dyDescent="0.2">
      <c r="A30" s="201" t="s">
        <v>98</v>
      </c>
      <c r="B30" s="138">
        <v>1000000</v>
      </c>
      <c r="C30" s="143"/>
      <c r="D30" s="123">
        <f>D29-B30</f>
        <v>1500000</v>
      </c>
      <c r="E30" s="217">
        <f>E29+B30</f>
        <v>14670000</v>
      </c>
      <c r="F30" s="143"/>
      <c r="G30" s="72">
        <v>11</v>
      </c>
      <c r="H30" s="143"/>
      <c r="I30" s="195">
        <v>3.5999999999999999E-3</v>
      </c>
      <c r="J30" s="199"/>
      <c r="K30" s="196">
        <f>D30*I30*G30/360</f>
        <v>165</v>
      </c>
      <c r="L30" s="107"/>
      <c r="M30" s="196">
        <f>K30/1.47</f>
        <v>112.24489795918367</v>
      </c>
      <c r="N30" s="118"/>
      <c r="O30" s="198"/>
      <c r="P30" s="198"/>
      <c r="Q30" s="118">
        <f>M30</f>
        <v>112.24489795918367</v>
      </c>
      <c r="R30" s="198"/>
      <c r="S30" s="103"/>
    </row>
    <row r="31" spans="1:19" x14ac:dyDescent="0.2">
      <c r="A31" s="120" t="s">
        <v>100</v>
      </c>
      <c r="B31" s="137"/>
      <c r="C31" s="120"/>
      <c r="D31" s="120"/>
      <c r="E31" s="216"/>
      <c r="F31" s="120"/>
      <c r="G31" s="213">
        <f>SUM(G28:G30)</f>
        <v>31</v>
      </c>
      <c r="H31" s="120"/>
      <c r="I31" s="120"/>
      <c r="J31" s="120"/>
      <c r="K31" s="117">
        <f>SUM(K28:K30)</f>
        <v>716</v>
      </c>
      <c r="L31" s="117"/>
      <c r="M31" s="200">
        <f>SUM(M28:M30)</f>
        <v>487.07482993197283</v>
      </c>
      <c r="N31" s="117"/>
      <c r="O31" s="108"/>
      <c r="P31" s="108"/>
      <c r="Q31" s="117">
        <f>SUM(Q27:Q30)</f>
        <v>7460.0136054421764</v>
      </c>
      <c r="R31" s="108"/>
      <c r="S31" s="103"/>
    </row>
    <row r="32" spans="1:1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 s="103"/>
    </row>
    <row r="33" spans="1:63" x14ac:dyDescent="0.2">
      <c r="A33" s="120" t="s">
        <v>103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 s="103"/>
    </row>
    <row r="34" spans="1:63" x14ac:dyDescent="0.2">
      <c r="A34" s="143"/>
      <c r="B34" s="144"/>
      <c r="C34" s="143"/>
      <c r="D34" s="143"/>
      <c r="E34" s="218"/>
      <c r="F34" s="143"/>
      <c r="G34" s="214"/>
      <c r="H34" s="143"/>
      <c r="I34" s="143"/>
      <c r="J34" s="143"/>
      <c r="K34" s="118"/>
      <c r="L34" s="118"/>
      <c r="M34" s="135"/>
      <c r="N34" s="118"/>
      <c r="O34" s="198"/>
      <c r="P34" s="198"/>
      <c r="Q34" s="118"/>
      <c r="R34" s="198"/>
      <c r="S34" s="103"/>
    </row>
    <row r="35" spans="1:63" x14ac:dyDescent="0.2">
      <c r="A35" s="143"/>
      <c r="B35" s="144"/>
      <c r="C35" s="143"/>
      <c r="D35" s="143"/>
      <c r="E35" s="218"/>
      <c r="F35" s="143"/>
      <c r="G35" s="214"/>
      <c r="H35" s="143"/>
      <c r="I35" s="143"/>
      <c r="J35" s="143"/>
      <c r="K35" s="118"/>
      <c r="L35" s="118"/>
      <c r="M35" s="135"/>
      <c r="N35" s="118"/>
      <c r="O35" s="198"/>
      <c r="P35" s="198"/>
      <c r="Q35" s="118"/>
      <c r="R35" s="198"/>
      <c r="S35" s="103"/>
    </row>
    <row r="36" spans="1:63" x14ac:dyDescent="0.2">
      <c r="A36" s="121"/>
      <c r="B36" s="138"/>
      <c r="C36" s="122"/>
      <c r="D36" s="123"/>
      <c r="E36" s="217"/>
      <c r="F36" s="123"/>
      <c r="G36" s="124"/>
      <c r="H36" s="124"/>
      <c r="I36" s="125"/>
      <c r="J36" s="119"/>
      <c r="K36" s="126"/>
      <c r="L36" s="126"/>
      <c r="M36" s="126"/>
      <c r="N36" s="118"/>
      <c r="O36" s="118"/>
      <c r="P36" s="118"/>
      <c r="Q36" s="118"/>
      <c r="R36" s="110"/>
    </row>
    <row r="37" spans="1:63" x14ac:dyDescent="0.2">
      <c r="A37" s="127" t="str">
        <f ca="1">CELL("FILENAME")</f>
        <v>I:\UNMANAGD\CQM\[Ice Dri1.xls]Can $ Only-Bankruptcy</v>
      </c>
      <c r="B37" s="138"/>
      <c r="C37" s="122"/>
      <c r="D37" s="123"/>
      <c r="E37" s="217"/>
      <c r="F37" s="123"/>
      <c r="G37" s="124"/>
      <c r="H37" s="124"/>
      <c r="I37" s="125"/>
      <c r="J37" s="119"/>
      <c r="K37" s="126"/>
      <c r="L37" s="126"/>
      <c r="M37" s="126"/>
      <c r="N37" s="118"/>
      <c r="O37" s="118"/>
      <c r="P37" s="118"/>
      <c r="Q37" s="118"/>
      <c r="R37" s="111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</row>
    <row r="38" spans="1:63" x14ac:dyDescent="0.2">
      <c r="A38" s="120"/>
      <c r="B38" s="137"/>
      <c r="C38" s="120"/>
      <c r="D38" s="120"/>
      <c r="E38" s="216"/>
      <c r="F38" s="120"/>
      <c r="G38" s="120"/>
      <c r="H38" s="120"/>
      <c r="I38" s="120"/>
      <c r="J38" s="120"/>
      <c r="K38" s="117"/>
      <c r="L38" s="117"/>
      <c r="M38" s="117"/>
      <c r="N38" s="117"/>
      <c r="O38" s="108"/>
      <c r="P38" s="108"/>
      <c r="Q38" s="117"/>
      <c r="R38" s="108"/>
      <c r="S38" s="103"/>
    </row>
    <row r="39" spans="1:63" x14ac:dyDescent="0.2">
      <c r="A39" s="121"/>
      <c r="B39" s="138"/>
      <c r="C39" s="122"/>
      <c r="D39" s="123"/>
      <c r="E39" s="217"/>
      <c r="F39" s="123"/>
      <c r="G39" s="124"/>
      <c r="H39" s="124"/>
      <c r="I39" s="125"/>
      <c r="J39" s="119"/>
      <c r="K39" s="126"/>
      <c r="L39" s="126"/>
      <c r="M39" s="126"/>
      <c r="N39" s="118"/>
      <c r="O39" s="118"/>
      <c r="P39" s="118"/>
      <c r="Q39" s="118"/>
      <c r="R39" s="110"/>
    </row>
    <row r="40" spans="1:63" x14ac:dyDescent="0.2">
      <c r="A40" s="127"/>
      <c r="B40" s="138"/>
      <c r="C40" s="122"/>
      <c r="D40" s="123"/>
      <c r="E40" s="217"/>
      <c r="F40" s="123"/>
      <c r="G40" s="124"/>
      <c r="H40" s="124"/>
      <c r="I40" s="125"/>
      <c r="J40" s="119"/>
      <c r="K40" s="126"/>
      <c r="L40" s="126"/>
      <c r="M40" s="126"/>
      <c r="N40" s="118"/>
      <c r="O40" s="118"/>
      <c r="P40" s="118"/>
      <c r="Q40" s="118"/>
      <c r="R40" s="111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</row>
    <row r="41" spans="1:63" x14ac:dyDescent="0.2">
      <c r="A41" s="120"/>
      <c r="B41" s="137"/>
      <c r="C41" s="120"/>
      <c r="D41" s="120"/>
      <c r="E41" s="216"/>
      <c r="F41" s="120"/>
      <c r="G41" s="120"/>
      <c r="H41" s="120"/>
      <c r="I41" s="120"/>
      <c r="J41" s="120"/>
      <c r="K41" s="117"/>
      <c r="L41" s="117"/>
      <c r="M41" s="117"/>
      <c r="N41" s="117"/>
      <c r="O41" s="117"/>
      <c r="P41" s="108"/>
      <c r="Q41" s="117"/>
      <c r="R41" s="108"/>
      <c r="S41" s="103"/>
    </row>
    <row r="42" spans="1:63" x14ac:dyDescent="0.2">
      <c r="A42" s="121"/>
      <c r="B42" s="138"/>
      <c r="C42" s="122"/>
      <c r="D42" s="123"/>
      <c r="E42" s="217"/>
      <c r="F42" s="123"/>
      <c r="G42" s="124"/>
      <c r="H42" s="124"/>
      <c r="I42" s="125"/>
      <c r="J42" s="119"/>
      <c r="K42" s="126"/>
      <c r="L42" s="126"/>
      <c r="M42" s="126"/>
      <c r="N42" s="118"/>
      <c r="O42" s="118"/>
      <c r="P42" s="118"/>
      <c r="Q42" s="118"/>
      <c r="R42" s="110"/>
      <c r="S42" s="103"/>
    </row>
    <row r="43" spans="1:63" x14ac:dyDescent="0.2">
      <c r="A43" s="121"/>
      <c r="B43" s="138"/>
      <c r="C43" s="122"/>
      <c r="D43" s="123"/>
      <c r="E43" s="217"/>
      <c r="F43" s="123"/>
      <c r="G43" s="124"/>
      <c r="H43" s="124"/>
      <c r="I43" s="125"/>
      <c r="J43" s="119"/>
      <c r="K43" s="126"/>
      <c r="L43" s="126"/>
      <c r="M43" s="126"/>
      <c r="N43" s="118"/>
      <c r="O43" s="118"/>
      <c r="P43" s="118"/>
      <c r="Q43" s="118"/>
      <c r="R43" s="110"/>
      <c r="S43" s="103"/>
    </row>
    <row r="44" spans="1:63" x14ac:dyDescent="0.2">
      <c r="A44" s="127"/>
      <c r="B44" s="138"/>
      <c r="C44" s="122"/>
      <c r="D44" s="123"/>
      <c r="E44" s="217"/>
      <c r="F44" s="123"/>
      <c r="G44" s="124"/>
      <c r="H44" s="124"/>
      <c r="I44" s="125"/>
      <c r="J44" s="119"/>
      <c r="K44" s="126"/>
      <c r="L44" s="126"/>
      <c r="M44" s="126"/>
      <c r="N44" s="118"/>
      <c r="O44" s="118"/>
      <c r="P44" s="118"/>
      <c r="Q44" s="118"/>
      <c r="R44" s="111"/>
    </row>
    <row r="45" spans="1:63" x14ac:dyDescent="0.2">
      <c r="A45" s="120"/>
      <c r="B45" s="137"/>
      <c r="C45" s="120"/>
      <c r="D45" s="120"/>
      <c r="E45" s="216"/>
      <c r="F45" s="120"/>
      <c r="G45" s="120"/>
      <c r="H45" s="120"/>
      <c r="I45" s="120"/>
      <c r="J45" s="120"/>
      <c r="K45" s="117"/>
      <c r="L45" s="117"/>
      <c r="M45" s="117"/>
      <c r="N45" s="117"/>
      <c r="O45" s="117"/>
      <c r="P45" s="108"/>
      <c r="Q45" s="117"/>
      <c r="R45" s="108"/>
    </row>
    <row r="46" spans="1:63" x14ac:dyDescent="0.2">
      <c r="A46" s="121"/>
      <c r="B46" s="138"/>
      <c r="C46" s="122"/>
      <c r="D46" s="123"/>
      <c r="E46" s="217"/>
      <c r="F46" s="123"/>
      <c r="G46" s="124"/>
      <c r="H46" s="124"/>
      <c r="I46" s="125"/>
      <c r="J46" s="119"/>
      <c r="K46" s="126"/>
      <c r="L46" s="126"/>
      <c r="M46" s="126"/>
      <c r="N46" s="118"/>
      <c r="O46" s="118"/>
      <c r="P46" s="118"/>
      <c r="Q46" s="118"/>
      <c r="R46" s="110"/>
    </row>
    <row r="47" spans="1:63" x14ac:dyDescent="0.2">
      <c r="A47" s="121"/>
      <c r="B47" s="138"/>
      <c r="C47" s="122"/>
      <c r="D47" s="123"/>
      <c r="E47" s="217"/>
      <c r="F47" s="123"/>
      <c r="G47" s="124"/>
      <c r="H47" s="124"/>
      <c r="I47" s="125"/>
      <c r="J47" s="119"/>
      <c r="K47" s="126"/>
      <c r="L47" s="126"/>
      <c r="M47" s="126"/>
      <c r="N47" s="118"/>
      <c r="O47" s="118"/>
      <c r="P47" s="118"/>
      <c r="Q47" s="118"/>
      <c r="R47" s="110"/>
    </row>
    <row r="48" spans="1:63" x14ac:dyDescent="0.2">
      <c r="A48" s="127"/>
      <c r="B48" s="138"/>
      <c r="C48" s="122"/>
      <c r="D48" s="123"/>
      <c r="E48" s="217"/>
      <c r="F48" s="123"/>
      <c r="G48" s="124"/>
      <c r="H48" s="124"/>
      <c r="I48" s="125"/>
      <c r="J48" s="119"/>
      <c r="K48" s="126"/>
      <c r="L48" s="126"/>
      <c r="M48" s="126"/>
      <c r="N48" s="118"/>
      <c r="O48" s="118"/>
      <c r="P48" s="118"/>
      <c r="Q48" s="118"/>
      <c r="R48" s="111"/>
    </row>
    <row r="49" spans="1:18" x14ac:dyDescent="0.2">
      <c r="A49" s="120"/>
      <c r="B49" s="137"/>
      <c r="C49" s="120"/>
      <c r="D49" s="120"/>
      <c r="E49" s="216"/>
      <c r="F49" s="120"/>
      <c r="G49" s="120"/>
      <c r="H49" s="120"/>
      <c r="I49" s="120"/>
      <c r="J49" s="120"/>
      <c r="K49" s="117"/>
      <c r="L49" s="117"/>
      <c r="M49" s="117"/>
      <c r="N49" s="117"/>
      <c r="O49" s="117"/>
      <c r="P49" s="108"/>
      <c r="Q49" s="117"/>
      <c r="R49" s="108"/>
    </row>
    <row r="50" spans="1:18" x14ac:dyDescent="0.2">
      <c r="A50" s="121"/>
      <c r="B50" s="138"/>
      <c r="C50" s="122"/>
      <c r="D50" s="123"/>
      <c r="E50" s="217"/>
      <c r="F50" s="123"/>
      <c r="G50" s="124"/>
      <c r="H50" s="124"/>
      <c r="I50" s="125"/>
      <c r="J50" s="119"/>
      <c r="K50" s="126"/>
      <c r="L50" s="126"/>
      <c r="M50" s="126"/>
      <c r="N50" s="118"/>
      <c r="O50" s="118"/>
      <c r="P50" s="118"/>
      <c r="Q50" s="118"/>
      <c r="R50" s="110"/>
    </row>
    <row r="51" spans="1:18" x14ac:dyDescent="0.2">
      <c r="A51" s="127"/>
      <c r="B51" s="138"/>
      <c r="C51" s="122"/>
      <c r="D51" s="123"/>
      <c r="E51" s="217"/>
      <c r="F51" s="123"/>
      <c r="G51" s="124"/>
      <c r="H51" s="124"/>
      <c r="I51" s="125"/>
      <c r="J51" s="119"/>
      <c r="K51" s="126"/>
      <c r="L51" s="126"/>
      <c r="M51" s="126"/>
      <c r="N51" s="118"/>
      <c r="O51" s="118"/>
      <c r="P51" s="118"/>
      <c r="Q51" s="118"/>
      <c r="R51" s="111"/>
    </row>
    <row r="52" spans="1:18" x14ac:dyDescent="0.2">
      <c r="A52" s="120"/>
      <c r="B52" s="137"/>
      <c r="C52" s="120"/>
      <c r="D52" s="120"/>
      <c r="E52" s="137"/>
      <c r="F52" s="120"/>
      <c r="G52" s="120"/>
      <c r="H52" s="120"/>
      <c r="I52" s="120"/>
      <c r="J52" s="120"/>
      <c r="K52" s="117"/>
      <c r="L52" s="117"/>
      <c r="M52" s="117"/>
      <c r="N52" s="117"/>
      <c r="O52" s="117"/>
      <c r="P52" s="108"/>
      <c r="Q52" s="117"/>
      <c r="R52" s="108"/>
    </row>
    <row r="53" spans="1:18" x14ac:dyDescent="0.2">
      <c r="A53" s="121"/>
      <c r="B53" s="138"/>
      <c r="C53" s="122"/>
      <c r="D53" s="123"/>
      <c r="E53" s="141"/>
      <c r="F53" s="123"/>
      <c r="G53" s="124"/>
      <c r="H53" s="124"/>
      <c r="I53" s="125"/>
      <c r="J53" s="119"/>
      <c r="K53" s="126"/>
      <c r="L53" s="126"/>
      <c r="M53" s="126"/>
      <c r="N53" s="118"/>
      <c r="O53" s="118"/>
      <c r="P53" s="118"/>
      <c r="Q53" s="118"/>
      <c r="R53" s="110"/>
    </row>
    <row r="54" spans="1:18" x14ac:dyDescent="0.2">
      <c r="A54" s="128"/>
      <c r="B54" s="138"/>
      <c r="C54" s="122"/>
      <c r="D54" s="123"/>
      <c r="E54" s="141"/>
      <c r="F54" s="123"/>
      <c r="G54" s="124"/>
      <c r="H54" s="124"/>
      <c r="I54" s="125"/>
      <c r="J54" s="119"/>
      <c r="K54" s="126"/>
      <c r="L54" s="126"/>
      <c r="M54" s="126"/>
      <c r="N54" s="118"/>
      <c r="O54" s="118"/>
      <c r="P54" s="118"/>
      <c r="Q54" s="118"/>
      <c r="R54" s="111"/>
    </row>
    <row r="55" spans="1:18" x14ac:dyDescent="0.2">
      <c r="A55" s="121"/>
      <c r="B55" s="138"/>
      <c r="C55" s="122"/>
      <c r="D55" s="123"/>
      <c r="E55" s="141"/>
      <c r="F55" s="123"/>
      <c r="G55" s="124"/>
      <c r="H55" s="124"/>
      <c r="I55" s="125"/>
      <c r="J55" s="119"/>
      <c r="K55" s="126"/>
      <c r="L55" s="126"/>
      <c r="M55" s="126"/>
      <c r="N55" s="118"/>
      <c r="O55" s="118"/>
      <c r="P55" s="118"/>
      <c r="Q55" s="118"/>
      <c r="R55" s="111"/>
    </row>
    <row r="56" spans="1:18" x14ac:dyDescent="0.2">
      <c r="A56" s="127"/>
      <c r="B56" s="138"/>
      <c r="C56" s="122"/>
      <c r="D56" s="123"/>
      <c r="E56" s="141"/>
      <c r="F56" s="123"/>
      <c r="G56" s="124"/>
      <c r="H56" s="124"/>
      <c r="I56" s="125"/>
      <c r="J56" s="119"/>
      <c r="K56" s="126"/>
      <c r="L56" s="126"/>
      <c r="M56" s="126"/>
      <c r="N56" s="118"/>
      <c r="O56" s="118"/>
      <c r="P56" s="118"/>
      <c r="Q56" s="118"/>
      <c r="R56" s="111"/>
    </row>
    <row r="57" spans="1:18" x14ac:dyDescent="0.2">
      <c r="A57" s="120"/>
      <c r="B57" s="137"/>
      <c r="C57" s="120"/>
      <c r="D57" s="120"/>
      <c r="E57" s="137"/>
      <c r="F57" s="120"/>
      <c r="G57" s="120"/>
      <c r="H57" s="120"/>
      <c r="I57" s="120"/>
      <c r="J57" s="120"/>
      <c r="K57" s="117"/>
      <c r="L57" s="117"/>
      <c r="M57" s="117"/>
      <c r="N57" s="117"/>
      <c r="O57" s="117"/>
      <c r="P57" s="108"/>
      <c r="Q57" s="117"/>
      <c r="R57" s="108"/>
    </row>
    <row r="58" spans="1:18" x14ac:dyDescent="0.2">
      <c r="A58" s="121"/>
      <c r="B58" s="138"/>
      <c r="C58" s="122"/>
      <c r="D58" s="123"/>
      <c r="E58" s="141"/>
      <c r="F58" s="123"/>
      <c r="G58" s="124"/>
      <c r="H58" s="124"/>
      <c r="I58" s="125"/>
      <c r="J58" s="119"/>
      <c r="K58" s="126"/>
      <c r="L58" s="126"/>
      <c r="M58" s="126"/>
      <c r="N58" s="118"/>
      <c r="O58" s="118"/>
      <c r="P58" s="118"/>
      <c r="Q58" s="118"/>
      <c r="R58" s="110"/>
    </row>
    <row r="59" spans="1:18" x14ac:dyDescent="0.2">
      <c r="A59" s="127"/>
      <c r="B59" s="138" t="str">
        <f ca="1">CELL("FILENAME")</f>
        <v>I:\UNMANAGD\CQM\[Ice Dri1.xls]Can $ Only-Bankruptcy</v>
      </c>
      <c r="C59" s="122"/>
      <c r="D59" s="123"/>
      <c r="E59" s="141"/>
      <c r="F59" s="123"/>
      <c r="G59" s="124"/>
      <c r="H59" s="124"/>
      <c r="I59" s="125"/>
      <c r="J59" s="119"/>
      <c r="K59" s="126"/>
      <c r="L59" s="126"/>
      <c r="M59" s="126"/>
      <c r="N59" s="118"/>
      <c r="O59" s="118"/>
      <c r="P59" s="118"/>
      <c r="Q59" s="118"/>
      <c r="R59" s="111"/>
    </row>
    <row r="60" spans="1:18" x14ac:dyDescent="0.2">
      <c r="A60" s="120"/>
      <c r="B60" s="137"/>
      <c r="C60" s="120"/>
      <c r="D60" s="120"/>
      <c r="E60" s="137"/>
      <c r="F60" s="120"/>
      <c r="G60" s="120"/>
      <c r="H60" s="120"/>
      <c r="I60" s="120"/>
      <c r="J60" s="120"/>
      <c r="K60" s="117"/>
      <c r="L60" s="117"/>
      <c r="M60" s="117"/>
      <c r="N60" s="117"/>
      <c r="O60" s="117"/>
      <c r="P60" s="108"/>
      <c r="Q60" s="117"/>
      <c r="R60" s="108"/>
    </row>
    <row r="61" spans="1:18" x14ac:dyDescent="0.2">
      <c r="A61" s="121"/>
      <c r="B61" s="138"/>
      <c r="C61" s="122"/>
      <c r="D61" s="123"/>
      <c r="E61" s="141"/>
      <c r="F61" s="123"/>
      <c r="G61" s="124"/>
      <c r="H61" s="124"/>
      <c r="I61" s="125"/>
      <c r="J61" s="119"/>
      <c r="K61" s="126"/>
      <c r="L61" s="126"/>
      <c r="M61" s="126"/>
      <c r="N61" s="118"/>
      <c r="O61" s="118"/>
      <c r="P61" s="118"/>
      <c r="Q61" s="118"/>
      <c r="R61" s="110"/>
    </row>
    <row r="62" spans="1:18" x14ac:dyDescent="0.2">
      <c r="A62" s="121"/>
      <c r="B62" s="138"/>
      <c r="C62" s="122"/>
      <c r="D62" s="123"/>
      <c r="E62" s="141"/>
      <c r="F62" s="123"/>
      <c r="G62" s="124"/>
      <c r="H62" s="124"/>
      <c r="I62" s="125"/>
      <c r="J62" s="119"/>
      <c r="K62" s="126"/>
      <c r="L62" s="126"/>
      <c r="M62" s="126"/>
      <c r="N62" s="118"/>
      <c r="O62" s="118"/>
      <c r="P62" s="118"/>
      <c r="Q62" s="118"/>
      <c r="R62" s="111"/>
    </row>
    <row r="63" spans="1:18" x14ac:dyDescent="0.2">
      <c r="A63" s="120"/>
      <c r="B63" s="137"/>
      <c r="C63" s="120"/>
      <c r="D63" s="120"/>
      <c r="E63" s="137"/>
      <c r="F63" s="120"/>
      <c r="G63" s="120"/>
      <c r="H63" s="120"/>
      <c r="I63" s="120"/>
      <c r="J63" s="120"/>
      <c r="K63" s="117"/>
      <c r="L63" s="117"/>
      <c r="M63" s="117"/>
      <c r="N63" s="117"/>
      <c r="O63" s="117"/>
      <c r="P63" s="108"/>
      <c r="Q63" s="117"/>
      <c r="R63" s="108"/>
    </row>
    <row r="64" spans="1:18" x14ac:dyDescent="0.2">
      <c r="A64" s="121"/>
      <c r="B64" s="138"/>
      <c r="C64" s="122"/>
      <c r="D64" s="123"/>
      <c r="E64" s="141"/>
      <c r="F64" s="123"/>
      <c r="G64" s="124"/>
      <c r="H64" s="124"/>
      <c r="I64" s="125"/>
      <c r="J64" s="119"/>
      <c r="K64" s="126"/>
      <c r="L64" s="126"/>
      <c r="M64" s="126"/>
      <c r="N64" s="118"/>
      <c r="O64" s="118"/>
      <c r="P64" s="118"/>
      <c r="Q64" s="118"/>
      <c r="R64" s="111"/>
    </row>
    <row r="65" spans="1:18" x14ac:dyDescent="0.2">
      <c r="A65" s="129"/>
      <c r="B65" s="138"/>
      <c r="C65" s="122"/>
      <c r="D65" s="123"/>
      <c r="E65" s="141"/>
      <c r="F65" s="123"/>
      <c r="G65" s="124"/>
      <c r="H65" s="124"/>
      <c r="I65" s="125"/>
      <c r="J65" s="119"/>
      <c r="K65" s="126"/>
      <c r="L65" s="126"/>
      <c r="M65" s="126"/>
      <c r="N65" s="118"/>
      <c r="O65" s="118"/>
      <c r="P65" s="118"/>
      <c r="Q65" s="118"/>
      <c r="R65" s="112"/>
    </row>
    <row r="66" spans="1:18" x14ac:dyDescent="0.2">
      <c r="A66" s="130"/>
      <c r="B66" s="137"/>
      <c r="C66" s="120"/>
      <c r="D66" s="120"/>
      <c r="E66" s="137"/>
      <c r="F66" s="120"/>
      <c r="G66" s="120"/>
      <c r="H66" s="120"/>
      <c r="I66" s="120"/>
      <c r="J66" s="120"/>
      <c r="K66" s="117"/>
      <c r="L66" s="117"/>
      <c r="M66" s="117"/>
      <c r="N66" s="117"/>
      <c r="O66" s="117"/>
      <c r="P66" s="108"/>
      <c r="Q66" s="117"/>
      <c r="R66" s="113"/>
    </row>
    <row r="67" spans="1:18" x14ac:dyDescent="0.2">
      <c r="A67" s="121"/>
      <c r="B67" s="138"/>
      <c r="C67" s="122"/>
      <c r="D67" s="123"/>
      <c r="E67" s="141"/>
      <c r="F67" s="123"/>
      <c r="G67" s="124"/>
      <c r="H67" s="124"/>
      <c r="I67" s="125"/>
      <c r="J67" s="119"/>
      <c r="K67" s="126"/>
      <c r="L67" s="126"/>
      <c r="M67" s="126"/>
      <c r="N67" s="118"/>
      <c r="O67" s="118"/>
      <c r="P67" s="118"/>
      <c r="Q67" s="118"/>
      <c r="R67" s="111"/>
    </row>
    <row r="68" spans="1:18" x14ac:dyDescent="0.2">
      <c r="A68" s="131"/>
      <c r="B68" s="138"/>
      <c r="C68" s="122"/>
      <c r="D68" s="123"/>
      <c r="E68" s="141"/>
      <c r="F68" s="123"/>
      <c r="G68" s="124"/>
      <c r="H68" s="124"/>
      <c r="I68" s="125"/>
      <c r="J68" s="119"/>
      <c r="K68" s="126"/>
      <c r="L68" s="126"/>
      <c r="M68" s="126"/>
      <c r="N68" s="118"/>
      <c r="O68" s="118"/>
      <c r="P68" s="118"/>
      <c r="Q68" s="118"/>
      <c r="R68" s="112"/>
    </row>
    <row r="69" spans="1:18" x14ac:dyDescent="0.2">
      <c r="A69" s="130"/>
      <c r="B69" s="137"/>
      <c r="C69" s="120"/>
      <c r="D69" s="120"/>
      <c r="E69" s="137"/>
      <c r="F69" s="120"/>
      <c r="G69" s="120"/>
      <c r="H69" s="120"/>
      <c r="I69" s="120"/>
      <c r="J69" s="120"/>
      <c r="K69" s="117"/>
      <c r="L69" s="117"/>
      <c r="M69" s="117"/>
      <c r="N69" s="117"/>
      <c r="O69" s="117"/>
      <c r="P69" s="108"/>
      <c r="Q69" s="117"/>
      <c r="R69" s="113"/>
    </row>
    <row r="70" spans="1:18" ht="13.5" customHeight="1" x14ac:dyDescent="0.2">
      <c r="A70" s="121"/>
      <c r="B70" s="138"/>
      <c r="C70" s="122"/>
      <c r="D70" s="123"/>
      <c r="E70" s="141"/>
      <c r="F70" s="123"/>
      <c r="G70" s="124"/>
      <c r="H70" s="124"/>
      <c r="I70" s="125"/>
      <c r="J70" s="119"/>
      <c r="K70" s="126"/>
      <c r="L70" s="126"/>
      <c r="M70" s="126"/>
      <c r="N70" s="118"/>
      <c r="O70" s="118"/>
      <c r="P70" s="118"/>
      <c r="Q70" s="118"/>
      <c r="R70" s="111"/>
    </row>
    <row r="71" spans="1:18" ht="13.5" customHeight="1" x14ac:dyDescent="0.2">
      <c r="A71" s="121"/>
      <c r="B71" s="138"/>
      <c r="C71" s="122"/>
      <c r="D71" s="123"/>
      <c r="E71" s="141"/>
      <c r="F71" s="123"/>
      <c r="G71" s="124"/>
      <c r="H71" s="124"/>
      <c r="I71" s="125"/>
      <c r="J71" s="119"/>
      <c r="K71" s="126"/>
      <c r="L71" s="126"/>
      <c r="M71" s="126"/>
      <c r="N71" s="118"/>
      <c r="O71" s="118"/>
      <c r="P71" s="118"/>
      <c r="Q71" s="118"/>
      <c r="R71" s="111"/>
    </row>
    <row r="72" spans="1:18" x14ac:dyDescent="0.2">
      <c r="A72" s="129"/>
      <c r="B72" s="138"/>
      <c r="C72" s="122"/>
      <c r="D72" s="123"/>
      <c r="E72" s="141"/>
      <c r="F72" s="123"/>
      <c r="G72" s="124"/>
      <c r="H72" s="124"/>
      <c r="I72" s="125"/>
      <c r="J72" s="119"/>
      <c r="K72" s="126"/>
      <c r="L72" s="126"/>
      <c r="M72" s="126"/>
      <c r="N72" s="118"/>
      <c r="O72" s="118"/>
      <c r="P72" s="118"/>
      <c r="Q72" s="118"/>
      <c r="R72" s="112"/>
    </row>
    <row r="73" spans="1:18" x14ac:dyDescent="0.2">
      <c r="A73" s="130"/>
      <c r="B73" s="137"/>
      <c r="C73" s="120"/>
      <c r="D73" s="120"/>
      <c r="E73" s="137"/>
      <c r="F73" s="120"/>
      <c r="G73" s="120"/>
      <c r="H73" s="120"/>
      <c r="I73" s="120"/>
      <c r="J73" s="120"/>
      <c r="K73" s="117"/>
      <c r="L73" s="117"/>
      <c r="M73" s="117"/>
      <c r="N73" s="117"/>
      <c r="O73" s="117"/>
      <c r="P73" s="108"/>
      <c r="Q73" s="117"/>
      <c r="R73" s="113"/>
    </row>
    <row r="74" spans="1:18" x14ac:dyDescent="0.2">
      <c r="A74" s="132"/>
      <c r="B74" s="139"/>
      <c r="C74" s="133"/>
      <c r="D74" s="132"/>
      <c r="E74" s="142"/>
      <c r="F74" s="132"/>
      <c r="G74" s="132"/>
      <c r="H74" s="132"/>
      <c r="I74" s="132"/>
      <c r="J74" s="132"/>
      <c r="K74" s="134"/>
      <c r="L74" s="134"/>
      <c r="M74" s="134"/>
      <c r="N74" s="132"/>
      <c r="O74" s="132"/>
      <c r="P74" s="132"/>
      <c r="Q74" s="135"/>
      <c r="R74" s="114"/>
    </row>
    <row r="75" spans="1:18" x14ac:dyDescent="0.2">
      <c r="A75" s="132"/>
      <c r="B75" s="139"/>
      <c r="C75" s="133"/>
      <c r="D75" s="132"/>
      <c r="E75" s="142"/>
      <c r="F75" s="132"/>
      <c r="G75" s="132"/>
      <c r="H75" s="132"/>
      <c r="I75" s="132"/>
      <c r="J75" s="132"/>
      <c r="K75" s="134"/>
      <c r="L75" s="134"/>
      <c r="M75" s="134"/>
      <c r="N75" s="132"/>
      <c r="O75" s="132"/>
      <c r="P75" s="132"/>
      <c r="Q75" s="135"/>
      <c r="R75" s="114"/>
    </row>
    <row r="76" spans="1:18" x14ac:dyDescent="0.2">
      <c r="A76" s="132"/>
      <c r="B76" s="139"/>
      <c r="C76" s="133"/>
      <c r="D76" s="132"/>
      <c r="E76" s="142"/>
      <c r="F76" s="132"/>
      <c r="G76" s="132"/>
      <c r="H76" s="132"/>
      <c r="I76" s="132"/>
      <c r="J76" s="132"/>
      <c r="K76" s="134"/>
      <c r="L76" s="134"/>
      <c r="M76" s="134"/>
      <c r="N76" s="132"/>
      <c r="O76" s="132"/>
      <c r="P76" s="132"/>
      <c r="Q76" s="135"/>
      <c r="R76" s="114"/>
    </row>
    <row r="77" spans="1:18" x14ac:dyDescent="0.2">
      <c r="A77" s="132"/>
      <c r="B77" s="139"/>
      <c r="C77" s="133"/>
      <c r="D77" s="132"/>
      <c r="E77" s="142"/>
      <c r="F77" s="132"/>
      <c r="G77" s="132"/>
      <c r="H77" s="132"/>
      <c r="I77" s="132"/>
      <c r="J77" s="132"/>
      <c r="K77" s="134"/>
      <c r="L77" s="134"/>
      <c r="M77" s="134"/>
      <c r="N77" s="132"/>
      <c r="O77" s="132"/>
      <c r="P77" s="132"/>
      <c r="Q77" s="135"/>
      <c r="R77" s="114"/>
    </row>
    <row r="78" spans="1:18" x14ac:dyDescent="0.2">
      <c r="A78" s="132"/>
      <c r="B78" s="139"/>
      <c r="C78" s="133"/>
      <c r="D78" s="132"/>
      <c r="E78" s="142"/>
      <c r="F78" s="132"/>
      <c r="G78" s="132"/>
      <c r="H78" s="132"/>
      <c r="I78" s="132"/>
      <c r="J78" s="132"/>
      <c r="K78" s="134"/>
      <c r="L78" s="134"/>
      <c r="M78" s="134"/>
      <c r="N78" s="132"/>
      <c r="O78" s="132"/>
      <c r="P78" s="132"/>
      <c r="Q78" s="135"/>
      <c r="R78" s="114"/>
    </row>
    <row r="80" spans="1:18" x14ac:dyDescent="0.2">
      <c r="A80" s="121" t="str">
        <f ca="1">CELL("filename")</f>
        <v>I:\UNMANAGD\CQM\[Ice Dri1.xls]Can $ Only-Bankruptcy</v>
      </c>
    </row>
  </sheetData>
  <pageMargins left="0.75" right="0.75" top="1" bottom="1" header="0.5" footer="0.5"/>
  <pageSetup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Can $ Only-Bankruptcy</vt:lpstr>
      <vt:lpstr>Summary</vt:lpstr>
      <vt:lpstr>Can $ Only</vt:lpstr>
      <vt:lpstr>Int Inc calc after WO</vt:lpstr>
      <vt:lpstr>Interest Inc</vt:lpstr>
      <vt:lpstr>Interest Exp</vt:lpstr>
      <vt:lpstr>Comm fee inc</vt:lpstr>
      <vt:lpstr>Comm fee exp</vt:lpstr>
      <vt:lpstr>'Comm fee exp'!Print_Area</vt:lpstr>
      <vt:lpstr>'Int Inc calc after WO'!Print_Area</vt:lpstr>
      <vt:lpstr>'Interest Inc'!Print_Area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awu2</dc:creator>
  <cp:lastModifiedBy>Jan Havlíček</cp:lastModifiedBy>
  <cp:lastPrinted>2000-12-08T18:38:58Z</cp:lastPrinted>
  <dcterms:created xsi:type="dcterms:W3CDTF">1998-07-30T22:11:01Z</dcterms:created>
  <dcterms:modified xsi:type="dcterms:W3CDTF">2023-09-11T23:43:04Z</dcterms:modified>
</cp:coreProperties>
</file>