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B38355-4F45-4EB8-A02C-84B7D1E08B36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5" r:id="rId1"/>
    <sheet name="Damage Calculations" sheetId="3" r:id="rId2"/>
    <sheet name="Tenaska's i Adjustment" sheetId="1" r:id="rId3"/>
    <sheet name="Brazos' i Adjustment" sheetId="6" r:id="rId4"/>
    <sheet name="Offer Comparison" sheetId="8" r:id="rId5"/>
    <sheet name="PPE-ENA Offer" sheetId="9" r:id="rId6"/>
    <sheet name="Cedar Brakes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P">#REF!</definedName>
    <definedName name="_Table1_In1" hidden="1">#REF!</definedName>
    <definedName name="BegDate">[2]MAIN!$C$7</definedName>
    <definedName name="Book_Basis_Plant1" localSheetId="0">[4]Assumptions!$J$26</definedName>
    <definedName name="Book_Basis_Plant1">[1]Assumptions!$J$26</definedName>
    <definedName name="Book_Basis_Plant2" localSheetId="0">[4]Assumptions!$K$26</definedName>
    <definedName name="Book_Basis_Plant2">[1]Assumptions!$K$26</definedName>
    <definedName name="Book_Basis_Plant3" localSheetId="0">[4]Assumptions!$L$26</definedName>
    <definedName name="Book_Basis_Plant3">[1]Assumptions!$L$26</definedName>
    <definedName name="CC">#REF!</definedName>
    <definedName name="Choices_Wrapper" localSheetId="3">'Brazos'' i Adjustment'!Choices_Wrapper</definedName>
    <definedName name="Choices_Wrapper" localSheetId="0">Summary!Choices_Wrapper</definedName>
    <definedName name="Choices_Wrapper">[0]!Choices_Wrapper</definedName>
    <definedName name="Coal_Esc" localSheetId="0">[4]Assumptions!$F$25</definedName>
    <definedName name="Coal_Esc">[1]Assumptions!$F$25</definedName>
    <definedName name="Com_OpDate_1" localSheetId="0">'[4]Summary &amp; Control'!$D$41</definedName>
    <definedName name="Com_OpDate_1">'[1]Summary &amp; Control'!$D$41</definedName>
    <definedName name="Com_OpDate_2" localSheetId="0">'[4]Summary &amp; Control'!$E$41</definedName>
    <definedName name="Com_OpDate_2">'[1]Summary &amp; Control'!$E$41</definedName>
    <definedName name="Com_OpDate_3" localSheetId="0">'[4]Summary &amp; Control'!$F$41</definedName>
    <definedName name="Com_OpDate_3">'[1]Summary &amp; Control'!$F$41</definedName>
    <definedName name="DateToday">[3]MAIN!$C$2</definedName>
    <definedName name="Disc_Rate_Base" localSheetId="0">[4]Assumptions!$L$7</definedName>
    <definedName name="Disc_Rate_Base">[1]Assumptions!$L$7</definedName>
    <definedName name="Disc_Rate_Restruct" localSheetId="0">[4]Assumptions!$R$20</definedName>
    <definedName name="Disc_Rate_Restruct">[1]Assumptions!$R$20</definedName>
    <definedName name="Dispatch_Plant1" localSheetId="0">[4]Assumptions!$F$81</definedName>
    <definedName name="Dispatch_Plant1">[1]Assumptions!$F$81</definedName>
    <definedName name="Dispatch_Plant2" localSheetId="0">[4]Assumptions!$L$81</definedName>
    <definedName name="Dispatch_Plant2">[1]Assumptions!$L$81</definedName>
    <definedName name="Dispatch_Plant3" localSheetId="0">[4]Assumptions!$R$81</definedName>
    <definedName name="Dispatch_Plant3">[1]Assumptions!$R$81</definedName>
    <definedName name="driftswitch">#REF!</definedName>
    <definedName name="EndDate">[2]MAIN!$C$8</definedName>
    <definedName name="EXP">#REF!</definedName>
    <definedName name="Gas_Esc" localSheetId="0">[4]Assumptions!$F$26</definedName>
    <definedName name="Gas_Esc">[1]Assumptions!$F$26</definedName>
    <definedName name="GasSwitch">#REF!</definedName>
    <definedName name="INT">#REF!</definedName>
    <definedName name="Int_Rate_NewDebt" localSheetId="0">[4]Assumptions!$F$21</definedName>
    <definedName name="Int_Rate_NewDebt">[1]Assumptions!$F$21</definedName>
    <definedName name="Master_Check" localSheetId="0">'[4]Summary &amp; Control'!$W$1</definedName>
    <definedName name="Master_Check">'[1]Summary &amp; Control'!$W$1</definedName>
    <definedName name="OilSwitch">#REF!</definedName>
    <definedName name="Outages_Plant1" localSheetId="0">[4]Assumptions!$F$82</definedName>
    <definedName name="Outages_Plant1">[1]Assumptions!$F$82</definedName>
    <definedName name="Outages_Plant2" localSheetId="0">[4]Assumptions!$L$82</definedName>
    <definedName name="Outages_Plant2">[1]Assumptions!$L$82</definedName>
    <definedName name="Outages_Plant3" localSheetId="0">[4]Assumptions!$R$82</definedName>
    <definedName name="Outages_Plant3">[1]Assumptions!$R$82</definedName>
    <definedName name="Ownership_Plant1" localSheetId="0">'[4]Summary &amp; Control'!$D$49</definedName>
    <definedName name="Ownership_Plant1">'[1]Summary &amp; Control'!$D$49</definedName>
    <definedName name="Ownership_Plant2" localSheetId="0">'[4]Summary &amp; Control'!$E$49</definedName>
    <definedName name="Ownership_Plant2">'[1]Summary &amp; Control'!$E$49</definedName>
    <definedName name="Ownership_Plant3" localSheetId="0">'[4]Summary &amp; Control'!$F$49</definedName>
    <definedName name="Ownership_Plant3">'[1]Summary &amp; Control'!$F$49</definedName>
    <definedName name="PAGE1">#REF!</definedName>
    <definedName name="PAGE10">#REF!</definedName>
    <definedName name="PAGE11">#REF!</definedName>
    <definedName name="PAGE12">#REF!</definedName>
    <definedName name="PAGE14">#REF!</definedName>
    <definedName name="PAGE15">#REF!</definedName>
    <definedName name="PAGE1A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T1">#REF!</definedName>
    <definedName name="PAGET2">#REF!</definedName>
    <definedName name="PAGET3">#REF!</definedName>
    <definedName name="PAGET4">#REF!</definedName>
    <definedName name="Plant1" localSheetId="0">'[4]Summary &amp; Control'!$D$39</definedName>
    <definedName name="Plant1">'[1]Summary &amp; Control'!$D$39</definedName>
    <definedName name="Plant1_Toggle" localSheetId="0">'[4]Summary &amp; Control'!$D$48</definedName>
    <definedName name="Plant1_Toggle">'[1]Summary &amp; Control'!$D$48</definedName>
    <definedName name="Plant2" localSheetId="0">'[4]Summary &amp; Control'!$E$39</definedName>
    <definedName name="Plant2">'[1]Summary &amp; Control'!$E$39</definedName>
    <definedName name="Plant2_Toggle" localSheetId="0">'[4]Summary &amp; Control'!$E$48</definedName>
    <definedName name="Plant2_Toggle">'[1]Summary &amp; Control'!$E$48</definedName>
    <definedName name="Plant3" localSheetId="0">'[4]Summary &amp; Control'!$F$39</definedName>
    <definedName name="Plant3">'[1]Summary &amp; Control'!$F$39</definedName>
    <definedName name="Plant3_Toggle" localSheetId="0">'[4]Summary &amp; Control'!$F$48</definedName>
    <definedName name="Plant3_Toggle">'[1]Summary &amp; Control'!$F$48</definedName>
    <definedName name="Plants_Purchased" localSheetId="0">'[4]Summary &amp; Control'!$W$4</definedName>
    <definedName name="Plants_Purchased">'[1]Summary &amp; Control'!$W$4</definedName>
    <definedName name="PRINC">#REF!</definedName>
    <definedName name="_xlnm.Print_Area" localSheetId="3">'Brazos'' i Adjustment'!$A$1:$Z$55</definedName>
    <definedName name="_xlnm.Print_Area" localSheetId="6">'Cedar Brakes'!$A$1:$J$43</definedName>
    <definedName name="_xlnm.Print_Area" localSheetId="1">'Damage Calculations'!$A$1:$AC$81</definedName>
    <definedName name="_xlnm.Print_Area" localSheetId="4">'Offer Comparison'!$A$1:$K$43</definedName>
    <definedName name="_xlnm.Print_Area" localSheetId="0">Summary!$A$1:$S$71</definedName>
    <definedName name="_xlnm.Print_Area" localSheetId="2">'Tenaska''s i Adjustment'!$A$1:$Z$55</definedName>
    <definedName name="_xlnm.Print_Titles" localSheetId="4">'Offer Comparison'!$6:$7</definedName>
    <definedName name="Restruct_Yr" localSheetId="0">[4]Assumptions!$R$13</definedName>
    <definedName name="Restruct_Yr">[1]Assumptions!$R$13</definedName>
    <definedName name="Seller" localSheetId="0">[4]Assumptions!$L$8</definedName>
    <definedName name="Seller">[1]Assumptions!$L$8</definedName>
    <definedName name="shiftswitch2">#REF!</definedName>
    <definedName name="SUMMAR">#REF!</definedName>
    <definedName name="Tax_Basis_Plant1" localSheetId="0">[4]Assumptions!$J$25</definedName>
    <definedName name="Tax_Basis_Plant1">[1]Assumptions!$J$25</definedName>
    <definedName name="Tax_Basis_Plant2" localSheetId="0">[4]Assumptions!$K$25</definedName>
    <definedName name="Tax_Basis_Plant2">[1]Assumptions!$K$25</definedName>
    <definedName name="Tax_Basis_Plant3" localSheetId="0">[4]Assumptions!$L$25</definedName>
    <definedName name="Tax_Basis_Plant3">[1]Assumptions!$L$25</definedName>
    <definedName name="Tax_Rate_Fed" localSheetId="0">[4]Assumptions!$K$31</definedName>
    <definedName name="Tax_Rate_Fed">[1]Assumptions!$K$31</definedName>
    <definedName name="Tax_Rate_State1" localSheetId="0">[4]Assumptions!$J$34</definedName>
    <definedName name="Tax_Rate_State1">[1]Assumptions!$J$34</definedName>
    <definedName name="Tax_Rate_State2" localSheetId="0">[4]Assumptions!$K$34</definedName>
    <definedName name="Tax_Rate_State2">[1]Assumptions!$K$34</definedName>
    <definedName name="Tax_Rate_State3" localSheetId="0">[4]Assumptions!$L$34</definedName>
    <definedName name="Tax_Rate_State3">[1]Assumptions!$L$34</definedName>
    <definedName name="Terminal_Yr_Plant1" localSheetId="0">'[4]Summary &amp; Control'!$D$50</definedName>
    <definedName name="Terminal_Yr_Plant1">'[1]Summary &amp; Control'!$D$50</definedName>
    <definedName name="Terminal_Yr_Plant2" localSheetId="0">'[4]Summary &amp; Control'!$E$50</definedName>
    <definedName name="Terminal_Yr_Plant2">'[1]Summary &amp; Control'!$E$50</definedName>
    <definedName name="Terminal_Yr_Plant3" localSheetId="0">'[4]Summary &amp; Control'!$F$50</definedName>
    <definedName name="Terminal_Yr_Plant3">'[1]Summary &amp; Control'!$F$50</definedName>
  </definedNames>
  <calcPr calcId="0" calcMode="manual" fullCalcOnLoad="1" iterate="1" iterateDelta="0.1" calcOnSave="0"/>
</workbook>
</file>

<file path=xl/calcChain.xml><?xml version="1.0" encoding="utf-8"?>
<calcChain xmlns="http://schemas.openxmlformats.org/spreadsheetml/2006/main">
  <c r="D11" i="6" l="1"/>
  <c r="E11" i="6"/>
  <c r="F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T14" i="6"/>
  <c r="U14" i="6"/>
  <c r="V14" i="6"/>
  <c r="W14" i="6"/>
  <c r="X14" i="6"/>
  <c r="Y14" i="6"/>
  <c r="Z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T15" i="6"/>
  <c r="U15" i="6"/>
  <c r="V15" i="6"/>
  <c r="W15" i="6"/>
  <c r="X15" i="6"/>
  <c r="Y15" i="6"/>
  <c r="Z15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C39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B54" i="6"/>
  <c r="C54" i="6"/>
  <c r="G10" i="7"/>
  <c r="G11" i="7"/>
  <c r="G12" i="7"/>
  <c r="G14" i="7"/>
  <c r="G15" i="7"/>
  <c r="G16" i="7"/>
  <c r="G18" i="7"/>
  <c r="G19" i="7"/>
  <c r="D24" i="7"/>
  <c r="F24" i="7"/>
  <c r="G24" i="7"/>
  <c r="I24" i="7"/>
  <c r="J24" i="7"/>
  <c r="A25" i="7"/>
  <c r="D25" i="7"/>
  <c r="F25" i="7"/>
  <c r="G25" i="7"/>
  <c r="I25" i="7"/>
  <c r="J25" i="7"/>
  <c r="A26" i="7"/>
  <c r="D26" i="7"/>
  <c r="F26" i="7"/>
  <c r="G26" i="7"/>
  <c r="I26" i="7"/>
  <c r="J26" i="7"/>
  <c r="A27" i="7"/>
  <c r="D27" i="7"/>
  <c r="F27" i="7"/>
  <c r="G27" i="7"/>
  <c r="I27" i="7"/>
  <c r="J27" i="7"/>
  <c r="A28" i="7"/>
  <c r="D28" i="7"/>
  <c r="F28" i="7"/>
  <c r="G28" i="7"/>
  <c r="I28" i="7"/>
  <c r="J28" i="7"/>
  <c r="A29" i="7"/>
  <c r="D29" i="7"/>
  <c r="F29" i="7"/>
  <c r="G29" i="7"/>
  <c r="I29" i="7"/>
  <c r="J29" i="7"/>
  <c r="A30" i="7"/>
  <c r="D30" i="7"/>
  <c r="F30" i="7"/>
  <c r="G30" i="7"/>
  <c r="I30" i="7"/>
  <c r="J30" i="7"/>
  <c r="A31" i="7"/>
  <c r="D31" i="7"/>
  <c r="F31" i="7"/>
  <c r="G31" i="7"/>
  <c r="I31" i="7"/>
  <c r="J31" i="7"/>
  <c r="A32" i="7"/>
  <c r="D32" i="7"/>
  <c r="F32" i="7"/>
  <c r="G32" i="7"/>
  <c r="I32" i="7"/>
  <c r="J32" i="7"/>
  <c r="A33" i="7"/>
  <c r="D33" i="7"/>
  <c r="F33" i="7"/>
  <c r="G33" i="7"/>
  <c r="I33" i="7"/>
  <c r="J33" i="7"/>
  <c r="A34" i="7"/>
  <c r="D34" i="7"/>
  <c r="F34" i="7"/>
  <c r="G34" i="7"/>
  <c r="I34" i="7"/>
  <c r="J34" i="7"/>
  <c r="A35" i="7"/>
  <c r="D35" i="7"/>
  <c r="F35" i="7"/>
  <c r="G35" i="7"/>
  <c r="I35" i="7"/>
  <c r="J35" i="7"/>
  <c r="A36" i="7"/>
  <c r="D36" i="7"/>
  <c r="F36" i="7"/>
  <c r="G36" i="7"/>
  <c r="I36" i="7"/>
  <c r="J36" i="7"/>
  <c r="A37" i="7"/>
  <c r="D37" i="7"/>
  <c r="F37" i="7"/>
  <c r="G37" i="7"/>
  <c r="I37" i="7"/>
  <c r="J37" i="7"/>
  <c r="F8" i="3"/>
  <c r="F9" i="3"/>
  <c r="S13" i="3"/>
  <c r="Y13" i="3"/>
  <c r="Y17" i="3"/>
  <c r="Y21" i="3"/>
  <c r="Y25" i="3"/>
  <c r="C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C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41" i="3"/>
  <c r="B41" i="3"/>
  <c r="A42" i="3"/>
  <c r="B42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C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C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55" i="3"/>
  <c r="B55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C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C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68" i="3"/>
  <c r="B68" i="3"/>
  <c r="C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C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81" i="3"/>
  <c r="B81" i="3"/>
  <c r="C89" i="3"/>
  <c r="D89" i="3"/>
  <c r="E89" i="3"/>
  <c r="F89" i="3"/>
  <c r="C90" i="3"/>
  <c r="D90" i="3"/>
  <c r="E90" i="3"/>
  <c r="F90" i="3"/>
  <c r="C91" i="3"/>
  <c r="D91" i="3"/>
  <c r="E91" i="3"/>
  <c r="F91" i="3"/>
  <c r="C92" i="3"/>
  <c r="D92" i="3"/>
  <c r="E92" i="3"/>
  <c r="F92" i="3"/>
  <c r="C93" i="3"/>
  <c r="D93" i="3"/>
  <c r="E93" i="3"/>
  <c r="F93" i="3"/>
  <c r="C94" i="3"/>
  <c r="D94" i="3"/>
  <c r="E94" i="3"/>
  <c r="F94" i="3"/>
  <c r="C95" i="3"/>
  <c r="D95" i="3"/>
  <c r="E95" i="3"/>
  <c r="F95" i="3"/>
  <c r="C96" i="3"/>
  <c r="D96" i="3"/>
  <c r="E96" i="3"/>
  <c r="F96" i="3"/>
  <c r="C97" i="3"/>
  <c r="D97" i="3"/>
  <c r="E97" i="3"/>
  <c r="F97" i="3"/>
  <c r="C98" i="3"/>
  <c r="D98" i="3"/>
  <c r="E98" i="3"/>
  <c r="F98" i="3"/>
  <c r="C99" i="3"/>
  <c r="D99" i="3"/>
  <c r="E99" i="3"/>
  <c r="F99" i="3"/>
  <c r="C100" i="3"/>
  <c r="D100" i="3"/>
  <c r="E100" i="3"/>
  <c r="F100" i="3"/>
  <c r="C101" i="3"/>
  <c r="D101" i="3"/>
  <c r="E101" i="3"/>
  <c r="F101" i="3"/>
  <c r="C102" i="3"/>
  <c r="D102" i="3"/>
  <c r="E102" i="3"/>
  <c r="F102" i="3"/>
  <c r="C103" i="3"/>
  <c r="D103" i="3"/>
  <c r="E103" i="3"/>
  <c r="F103" i="3"/>
  <c r="C104" i="3"/>
  <c r="D104" i="3"/>
  <c r="E104" i="3"/>
  <c r="F104" i="3"/>
  <c r="C105" i="3"/>
  <c r="D105" i="3"/>
  <c r="E105" i="3"/>
  <c r="F105" i="3"/>
  <c r="C106" i="3"/>
  <c r="D106" i="3"/>
  <c r="E106" i="3"/>
  <c r="F106" i="3"/>
  <c r="C107" i="3"/>
  <c r="D107" i="3"/>
  <c r="E107" i="3"/>
  <c r="F107" i="3"/>
  <c r="C108" i="3"/>
  <c r="D108" i="3"/>
  <c r="E108" i="3"/>
  <c r="F108" i="3"/>
  <c r="C109" i="3"/>
  <c r="D109" i="3"/>
  <c r="E109" i="3"/>
  <c r="F109" i="3"/>
  <c r="C110" i="3"/>
  <c r="D110" i="3"/>
  <c r="E110" i="3"/>
  <c r="F110" i="3"/>
  <c r="C111" i="3"/>
  <c r="D111" i="3"/>
  <c r="E111" i="3"/>
  <c r="F111" i="3"/>
  <c r="C112" i="3"/>
  <c r="D112" i="3"/>
  <c r="E112" i="3"/>
  <c r="F112" i="3"/>
  <c r="C113" i="3"/>
  <c r="D113" i="3"/>
  <c r="E113" i="3"/>
  <c r="F113" i="3"/>
  <c r="C114" i="3"/>
  <c r="D114" i="3"/>
  <c r="E114" i="3"/>
  <c r="F114" i="3"/>
  <c r="C115" i="3"/>
  <c r="D115" i="3"/>
  <c r="E115" i="3"/>
  <c r="F115" i="3"/>
  <c r="C116" i="3"/>
  <c r="D116" i="3"/>
  <c r="E116" i="3"/>
  <c r="F116" i="3"/>
  <c r="C117" i="3"/>
  <c r="D117" i="3"/>
  <c r="E117" i="3"/>
  <c r="F117" i="3"/>
  <c r="C118" i="3"/>
  <c r="D118" i="3"/>
  <c r="E118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C122" i="3"/>
  <c r="D122" i="3"/>
  <c r="E122" i="3"/>
  <c r="F122" i="3"/>
  <c r="C123" i="3"/>
  <c r="D123" i="3"/>
  <c r="E123" i="3"/>
  <c r="F123" i="3"/>
  <c r="C124" i="3"/>
  <c r="D124" i="3"/>
  <c r="E124" i="3"/>
  <c r="F124" i="3"/>
  <c r="C125" i="3"/>
  <c r="D125" i="3"/>
  <c r="E125" i="3"/>
  <c r="F125" i="3"/>
  <c r="C126" i="3"/>
  <c r="D126" i="3"/>
  <c r="E126" i="3"/>
  <c r="F126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3" i="3"/>
  <c r="D133" i="3"/>
  <c r="E133" i="3"/>
  <c r="F133" i="3"/>
  <c r="C134" i="3"/>
  <c r="D134" i="3"/>
  <c r="E134" i="3"/>
  <c r="F134" i="3"/>
  <c r="C135" i="3"/>
  <c r="D135" i="3"/>
  <c r="E135" i="3"/>
  <c r="F135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2" i="3"/>
  <c r="D142" i="3"/>
  <c r="E142" i="3"/>
  <c r="F142" i="3"/>
  <c r="C143" i="3"/>
  <c r="D143" i="3"/>
  <c r="E143" i="3"/>
  <c r="F143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0" i="3"/>
  <c r="D150" i="3"/>
  <c r="E150" i="3"/>
  <c r="F150" i="3"/>
  <c r="C151" i="3"/>
  <c r="D151" i="3"/>
  <c r="E151" i="3"/>
  <c r="F151" i="3"/>
  <c r="C152" i="3"/>
  <c r="D152" i="3"/>
  <c r="E152" i="3"/>
  <c r="F152" i="3"/>
  <c r="C153" i="3"/>
  <c r="D153" i="3"/>
  <c r="E153" i="3"/>
  <c r="F153" i="3"/>
  <c r="C154" i="3"/>
  <c r="D154" i="3"/>
  <c r="E154" i="3"/>
  <c r="F154" i="3"/>
  <c r="C155" i="3"/>
  <c r="D155" i="3"/>
  <c r="E155" i="3"/>
  <c r="F155" i="3"/>
  <c r="C156" i="3"/>
  <c r="D156" i="3"/>
  <c r="E156" i="3"/>
  <c r="F156" i="3"/>
  <c r="C157" i="3"/>
  <c r="D157" i="3"/>
  <c r="E157" i="3"/>
  <c r="F157" i="3"/>
  <c r="C158" i="3"/>
  <c r="D158" i="3"/>
  <c r="E158" i="3"/>
  <c r="F158" i="3"/>
  <c r="C159" i="3"/>
  <c r="D159" i="3"/>
  <c r="E159" i="3"/>
  <c r="F159" i="3"/>
  <c r="C160" i="3"/>
  <c r="D160" i="3"/>
  <c r="E160" i="3"/>
  <c r="F160" i="3"/>
  <c r="C161" i="3"/>
  <c r="D161" i="3"/>
  <c r="E161" i="3"/>
  <c r="F161" i="3"/>
  <c r="C162" i="3"/>
  <c r="D162" i="3"/>
  <c r="E162" i="3"/>
  <c r="F162" i="3"/>
  <c r="C163" i="3"/>
  <c r="D163" i="3"/>
  <c r="E163" i="3"/>
  <c r="F163" i="3"/>
  <c r="C164" i="3"/>
  <c r="D164" i="3"/>
  <c r="E164" i="3"/>
  <c r="F164" i="3"/>
  <c r="C165" i="3"/>
  <c r="D165" i="3"/>
  <c r="E165" i="3"/>
  <c r="F165" i="3"/>
  <c r="C166" i="3"/>
  <c r="D166" i="3"/>
  <c r="E166" i="3"/>
  <c r="F166" i="3"/>
  <c r="C167" i="3"/>
  <c r="D167" i="3"/>
  <c r="E167" i="3"/>
  <c r="F167" i="3"/>
  <c r="C168" i="3"/>
  <c r="D168" i="3"/>
  <c r="E168" i="3"/>
  <c r="F168" i="3"/>
  <c r="C169" i="3"/>
  <c r="D169" i="3"/>
  <c r="E169" i="3"/>
  <c r="F169" i="3"/>
  <c r="C170" i="3"/>
  <c r="D170" i="3"/>
  <c r="E170" i="3"/>
  <c r="F170" i="3"/>
  <c r="C171" i="3"/>
  <c r="D171" i="3"/>
  <c r="E171" i="3"/>
  <c r="F171" i="3"/>
  <c r="C172" i="3"/>
  <c r="D172" i="3"/>
  <c r="E172" i="3"/>
  <c r="F172" i="3"/>
  <c r="C173" i="3"/>
  <c r="D173" i="3"/>
  <c r="E173" i="3"/>
  <c r="F173" i="3"/>
  <c r="C174" i="3"/>
  <c r="D174" i="3"/>
  <c r="E174" i="3"/>
  <c r="F174" i="3"/>
  <c r="C175" i="3"/>
  <c r="D175" i="3"/>
  <c r="E175" i="3"/>
  <c r="F175" i="3"/>
  <c r="C176" i="3"/>
  <c r="D176" i="3"/>
  <c r="E176" i="3"/>
  <c r="F176" i="3"/>
  <c r="C177" i="3"/>
  <c r="D177" i="3"/>
  <c r="E177" i="3"/>
  <c r="F177" i="3"/>
  <c r="C178" i="3"/>
  <c r="D178" i="3"/>
  <c r="E178" i="3"/>
  <c r="F178" i="3"/>
  <c r="C179" i="3"/>
  <c r="D179" i="3"/>
  <c r="E179" i="3"/>
  <c r="F179" i="3"/>
  <c r="C180" i="3"/>
  <c r="D180" i="3"/>
  <c r="E180" i="3"/>
  <c r="F180" i="3"/>
  <c r="C181" i="3"/>
  <c r="D181" i="3"/>
  <c r="E181" i="3"/>
  <c r="F181" i="3"/>
  <c r="C182" i="3"/>
  <c r="D182" i="3"/>
  <c r="E182" i="3"/>
  <c r="F182" i="3"/>
  <c r="C183" i="3"/>
  <c r="D183" i="3"/>
  <c r="E183" i="3"/>
  <c r="F183" i="3"/>
  <c r="C184" i="3"/>
  <c r="D184" i="3"/>
  <c r="E184" i="3"/>
  <c r="F184" i="3"/>
  <c r="C185" i="3"/>
  <c r="D185" i="3"/>
  <c r="E185" i="3"/>
  <c r="F185" i="3"/>
  <c r="C186" i="3"/>
  <c r="D186" i="3"/>
  <c r="E186" i="3"/>
  <c r="F186" i="3"/>
  <c r="C187" i="3"/>
  <c r="D187" i="3"/>
  <c r="E187" i="3"/>
  <c r="F187" i="3"/>
  <c r="C188" i="3"/>
  <c r="D188" i="3"/>
  <c r="E188" i="3"/>
  <c r="F188" i="3"/>
  <c r="C189" i="3"/>
  <c r="D189" i="3"/>
  <c r="E189" i="3"/>
  <c r="F189" i="3"/>
  <c r="C190" i="3"/>
  <c r="D190" i="3"/>
  <c r="E190" i="3"/>
  <c r="F190" i="3"/>
  <c r="C191" i="3"/>
  <c r="D191" i="3"/>
  <c r="E191" i="3"/>
  <c r="F191" i="3"/>
  <c r="C192" i="3"/>
  <c r="D192" i="3"/>
  <c r="E192" i="3"/>
  <c r="F192" i="3"/>
  <c r="C193" i="3"/>
  <c r="D193" i="3"/>
  <c r="E193" i="3"/>
  <c r="F193" i="3"/>
  <c r="C194" i="3"/>
  <c r="D194" i="3"/>
  <c r="E194" i="3"/>
  <c r="F194" i="3"/>
  <c r="C195" i="3"/>
  <c r="D195" i="3"/>
  <c r="E195" i="3"/>
  <c r="F195" i="3"/>
  <c r="C196" i="3"/>
  <c r="D196" i="3"/>
  <c r="E196" i="3"/>
  <c r="F196" i="3"/>
  <c r="C197" i="3"/>
  <c r="D197" i="3"/>
  <c r="E197" i="3"/>
  <c r="F197" i="3"/>
  <c r="C198" i="3"/>
  <c r="D198" i="3"/>
  <c r="E198" i="3"/>
  <c r="F198" i="3"/>
  <c r="C199" i="3"/>
  <c r="D199" i="3"/>
  <c r="E199" i="3"/>
  <c r="F199" i="3"/>
  <c r="C200" i="3"/>
  <c r="D200" i="3"/>
  <c r="E200" i="3"/>
  <c r="F200" i="3"/>
  <c r="C201" i="3"/>
  <c r="D201" i="3"/>
  <c r="E201" i="3"/>
  <c r="F201" i="3"/>
  <c r="C202" i="3"/>
  <c r="D202" i="3"/>
  <c r="E202" i="3"/>
  <c r="F202" i="3"/>
  <c r="C203" i="3"/>
  <c r="D203" i="3"/>
  <c r="E203" i="3"/>
  <c r="F203" i="3"/>
  <c r="C204" i="3"/>
  <c r="D204" i="3"/>
  <c r="E204" i="3"/>
  <c r="F204" i="3"/>
  <c r="C205" i="3"/>
  <c r="D205" i="3"/>
  <c r="E205" i="3"/>
  <c r="F205" i="3"/>
  <c r="C206" i="3"/>
  <c r="D206" i="3"/>
  <c r="E206" i="3"/>
  <c r="F206" i="3"/>
  <c r="C207" i="3"/>
  <c r="D207" i="3"/>
  <c r="E207" i="3"/>
  <c r="F207" i="3"/>
  <c r="C208" i="3"/>
  <c r="D208" i="3"/>
  <c r="E208" i="3"/>
  <c r="F208" i="3"/>
  <c r="C209" i="3"/>
  <c r="D209" i="3"/>
  <c r="E209" i="3"/>
  <c r="F209" i="3"/>
  <c r="C210" i="3"/>
  <c r="D210" i="3"/>
  <c r="E210" i="3"/>
  <c r="F210" i="3"/>
  <c r="C211" i="3"/>
  <c r="D211" i="3"/>
  <c r="E211" i="3"/>
  <c r="F211" i="3"/>
  <c r="C212" i="3"/>
  <c r="D212" i="3"/>
  <c r="E212" i="3"/>
  <c r="F212" i="3"/>
  <c r="C213" i="3"/>
  <c r="D213" i="3"/>
  <c r="E213" i="3"/>
  <c r="F213" i="3"/>
  <c r="C214" i="3"/>
  <c r="D214" i="3"/>
  <c r="E214" i="3"/>
  <c r="F214" i="3"/>
  <c r="C215" i="3"/>
  <c r="D215" i="3"/>
  <c r="E215" i="3"/>
  <c r="F215" i="3"/>
  <c r="C216" i="3"/>
  <c r="D216" i="3"/>
  <c r="E216" i="3"/>
  <c r="F216" i="3"/>
  <c r="C217" i="3"/>
  <c r="D217" i="3"/>
  <c r="E217" i="3"/>
  <c r="F217" i="3"/>
  <c r="C218" i="3"/>
  <c r="D218" i="3"/>
  <c r="E218" i="3"/>
  <c r="F218" i="3"/>
  <c r="C219" i="3"/>
  <c r="D219" i="3"/>
  <c r="E219" i="3"/>
  <c r="F219" i="3"/>
  <c r="C220" i="3"/>
  <c r="D220" i="3"/>
  <c r="E220" i="3"/>
  <c r="F220" i="3"/>
  <c r="C221" i="3"/>
  <c r="D221" i="3"/>
  <c r="E221" i="3"/>
  <c r="F221" i="3"/>
  <c r="C222" i="3"/>
  <c r="D222" i="3"/>
  <c r="E222" i="3"/>
  <c r="F222" i="3"/>
  <c r="C223" i="3"/>
  <c r="D223" i="3"/>
  <c r="E223" i="3"/>
  <c r="F223" i="3"/>
  <c r="C224" i="3"/>
  <c r="D224" i="3"/>
  <c r="E224" i="3"/>
  <c r="F224" i="3"/>
  <c r="C225" i="3"/>
  <c r="D225" i="3"/>
  <c r="E225" i="3"/>
  <c r="F225" i="3"/>
  <c r="C226" i="3"/>
  <c r="D226" i="3"/>
  <c r="E226" i="3"/>
  <c r="F226" i="3"/>
  <c r="C227" i="3"/>
  <c r="D227" i="3"/>
  <c r="E227" i="3"/>
  <c r="F227" i="3"/>
  <c r="C228" i="3"/>
  <c r="D228" i="3"/>
  <c r="E228" i="3"/>
  <c r="F228" i="3"/>
  <c r="C229" i="3"/>
  <c r="D229" i="3"/>
  <c r="E229" i="3"/>
  <c r="F229" i="3"/>
  <c r="C230" i="3"/>
  <c r="D230" i="3"/>
  <c r="E230" i="3"/>
  <c r="F230" i="3"/>
  <c r="C231" i="3"/>
  <c r="D231" i="3"/>
  <c r="E231" i="3"/>
  <c r="F231" i="3"/>
  <c r="C232" i="3"/>
  <c r="D232" i="3"/>
  <c r="E232" i="3"/>
  <c r="F232" i="3"/>
  <c r="C233" i="3"/>
  <c r="D233" i="3"/>
  <c r="E233" i="3"/>
  <c r="F233" i="3"/>
  <c r="C234" i="3"/>
  <c r="D234" i="3"/>
  <c r="E234" i="3"/>
  <c r="F234" i="3"/>
  <c r="C235" i="3"/>
  <c r="D235" i="3"/>
  <c r="E235" i="3"/>
  <c r="F235" i="3"/>
  <c r="C236" i="3"/>
  <c r="D236" i="3"/>
  <c r="E236" i="3"/>
  <c r="F236" i="3"/>
  <c r="C237" i="3"/>
  <c r="D237" i="3"/>
  <c r="E237" i="3"/>
  <c r="F237" i="3"/>
  <c r="C238" i="3"/>
  <c r="D238" i="3"/>
  <c r="E238" i="3"/>
  <c r="F238" i="3"/>
  <c r="C239" i="3"/>
  <c r="D239" i="3"/>
  <c r="E239" i="3"/>
  <c r="F239" i="3"/>
  <c r="C240" i="3"/>
  <c r="D240" i="3"/>
  <c r="E240" i="3"/>
  <c r="F240" i="3"/>
  <c r="C241" i="3"/>
  <c r="D241" i="3"/>
  <c r="E241" i="3"/>
  <c r="F241" i="3"/>
  <c r="C242" i="3"/>
  <c r="D242" i="3"/>
  <c r="E242" i="3"/>
  <c r="F242" i="3"/>
  <c r="C243" i="3"/>
  <c r="D243" i="3"/>
  <c r="E243" i="3"/>
  <c r="F243" i="3"/>
  <c r="C244" i="3"/>
  <c r="D244" i="3"/>
  <c r="E244" i="3"/>
  <c r="F244" i="3"/>
  <c r="C245" i="3"/>
  <c r="D245" i="3"/>
  <c r="E245" i="3"/>
  <c r="F245" i="3"/>
  <c r="C246" i="3"/>
  <c r="D246" i="3"/>
  <c r="E246" i="3"/>
  <c r="F246" i="3"/>
  <c r="C247" i="3"/>
  <c r="D247" i="3"/>
  <c r="E247" i="3"/>
  <c r="F247" i="3"/>
  <c r="C248" i="3"/>
  <c r="D248" i="3"/>
  <c r="E248" i="3"/>
  <c r="F248" i="3"/>
  <c r="C249" i="3"/>
  <c r="D249" i="3"/>
  <c r="E249" i="3"/>
  <c r="F249" i="3"/>
  <c r="C250" i="3"/>
  <c r="D250" i="3"/>
  <c r="E250" i="3"/>
  <c r="F250" i="3"/>
  <c r="C251" i="3"/>
  <c r="D251" i="3"/>
  <c r="E251" i="3"/>
  <c r="F251" i="3"/>
  <c r="C252" i="3"/>
  <c r="D252" i="3"/>
  <c r="E252" i="3"/>
  <c r="F252" i="3"/>
  <c r="C253" i="3"/>
  <c r="D253" i="3"/>
  <c r="E253" i="3"/>
  <c r="F253" i="3"/>
  <c r="C254" i="3"/>
  <c r="D254" i="3"/>
  <c r="E254" i="3"/>
  <c r="F254" i="3"/>
  <c r="C255" i="3"/>
  <c r="D255" i="3"/>
  <c r="E255" i="3"/>
  <c r="F255" i="3"/>
  <c r="C256" i="3"/>
  <c r="D256" i="3"/>
  <c r="E256" i="3"/>
  <c r="F256" i="3"/>
  <c r="C257" i="3"/>
  <c r="D257" i="3"/>
  <c r="E257" i="3"/>
  <c r="F257" i="3"/>
  <c r="C258" i="3"/>
  <c r="D258" i="3"/>
  <c r="E258" i="3"/>
  <c r="F258" i="3"/>
  <c r="C259" i="3"/>
  <c r="D259" i="3"/>
  <c r="E259" i="3"/>
  <c r="F259" i="3"/>
  <c r="C260" i="3"/>
  <c r="D260" i="3"/>
  <c r="E260" i="3"/>
  <c r="F260" i="3"/>
  <c r="C261" i="3"/>
  <c r="D261" i="3"/>
  <c r="E261" i="3"/>
  <c r="F261" i="3"/>
  <c r="C262" i="3"/>
  <c r="D262" i="3"/>
  <c r="E262" i="3"/>
  <c r="F262" i="3"/>
  <c r="C263" i="3"/>
  <c r="D263" i="3"/>
  <c r="E263" i="3"/>
  <c r="F263" i="3"/>
  <c r="C264" i="3"/>
  <c r="D264" i="3"/>
  <c r="E264" i="3"/>
  <c r="F264" i="3"/>
  <c r="C265" i="3"/>
  <c r="D265" i="3"/>
  <c r="E265" i="3"/>
  <c r="F265" i="3"/>
  <c r="C266" i="3"/>
  <c r="D266" i="3"/>
  <c r="E266" i="3"/>
  <c r="F266" i="3"/>
  <c r="C267" i="3"/>
  <c r="D267" i="3"/>
  <c r="E267" i="3"/>
  <c r="F267" i="3"/>
  <c r="C268" i="3"/>
  <c r="D268" i="3"/>
  <c r="E268" i="3"/>
  <c r="F268" i="3"/>
  <c r="C269" i="3"/>
  <c r="D269" i="3"/>
  <c r="E269" i="3"/>
  <c r="F269" i="3"/>
  <c r="C270" i="3"/>
  <c r="D270" i="3"/>
  <c r="E270" i="3"/>
  <c r="F270" i="3"/>
  <c r="C271" i="3"/>
  <c r="D271" i="3"/>
  <c r="E271" i="3"/>
  <c r="F271" i="3"/>
  <c r="C272" i="3"/>
  <c r="D272" i="3"/>
  <c r="E272" i="3"/>
  <c r="F272" i="3"/>
  <c r="C273" i="3"/>
  <c r="D273" i="3"/>
  <c r="E273" i="3"/>
  <c r="F273" i="3"/>
  <c r="C274" i="3"/>
  <c r="D274" i="3"/>
  <c r="E274" i="3"/>
  <c r="F274" i="3"/>
  <c r="C275" i="3"/>
  <c r="D275" i="3"/>
  <c r="E275" i="3"/>
  <c r="F275" i="3"/>
  <c r="C276" i="3"/>
  <c r="D276" i="3"/>
  <c r="E276" i="3"/>
  <c r="F276" i="3"/>
  <c r="C277" i="3"/>
  <c r="D277" i="3"/>
  <c r="E277" i="3"/>
  <c r="F277" i="3"/>
  <c r="C278" i="3"/>
  <c r="D278" i="3"/>
  <c r="E278" i="3"/>
  <c r="F278" i="3"/>
  <c r="C279" i="3"/>
  <c r="D279" i="3"/>
  <c r="E279" i="3"/>
  <c r="F279" i="3"/>
  <c r="C280" i="3"/>
  <c r="D280" i="3"/>
  <c r="E280" i="3"/>
  <c r="F280" i="3"/>
  <c r="C281" i="3"/>
  <c r="D281" i="3"/>
  <c r="E281" i="3"/>
  <c r="F281" i="3"/>
  <c r="C282" i="3"/>
  <c r="D282" i="3"/>
  <c r="E282" i="3"/>
  <c r="F282" i="3"/>
  <c r="C283" i="3"/>
  <c r="D283" i="3"/>
  <c r="E283" i="3"/>
  <c r="F283" i="3"/>
  <c r="C284" i="3"/>
  <c r="D284" i="3"/>
  <c r="E284" i="3"/>
  <c r="F284" i="3"/>
  <c r="C285" i="3"/>
  <c r="D285" i="3"/>
  <c r="E285" i="3"/>
  <c r="F285" i="3"/>
  <c r="C286" i="3"/>
  <c r="D286" i="3"/>
  <c r="E286" i="3"/>
  <c r="F286" i="3"/>
  <c r="C287" i="3"/>
  <c r="D287" i="3"/>
  <c r="E287" i="3"/>
  <c r="F287" i="3"/>
  <c r="C288" i="3"/>
  <c r="D288" i="3"/>
  <c r="E288" i="3"/>
  <c r="F288" i="3"/>
  <c r="C289" i="3"/>
  <c r="D289" i="3"/>
  <c r="E289" i="3"/>
  <c r="F289" i="3"/>
  <c r="C290" i="3"/>
  <c r="D290" i="3"/>
  <c r="E290" i="3"/>
  <c r="F290" i="3"/>
  <c r="C291" i="3"/>
  <c r="D291" i="3"/>
  <c r="E291" i="3"/>
  <c r="F291" i="3"/>
  <c r="C292" i="3"/>
  <c r="D292" i="3"/>
  <c r="E292" i="3"/>
  <c r="F292" i="3"/>
  <c r="C293" i="3"/>
  <c r="D293" i="3"/>
  <c r="E293" i="3"/>
  <c r="F293" i="3"/>
  <c r="C294" i="3"/>
  <c r="D294" i="3"/>
  <c r="E294" i="3"/>
  <c r="F294" i="3"/>
  <c r="C295" i="3"/>
  <c r="D295" i="3"/>
  <c r="E295" i="3"/>
  <c r="F295" i="3"/>
  <c r="C296" i="3"/>
  <c r="D296" i="3"/>
  <c r="E296" i="3"/>
  <c r="F296" i="3"/>
  <c r="C297" i="3"/>
  <c r="D297" i="3"/>
  <c r="E297" i="3"/>
  <c r="F297" i="3"/>
  <c r="C298" i="3"/>
  <c r="D298" i="3"/>
  <c r="E298" i="3"/>
  <c r="F298" i="3"/>
  <c r="C299" i="3"/>
  <c r="D299" i="3"/>
  <c r="E299" i="3"/>
  <c r="F299" i="3"/>
  <c r="C300" i="3"/>
  <c r="D300" i="3"/>
  <c r="E300" i="3"/>
  <c r="F300" i="3"/>
  <c r="C301" i="3"/>
  <c r="D301" i="3"/>
  <c r="E301" i="3"/>
  <c r="F301" i="3"/>
  <c r="C302" i="3"/>
  <c r="D302" i="3"/>
  <c r="E302" i="3"/>
  <c r="F302" i="3"/>
  <c r="C303" i="3"/>
  <c r="D303" i="3"/>
  <c r="E303" i="3"/>
  <c r="F303" i="3"/>
  <c r="C304" i="3"/>
  <c r="D304" i="3"/>
  <c r="E304" i="3"/>
  <c r="F304" i="3"/>
  <c r="C305" i="3"/>
  <c r="D305" i="3"/>
  <c r="E305" i="3"/>
  <c r="F305" i="3"/>
  <c r="C306" i="3"/>
  <c r="D306" i="3"/>
  <c r="E306" i="3"/>
  <c r="F306" i="3"/>
  <c r="C307" i="3"/>
  <c r="D307" i="3"/>
  <c r="E307" i="3"/>
  <c r="F307" i="3"/>
  <c r="C308" i="3"/>
  <c r="D308" i="3"/>
  <c r="E308" i="3"/>
  <c r="F308" i="3"/>
  <c r="C309" i="3"/>
  <c r="D309" i="3"/>
  <c r="E309" i="3"/>
  <c r="F309" i="3"/>
  <c r="C310" i="3"/>
  <c r="D310" i="3"/>
  <c r="E310" i="3"/>
  <c r="F310" i="3"/>
  <c r="C311" i="3"/>
  <c r="D311" i="3"/>
  <c r="E311" i="3"/>
  <c r="F311" i="3"/>
  <c r="C312" i="3"/>
  <c r="D312" i="3"/>
  <c r="E312" i="3"/>
  <c r="F312" i="3"/>
  <c r="C313" i="3"/>
  <c r="D313" i="3"/>
  <c r="E313" i="3"/>
  <c r="F313" i="3"/>
  <c r="C314" i="3"/>
  <c r="D314" i="3"/>
  <c r="E314" i="3"/>
  <c r="F314" i="3"/>
  <c r="C315" i="3"/>
  <c r="D315" i="3"/>
  <c r="E315" i="3"/>
  <c r="F315" i="3"/>
  <c r="C316" i="3"/>
  <c r="D316" i="3"/>
  <c r="E316" i="3"/>
  <c r="F316" i="3"/>
  <c r="C317" i="3"/>
  <c r="D317" i="3"/>
  <c r="E317" i="3"/>
  <c r="F317" i="3"/>
  <c r="C318" i="3"/>
  <c r="D318" i="3"/>
  <c r="E318" i="3"/>
  <c r="F318" i="3"/>
  <c r="C319" i="3"/>
  <c r="D319" i="3"/>
  <c r="E319" i="3"/>
  <c r="F319" i="3"/>
  <c r="C320" i="3"/>
  <c r="D320" i="3"/>
  <c r="E320" i="3"/>
  <c r="F320" i="3"/>
  <c r="C321" i="3"/>
  <c r="D321" i="3"/>
  <c r="E321" i="3"/>
  <c r="F321" i="3"/>
  <c r="C322" i="3"/>
  <c r="D322" i="3"/>
  <c r="E322" i="3"/>
  <c r="F322" i="3"/>
  <c r="C323" i="3"/>
  <c r="D323" i="3"/>
  <c r="E323" i="3"/>
  <c r="F323" i="3"/>
  <c r="C324" i="3"/>
  <c r="D324" i="3"/>
  <c r="E324" i="3"/>
  <c r="F324" i="3"/>
  <c r="C325" i="3"/>
  <c r="D325" i="3"/>
  <c r="E325" i="3"/>
  <c r="F325" i="3"/>
  <c r="C326" i="3"/>
  <c r="D326" i="3"/>
  <c r="E326" i="3"/>
  <c r="F326" i="3"/>
  <c r="C327" i="3"/>
  <c r="D327" i="3"/>
  <c r="E327" i="3"/>
  <c r="F327" i="3"/>
  <c r="C328" i="3"/>
  <c r="D328" i="3"/>
  <c r="E328" i="3"/>
  <c r="F328" i="3"/>
  <c r="C329" i="3"/>
  <c r="D329" i="3"/>
  <c r="E329" i="3"/>
  <c r="F329" i="3"/>
  <c r="C330" i="3"/>
  <c r="D330" i="3"/>
  <c r="E330" i="3"/>
  <c r="F330" i="3"/>
  <c r="C331" i="3"/>
  <c r="D331" i="3"/>
  <c r="E331" i="3"/>
  <c r="F331" i="3"/>
  <c r="C332" i="3"/>
  <c r="D332" i="3"/>
  <c r="E332" i="3"/>
  <c r="F332" i="3"/>
  <c r="C333" i="3"/>
  <c r="D333" i="3"/>
  <c r="E333" i="3"/>
  <c r="F333" i="3"/>
  <c r="C334" i="3"/>
  <c r="D334" i="3"/>
  <c r="E334" i="3"/>
  <c r="F334" i="3"/>
  <c r="C335" i="3"/>
  <c r="D335" i="3"/>
  <c r="E335" i="3"/>
  <c r="F335" i="3"/>
  <c r="C336" i="3"/>
  <c r="D336" i="3"/>
  <c r="E336" i="3"/>
  <c r="F336" i="3"/>
  <c r="C337" i="3"/>
  <c r="D337" i="3"/>
  <c r="E337" i="3"/>
  <c r="F337" i="3"/>
  <c r="C338" i="3"/>
  <c r="D338" i="3"/>
  <c r="E338" i="3"/>
  <c r="F338" i="3"/>
  <c r="C339" i="3"/>
  <c r="D339" i="3"/>
  <c r="E339" i="3"/>
  <c r="F339" i="3"/>
  <c r="C340" i="3"/>
  <c r="D340" i="3"/>
  <c r="E340" i="3"/>
  <c r="F340" i="3"/>
  <c r="C341" i="3"/>
  <c r="D341" i="3"/>
  <c r="E341" i="3"/>
  <c r="F341" i="3"/>
  <c r="C342" i="3"/>
  <c r="D342" i="3"/>
  <c r="E342" i="3"/>
  <c r="F342" i="3"/>
  <c r="C343" i="3"/>
  <c r="D343" i="3"/>
  <c r="E343" i="3"/>
  <c r="F343" i="3"/>
  <c r="C344" i="3"/>
  <c r="D344" i="3"/>
  <c r="E344" i="3"/>
  <c r="F344" i="3"/>
  <c r="C345" i="3"/>
  <c r="D345" i="3"/>
  <c r="E345" i="3"/>
  <c r="F345" i="3"/>
  <c r="C346" i="3"/>
  <c r="D346" i="3"/>
  <c r="E346" i="3"/>
  <c r="F346" i="3"/>
  <c r="C347" i="3"/>
  <c r="D347" i="3"/>
  <c r="E347" i="3"/>
  <c r="F347" i="3"/>
  <c r="C348" i="3"/>
  <c r="D348" i="3"/>
  <c r="E348" i="3"/>
  <c r="F348" i="3"/>
  <c r="C349" i="3"/>
  <c r="D349" i="3"/>
  <c r="E349" i="3"/>
  <c r="F349" i="3"/>
  <c r="C350" i="3"/>
  <c r="D350" i="3"/>
  <c r="E350" i="3"/>
  <c r="F350" i="3"/>
  <c r="C351" i="3"/>
  <c r="D351" i="3"/>
  <c r="E351" i="3"/>
  <c r="F351" i="3"/>
  <c r="C352" i="3"/>
  <c r="D352" i="3"/>
  <c r="E352" i="3"/>
  <c r="F352" i="3"/>
  <c r="C353" i="3"/>
  <c r="D353" i="3"/>
  <c r="E353" i="3"/>
  <c r="F353" i="3"/>
  <c r="C354" i="3"/>
  <c r="D354" i="3"/>
  <c r="E354" i="3"/>
  <c r="F354" i="3"/>
  <c r="C355" i="3"/>
  <c r="D355" i="3"/>
  <c r="E355" i="3"/>
  <c r="F355" i="3"/>
  <c r="C356" i="3"/>
  <c r="D356" i="3"/>
  <c r="E356" i="3"/>
  <c r="F356" i="3"/>
  <c r="C357" i="3"/>
  <c r="D357" i="3"/>
  <c r="E357" i="3"/>
  <c r="F357" i="3"/>
  <c r="C358" i="3"/>
  <c r="D358" i="3"/>
  <c r="E358" i="3"/>
  <c r="F358" i="3"/>
  <c r="C359" i="3"/>
  <c r="D359" i="3"/>
  <c r="E359" i="3"/>
  <c r="F359" i="3"/>
  <c r="C360" i="3"/>
  <c r="D360" i="3"/>
  <c r="E360" i="3"/>
  <c r="F360" i="3"/>
  <c r="C361" i="3"/>
  <c r="D361" i="3"/>
  <c r="E361" i="3"/>
  <c r="F361" i="3"/>
  <c r="C362" i="3"/>
  <c r="D362" i="3"/>
  <c r="E362" i="3"/>
  <c r="F362" i="3"/>
  <c r="C363" i="3"/>
  <c r="D363" i="3"/>
  <c r="E363" i="3"/>
  <c r="F363" i="3"/>
  <c r="C364" i="3"/>
  <c r="D364" i="3"/>
  <c r="E364" i="3"/>
  <c r="F364" i="3"/>
  <c r="C10" i="8"/>
  <c r="C11" i="8"/>
  <c r="J11" i="8"/>
  <c r="F12" i="8"/>
  <c r="J12" i="8"/>
  <c r="C13" i="8"/>
  <c r="F14" i="8"/>
  <c r="B19" i="8"/>
  <c r="C33" i="8"/>
  <c r="F38" i="8"/>
  <c r="H38" i="8"/>
  <c r="J38" i="8"/>
  <c r="H40" i="8"/>
  <c r="J40" i="8"/>
  <c r="H42" i="8"/>
  <c r="J42" i="8"/>
  <c r="G12" i="5"/>
  <c r="B23" i="5"/>
  <c r="G23" i="5"/>
  <c r="I23" i="5"/>
  <c r="K23" i="5"/>
  <c r="M23" i="5"/>
  <c r="I26" i="5"/>
  <c r="G30" i="5"/>
  <c r="I30" i="5"/>
  <c r="K30" i="5"/>
  <c r="M30" i="5"/>
  <c r="B37" i="5"/>
  <c r="M37" i="5"/>
  <c r="O37" i="5"/>
  <c r="Q37" i="5"/>
  <c r="S37" i="5"/>
  <c r="M39" i="5"/>
  <c r="O39" i="5"/>
  <c r="Q39" i="5"/>
  <c r="S39" i="5"/>
  <c r="B46" i="5"/>
  <c r="M46" i="5"/>
  <c r="O46" i="5"/>
  <c r="Q46" i="5"/>
  <c r="S46" i="5"/>
  <c r="M48" i="5"/>
  <c r="O48" i="5"/>
  <c r="Q48" i="5"/>
  <c r="S48" i="5"/>
  <c r="B55" i="5"/>
  <c r="M55" i="5"/>
  <c r="O55" i="5"/>
  <c r="Q55" i="5"/>
  <c r="S55" i="5"/>
  <c r="M57" i="5"/>
  <c r="O57" i="5"/>
  <c r="Q57" i="5"/>
  <c r="S57" i="5"/>
  <c r="I64" i="5"/>
  <c r="K64" i="5"/>
  <c r="M64" i="5"/>
  <c r="O64" i="5"/>
  <c r="I66" i="5"/>
  <c r="K66" i="5"/>
  <c r="M66" i="5"/>
  <c r="O66" i="5"/>
  <c r="I67" i="5"/>
  <c r="K67" i="5"/>
  <c r="M67" i="5"/>
  <c r="O67" i="5"/>
  <c r="I68" i="5"/>
  <c r="K68" i="5"/>
  <c r="M68" i="5"/>
  <c r="O68" i="5"/>
  <c r="I111" i="5"/>
  <c r="I112" i="5"/>
  <c r="K112" i="5"/>
  <c r="I114" i="5"/>
  <c r="I115" i="5"/>
  <c r="I117" i="5"/>
  <c r="D11" i="1"/>
  <c r="E11" i="1"/>
  <c r="F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T14" i="1"/>
  <c r="U14" i="1"/>
  <c r="V14" i="1"/>
  <c r="W14" i="1"/>
  <c r="X14" i="1"/>
  <c r="Y14" i="1"/>
  <c r="Z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/>
  <c r="U15" i="1"/>
  <c r="V15" i="1"/>
  <c r="W15" i="1"/>
  <c r="X15" i="1"/>
  <c r="Y15" i="1"/>
  <c r="Z15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T24" i="1"/>
  <c r="U24" i="1"/>
  <c r="V24" i="1"/>
  <c r="W24" i="1"/>
  <c r="X24" i="1"/>
  <c r="Y24" i="1"/>
  <c r="Z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T25" i="1"/>
  <c r="U25" i="1"/>
  <c r="V25" i="1"/>
  <c r="W25" i="1"/>
  <c r="X25" i="1"/>
  <c r="Y25" i="1"/>
  <c r="Z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C39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C54" i="1"/>
</calcChain>
</file>

<file path=xl/comments1.xml><?xml version="1.0" encoding="utf-8"?>
<comments xmlns="http://schemas.openxmlformats.org/spreadsheetml/2006/main">
  <authors>
    <author>Rick Hill</author>
  </authors>
  <commentList>
    <comment ref="B12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3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6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7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0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1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4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5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</commentList>
</comments>
</file>

<file path=xl/comments2.xml><?xml version="1.0" encoding="utf-8"?>
<comments xmlns="http://schemas.openxmlformats.org/spreadsheetml/2006/main">
  <authors>
    <author>jking4</author>
  </authors>
  <commentList>
    <comment ref="H28" authorId="0" shapeId="0">
      <text>
        <r>
          <rPr>
            <b/>
            <sz val="8"/>
            <color indexed="81"/>
            <rFont val="Tahoma"/>
          </rPr>
          <t>jking4:</t>
        </r>
        <r>
          <rPr>
            <sz val="8"/>
            <color indexed="81"/>
            <rFont val="Tahoma"/>
          </rPr>
          <t xml:space="preserve">
$20 MM per Brazos evaluation.</t>
        </r>
      </text>
    </comment>
  </commentList>
</comments>
</file>

<file path=xl/sharedStrings.xml><?xml version="1.0" encoding="utf-8"?>
<sst xmlns="http://schemas.openxmlformats.org/spreadsheetml/2006/main" count="315" uniqueCount="145">
  <si>
    <t>Yearly Principal Repayment %</t>
  </si>
  <si>
    <t xml:space="preserve">Quarter 1 Principal Repayment </t>
  </si>
  <si>
    <t xml:space="preserve">Quarter 2 Principal Repayment </t>
  </si>
  <si>
    <t xml:space="preserve">Quarter 3 Principal Repayment </t>
  </si>
  <si>
    <t xml:space="preserve">Quarter 4 Principal Repayment </t>
  </si>
  <si>
    <t xml:space="preserve">Quarter 1 Debt Balance </t>
  </si>
  <si>
    <t xml:space="preserve">Quarter 2 Debt Balance </t>
  </si>
  <si>
    <t xml:space="preserve">Quarter 3 Debt Balance </t>
  </si>
  <si>
    <t xml:space="preserve">Quarter 4 Debt Balance </t>
  </si>
  <si>
    <t>COBANK</t>
  </si>
  <si>
    <t>Total (CHASE &amp; COBANK)</t>
  </si>
  <si>
    <t>Index Rate</t>
  </si>
  <si>
    <t>Treasury Bond Rate at "Financial Close"</t>
  </si>
  <si>
    <t>Interest Rate Adjustment</t>
  </si>
  <si>
    <t>Amortization A (Construction Loan)</t>
  </si>
  <si>
    <t>Amortization B (Construction Loan)</t>
  </si>
  <si>
    <t>Plant Capacity</t>
  </si>
  <si>
    <t>Months in the Year</t>
  </si>
  <si>
    <t>Yearly Capacity Payments</t>
  </si>
  <si>
    <t>Monthly Capacity Payments</t>
  </si>
  <si>
    <t>Apache Savings</t>
  </si>
  <si>
    <t>Contract Capacity Rates</t>
  </si>
  <si>
    <t>Yes</t>
  </si>
  <si>
    <t>Adjusted Capacity Rate</t>
  </si>
  <si>
    <t>Question 1</t>
  </si>
  <si>
    <t>$/kW-mo.</t>
  </si>
  <si>
    <t>kW</t>
  </si>
  <si>
    <t>O &amp; M Adjustment</t>
  </si>
  <si>
    <t>No</t>
  </si>
  <si>
    <t>Discount Rate</t>
  </si>
  <si>
    <t>Question 2</t>
  </si>
  <si>
    <t>Question 3</t>
  </si>
  <si>
    <t>Question 1 - At Inception</t>
  </si>
  <si>
    <t>Question 2 - Status Quo</t>
  </si>
  <si>
    <t>THIS INFORMATION IS CONFIDENTIAL PER SECTION 5 OF THE FACILITATION AGREEMENT</t>
  </si>
  <si>
    <t>245 MW</t>
  </si>
  <si>
    <t>258 MW</t>
  </si>
  <si>
    <t>263 MW</t>
  </si>
  <si>
    <t>Date of Measurement</t>
  </si>
  <si>
    <t>ML Proforma</t>
  </si>
  <si>
    <t>As Financed</t>
  </si>
  <si>
    <t>Question 1:</t>
  </si>
  <si>
    <t>What equity value is implied under</t>
  </si>
  <si>
    <t>Section 11.02(i)(a), both at inception</t>
  </si>
  <si>
    <t>and point forward?</t>
  </si>
  <si>
    <t>Less:  Project-Level Debt</t>
  </si>
  <si>
    <t>Less:  SWAP Unwind Costs</t>
  </si>
  <si>
    <t>Implied Equity Value</t>
  </si>
  <si>
    <t>Question 2:</t>
  </si>
  <si>
    <t>is implied under Section 11.02(i)(a)?</t>
  </si>
  <si>
    <t>Question 3:</t>
  </si>
  <si>
    <t>How would the answer to Question 2</t>
  </si>
  <si>
    <t>Status Quo</t>
  </si>
  <si>
    <t>Include Interest Rate Adjustment?</t>
  </si>
  <si>
    <t>Include Apache Savings?</t>
  </si>
  <si>
    <t>What equity value is implied under Sectoin 11.02(I)(a), both at</t>
  </si>
  <si>
    <t>inception and point forward?</t>
  </si>
  <si>
    <r>
      <t>Status quo</t>
    </r>
    <r>
      <rPr>
        <sz val="10"/>
        <rFont val="Arial"/>
      </rPr>
      <t>, what level of damages is implied under Section</t>
    </r>
  </si>
  <si>
    <t>11.02(i)(a)?</t>
  </si>
  <si>
    <r>
      <t xml:space="preserve">How would the answer to Question 2 change is there were </t>
    </r>
    <r>
      <rPr>
        <u/>
        <sz val="10"/>
        <rFont val="Arial"/>
        <family val="2"/>
      </rPr>
      <t>no</t>
    </r>
  </si>
  <si>
    <r>
      <t>interest rate adjustment</t>
    </r>
    <r>
      <rPr>
        <sz val="10"/>
        <rFont val="Arial"/>
        <family val="2"/>
      </rPr>
      <t xml:space="preserve"> to Capacity Payments?</t>
    </r>
  </si>
  <si>
    <t>Date</t>
  </si>
  <si>
    <t>(1=Included, 0=Excluded)</t>
  </si>
  <si>
    <t>XNPV Variables:</t>
  </si>
  <si>
    <t>Apache Savings Variables</t>
  </si>
  <si>
    <t>Difference</t>
  </si>
  <si>
    <t>Chase Manhattan</t>
  </si>
  <si>
    <t>Per Schedule 11.02 of PPA</t>
  </si>
  <si>
    <t>Per This Worksheet</t>
  </si>
  <si>
    <t>Average Annual Unpaid Principal</t>
  </si>
  <si>
    <t>Variables Used in Calculation</t>
  </si>
  <si>
    <t>@ 12/31/96</t>
  </si>
  <si>
    <t>@ 12/31/00</t>
  </si>
  <si>
    <t>Plant Capacity (PC)</t>
  </si>
  <si>
    <t>PC (kW) =</t>
  </si>
  <si>
    <t>Sensitivity to Plant Capacity</t>
  </si>
  <si>
    <t>Base Case Variables</t>
  </si>
  <si>
    <t>Status quo, what level of damages</t>
  </si>
  <si>
    <t>adjustment to Capacity Payments?</t>
  </si>
  <si>
    <t>Factor 2 - Coverage Ratio</t>
  </si>
  <si>
    <t>Factor 1 - Annual Billing Units, MW =</t>
  </si>
  <si>
    <t>Question 4:</t>
  </si>
  <si>
    <t>No i Adjustment</t>
  </si>
  <si>
    <t>to Capacity Payments was modified?</t>
  </si>
  <si>
    <t>Question 4</t>
  </si>
  <si>
    <t>How would the answer to Question 2 change if the interest rate</t>
  </si>
  <si>
    <t>adjustment to Capacity Payments was modified?</t>
  </si>
  <si>
    <t>Include Interest Rate Modification?</t>
  </si>
  <si>
    <t>Question 4 - No Interest Rate Adjustment</t>
  </si>
  <si>
    <t>Question 3 - Modified Interest Rate Adjustment</t>
  </si>
  <si>
    <t>(1=Modified, 0=Not Modified)</t>
  </si>
  <si>
    <t>Difference from Base Case (Assumes 12/31/00 Breach)</t>
  </si>
  <si>
    <t>(Dollars in Thousands)</t>
  </si>
  <si>
    <t>Modified i Adjustment</t>
  </si>
  <si>
    <r>
      <t>change if the</t>
    </r>
    <r>
      <rPr>
        <b/>
        <u/>
        <sz val="10"/>
        <rFont val="Arial"/>
        <family val="2"/>
      </rPr>
      <t xml:space="preserve"> interest rate adjustment</t>
    </r>
  </si>
  <si>
    <r>
      <t xml:space="preserve">change if there were </t>
    </r>
    <r>
      <rPr>
        <b/>
        <u/>
        <sz val="10"/>
        <rFont val="Arial"/>
        <family val="2"/>
      </rPr>
      <t>no interest rate</t>
    </r>
  </si>
  <si>
    <t>Brazos' Interest Rate Adjustment</t>
  </si>
  <si>
    <t>Tenaska's Interest Rate Adjustment</t>
  </si>
  <si>
    <t>Excluding Interest Rate Adjustment</t>
  </si>
  <si>
    <t>Cleburne Plant</t>
  </si>
  <si>
    <t>Base Case Discount Rate</t>
  </si>
  <si>
    <t>Base Case Plant Capacity (kW)</t>
  </si>
  <si>
    <t>Base Case</t>
  </si>
  <si>
    <t>Days:</t>
  </si>
  <si>
    <t>Per June 27, 1996 Letter to Brazos (Lenox)</t>
  </si>
  <si>
    <t>Damage Sensitivities</t>
  </si>
  <si>
    <t>Cedar Brakes L.L.C.</t>
  </si>
  <si>
    <t>Restructuring Summary</t>
  </si>
  <si>
    <t>NPV</t>
  </si>
  <si>
    <t>Old PPA</t>
  </si>
  <si>
    <t>Market</t>
  </si>
  <si>
    <t>Stranded Investment (SI)</t>
  </si>
  <si>
    <t>New PPA</t>
  </si>
  <si>
    <t>PPA Savings</t>
  </si>
  <si>
    <t>Discount - PPA All-In Price</t>
  </si>
  <si>
    <t>Discount - Stranded Investment</t>
  </si>
  <si>
    <t>Year</t>
  </si>
  <si>
    <t>Volume</t>
  </si>
  <si>
    <t>SI</t>
  </si>
  <si>
    <t>Savings</t>
  </si>
  <si>
    <t>Source:  Moody's Investors Service, Global Credit Research (September 2000)</t>
  </si>
  <si>
    <t>Assumptions</t>
  </si>
  <si>
    <t>Assets Not Included in Tenaska's May 2000 Offer to Brazos</t>
  </si>
  <si>
    <t>Subtotal-Reserve Accounts</t>
  </si>
  <si>
    <t>Value of Assets NOT Included In Offer</t>
  </si>
  <si>
    <t>Offer Comparison</t>
  </si>
  <si>
    <t>Tenaska Bona Fide Offer</t>
  </si>
  <si>
    <t>Tenaska Indicative Offer</t>
  </si>
  <si>
    <t>Closing Date</t>
  </si>
  <si>
    <t>Purchase Price - Equity</t>
  </si>
  <si>
    <t>Payment for Development Assets</t>
  </si>
  <si>
    <t>Increased Capacity Rate - Effective 6/1/00</t>
  </si>
  <si>
    <t>N/A</t>
  </si>
  <si>
    <t>Increased Energy Rate - Effective 6/1/00</t>
  </si>
  <si>
    <t>Contract Purchases (Above Ownership/Operation) - 2001</t>
  </si>
  <si>
    <t>Cost to Replace Reserve Accounts</t>
  </si>
  <si>
    <t>EWG Savings</t>
  </si>
  <si>
    <t>Avoided Costs - Renewal Term</t>
  </si>
  <si>
    <t>Cost to Unwind Swap</t>
  </si>
  <si>
    <t>Total</t>
  </si>
  <si>
    <t>Delta %</t>
  </si>
  <si>
    <t>End-of-Year DR</t>
  </si>
  <si>
    <t>Mid-Year DR</t>
  </si>
  <si>
    <t>Comparison of PPE-ENA and Tenaska Offers</t>
  </si>
  <si>
    <t>PPE-ENA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</si>
</sst>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7" formatCode="0.0%"/>
    <numFmt numFmtId="169" formatCode="_(* #,##0.0000_);_(* \(#,##0.0000\);_(* &quot;-&quot;??_);_(@_)"/>
    <numFmt numFmtId="174" formatCode="0.000%"/>
    <numFmt numFmtId="175" formatCode="0.0000%"/>
    <numFmt numFmtId="201" formatCode="_(&quot;$&quot;* #,##0.0_);_(&quot;$&quot;* \(#,##0.0\);_(&quot;$&quot;* &quot;-&quot;??_);_(@_)"/>
    <numFmt numFmtId="212" formatCode="&quot;$&quot;#,##0;[Red]&quot;$&quot;#,##0"/>
  </numFmts>
  <fonts count="27">
    <font>
      <sz val="10"/>
      <name val="Arial"/>
    </font>
    <font>
      <sz val="10"/>
      <name val="Arial"/>
    </font>
    <font>
      <sz val="12"/>
      <name val="SWISS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0"/>
      <name val="Arial Black"/>
      <family val="2"/>
    </font>
    <font>
      <b/>
      <sz val="10"/>
      <color indexed="10"/>
      <name val="Arial Black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sz val="10"/>
      <color indexed="8"/>
      <name val="Arial"/>
      <family val="2"/>
    </font>
    <font>
      <u val="singleAccounting"/>
      <sz val="10"/>
      <color indexed="12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8"/>
      <name val="Arial"/>
    </font>
    <font>
      <sz val="10"/>
      <color indexed="8"/>
      <name val="MS Sans Serif"/>
    </font>
    <font>
      <b/>
      <sz val="14"/>
      <color indexed="10"/>
      <name val="Arial"/>
      <family val="2"/>
    </font>
    <font>
      <b/>
      <i/>
      <sz val="12"/>
      <name val="Arial"/>
      <family val="2"/>
    </font>
    <font>
      <u val="doubleAccounting"/>
      <sz val="10"/>
      <name val="Arial"/>
      <family val="2"/>
    </font>
    <font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38" fontId="0" fillId="0" borderId="0" xfId="0" applyNumberFormat="1"/>
    <xf numFmtId="1" fontId="0" fillId="0" borderId="0" xfId="0" applyNumberFormat="1"/>
    <xf numFmtId="0" fontId="0" fillId="0" borderId="1" xfId="0" applyBorder="1"/>
    <xf numFmtId="174" fontId="3" fillId="0" borderId="0" xfId="0" applyNumberFormat="1" applyFont="1"/>
    <xf numFmtId="212" fontId="4" fillId="0" borderId="0" xfId="0" applyNumberFormat="1" applyFont="1"/>
    <xf numFmtId="164" fontId="0" fillId="0" borderId="0" xfId="1" applyNumberFormat="1" applyFont="1"/>
    <xf numFmtId="0" fontId="3" fillId="0" borderId="0" xfId="0" applyFont="1"/>
    <xf numFmtId="0" fontId="0" fillId="2" borderId="0" xfId="0" applyFill="1"/>
    <xf numFmtId="0" fontId="4" fillId="0" borderId="0" xfId="0" applyFont="1" applyBorder="1"/>
    <xf numFmtId="0" fontId="0" fillId="0" borderId="0" xfId="0" applyBorder="1"/>
    <xf numFmtId="2" fontId="0" fillId="0" borderId="0" xfId="0" applyNumberFormat="1"/>
    <xf numFmtId="0" fontId="6" fillId="0" borderId="0" xfId="0" applyFont="1"/>
    <xf numFmtId="0" fontId="4" fillId="2" borderId="0" xfId="0" applyFont="1" applyFill="1"/>
    <xf numFmtId="0" fontId="6" fillId="0" borderId="2" xfId="0" applyFont="1" applyBorder="1"/>
    <xf numFmtId="0" fontId="6" fillId="0" borderId="3" xfId="0" applyFont="1" applyBorder="1"/>
    <xf numFmtId="164" fontId="6" fillId="0" borderId="1" xfId="1" applyNumberFormat="1" applyFont="1" applyBorder="1"/>
    <xf numFmtId="44" fontId="6" fillId="0" borderId="0" xfId="2" applyFont="1"/>
    <xf numFmtId="43" fontId="3" fillId="0" borderId="0" xfId="1" applyFont="1"/>
    <xf numFmtId="44" fontId="0" fillId="0" borderId="0" xfId="2" applyFont="1"/>
    <xf numFmtId="44" fontId="0" fillId="0" borderId="1" xfId="2" applyFont="1" applyBorder="1"/>
    <xf numFmtId="43" fontId="0" fillId="0" borderId="0" xfId="1" applyFont="1"/>
    <xf numFmtId="164" fontId="0" fillId="0" borderId="1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1" xfId="0" applyNumberFormat="1" applyBorder="1"/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4" fillId="2" borderId="7" xfId="0" applyNumberFormat="1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2" fillId="2" borderId="0" xfId="1" applyFont="1" applyFill="1"/>
    <xf numFmtId="165" fontId="3" fillId="2" borderId="0" xfId="2" applyNumberFormat="1" applyFont="1" applyFill="1"/>
    <xf numFmtId="0" fontId="13" fillId="2" borderId="0" xfId="0" applyFont="1" applyFill="1"/>
    <xf numFmtId="165" fontId="1" fillId="2" borderId="0" xfId="2" applyNumberFormat="1" applyFill="1"/>
    <xf numFmtId="165" fontId="0" fillId="2" borderId="0" xfId="0" applyNumberFormat="1" applyFill="1"/>
    <xf numFmtId="0" fontId="12" fillId="2" borderId="0" xfId="0" applyFont="1" applyFill="1"/>
    <xf numFmtId="165" fontId="12" fillId="2" borderId="0" xfId="0" applyNumberFormat="1" applyFont="1" applyFill="1"/>
    <xf numFmtId="0" fontId="15" fillId="2" borderId="0" xfId="0" applyFont="1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0" xfId="0" applyFill="1" applyBorder="1"/>
    <xf numFmtId="0" fontId="0" fillId="0" borderId="10" xfId="0" applyBorder="1"/>
    <xf numFmtId="0" fontId="15" fillId="2" borderId="8" xfId="0" applyFont="1" applyFill="1" applyBorder="1"/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3" xfId="0" applyFont="1" applyFill="1" applyBorder="1"/>
    <xf numFmtId="212" fontId="6" fillId="0" borderId="0" xfId="0" applyNumberFormat="1" applyFont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14" fontId="0" fillId="2" borderId="0" xfId="0" applyNumberForma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2" borderId="15" xfId="2" applyNumberFormat="1" applyFon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65" fontId="0" fillId="2" borderId="16" xfId="2" applyNumberFormat="1" applyFont="1" applyFill="1" applyBorder="1" applyAlignment="1">
      <alignment horizontal="center"/>
    </xf>
    <xf numFmtId="165" fontId="0" fillId="2" borderId="17" xfId="2" applyNumberFormat="1" applyFont="1" applyFill="1" applyBorder="1" applyAlignment="1">
      <alignment horizontal="center"/>
    </xf>
    <xf numFmtId="43" fontId="11" fillId="2" borderId="18" xfId="1" applyFont="1" applyFill="1" applyBorder="1" applyAlignment="1">
      <alignment horizontal="center"/>
    </xf>
    <xf numFmtId="43" fontId="11" fillId="2" borderId="19" xfId="1" applyFont="1" applyFill="1" applyBorder="1" applyAlignment="1">
      <alignment horizontal="center"/>
    </xf>
    <xf numFmtId="0" fontId="4" fillId="2" borderId="20" xfId="0" applyFont="1" applyFill="1" applyBorder="1"/>
    <xf numFmtId="0" fontId="7" fillId="0" borderId="0" xfId="0" applyFont="1" applyBorder="1" applyAlignment="1">
      <alignment horizontal="center"/>
    </xf>
    <xf numFmtId="165" fontId="0" fillId="0" borderId="0" xfId="2" applyNumberFormat="1" applyFont="1"/>
    <xf numFmtId="43" fontId="4" fillId="0" borderId="0" xfId="1" applyFont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43" fontId="13" fillId="0" borderId="0" xfId="1" applyFont="1"/>
    <xf numFmtId="43" fontId="6" fillId="0" borderId="0" xfId="1" applyFont="1"/>
    <xf numFmtId="164" fontId="13" fillId="0" borderId="0" xfId="1" applyNumberFormat="1" applyFont="1"/>
    <xf numFmtId="165" fontId="13" fillId="2" borderId="0" xfId="2" applyNumberFormat="1" applyFont="1" applyFill="1"/>
    <xf numFmtId="0" fontId="6" fillId="0" borderId="8" xfId="0" applyFont="1" applyBorder="1"/>
    <xf numFmtId="164" fontId="3" fillId="0" borderId="5" xfId="1" applyNumberFormat="1" applyFont="1" applyBorder="1"/>
    <xf numFmtId="0" fontId="6" fillId="0" borderId="2" xfId="0" applyFont="1" applyBorder="1" applyAlignment="1">
      <alignment horizontal="center"/>
    </xf>
    <xf numFmtId="212" fontId="0" fillId="0" borderId="1" xfId="0" applyNumberFormat="1" applyBorder="1"/>
    <xf numFmtId="212" fontId="0" fillId="0" borderId="10" xfId="0" applyNumberFormat="1" applyBorder="1"/>
    <xf numFmtId="212" fontId="4" fillId="0" borderId="3" xfId="0" applyNumberFormat="1" applyFont="1" applyBorder="1"/>
    <xf numFmtId="0" fontId="0" fillId="0" borderId="21" xfId="0" applyBorder="1"/>
    <xf numFmtId="0" fontId="0" fillId="0" borderId="22" xfId="0" applyBorder="1"/>
    <xf numFmtId="0" fontId="4" fillId="0" borderId="23" xfId="0" applyFont="1" applyBorder="1" applyAlignment="1">
      <alignment horizontal="center"/>
    </xf>
    <xf numFmtId="43" fontId="0" fillId="2" borderId="0" xfId="1" applyFont="1" applyFill="1"/>
    <xf numFmtId="43" fontId="6" fillId="2" borderId="0" xfId="1" applyFont="1" applyFill="1"/>
    <xf numFmtId="0" fontId="6" fillId="2" borderId="0" xfId="0" applyFont="1" applyFill="1"/>
    <xf numFmtId="0" fontId="6" fillId="2" borderId="14" xfId="0" applyFont="1" applyFill="1" applyBorder="1"/>
    <xf numFmtId="0" fontId="0" fillId="2" borderId="18" xfId="0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2" borderId="16" xfId="0" applyFill="1" applyBorder="1"/>
    <xf numFmtId="38" fontId="18" fillId="2" borderId="15" xfId="0" applyNumberFormat="1" applyFont="1" applyFill="1" applyBorder="1"/>
    <xf numFmtId="0" fontId="13" fillId="2" borderId="0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4" fontId="3" fillId="3" borderId="0" xfId="2" applyFont="1" applyFill="1"/>
    <xf numFmtId="44" fontId="3" fillId="3" borderId="1" xfId="2" applyFont="1" applyFill="1" applyBorder="1"/>
    <xf numFmtId="164" fontId="3" fillId="3" borderId="0" xfId="1" applyNumberFormat="1" applyFont="1" applyFill="1"/>
    <xf numFmtId="164" fontId="3" fillId="3" borderId="0" xfId="1" applyNumberFormat="1" applyFont="1" applyFill="1" applyBorder="1"/>
    <xf numFmtId="164" fontId="3" fillId="3" borderId="9" xfId="1" applyNumberFormat="1" applyFont="1" applyFill="1" applyBorder="1"/>
    <xf numFmtId="44" fontId="3" fillId="3" borderId="11" xfId="2" applyFont="1" applyFill="1" applyBorder="1"/>
    <xf numFmtId="44" fontId="3" fillId="3" borderId="24" xfId="2" applyFont="1" applyFill="1" applyBorder="1"/>
    <xf numFmtId="212" fontId="4" fillId="4" borderId="20" xfId="0" applyNumberFormat="1" applyFont="1" applyFill="1" applyBorder="1"/>
    <xf numFmtId="212" fontId="4" fillId="4" borderId="24" xfId="0" applyNumberFormat="1" applyFont="1" applyFill="1" applyBorder="1"/>
    <xf numFmtId="212" fontId="4" fillId="4" borderId="14" xfId="0" applyNumberFormat="1" applyFont="1" applyFill="1" applyBorder="1"/>
    <xf numFmtId="212" fontId="4" fillId="4" borderId="19" xfId="0" applyNumberFormat="1" applyFont="1" applyFill="1" applyBorder="1"/>
    <xf numFmtId="212" fontId="4" fillId="4" borderId="13" xfId="0" applyNumberFormat="1" applyFont="1" applyFill="1" applyBorder="1"/>
    <xf numFmtId="212" fontId="4" fillId="4" borderId="17" xfId="0" applyNumberFormat="1" applyFont="1" applyFill="1" applyBorder="1"/>
    <xf numFmtId="165" fontId="3" fillId="3" borderId="0" xfId="2" applyNumberFormat="1" applyFont="1" applyFill="1"/>
    <xf numFmtId="165" fontId="1" fillId="3" borderId="0" xfId="2" applyNumberFormat="1" applyFill="1"/>
    <xf numFmtId="0" fontId="0" fillId="3" borderId="0" xfId="0" applyFill="1"/>
    <xf numFmtId="165" fontId="14" fillId="3" borderId="0" xfId="2" applyNumberFormat="1" applyFont="1" applyFill="1"/>
    <xf numFmtId="0" fontId="12" fillId="3" borderId="0" xfId="0" applyFont="1" applyFill="1"/>
    <xf numFmtId="0" fontId="3" fillId="3" borderId="0" xfId="0" applyFont="1" applyFill="1" applyBorder="1" applyAlignment="1">
      <alignment horizontal="left"/>
    </xf>
    <xf numFmtId="174" fontId="3" fillId="3" borderId="0" xfId="0" applyNumberFormat="1" applyFont="1" applyFill="1"/>
    <xf numFmtId="10" fontId="3" fillId="3" borderId="0" xfId="0" applyNumberFormat="1" applyFont="1" applyFill="1"/>
    <xf numFmtId="43" fontId="11" fillId="2" borderId="0" xfId="1" applyFont="1" applyFill="1" applyAlignment="1">
      <alignment horizontal="left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2" borderId="0" xfId="0" applyFont="1" applyFill="1" applyBorder="1"/>
    <xf numFmtId="43" fontId="1" fillId="0" borderId="0" xfId="1"/>
    <xf numFmtId="165" fontId="1" fillId="0" borderId="0" xfId="2" applyNumberFormat="1"/>
    <xf numFmtId="0" fontId="4" fillId="2" borderId="18" xfId="0" applyFont="1" applyFill="1" applyBorder="1"/>
    <xf numFmtId="165" fontId="5" fillId="3" borderId="19" xfId="2" applyNumberFormat="1" applyFont="1" applyFill="1" applyBorder="1"/>
    <xf numFmtId="0" fontId="4" fillId="2" borderId="0" xfId="0" applyFont="1" applyFill="1" applyBorder="1"/>
    <xf numFmtId="165" fontId="5" fillId="3" borderId="15" xfId="2" applyNumberFormat="1" applyFont="1" applyFill="1" applyBorder="1"/>
    <xf numFmtId="174" fontId="5" fillId="3" borderId="15" xfId="0" applyNumberFormat="1" applyFont="1" applyFill="1" applyBorder="1"/>
    <xf numFmtId="0" fontId="4" fillId="2" borderId="16" xfId="0" applyFont="1" applyFill="1" applyBorder="1"/>
    <xf numFmtId="40" fontId="5" fillId="3" borderId="17" xfId="0" applyNumberFormat="1" applyFont="1" applyFill="1" applyBorder="1"/>
    <xf numFmtId="0" fontId="6" fillId="2" borderId="8" xfId="0" applyFont="1" applyFill="1" applyBorder="1"/>
    <xf numFmtId="44" fontId="18" fillId="0" borderId="0" xfId="2" applyFont="1"/>
    <xf numFmtId="44" fontId="13" fillId="0" borderId="0" xfId="2" applyFont="1"/>
    <xf numFmtId="212" fontId="13" fillId="0" borderId="0" xfId="0" applyNumberFormat="1" applyFont="1"/>
    <xf numFmtId="0" fontId="4" fillId="2" borderId="2" xfId="0" applyFont="1" applyFill="1" applyBorder="1"/>
    <xf numFmtId="165" fontId="13" fillId="4" borderId="9" xfId="2" applyNumberFormat="1" applyFont="1" applyFill="1" applyBorder="1"/>
    <xf numFmtId="43" fontId="4" fillId="2" borderId="0" xfId="1" applyFont="1" applyFill="1"/>
    <xf numFmtId="164" fontId="13" fillId="0" borderId="5" xfId="1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0" xfId="1" applyNumberFormat="1" applyFont="1" applyFill="1" applyBorder="1"/>
    <xf numFmtId="164" fontId="13" fillId="2" borderId="0" xfId="1" applyNumberFormat="1" applyFont="1" applyFill="1" applyBorder="1" applyAlignment="1">
      <alignment horizontal="right"/>
    </xf>
    <xf numFmtId="10" fontId="0" fillId="2" borderId="0" xfId="0" applyNumberFormat="1" applyFill="1" applyBorder="1"/>
    <xf numFmtId="10" fontId="0" fillId="2" borderId="0" xfId="0" applyNumberFormat="1" applyFill="1" applyBorder="1" applyAlignment="1">
      <alignment horizontal="right"/>
    </xf>
    <xf numFmtId="164" fontId="3" fillId="3" borderId="7" xfId="1" applyNumberFormat="1" applyFont="1" applyFill="1" applyBorder="1"/>
    <xf numFmtId="10" fontId="3" fillId="3" borderId="7" xfId="3" applyNumberFormat="1" applyFont="1" applyFill="1" applyBorder="1"/>
    <xf numFmtId="164" fontId="13" fillId="2" borderId="6" xfId="1" applyNumberFormat="1" applyFont="1" applyFill="1" applyBorder="1"/>
    <xf numFmtId="10" fontId="13" fillId="2" borderId="10" xfId="3" applyNumberFormat="1" applyFont="1" applyFill="1" applyBorder="1"/>
    <xf numFmtId="0" fontId="0" fillId="2" borderId="21" xfId="0" applyFill="1" applyBorder="1"/>
    <xf numFmtId="0" fontId="0" fillId="2" borderId="23" xfId="0" applyFill="1" applyBorder="1"/>
    <xf numFmtId="165" fontId="13" fillId="4" borderId="23" xfId="2" applyNumberFormat="1" applyFont="1" applyFill="1" applyBorder="1"/>
    <xf numFmtId="165" fontId="0" fillId="2" borderId="23" xfId="0" applyNumberFormat="1" applyFill="1" applyBorder="1"/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13" fillId="0" borderId="0" xfId="1" applyNumberFormat="1" applyFont="1"/>
    <xf numFmtId="0" fontId="0" fillId="0" borderId="0" xfId="1" applyNumberFormat="1" applyFont="1"/>
    <xf numFmtId="0" fontId="6" fillId="0" borderId="0" xfId="1" applyNumberFormat="1" applyFont="1"/>
    <xf numFmtId="0" fontId="4" fillId="0" borderId="1" xfId="1" applyNumberFormat="1" applyFont="1" applyBorder="1"/>
    <xf numFmtId="43" fontId="4" fillId="0" borderId="1" xfId="1" applyFont="1" applyBorder="1"/>
    <xf numFmtId="0" fontId="6" fillId="0" borderId="1" xfId="0" applyFont="1" applyBorder="1"/>
    <xf numFmtId="43" fontId="0" fillId="0" borderId="0" xfId="1" applyFont="1" applyAlignment="1">
      <alignment horizontal="right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10" fontId="3" fillId="3" borderId="7" xfId="3" applyNumberFormat="1" applyFont="1" applyFill="1" applyBorder="1" applyAlignment="1">
      <alignment horizontal="center"/>
    </xf>
    <xf numFmtId="167" fontId="1" fillId="2" borderId="0" xfId="3" applyNumberFormat="1" applyFill="1"/>
    <xf numFmtId="0" fontId="0" fillId="2" borderId="21" xfId="0" applyFill="1" applyBorder="1" applyAlignment="1">
      <alignment horizontal="center"/>
    </xf>
    <xf numFmtId="164" fontId="3" fillId="3" borderId="21" xfId="1" applyNumberFormat="1" applyFont="1" applyFill="1" applyBorder="1"/>
    <xf numFmtId="44" fontId="3" fillId="3" borderId="8" xfId="2" applyFont="1" applyFill="1" applyBorder="1"/>
    <xf numFmtId="165" fontId="1" fillId="2" borderId="6" xfId="2" applyNumberFormat="1" applyFill="1" applyBorder="1"/>
    <xf numFmtId="165" fontId="1" fillId="2" borderId="21" xfId="2" applyNumberFormat="1" applyFill="1" applyBorder="1"/>
    <xf numFmtId="165" fontId="0" fillId="2" borderId="21" xfId="0" applyNumberFormat="1" applyFill="1" applyBorder="1"/>
    <xf numFmtId="164" fontId="3" fillId="3" borderId="23" xfId="1" applyNumberFormat="1" applyFont="1" applyFill="1" applyBorder="1"/>
    <xf numFmtId="44" fontId="3" fillId="3" borderId="2" xfId="2" applyFont="1" applyFill="1" applyBorder="1"/>
    <xf numFmtId="165" fontId="1" fillId="2" borderId="9" xfId="2" applyNumberFormat="1" applyFill="1" applyBorder="1"/>
    <xf numFmtId="165" fontId="1" fillId="2" borderId="23" xfId="2" applyNumberFormat="1" applyFill="1" applyBorder="1"/>
    <xf numFmtId="0" fontId="0" fillId="2" borderId="22" xfId="0" applyFill="1" applyBorder="1" applyAlignment="1">
      <alignment horizontal="center"/>
    </xf>
    <xf numFmtId="164" fontId="3" fillId="3" borderId="22" xfId="1" applyNumberFormat="1" applyFont="1" applyFill="1" applyBorder="1"/>
    <xf numFmtId="44" fontId="3" fillId="3" borderId="3" xfId="2" applyFont="1" applyFill="1" applyBorder="1"/>
    <xf numFmtId="165" fontId="1" fillId="2" borderId="10" xfId="2" applyNumberFormat="1" applyFill="1" applyBorder="1"/>
    <xf numFmtId="165" fontId="1" fillId="2" borderId="22" xfId="2" applyNumberFormat="1" applyFill="1" applyBorder="1"/>
    <xf numFmtId="165" fontId="0" fillId="2" borderId="22" xfId="0" applyNumberFormat="1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2" xfId="0" applyFill="1" applyBorder="1"/>
    <xf numFmtId="43" fontId="4" fillId="2" borderId="0" xfId="1" applyFont="1" applyFill="1" applyBorder="1"/>
    <xf numFmtId="0" fontId="0" fillId="2" borderId="15" xfId="0" applyFill="1" applyBorder="1"/>
    <xf numFmtId="43" fontId="1" fillId="2" borderId="0" xfId="1" applyFill="1" applyBorder="1"/>
    <xf numFmtId="6" fontId="0" fillId="2" borderId="0" xfId="0" applyNumberFormat="1" applyFill="1" applyBorder="1"/>
    <xf numFmtId="6" fontId="15" fillId="2" borderId="0" xfId="0" applyNumberFormat="1" applyFont="1" applyFill="1" applyBorder="1"/>
    <xf numFmtId="167" fontId="1" fillId="2" borderId="0" xfId="3" applyNumberFormat="1" applyFill="1" applyBorder="1"/>
    <xf numFmtId="0" fontId="0" fillId="2" borderId="13" xfId="0" applyFill="1" applyBorder="1"/>
    <xf numFmtId="43" fontId="4" fillId="2" borderId="16" xfId="1" applyFont="1" applyFill="1" applyBorder="1"/>
    <xf numFmtId="167" fontId="1" fillId="2" borderId="16" xfId="3" applyNumberFormat="1" applyFill="1" applyBorder="1"/>
    <xf numFmtId="0" fontId="0" fillId="2" borderId="17" xfId="0" applyFill="1" applyBorder="1"/>
    <xf numFmtId="0" fontId="0" fillId="0" borderId="0" xfId="0" applyFill="1"/>
    <xf numFmtId="0" fontId="22" fillId="0" borderId="0" xfId="0" applyFont="1" applyFill="1" applyBorder="1" applyAlignment="1">
      <alignment horizontal="center"/>
    </xf>
    <xf numFmtId="43" fontId="23" fillId="0" borderId="0" xfId="1" applyFont="1" applyFill="1"/>
    <xf numFmtId="0" fontId="7" fillId="0" borderId="0" xfId="0" applyFont="1" applyFill="1"/>
    <xf numFmtId="165" fontId="4" fillId="0" borderId="0" xfId="0" applyNumberFormat="1" applyFont="1" applyFill="1"/>
    <xf numFmtId="201" fontId="24" fillId="0" borderId="0" xfId="0" applyNumberFormat="1" applyFont="1" applyFill="1"/>
    <xf numFmtId="165" fontId="4" fillId="0" borderId="28" xfId="0" applyNumberFormat="1" applyFont="1" applyFill="1" applyBorder="1"/>
    <xf numFmtId="201" fontId="1" fillId="0" borderId="0" xfId="2" applyNumberFormat="1" applyFill="1"/>
    <xf numFmtId="0" fontId="7" fillId="0" borderId="0" xfId="0" applyFont="1" applyFill="1" applyAlignment="1">
      <alignment horizontal="centerContinuous"/>
    </xf>
    <xf numFmtId="17" fontId="7" fillId="0" borderId="1" xfId="0" quotePrefix="1" applyNumberFormat="1" applyFont="1" applyFill="1" applyBorder="1" applyAlignment="1">
      <alignment horizontal="centerContinuous"/>
    </xf>
    <xf numFmtId="15" fontId="7" fillId="0" borderId="1" xfId="0" quotePrefix="1" applyNumberFormat="1" applyFont="1" applyFill="1" applyBorder="1" applyAlignment="1">
      <alignment horizontal="centerContinuous"/>
    </xf>
    <xf numFmtId="15" fontId="7" fillId="0" borderId="0" xfId="0" quotePrefix="1" applyNumberFormat="1" applyFont="1" applyFill="1" applyBorder="1" applyAlignment="1">
      <alignment horizontal="centerContinuous"/>
    </xf>
    <xf numFmtId="0" fontId="4" fillId="0" borderId="0" xfId="0" applyFont="1" applyFill="1"/>
    <xf numFmtId="14" fontId="4" fillId="0" borderId="0" xfId="0" applyNumberFormat="1" applyFont="1" applyFill="1" applyAlignment="1">
      <alignment horizontal="right"/>
    </xf>
    <xf numFmtId="43" fontId="4" fillId="0" borderId="0" xfId="1" applyFont="1" applyFill="1"/>
    <xf numFmtId="165" fontId="5" fillId="0" borderId="4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5" fontId="1" fillId="0" borderId="0" xfId="2" applyNumberFormat="1" applyFill="1"/>
    <xf numFmtId="43" fontId="6" fillId="0" borderId="0" xfId="1" applyFont="1" applyFill="1"/>
    <xf numFmtId="165" fontId="3" fillId="0" borderId="0" xfId="2" applyNumberFormat="1" applyFont="1" applyFill="1" applyAlignment="1">
      <alignment horizontal="right"/>
    </xf>
    <xf numFmtId="165" fontId="3" fillId="0" borderId="0" xfId="2" quotePrefix="1" applyNumberFormat="1" applyFont="1" applyFill="1" applyAlignment="1">
      <alignment horizontal="right"/>
    </xf>
    <xf numFmtId="43" fontId="1" fillId="0" borderId="0" xfId="1" applyFill="1"/>
    <xf numFmtId="0" fontId="0" fillId="0" borderId="0" xfId="0" applyFill="1" applyAlignment="1">
      <alignment horizontal="right"/>
    </xf>
    <xf numFmtId="165" fontId="4" fillId="0" borderId="28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9" fontId="4" fillId="0" borderId="0" xfId="3" applyFont="1" applyFill="1" applyAlignment="1">
      <alignment horizontal="right"/>
    </xf>
    <xf numFmtId="175" fontId="5" fillId="3" borderId="4" xfId="3" applyNumberFormat="1" applyFont="1" applyFill="1" applyBorder="1" applyAlignment="1">
      <alignment horizontal="centerContinuous"/>
    </xf>
    <xf numFmtId="169" fontId="0" fillId="0" borderId="0" xfId="1" applyNumberFormat="1" applyFont="1" applyFill="1"/>
    <xf numFmtId="165" fontId="0" fillId="0" borderId="0" xfId="2" applyNumberFormat="1" applyFont="1" applyFill="1"/>
    <xf numFmtId="165" fontId="0" fillId="0" borderId="0" xfId="2" applyNumberFormat="1" applyFont="1" applyFill="1" applyAlignment="1">
      <alignment horizontal="right"/>
    </xf>
    <xf numFmtId="165" fontId="3" fillId="0" borderId="0" xfId="2" applyNumberFormat="1" applyFont="1" applyFill="1"/>
    <xf numFmtId="0" fontId="5" fillId="0" borderId="0" xfId="0" applyFont="1" applyFill="1"/>
    <xf numFmtId="165" fontId="5" fillId="0" borderId="0" xfId="0" applyNumberFormat="1" applyFont="1" applyFill="1" applyBorder="1" applyAlignment="1">
      <alignment horizontal="right"/>
    </xf>
    <xf numFmtId="165" fontId="5" fillId="0" borderId="7" xfId="2" applyNumberFormat="1" applyFont="1" applyFill="1" applyBorder="1" applyAlignment="1">
      <alignment horizontal="right"/>
    </xf>
    <xf numFmtId="165" fontId="3" fillId="0" borderId="0" xfId="0" applyNumberFormat="1" applyFont="1" applyFill="1"/>
    <xf numFmtId="165" fontId="3" fillId="0" borderId="1" xfId="0" applyNumberFormat="1" applyFont="1" applyFill="1" applyBorder="1"/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1" fillId="2" borderId="0" xfId="1" applyFont="1" applyFill="1" applyAlignment="1">
      <alignment horizontal="left"/>
    </xf>
    <xf numFmtId="43" fontId="11" fillId="2" borderId="2" xfId="1" applyFont="1" applyFill="1" applyBorder="1" applyAlignment="1">
      <alignment horizontal="center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3" fontId="11" fillId="0" borderId="8" xfId="1" quotePrefix="1" applyFont="1" applyBorder="1" applyAlignment="1">
      <alignment horizontal="center"/>
    </xf>
    <xf numFmtId="43" fontId="11" fillId="0" borderId="5" xfId="1" quotePrefix="1" applyFont="1" applyBorder="1" applyAlignment="1">
      <alignment horizontal="center"/>
    </xf>
    <xf numFmtId="43" fontId="11" fillId="0" borderId="6" xfId="1" quotePrefix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43" fontId="23" fillId="0" borderId="1" xfId="1" applyFont="1" applyFill="1" applyBorder="1" applyAlignment="1">
      <alignment horizontal="left"/>
    </xf>
    <xf numFmtId="0" fontId="4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779134295227528E-2"/>
          <c:y val="0.13539967373572595"/>
          <c:w val="0.8446170921198668"/>
          <c:h val="0.70146818923327892"/>
        </c:manualLayout>
      </c:layout>
      <c:lineChart>
        <c:grouping val="standard"/>
        <c:varyColors val="0"/>
        <c:ser>
          <c:idx val="0"/>
          <c:order val="0"/>
          <c:tx>
            <c:strRef>
              <c:f>[6]Valuation!$B$87</c:f>
              <c:strCache>
                <c:ptCount val="1"/>
                <c:pt idx="0">
                  <c:v>Cost of Contract Purchase (Status Quo)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[6]Valuation!$H$87:$AQ$87</c:f>
              <c:numCache>
                <c:formatCode>General</c:formatCode>
                <c:ptCount val="36"/>
                <c:pt idx="0">
                  <c:v>43.437338410741589</c:v>
                </c:pt>
                <c:pt idx="1">
                  <c:v>44.677346140453565</c:v>
                </c:pt>
                <c:pt idx="2">
                  <c:v>46.832884503779653</c:v>
                </c:pt>
                <c:pt idx="3">
                  <c:v>48.881466038847364</c:v>
                </c:pt>
                <c:pt idx="4">
                  <c:v>50.723324949188857</c:v>
                </c:pt>
                <c:pt idx="5">
                  <c:v>53.001626116548252</c:v>
                </c:pt>
                <c:pt idx="6">
                  <c:v>51.835918927809061</c:v>
                </c:pt>
                <c:pt idx="7">
                  <c:v>53.175204029183149</c:v>
                </c:pt>
                <c:pt idx="8">
                  <c:v>54.596897821612416</c:v>
                </c:pt>
                <c:pt idx="9">
                  <c:v>56.104739900597508</c:v>
                </c:pt>
                <c:pt idx="10">
                  <c:v>57.778071219693594</c:v>
                </c:pt>
                <c:pt idx="11">
                  <c:v>59.466714354559109</c:v>
                </c:pt>
                <c:pt idx="12">
                  <c:v>61.125067795442412</c:v>
                </c:pt>
                <c:pt idx="13">
                  <c:v>61.982972202301667</c:v>
                </c:pt>
                <c:pt idx="14">
                  <c:v>62.743269161933945</c:v>
                </c:pt>
                <c:pt idx="15">
                  <c:v>63.593360942423239</c:v>
                </c:pt>
                <c:pt idx="16">
                  <c:v>66.081049107759441</c:v>
                </c:pt>
                <c:pt idx="17">
                  <c:v>67.716912836377603</c:v>
                </c:pt>
                <c:pt idx="18">
                  <c:v>69.443926921914993</c:v>
                </c:pt>
                <c:pt idx="19">
                  <c:v>37.96162736281088</c:v>
                </c:pt>
                <c:pt idx="20">
                  <c:v>38.350144993374705</c:v>
                </c:pt>
                <c:pt idx="21">
                  <c:v>41.082993612688682</c:v>
                </c:pt>
                <c:pt idx="22">
                  <c:v>40.535712883254888</c:v>
                </c:pt>
                <c:pt idx="23">
                  <c:v>41.622176672062622</c:v>
                </c:pt>
                <c:pt idx="24">
                  <c:v>46.595264694329273</c:v>
                </c:pt>
                <c:pt idx="25">
                  <c:v>43.984405552191703</c:v>
                </c:pt>
                <c:pt idx="26">
                  <c:v>44.507275489217221</c:v>
                </c:pt>
                <c:pt idx="27">
                  <c:v>47.439389318901029</c:v>
                </c:pt>
                <c:pt idx="28">
                  <c:v>47.054838426099508</c:v>
                </c:pt>
                <c:pt idx="29">
                  <c:v>48.349562077306686</c:v>
                </c:pt>
                <c:pt idx="30">
                  <c:v>53.601236032200873</c:v>
                </c:pt>
                <c:pt idx="31">
                  <c:v>51.066617558912249</c:v>
                </c:pt>
                <c:pt idx="32">
                  <c:v>51.798531390189879</c:v>
                </c:pt>
                <c:pt idx="33">
                  <c:v>55.014549474889598</c:v>
                </c:pt>
                <c:pt idx="34">
                  <c:v>54.779618115272335</c:v>
                </c:pt>
                <c:pt idx="35">
                  <c:v>56.279606802527297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B-469D-8A5A-D65F806C53F6}"/>
            </c:ext>
          </c:extLst>
        </c:ser>
        <c:ser>
          <c:idx val="1"/>
          <c:order val="1"/>
          <c:tx>
            <c:strRef>
              <c:f>[6]Valuation!$A$39</c:f>
              <c:strCache>
                <c:ptCount val="1"/>
                <c:pt idx="0">
                  <c:v>Market Price - ERCOT 7x24 w/Wheeling (Pace)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[6]Valuation!$H$39:$AQ$39</c:f>
              <c:numCache>
                <c:formatCode>General</c:formatCode>
                <c:ptCount val="36"/>
                <c:pt idx="0">
                  <c:v>37.242367045424324</c:v>
                </c:pt>
                <c:pt idx="1">
                  <c:v>31.113730703956207</c:v>
                </c:pt>
                <c:pt idx="2">
                  <c:v>29.951771706852913</c:v>
                </c:pt>
                <c:pt idx="3">
                  <c:v>31.523412257672124</c:v>
                </c:pt>
                <c:pt idx="4">
                  <c:v>33.935229099445905</c:v>
                </c:pt>
                <c:pt idx="5">
                  <c:v>35.092072014523161</c:v>
                </c:pt>
                <c:pt idx="6">
                  <c:v>36.91360485180823</c:v>
                </c:pt>
                <c:pt idx="7">
                  <c:v>39.73241117254733</c:v>
                </c:pt>
                <c:pt idx="8">
                  <c:v>40.612389068550648</c:v>
                </c:pt>
                <c:pt idx="9">
                  <c:v>41.659400526072069</c:v>
                </c:pt>
                <c:pt idx="10">
                  <c:v>42.886850640474215</c:v>
                </c:pt>
                <c:pt idx="11">
                  <c:v>43.641232880530993</c:v>
                </c:pt>
                <c:pt idx="12">
                  <c:v>44.600722026511448</c:v>
                </c:pt>
                <c:pt idx="13">
                  <c:v>46.437335059612842</c:v>
                </c:pt>
                <c:pt idx="14">
                  <c:v>45.134710212582107</c:v>
                </c:pt>
                <c:pt idx="15">
                  <c:v>45.980703480541258</c:v>
                </c:pt>
                <c:pt idx="16">
                  <c:v>46.719347296062317</c:v>
                </c:pt>
                <c:pt idx="17">
                  <c:v>47.291516630540663</c:v>
                </c:pt>
                <c:pt idx="18">
                  <c:v>48.916753587034229</c:v>
                </c:pt>
                <c:pt idx="19">
                  <c:v>49.912469419476565</c:v>
                </c:pt>
                <c:pt idx="20">
                  <c:v>50.928453359392805</c:v>
                </c:pt>
                <c:pt idx="21">
                  <c:v>51.965117970455417</c:v>
                </c:pt>
                <c:pt idx="22">
                  <c:v>53.022884214199586</c:v>
                </c:pt>
                <c:pt idx="23">
                  <c:v>54.102181620964316</c:v>
                </c:pt>
                <c:pt idx="24">
                  <c:v>55.203448464313134</c:v>
                </c:pt>
                <c:pt idx="25">
                  <c:v>56.327131939005142</c:v>
                </c:pt>
                <c:pt idx="26">
                  <c:v>57.473688342588758</c:v>
                </c:pt>
                <c:pt idx="27">
                  <c:v>58.643583260691848</c:v>
                </c:pt>
                <c:pt idx="28">
                  <c:v>59.837291756083474</c:v>
                </c:pt>
                <c:pt idx="29">
                  <c:v>61.055298561584074</c:v>
                </c:pt>
                <c:pt idx="30">
                  <c:v>62.298098276902408</c:v>
                </c:pt>
                <c:pt idx="31">
                  <c:v>63.566195569479127</c:v>
                </c:pt>
                <c:pt idx="32">
                  <c:v>64.860105379418613</c:v>
                </c:pt>
                <c:pt idx="33">
                  <c:v>66.180353128592301</c:v>
                </c:pt>
                <c:pt idx="34">
                  <c:v>67.527474933998263</c:v>
                </c:pt>
                <c:pt idx="35">
                  <c:v>68.902017825463929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B-469D-8A5A-D65F806C53F6}"/>
            </c:ext>
          </c:extLst>
        </c:ser>
        <c:ser>
          <c:idx val="2"/>
          <c:order val="2"/>
          <c:tx>
            <c:strRef>
              <c:f>[6]Valuation!$B$317</c:f>
              <c:strCache>
                <c:ptCount val="1"/>
                <c:pt idx="0">
                  <c:v>Ownership/Operation (Saves $121.7 MM or 47%)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[6]Valuation!$H$317:$AQ$317</c:f>
              <c:numCache>
                <c:formatCode>General</c:formatCode>
                <c:ptCount val="36"/>
                <c:pt idx="0">
                  <c:v>47.930500563793743</c:v>
                </c:pt>
                <c:pt idx="1">
                  <c:v>46.577814700639635</c:v>
                </c:pt>
                <c:pt idx="2">
                  <c:v>47.1735573102657</c:v>
                </c:pt>
                <c:pt idx="3">
                  <c:v>50.101805896476002</c:v>
                </c:pt>
                <c:pt idx="4">
                  <c:v>49.901513013654601</c:v>
                </c:pt>
                <c:pt idx="5">
                  <c:v>51.199613680904307</c:v>
                </c:pt>
                <c:pt idx="6">
                  <c:v>51.040297167477533</c:v>
                </c:pt>
                <c:pt idx="7">
                  <c:v>47.383649175070616</c:v>
                </c:pt>
                <c:pt idx="8">
                  <c:v>47.294342539942882</c:v>
                </c:pt>
                <c:pt idx="9">
                  <c:v>52.08588737546593</c:v>
                </c:pt>
                <c:pt idx="10">
                  <c:v>49.369529583396812</c:v>
                </c:pt>
                <c:pt idx="11">
                  <c:v>50.068439493184073</c:v>
                </c:pt>
                <c:pt idx="12">
                  <c:v>54.279212935499956</c:v>
                </c:pt>
                <c:pt idx="13">
                  <c:v>42.776320108280501</c:v>
                </c:pt>
                <c:pt idx="14">
                  <c:v>42.726665569422103</c:v>
                </c:pt>
                <c:pt idx="15">
                  <c:v>45.273499719497394</c:v>
                </c:pt>
                <c:pt idx="16">
                  <c:v>44.768530050957146</c:v>
                </c:pt>
                <c:pt idx="17">
                  <c:v>45.527853904705673</c:v>
                </c:pt>
                <c:pt idx="18">
                  <c:v>50.25232018583484</c:v>
                </c:pt>
                <c:pt idx="19">
                  <c:v>47.837431382378327</c:v>
                </c:pt>
                <c:pt idx="20">
                  <c:v>48.221925393017287</c:v>
                </c:pt>
                <c:pt idx="21">
                  <c:v>50.920624454491126</c:v>
                </c:pt>
                <c:pt idx="22">
                  <c:v>50.337172658540446</c:v>
                </c:pt>
                <c:pt idx="23">
                  <c:v>51.357125609408016</c:v>
                </c:pt>
                <c:pt idx="24">
                  <c:v>56.317873554358243</c:v>
                </c:pt>
                <c:pt idx="25">
                  <c:v>42.543308216709505</c:v>
                </c:pt>
                <c:pt idx="26">
                  <c:v>43.020766073521067</c:v>
                </c:pt>
                <c:pt idx="27">
                  <c:v>45.907014034947522</c:v>
                </c:pt>
                <c:pt idx="28">
                  <c:v>45.469474071418432</c:v>
                </c:pt>
                <c:pt idx="29">
                  <c:v>46.71046496596999</c:v>
                </c:pt>
                <c:pt idx="30">
                  <c:v>51.90533011522205</c:v>
                </c:pt>
                <c:pt idx="31">
                  <c:v>49.312838413971214</c:v>
                </c:pt>
                <c:pt idx="32">
                  <c:v>49.979113536754966</c:v>
                </c:pt>
                <c:pt idx="33">
                  <c:v>53.128073692684602</c:v>
                </c:pt>
                <c:pt idx="34">
                  <c:v>52.822297870722451</c:v>
                </c:pt>
                <c:pt idx="35">
                  <c:v>54.249630458984086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0B-469D-8A5A-D65F806C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050943"/>
        <c:axId val="1"/>
      </c:lineChart>
      <c:catAx>
        <c:axId val="98405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3296337402885681E-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4050943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4.4395116537180909E-2"/>
          <c:y val="0.91517128874388254"/>
          <c:w val="0.9156492785793563"/>
          <c:h val="5.220228384991843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pageSetup orientation="landscape" r:id="rId1"/>
  <headerFooter alignWithMargins="0">
    <oddFooter>&amp;L&amp;F, &amp;A&amp;R&amp;D</oddFooter>
  </headerFooter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60</xdr:row>
      <xdr:rowOff>0</xdr:rowOff>
    </xdr:from>
    <xdr:to>
      <xdr:col>15</xdr:col>
      <xdr:colOff>0</xdr:colOff>
      <xdr:row>69</xdr:row>
      <xdr:rowOff>0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5369453A-EADA-14EA-833E-6E7D06BD4A51}"/>
            </a:ext>
          </a:extLst>
        </xdr:cNvPr>
        <xdr:cNvSpPr>
          <a:spLocks noChangeArrowheads="1"/>
        </xdr:cNvSpPr>
      </xdr:nvSpPr>
      <xdr:spPr bwMode="auto">
        <a:xfrm>
          <a:off x="1790700" y="9277350"/>
          <a:ext cx="4857750" cy="15144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20</xdr:row>
      <xdr:rowOff>0</xdr:rowOff>
    </xdr:from>
    <xdr:to>
      <xdr:col>6</xdr:col>
      <xdr:colOff>238125</xdr:colOff>
      <xdr:row>20</xdr:row>
      <xdr:rowOff>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B40D6A22-57DB-35F3-152A-B7DC108A5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133850"/>
          <a:ext cx="10953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504825</xdr:colOff>
      <xdr:row>13</xdr:row>
      <xdr:rowOff>0</xdr:rowOff>
    </xdr:from>
    <xdr:to>
      <xdr:col>6</xdr:col>
      <xdr:colOff>238125</xdr:colOff>
      <xdr:row>13</xdr:row>
      <xdr:rowOff>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496DF543-449C-1C34-DD4F-C2C7812D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705100"/>
          <a:ext cx="10953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6303350-452F-D6CB-3FF3-191CD0A566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0.53025</cdr:x>
      <cdr:y>0.15075</cdr:y>
    </cdr:from>
    <cdr:to>
      <cdr:x>0.53025</cdr:x>
      <cdr:y>0.83525</cdr:y>
    </cdr:to>
    <cdr:sp macro="" textlink="">
      <cdr:nvSpPr>
        <cdr:cNvPr id="7169" name="Line 1">
          <a:extLst xmlns:a="http://schemas.openxmlformats.org/drawingml/2006/main">
            <a:ext uri="{FF2B5EF4-FFF2-40B4-BE49-F238E27FC236}">
              <a16:creationId xmlns:a16="http://schemas.microsoft.com/office/drawing/2014/main" id="{EB4C1F3F-4226-D948-C1F1-CC32FDE66FDD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550619" y="880203"/>
          <a:ext cx="0" cy="399667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0.124</cdr:x>
      <cdr:y>0.6895</cdr:y>
    </cdr:from>
    <cdr:to>
      <cdr:x>0.4915</cdr:x>
      <cdr:y>0.72375</cdr:y>
    </cdr:to>
    <cdr:sp macro="" textlink="">
      <cdr:nvSpPr>
        <cdr:cNvPr id="7170" name="Rectangle 2">
          <a:extLst xmlns:a="http://schemas.openxmlformats.org/drawingml/2006/main">
            <a:ext uri="{FF2B5EF4-FFF2-40B4-BE49-F238E27FC236}">
              <a16:creationId xmlns:a16="http://schemas.microsoft.com/office/drawing/2014/main" id="{EDB58F69-A384-AD72-758E-BD7B205AFAA0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64171" y="4025870"/>
          <a:ext cx="3153894" cy="19998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Initial Term</a:t>
          </a:r>
        </a:p>
      </cdr:txBody>
    </cdr:sp>
  </cdr:relSizeAnchor>
  <cdr:relSizeAnchor xmlns:cdr="http://schemas.openxmlformats.org/drawingml/2006/chartDrawing">
    <cdr:from>
      <cdr:x>0.55975</cdr:x>
      <cdr:y>0.6895</cdr:y>
    </cdr:from>
    <cdr:to>
      <cdr:x>0.92725</cdr:x>
      <cdr:y>0.723</cdr:y>
    </cdr:to>
    <cdr:sp macro="" textlink="">
      <cdr:nvSpPr>
        <cdr:cNvPr id="7171" name="Rectangle 3">
          <a:extLst xmlns:a="http://schemas.openxmlformats.org/drawingml/2006/main">
            <a:ext uri="{FF2B5EF4-FFF2-40B4-BE49-F238E27FC236}">
              <a16:creationId xmlns:a16="http://schemas.microsoft.com/office/drawing/2014/main" id="{438692CF-F11E-B40B-A551-AA77ACBD95B5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03788" y="4025870"/>
          <a:ext cx="3153895" cy="19560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Renewal Term </a:t>
          </a:r>
        </a:p>
      </cdr:txBody>
    </cdr:sp>
  </cdr:relSizeAnchor>
  <cdr:relSizeAnchor xmlns:cdr="http://schemas.openxmlformats.org/drawingml/2006/chartDrawing">
    <cdr:from>
      <cdr:x>0.265</cdr:x>
      <cdr:y>0.23</cdr:y>
    </cdr:from>
    <cdr:to>
      <cdr:x>0.275</cdr:x>
      <cdr:y>0.266</cdr:y>
    </cdr:to>
    <cdr:sp macro="" textlink="">
      <cdr:nvSpPr>
        <cdr:cNvPr id="7172" name="Text Box 4">
          <a:extLst xmlns:a="http://schemas.openxmlformats.org/drawingml/2006/main">
            <a:ext uri="{FF2B5EF4-FFF2-40B4-BE49-F238E27FC236}">
              <a16:creationId xmlns:a16="http://schemas.microsoft.com/office/drawing/2014/main" id="{C29608A1-1ADE-B710-DC2E-85D616568C7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74237" y="1342930"/>
          <a:ext cx="85820" cy="210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0.11725</cdr:x>
      <cdr:y>0.77</cdr:y>
    </cdr:from>
    <cdr:to>
      <cdr:x>0.939</cdr:x>
      <cdr:y>0.8025</cdr:y>
    </cdr:to>
    <cdr:sp macro="" textlink="">
      <cdr:nvSpPr>
        <cdr:cNvPr id="7173" name="AutoShape 5">
          <a:extLst xmlns:a="http://schemas.openxmlformats.org/drawingml/2006/main">
            <a:ext uri="{FF2B5EF4-FFF2-40B4-BE49-F238E27FC236}">
              <a16:creationId xmlns:a16="http://schemas.microsoft.com/office/drawing/2014/main" id="{CC6B177D-8241-224A-F7B6-4B96F06A8468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06242" y="4495895"/>
          <a:ext cx="7052279" cy="189762"/>
        </a:xfrm>
        <a:prstGeom xmlns:a="http://schemas.openxmlformats.org/drawingml/2006/main" prst="homePlate">
          <a:avLst>
            <a:gd name="adj" fmla="val 159323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CC" mc:Ignorable="a14" a14:legacySpreadsheetColorIndex="26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Stranded Investment Through 2036 Is $252.5 MM</a:t>
          </a:r>
        </a:p>
      </cdr:txBody>
    </cdr:sp>
  </cdr:relSizeAnchor>
  <cdr:relSizeAnchor xmlns:cdr="http://schemas.openxmlformats.org/drawingml/2006/chartDrawing">
    <cdr:from>
      <cdr:x>0.43475</cdr:x>
      <cdr:y>0</cdr:y>
    </cdr:from>
    <cdr:to>
      <cdr:x>0.618</cdr:x>
      <cdr:y>0.08975</cdr:y>
    </cdr:to>
    <cdr:sp macro="" textlink="">
      <cdr:nvSpPr>
        <cdr:cNvPr id="7174" name="Text Box 6">
          <a:extLst xmlns:a="http://schemas.openxmlformats.org/drawingml/2006/main">
            <a:ext uri="{FF2B5EF4-FFF2-40B4-BE49-F238E27FC236}">
              <a16:creationId xmlns:a16="http://schemas.microsoft.com/office/drawing/2014/main" id="{D47DEC32-A1EE-0DEB-23CA-023BCC32BC9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1035" y="0"/>
          <a:ext cx="1572656" cy="5240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45720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 Black"/>
            </a:rPr>
            <a:t>Cleburne Plant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Black"/>
            </a:rPr>
            <a:t>PPE-ENA Offer</a:t>
          </a:r>
        </a:p>
      </cdr:txBody>
    </cdr:sp>
  </cdr:relSizeAnchor>
  <cdr:relSizeAnchor xmlns:cdr="http://schemas.openxmlformats.org/drawingml/2006/chartDrawing">
    <cdr:from>
      <cdr:x>0.2515</cdr:x>
      <cdr:y>0.0895</cdr:y>
    </cdr:from>
    <cdr:to>
      <cdr:x>0.791</cdr:x>
      <cdr:y>0.12375</cdr:y>
    </cdr:to>
    <cdr:sp macro="" textlink="">
      <cdr:nvSpPr>
        <cdr:cNvPr id="7175" name="Text Box 7">
          <a:extLst xmlns:a="http://schemas.openxmlformats.org/drawingml/2006/main">
            <a:ext uri="{FF2B5EF4-FFF2-40B4-BE49-F238E27FC236}">
              <a16:creationId xmlns:a16="http://schemas.microsoft.com/office/drawing/2014/main" id="{95E081D5-9074-7DDE-B080-7BBD8B957E9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58379" y="522575"/>
          <a:ext cx="4630003" cy="1999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This Information Is CONFIDENTIAL Per Section 5 of the Facilitation Agreement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9F59830E-8E7D-232D-BA8F-9B56072BA69D}"/>
            </a:ext>
          </a:extLst>
        </xdr:cNvPr>
        <xdr:cNvSpPr>
          <a:spLocks noChangeArrowheads="1"/>
        </xdr:cNvSpPr>
      </xdr:nvSpPr>
      <xdr:spPr bwMode="auto">
        <a:xfrm>
          <a:off x="1304925" y="781050"/>
          <a:ext cx="400050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speci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tergy%20Pump%20Storage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160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Risk%20Structuring/POWER%20PROJECTS/Cornhusker/spe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Valuations/offer%20comparis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Valuations/Brazos%20Buyout%20@%2010-Nov-00%20(WIP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 refreshError="1"/>
      <sheetData sheetId="1">
        <row r="7">
          <cell r="C7">
            <v>38353</v>
          </cell>
        </row>
        <row r="8">
          <cell r="C8">
            <v>40908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/>
      <sheetData sheetId="1">
        <row r="2">
          <cell r="C2">
            <v>36588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uation Summary"/>
      <sheetName val="Valuation"/>
      <sheetName val="PACE ERCOT Power Pricing"/>
      <sheetName val="PACE Waha Natural Gas Pricing"/>
      <sheetName val="PACE CPI (1998=100)"/>
    </sheetNames>
    <sheetDataSet>
      <sheetData sheetId="0"/>
      <sheetData sheetId="1">
        <row r="90">
          <cell r="B90" t="str">
            <v>DSCR Reserve</v>
          </cell>
        </row>
        <row r="91">
          <cell r="B91" t="str">
            <v>Overhaul Reserve</v>
          </cell>
        </row>
        <row r="92">
          <cell r="B92" t="str">
            <v>COBANK Stock - Book Value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Graph"/>
      <sheetName val="Summary Graph"/>
      <sheetName val="New Alternatives"/>
      <sheetName val="Valuation"/>
      <sheetName val="Litigation Analysis"/>
      <sheetName val="PACE ERCOT Power Pricing"/>
      <sheetName val="PACE Waha Natural Gas Pricing"/>
      <sheetName val="PACE CPI (1998=100)"/>
      <sheetName val="Alternatives"/>
      <sheetName val="Assumptions"/>
    </sheetNames>
    <sheetDataSet>
      <sheetData sheetId="0" refreshError="1"/>
      <sheetData sheetId="1" refreshError="1"/>
      <sheetData sheetId="2" refreshError="1"/>
      <sheetData sheetId="3">
        <row r="9">
          <cell r="H9">
            <v>2001</v>
          </cell>
          <cell r="I9">
            <v>2002</v>
          </cell>
          <cell r="J9">
            <v>2003</v>
          </cell>
          <cell r="K9">
            <v>2004</v>
          </cell>
          <cell r="L9">
            <v>2005</v>
          </cell>
          <cell r="M9">
            <v>2006</v>
          </cell>
          <cell r="N9">
            <v>2007</v>
          </cell>
          <cell r="O9">
            <v>2008</v>
          </cell>
          <cell r="P9">
            <v>2009</v>
          </cell>
          <cell r="Q9">
            <v>2010</v>
          </cell>
          <cell r="R9">
            <v>2011</v>
          </cell>
          <cell r="S9">
            <v>2012</v>
          </cell>
          <cell r="T9">
            <v>2013</v>
          </cell>
          <cell r="U9">
            <v>2014</v>
          </cell>
          <cell r="V9">
            <v>2015</v>
          </cell>
          <cell r="W9">
            <v>2016</v>
          </cell>
          <cell r="X9">
            <v>2017</v>
          </cell>
          <cell r="Y9">
            <v>2018</v>
          </cell>
          <cell r="Z9">
            <v>2019</v>
          </cell>
          <cell r="AA9">
            <v>2020</v>
          </cell>
          <cell r="AB9">
            <v>2021</v>
          </cell>
          <cell r="AC9">
            <v>2022</v>
          </cell>
          <cell r="AD9">
            <v>2023</v>
          </cell>
          <cell r="AE9">
            <v>2024</v>
          </cell>
          <cell r="AF9">
            <v>2025</v>
          </cell>
          <cell r="AG9">
            <v>2026</v>
          </cell>
          <cell r="AH9">
            <v>2027</v>
          </cell>
          <cell r="AI9">
            <v>2028</v>
          </cell>
          <cell r="AJ9">
            <v>2029</v>
          </cell>
          <cell r="AK9">
            <v>2030</v>
          </cell>
          <cell r="AL9">
            <v>2031</v>
          </cell>
          <cell r="AM9">
            <v>2032</v>
          </cell>
          <cell r="AN9">
            <v>2033</v>
          </cell>
          <cell r="AO9">
            <v>2034</v>
          </cell>
          <cell r="AP9">
            <v>2035</v>
          </cell>
          <cell r="AQ9">
            <v>2036</v>
          </cell>
        </row>
        <row r="39">
          <cell r="A39" t="str">
            <v>Market Price - ERCOT 7x24 w/Wheeling (Pace)</v>
          </cell>
          <cell r="H39">
            <v>37.242367045424324</v>
          </cell>
          <cell r="I39">
            <v>31.113730703956207</v>
          </cell>
          <cell r="J39">
            <v>29.951771706852913</v>
          </cell>
          <cell r="K39">
            <v>31.523412257672124</v>
          </cell>
          <cell r="L39">
            <v>33.935229099445905</v>
          </cell>
          <cell r="M39">
            <v>35.092072014523161</v>
          </cell>
          <cell r="N39">
            <v>36.91360485180823</v>
          </cell>
          <cell r="O39">
            <v>39.73241117254733</v>
          </cell>
          <cell r="P39">
            <v>40.612389068550648</v>
          </cell>
          <cell r="Q39">
            <v>41.659400526072069</v>
          </cell>
          <cell r="R39">
            <v>42.886850640474215</v>
          </cell>
          <cell r="S39">
            <v>43.641232880530993</v>
          </cell>
          <cell r="T39">
            <v>44.600722026511448</v>
          </cell>
          <cell r="U39">
            <v>46.437335059612842</v>
          </cell>
          <cell r="V39">
            <v>45.134710212582107</v>
          </cell>
          <cell r="W39">
            <v>45.980703480541258</v>
          </cell>
          <cell r="X39">
            <v>46.719347296062317</v>
          </cell>
          <cell r="Y39">
            <v>47.291516630540663</v>
          </cell>
          <cell r="Z39">
            <v>48.916753587034229</v>
          </cell>
          <cell r="AA39">
            <v>49.912469419476565</v>
          </cell>
          <cell r="AB39">
            <v>50.928453359392805</v>
          </cell>
          <cell r="AC39">
            <v>51.965117970455417</v>
          </cell>
          <cell r="AD39">
            <v>53.022884214199586</v>
          </cell>
          <cell r="AE39">
            <v>54.102181620964316</v>
          </cell>
          <cell r="AF39">
            <v>55.203448464313134</v>
          </cell>
          <cell r="AG39">
            <v>56.327131939005142</v>
          </cell>
          <cell r="AH39">
            <v>57.473688342588758</v>
          </cell>
          <cell r="AI39">
            <v>58.643583260691848</v>
          </cell>
          <cell r="AJ39">
            <v>59.837291756083474</v>
          </cell>
          <cell r="AK39">
            <v>61.055298561584074</v>
          </cell>
          <cell r="AL39">
            <v>62.298098276902408</v>
          </cell>
          <cell r="AM39">
            <v>63.566195569479127</v>
          </cell>
          <cell r="AN39">
            <v>64.860105379418613</v>
          </cell>
          <cell r="AO39">
            <v>66.180353128592301</v>
          </cell>
          <cell r="AP39">
            <v>67.527474933998263</v>
          </cell>
          <cell r="AQ39">
            <v>68.902017825463929</v>
          </cell>
        </row>
        <row r="87">
          <cell r="B87" t="str">
            <v>Cost of Contract Purchase (Status Quo)</v>
          </cell>
          <cell r="H87">
            <v>43.437338410741589</v>
          </cell>
          <cell r="I87">
            <v>44.677346140453565</v>
          </cell>
          <cell r="J87">
            <v>46.832884503779653</v>
          </cell>
          <cell r="K87">
            <v>48.881466038847364</v>
          </cell>
          <cell r="L87">
            <v>50.723324949188857</v>
          </cell>
          <cell r="M87">
            <v>53.001626116548252</v>
          </cell>
          <cell r="N87">
            <v>51.835918927809061</v>
          </cell>
          <cell r="O87">
            <v>53.175204029183149</v>
          </cell>
          <cell r="P87">
            <v>54.596897821612416</v>
          </cell>
          <cell r="Q87">
            <v>56.104739900597508</v>
          </cell>
          <cell r="R87">
            <v>57.778071219693594</v>
          </cell>
          <cell r="S87">
            <v>59.466714354559109</v>
          </cell>
          <cell r="T87">
            <v>61.125067795442412</v>
          </cell>
          <cell r="U87">
            <v>61.982972202301667</v>
          </cell>
          <cell r="V87">
            <v>62.743269161933945</v>
          </cell>
          <cell r="W87">
            <v>63.593360942423239</v>
          </cell>
          <cell r="X87">
            <v>66.081049107759441</v>
          </cell>
          <cell r="Y87">
            <v>67.716912836377603</v>
          </cell>
          <cell r="Z87">
            <v>69.443926921914993</v>
          </cell>
          <cell r="AA87">
            <v>37.96162736281088</v>
          </cell>
          <cell r="AB87">
            <v>38.350144993374705</v>
          </cell>
          <cell r="AC87">
            <v>41.082993612688682</v>
          </cell>
          <cell r="AD87">
            <v>40.535712883254888</v>
          </cell>
          <cell r="AE87">
            <v>41.622176672062622</v>
          </cell>
          <cell r="AF87">
            <v>46.595264694329273</v>
          </cell>
          <cell r="AG87">
            <v>43.984405552191703</v>
          </cell>
          <cell r="AH87">
            <v>44.507275489217221</v>
          </cell>
          <cell r="AI87">
            <v>47.439389318901029</v>
          </cell>
          <cell r="AJ87">
            <v>47.054838426099508</v>
          </cell>
          <cell r="AK87">
            <v>48.349562077306686</v>
          </cell>
          <cell r="AL87">
            <v>53.601236032200873</v>
          </cell>
          <cell r="AM87">
            <v>51.066617558912249</v>
          </cell>
          <cell r="AN87">
            <v>51.798531390189879</v>
          </cell>
          <cell r="AO87">
            <v>55.014549474889598</v>
          </cell>
          <cell r="AP87">
            <v>54.779618115272335</v>
          </cell>
          <cell r="AQ87">
            <v>56.279606802527297</v>
          </cell>
        </row>
        <row r="317">
          <cell r="B317" t="str">
            <v>Ownership/Operation (Saves $121.7 MM or 47%)</v>
          </cell>
          <cell r="H317">
            <v>47.930500563793743</v>
          </cell>
          <cell r="I317">
            <v>46.577814700639635</v>
          </cell>
          <cell r="J317">
            <v>47.1735573102657</v>
          </cell>
          <cell r="K317">
            <v>50.101805896476002</v>
          </cell>
          <cell r="L317">
            <v>49.901513013654601</v>
          </cell>
          <cell r="M317">
            <v>51.199613680904307</v>
          </cell>
          <cell r="N317">
            <v>51.040297167477533</v>
          </cell>
          <cell r="O317">
            <v>47.383649175070616</v>
          </cell>
          <cell r="P317">
            <v>47.294342539942882</v>
          </cell>
          <cell r="Q317">
            <v>52.08588737546593</v>
          </cell>
          <cell r="R317">
            <v>49.369529583396812</v>
          </cell>
          <cell r="S317">
            <v>50.068439493184073</v>
          </cell>
          <cell r="T317">
            <v>54.279212935499956</v>
          </cell>
          <cell r="U317">
            <v>42.776320108280501</v>
          </cell>
          <cell r="V317">
            <v>42.726665569422103</v>
          </cell>
          <cell r="W317">
            <v>45.273499719497394</v>
          </cell>
          <cell r="X317">
            <v>44.768530050957146</v>
          </cell>
          <cell r="Y317">
            <v>45.527853904705673</v>
          </cell>
          <cell r="Z317">
            <v>50.25232018583484</v>
          </cell>
          <cell r="AA317">
            <v>47.837431382378327</v>
          </cell>
          <cell r="AB317">
            <v>48.221925393017287</v>
          </cell>
          <cell r="AC317">
            <v>50.920624454491126</v>
          </cell>
          <cell r="AD317">
            <v>50.337172658540446</v>
          </cell>
          <cell r="AE317">
            <v>51.357125609408016</v>
          </cell>
          <cell r="AF317">
            <v>56.317873554358243</v>
          </cell>
          <cell r="AG317">
            <v>42.543308216709505</v>
          </cell>
          <cell r="AH317">
            <v>43.020766073521067</v>
          </cell>
          <cell r="AI317">
            <v>45.907014034947522</v>
          </cell>
          <cell r="AJ317">
            <v>45.469474071418432</v>
          </cell>
          <cell r="AK317">
            <v>46.71046496596999</v>
          </cell>
          <cell r="AL317">
            <v>51.90533011522205</v>
          </cell>
          <cell r="AM317">
            <v>49.312838413971214</v>
          </cell>
          <cell r="AN317">
            <v>49.979113536754966</v>
          </cell>
          <cell r="AO317">
            <v>53.128073692684602</v>
          </cell>
          <cell r="AP317">
            <v>52.822297870722451</v>
          </cell>
          <cell r="AQ317">
            <v>54.249630458984086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7"/>
  <sheetViews>
    <sheetView tabSelected="1" zoomScale="75" workbookViewId="0">
      <selection activeCell="S34" sqref="S34"/>
    </sheetView>
  </sheetViews>
  <sheetFormatPr defaultRowHeight="12.75"/>
  <cols>
    <col min="1" max="2" width="2.7109375" style="9" customWidth="1"/>
    <col min="3" max="5" width="10.7109375" style="9" customWidth="1"/>
    <col min="6" max="6" width="1.7109375" style="9" customWidth="1"/>
    <col min="7" max="7" width="10.7109375" style="9" customWidth="1"/>
    <col min="8" max="8" width="1.7109375" style="9" customWidth="1"/>
    <col min="9" max="9" width="10.7109375" style="9" customWidth="1"/>
    <col min="10" max="10" width="1.7109375" style="9" customWidth="1"/>
    <col min="11" max="11" width="10.7109375" style="9" customWidth="1"/>
    <col min="12" max="12" width="1.7109375" style="9" customWidth="1"/>
    <col min="13" max="13" width="10.7109375" style="9" customWidth="1"/>
    <col min="14" max="14" width="1.7109375" style="9" customWidth="1"/>
    <col min="15" max="15" width="10.7109375" style="9" customWidth="1"/>
    <col min="16" max="16" width="2.7109375" style="9" customWidth="1"/>
    <col min="17" max="17" width="10.7109375" style="9" customWidth="1"/>
    <col min="18" max="18" width="2.7109375" style="9" customWidth="1"/>
    <col min="19" max="34" width="10.7109375" style="9" customWidth="1"/>
    <col min="35" max="16384" width="9.140625" style="9"/>
  </cols>
  <sheetData>
    <row r="1" spans="1:19" ht="22.5">
      <c r="A1" s="247" t="s">
        <v>99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</row>
    <row r="2" spans="1:19" ht="15">
      <c r="A2" s="248" t="s">
        <v>105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</row>
    <row r="3" spans="1:19" ht="15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</row>
    <row r="4" spans="1:19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5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</row>
    <row r="7" spans="1:19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>
      <c r="A8" s="250" t="s">
        <v>101</v>
      </c>
      <c r="B8" s="250"/>
      <c r="C8" s="250"/>
      <c r="D8" s="250"/>
      <c r="E8" s="250"/>
      <c r="F8" s="250"/>
      <c r="H8" s="45"/>
      <c r="I8" s="45"/>
      <c r="J8" s="147"/>
      <c r="K8" s="45"/>
      <c r="L8" s="45"/>
      <c r="M8" s="45"/>
      <c r="N8" s="45"/>
      <c r="O8" s="128"/>
      <c r="P8" s="45"/>
      <c r="Q8" s="45"/>
      <c r="R8" s="148"/>
      <c r="S8" s="151">
        <v>263000</v>
      </c>
    </row>
    <row r="9" spans="1:19">
      <c r="A9" s="146"/>
      <c r="B9" s="146"/>
      <c r="C9" s="146"/>
      <c r="D9" s="146"/>
      <c r="E9" s="146"/>
      <c r="F9" s="146"/>
      <c r="H9" s="45"/>
      <c r="I9" s="45"/>
      <c r="J9" s="147"/>
      <c r="K9" s="45"/>
      <c r="L9" s="45"/>
      <c r="M9" s="45"/>
      <c r="N9" s="45"/>
      <c r="O9" s="128"/>
      <c r="P9" s="45"/>
      <c r="Q9" s="45"/>
      <c r="R9" s="148"/>
    </row>
    <row r="10" spans="1:19">
      <c r="A10" s="133" t="s">
        <v>100</v>
      </c>
      <c r="B10" s="45"/>
      <c r="C10" s="45"/>
      <c r="D10" s="45"/>
      <c r="E10" s="45"/>
      <c r="F10" s="45"/>
      <c r="H10" s="45"/>
      <c r="I10" s="45"/>
      <c r="J10" s="149"/>
      <c r="K10" s="45"/>
      <c r="L10" s="45"/>
      <c r="M10" s="45"/>
      <c r="N10" s="45"/>
      <c r="O10" s="128"/>
      <c r="P10" s="45"/>
      <c r="Q10" s="45"/>
      <c r="R10" s="150"/>
      <c r="S10" s="152">
        <v>0.05</v>
      </c>
    </row>
    <row r="12" spans="1:19">
      <c r="A12" s="14" t="s">
        <v>16</v>
      </c>
      <c r="G12" s="239" t="str">
        <f>CONCATENATE('Damage Calculations'!T12/1000," MW")</f>
        <v>240 MW</v>
      </c>
      <c r="H12" s="240"/>
      <c r="I12" s="240"/>
      <c r="J12" s="240"/>
      <c r="K12" s="240"/>
      <c r="L12" s="240"/>
      <c r="M12" s="241"/>
      <c r="O12" s="30" t="s">
        <v>35</v>
      </c>
      <c r="Q12" s="30" t="s">
        <v>36</v>
      </c>
      <c r="S12" s="30" t="s">
        <v>37</v>
      </c>
    </row>
    <row r="13" spans="1:19">
      <c r="A13" s="14"/>
    </row>
    <row r="14" spans="1:19">
      <c r="A14" s="14" t="s">
        <v>38</v>
      </c>
      <c r="G14" s="31">
        <v>35430</v>
      </c>
      <c r="I14" s="31">
        <v>36891</v>
      </c>
      <c r="K14" s="31">
        <v>35430</v>
      </c>
      <c r="M14" s="31">
        <v>36891</v>
      </c>
      <c r="O14" s="31">
        <v>36891</v>
      </c>
      <c r="Q14" s="31">
        <v>36891</v>
      </c>
      <c r="S14" s="31">
        <v>36891</v>
      </c>
    </row>
    <row r="16" spans="1:19" ht="30">
      <c r="G16" s="242" t="s">
        <v>39</v>
      </c>
      <c r="H16" s="242"/>
      <c r="I16" s="242"/>
      <c r="J16" s="33"/>
      <c r="K16" s="242" t="s">
        <v>40</v>
      </c>
      <c r="L16" s="242"/>
      <c r="M16" s="242"/>
      <c r="N16" s="33"/>
      <c r="O16" s="32" t="s">
        <v>40</v>
      </c>
      <c r="Q16" s="32" t="s">
        <v>40</v>
      </c>
      <c r="S16" s="32" t="s">
        <v>40</v>
      </c>
    </row>
    <row r="18" spans="1:19" ht="15">
      <c r="A18" s="243" t="s">
        <v>41</v>
      </c>
      <c r="B18" s="243"/>
      <c r="C18" s="243"/>
      <c r="D18" s="243"/>
      <c r="E18" s="243"/>
      <c r="F18" s="122"/>
    </row>
    <row r="19" spans="1:19">
      <c r="A19" s="144" t="s">
        <v>42</v>
      </c>
      <c r="B19" s="144"/>
      <c r="C19" s="144"/>
      <c r="D19" s="144"/>
      <c r="E19" s="14"/>
      <c r="F19" s="14"/>
    </row>
    <row r="20" spans="1:19">
      <c r="A20" s="144" t="s">
        <v>43</v>
      </c>
      <c r="B20" s="144"/>
      <c r="C20" s="144"/>
      <c r="D20" s="144"/>
      <c r="E20" s="14"/>
      <c r="F20" s="14"/>
    </row>
    <row r="21" spans="1:19">
      <c r="A21" s="144" t="s">
        <v>44</v>
      </c>
      <c r="B21" s="144"/>
      <c r="C21" s="144"/>
      <c r="D21" s="144"/>
      <c r="E21" s="14"/>
      <c r="F21" s="14"/>
    </row>
    <row r="22" spans="1:19" ht="4.5" customHeight="1">
      <c r="A22" s="89"/>
      <c r="B22" s="89"/>
      <c r="C22" s="89"/>
      <c r="D22" s="89"/>
    </row>
    <row r="23" spans="1:19">
      <c r="A23" s="89"/>
      <c r="B23" s="144" t="str">
        <f>CONCATENATE("PV",ROUND('Damage Calculations'!$F$9*100,2)," of Net Capacity Payments")</f>
        <v>PV5 of Net Capacity Payments</v>
      </c>
      <c r="C23" s="144"/>
      <c r="D23" s="89"/>
      <c r="G23" s="79">
        <f>+'Damage Calculations'!$T$13</f>
        <v>534874.64896712685</v>
      </c>
      <c r="I23" s="79">
        <f>+'Damage Calculations'!$Z$13</f>
        <v>500459.07762931945</v>
      </c>
      <c r="K23" s="79">
        <f>+'Damage Calculations'!$T$13</f>
        <v>534874.64896712685</v>
      </c>
      <c r="M23" s="79">
        <f>+'Damage Calculations'!$Z$13</f>
        <v>500459.07762931945</v>
      </c>
      <c r="O23" s="34"/>
      <c r="Q23" s="34"/>
      <c r="S23" s="34"/>
    </row>
    <row r="24" spans="1:19">
      <c r="A24" s="89"/>
      <c r="B24" s="144" t="s">
        <v>98</v>
      </c>
      <c r="C24" s="144"/>
      <c r="D24" s="89"/>
      <c r="I24" s="35"/>
      <c r="M24" s="35"/>
    </row>
    <row r="25" spans="1:19" ht="4.5" customHeight="1">
      <c r="A25" s="89"/>
      <c r="B25" s="144"/>
      <c r="C25" s="144"/>
      <c r="D25" s="89"/>
      <c r="I25" s="35"/>
      <c r="M25" s="35"/>
    </row>
    <row r="26" spans="1:19">
      <c r="A26" s="89"/>
      <c r="B26" s="144" t="s">
        <v>45</v>
      </c>
      <c r="C26" s="144"/>
      <c r="D26" s="89"/>
      <c r="G26" s="114">
        <v>175275</v>
      </c>
      <c r="H26" s="115"/>
      <c r="I26" s="114">
        <f>147230+18891</f>
        <v>166121</v>
      </c>
      <c r="J26" s="116"/>
      <c r="K26" s="114">
        <v>150300.039051</v>
      </c>
      <c r="L26" s="114"/>
      <c r="M26" s="114">
        <v>145482.25</v>
      </c>
      <c r="O26" s="37"/>
      <c r="Q26" s="37"/>
      <c r="S26" s="37"/>
    </row>
    <row r="27" spans="1:19" ht="4.5" customHeight="1">
      <c r="A27" s="89"/>
      <c r="B27" s="144"/>
      <c r="C27" s="144"/>
      <c r="D27" s="89"/>
    </row>
    <row r="28" spans="1:19" ht="15">
      <c r="A28" s="89"/>
      <c r="B28" s="144" t="s">
        <v>46</v>
      </c>
      <c r="C28" s="144"/>
      <c r="D28" s="89"/>
      <c r="G28" s="117">
        <v>0</v>
      </c>
      <c r="H28" s="117"/>
      <c r="I28" s="117">
        <v>-6888</v>
      </c>
      <c r="J28" s="118"/>
      <c r="K28" s="117">
        <v>0</v>
      </c>
      <c r="L28" s="117"/>
      <c r="M28" s="117">
        <v>-6888</v>
      </c>
      <c r="O28" s="39"/>
      <c r="Q28" s="39"/>
      <c r="S28" s="39"/>
    </row>
    <row r="29" spans="1:19" ht="4.5" customHeight="1">
      <c r="A29" s="89"/>
      <c r="B29" s="144"/>
      <c r="C29" s="144"/>
      <c r="D29" s="89"/>
    </row>
    <row r="30" spans="1:19">
      <c r="A30" s="89"/>
      <c r="B30" s="144" t="s">
        <v>47</v>
      </c>
      <c r="C30" s="144"/>
      <c r="D30" s="89"/>
      <c r="G30" s="37">
        <f>+G23-G26-G28</f>
        <v>359599.64896712685</v>
      </c>
      <c r="H30" s="37"/>
      <c r="I30" s="37">
        <f>+I23-I26-I28</f>
        <v>341226.07762931945</v>
      </c>
      <c r="K30" s="37">
        <f>+K23-K26-K28</f>
        <v>384574.60991612682</v>
      </c>
      <c r="L30" s="37"/>
      <c r="M30" s="37">
        <f>+M23-M26-M28</f>
        <v>361864.82762931945</v>
      </c>
      <c r="O30" s="37"/>
      <c r="Q30" s="37"/>
      <c r="S30" s="37"/>
    </row>
    <row r="31" spans="1:19">
      <c r="A31" s="89"/>
      <c r="B31" s="89"/>
      <c r="C31" s="89"/>
      <c r="D31" s="89"/>
    </row>
    <row r="32" spans="1:19">
      <c r="A32" s="89"/>
      <c r="B32" s="89"/>
      <c r="C32" s="89"/>
      <c r="D32" s="89"/>
    </row>
    <row r="33" spans="1:19" ht="15">
      <c r="A33" s="243" t="s">
        <v>48</v>
      </c>
      <c r="B33" s="243"/>
      <c r="C33" s="243"/>
      <c r="D33" s="243"/>
      <c r="E33" s="243"/>
      <c r="F33" s="122"/>
      <c r="S33" s="155"/>
    </row>
    <row r="34" spans="1:19">
      <c r="A34" s="144" t="s">
        <v>77</v>
      </c>
      <c r="B34" s="144"/>
      <c r="C34" s="144"/>
      <c r="D34" s="144"/>
      <c r="E34" s="14"/>
      <c r="F34" s="14"/>
      <c r="G34" s="91"/>
      <c r="S34" s="160" t="s">
        <v>102</v>
      </c>
    </row>
    <row r="35" spans="1:19">
      <c r="A35" s="144" t="s">
        <v>49</v>
      </c>
      <c r="B35" s="144"/>
      <c r="C35" s="144"/>
      <c r="D35" s="144"/>
      <c r="E35" s="14"/>
      <c r="F35" s="14"/>
      <c r="S35" s="156"/>
    </row>
    <row r="36" spans="1:19" ht="5.25" customHeight="1">
      <c r="A36" s="144"/>
      <c r="B36" s="144"/>
      <c r="C36" s="144"/>
      <c r="D36" s="144"/>
      <c r="E36" s="14"/>
      <c r="F36" s="14"/>
      <c r="S36" s="156"/>
    </row>
    <row r="37" spans="1:19">
      <c r="A37" s="144"/>
      <c r="B37" s="144" t="str">
        <f>CONCATENATE("PV",ROUND('Damage Calculations'!$F$9*100,2)," of Net Capacity Payments")</f>
        <v>PV5 of Net Capacity Payments</v>
      </c>
      <c r="C37" s="144"/>
      <c r="D37" s="144"/>
      <c r="E37" s="14"/>
      <c r="F37" s="14"/>
      <c r="M37" s="79">
        <f>+'Damage Calculations'!Z17</f>
        <v>507998.17677863472</v>
      </c>
      <c r="N37" s="35"/>
      <c r="O37" s="79">
        <f>+'Damage Calculations'!AA17</f>
        <v>518581.47212818963</v>
      </c>
      <c r="P37" s="35"/>
      <c r="Q37" s="79">
        <f>+'Damage Calculations'!AB17</f>
        <v>546098.04003703222</v>
      </c>
      <c r="R37" s="35"/>
      <c r="S37" s="157">
        <f>+'Damage Calculations'!AC17</f>
        <v>556681.33538658707</v>
      </c>
    </row>
    <row r="38" spans="1:19" ht="5.25" customHeight="1">
      <c r="A38" s="144"/>
      <c r="B38" s="144"/>
      <c r="C38" s="144"/>
      <c r="D38" s="144"/>
      <c r="E38" s="14"/>
      <c r="F38" s="14"/>
      <c r="S38" s="156"/>
    </row>
    <row r="39" spans="1:19">
      <c r="A39" s="144"/>
      <c r="B39" s="144" t="s">
        <v>47</v>
      </c>
      <c r="C39" s="144"/>
      <c r="D39" s="144"/>
      <c r="E39" s="14"/>
      <c r="F39" s="14"/>
      <c r="M39" s="37">
        <f>+M37-$M$26-$M$28</f>
        <v>369403.92677863472</v>
      </c>
      <c r="O39" s="37">
        <f>+O37-$M$26-$M$28</f>
        <v>379987.22212818963</v>
      </c>
      <c r="Q39" s="37">
        <f>+Q37-$M$26-$M$28</f>
        <v>407503.79003703222</v>
      </c>
      <c r="S39" s="158">
        <f>+S37-$M$26-$M$28</f>
        <v>418087.08538658707</v>
      </c>
    </row>
    <row r="40" spans="1:19">
      <c r="A40" s="89"/>
      <c r="B40" s="89"/>
      <c r="C40" s="89"/>
      <c r="D40" s="89"/>
      <c r="S40" s="159"/>
    </row>
    <row r="41" spans="1:19" ht="15">
      <c r="A41" s="243" t="s">
        <v>50</v>
      </c>
      <c r="B41" s="243"/>
      <c r="C41" s="243"/>
      <c r="D41" s="243"/>
      <c r="E41" s="243"/>
      <c r="F41" s="122"/>
    </row>
    <row r="42" spans="1:19">
      <c r="A42" s="144" t="s">
        <v>51</v>
      </c>
      <c r="B42" s="144"/>
      <c r="C42" s="144"/>
      <c r="D42" s="144"/>
      <c r="E42" s="14"/>
      <c r="F42" s="14"/>
    </row>
    <row r="43" spans="1:19">
      <c r="A43" s="144" t="s">
        <v>94</v>
      </c>
      <c r="B43" s="144"/>
      <c r="C43" s="144"/>
      <c r="D43" s="144"/>
      <c r="E43" s="14"/>
      <c r="F43" s="14"/>
    </row>
    <row r="44" spans="1:19">
      <c r="A44" s="144" t="s">
        <v>83</v>
      </c>
      <c r="B44" s="144"/>
      <c r="C44" s="144"/>
      <c r="D44" s="144"/>
      <c r="E44" s="14"/>
      <c r="F44" s="14"/>
    </row>
    <row r="45" spans="1:19" ht="4.5" customHeight="1">
      <c r="A45" s="144"/>
      <c r="B45" s="144"/>
      <c r="C45" s="144"/>
      <c r="D45" s="144"/>
      <c r="E45" s="14"/>
      <c r="F45" s="14"/>
    </row>
    <row r="46" spans="1:19">
      <c r="A46" s="144"/>
      <c r="B46" s="144" t="str">
        <f>CONCATENATE("PV",ROUND('Damage Calculations'!$F$9*100,2)," of Net Capacity Payments")</f>
        <v>PV5 of Net Capacity Payments</v>
      </c>
      <c r="C46" s="144"/>
      <c r="D46" s="144"/>
      <c r="E46" s="14"/>
      <c r="F46" s="14"/>
      <c r="M46" s="79">
        <f>+'Damage Calculations'!Z21</f>
        <v>501468.40578180127</v>
      </c>
      <c r="N46" s="35"/>
      <c r="O46" s="79">
        <f>+'Damage Calculations'!AA21</f>
        <v>511495.56104549806</v>
      </c>
      <c r="P46" s="35"/>
      <c r="Q46" s="79">
        <f>+'Damage Calculations'!AB21</f>
        <v>537566.16473110789</v>
      </c>
      <c r="R46" s="35"/>
      <c r="S46" s="79">
        <f>+'Damage Calculations'!AC21</f>
        <v>547593.31999480433</v>
      </c>
    </row>
    <row r="47" spans="1:19" ht="4.5" customHeight="1">
      <c r="A47" s="144"/>
      <c r="B47" s="144"/>
      <c r="C47" s="144"/>
      <c r="D47" s="144"/>
      <c r="E47" s="14"/>
      <c r="F47" s="14"/>
    </row>
    <row r="48" spans="1:19">
      <c r="A48" s="144"/>
      <c r="B48" s="144" t="s">
        <v>47</v>
      </c>
      <c r="C48" s="144"/>
      <c r="D48" s="144"/>
      <c r="E48" s="14"/>
      <c r="F48" s="14"/>
      <c r="M48" s="37">
        <f>+M46-$M$26-$M$28</f>
        <v>362874.15578180127</v>
      </c>
      <c r="O48" s="37">
        <f>+O46-$M$26-$M$28</f>
        <v>372901.31104549806</v>
      </c>
      <c r="Q48" s="37">
        <f>+Q46-$M$26-$M$28</f>
        <v>398971.91473110789</v>
      </c>
      <c r="S48" s="37">
        <f>+S46-$M$26-$M$28</f>
        <v>408999.06999480433</v>
      </c>
    </row>
    <row r="49" spans="1:19">
      <c r="A49" s="144"/>
      <c r="B49" s="144"/>
      <c r="C49" s="144"/>
      <c r="D49" s="144"/>
      <c r="E49" s="14"/>
      <c r="F49" s="14"/>
    </row>
    <row r="50" spans="1:19" ht="15">
      <c r="A50" s="243" t="s">
        <v>81</v>
      </c>
      <c r="B50" s="243"/>
      <c r="C50" s="243"/>
      <c r="D50" s="243"/>
      <c r="E50" s="243"/>
      <c r="F50" s="122"/>
    </row>
    <row r="51" spans="1:19">
      <c r="A51" s="144" t="s">
        <v>51</v>
      </c>
      <c r="B51" s="144"/>
      <c r="C51" s="144"/>
      <c r="D51" s="144"/>
      <c r="E51" s="14"/>
      <c r="F51" s="14"/>
    </row>
    <row r="52" spans="1:19">
      <c r="A52" s="144" t="s">
        <v>95</v>
      </c>
      <c r="B52" s="144"/>
      <c r="C52" s="144"/>
      <c r="D52" s="144"/>
      <c r="E52" s="14"/>
      <c r="F52" s="14"/>
    </row>
    <row r="53" spans="1:19">
      <c r="A53" s="144" t="s">
        <v>78</v>
      </c>
      <c r="B53" s="144"/>
      <c r="C53" s="144"/>
      <c r="D53" s="144"/>
      <c r="E53" s="14"/>
      <c r="F53" s="14"/>
    </row>
    <row r="54" spans="1:19" ht="5.25" customHeight="1">
      <c r="A54" s="144"/>
      <c r="B54" s="144"/>
      <c r="C54" s="144"/>
      <c r="D54" s="144"/>
      <c r="E54" s="14"/>
      <c r="F54" s="14"/>
      <c r="O54" s="38"/>
    </row>
    <row r="55" spans="1:19">
      <c r="A55" s="144"/>
      <c r="B55" s="144" t="str">
        <f>CONCATENATE("PV",ROUND('Damage Calculations'!$F$9*100,2)," of Net Capacity Payments")</f>
        <v>PV5 of Net Capacity Payments</v>
      </c>
      <c r="C55" s="144"/>
      <c r="D55" s="144"/>
      <c r="E55" s="14"/>
      <c r="F55" s="14"/>
      <c r="M55" s="79">
        <f>+'Damage Calculations'!Z25</f>
        <v>481303.45265742124</v>
      </c>
      <c r="O55" s="79">
        <f>+'Damage Calculations'!AA25</f>
        <v>491330.60792111797</v>
      </c>
      <c r="P55" s="35"/>
      <c r="Q55" s="79">
        <f>+'Damage Calculations'!AB25</f>
        <v>517401.21160672774</v>
      </c>
      <c r="R55" s="35"/>
      <c r="S55" s="79">
        <f>+'Damage Calculations'!AC25</f>
        <v>527428.36687042424</v>
      </c>
    </row>
    <row r="56" spans="1:19" ht="5.25" customHeight="1">
      <c r="A56" s="144"/>
      <c r="B56" s="144"/>
      <c r="C56" s="144"/>
      <c r="D56" s="144"/>
      <c r="E56" s="14"/>
      <c r="F56" s="14"/>
    </row>
    <row r="57" spans="1:19">
      <c r="A57" s="144"/>
      <c r="B57" s="144" t="s">
        <v>47</v>
      </c>
      <c r="C57" s="144"/>
      <c r="D57" s="144"/>
      <c r="E57" s="14"/>
      <c r="F57" s="14"/>
      <c r="M57" s="37">
        <f>+M55-$M$26-$M$28</f>
        <v>342709.20265742124</v>
      </c>
      <c r="O57" s="37">
        <f>+O55-$M$26-$M$28</f>
        <v>352736.35792111797</v>
      </c>
      <c r="Q57" s="37">
        <f>+Q55-$M$26-$M$28</f>
        <v>378806.96160672774</v>
      </c>
      <c r="S57" s="37">
        <f>+S55-$M$26-$M$28</f>
        <v>388834.11687042424</v>
      </c>
    </row>
    <row r="58" spans="1:19">
      <c r="A58" s="89"/>
      <c r="B58" s="89"/>
      <c r="C58" s="89"/>
      <c r="D58" s="89"/>
    </row>
    <row r="61" spans="1:19">
      <c r="E61" s="41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15">
      <c r="E62" s="244" t="s">
        <v>91</v>
      </c>
      <c r="F62" s="245"/>
      <c r="G62" s="245"/>
      <c r="H62" s="245"/>
      <c r="I62" s="245"/>
      <c r="J62" s="245"/>
      <c r="K62" s="245"/>
      <c r="L62" s="245"/>
      <c r="M62" s="245"/>
      <c r="N62" s="245"/>
      <c r="O62" s="246"/>
    </row>
    <row r="63" spans="1:19">
      <c r="E63" s="44"/>
      <c r="F63" s="45"/>
      <c r="G63" s="45"/>
      <c r="H63" s="45"/>
      <c r="I63" s="45"/>
      <c r="J63" s="45"/>
      <c r="K63" s="45"/>
      <c r="L63" s="45"/>
      <c r="M63" s="45"/>
      <c r="N63" s="45"/>
      <c r="O63" s="46"/>
    </row>
    <row r="64" spans="1:19" ht="15">
      <c r="E64" s="44"/>
      <c r="F64" s="45"/>
      <c r="G64" s="45"/>
      <c r="H64" s="45"/>
      <c r="I64" s="123" t="str">
        <f>+G12</f>
        <v>240 MW</v>
      </c>
      <c r="J64" s="123"/>
      <c r="K64" s="123" t="str">
        <f>+O12</f>
        <v>245 MW</v>
      </c>
      <c r="L64" s="123"/>
      <c r="M64" s="123" t="str">
        <f>+Q12</f>
        <v>258 MW</v>
      </c>
      <c r="N64" s="123"/>
      <c r="O64" s="124" t="str">
        <f>+S12</f>
        <v>263 MW</v>
      </c>
    </row>
    <row r="65" spans="5:15">
      <c r="E65" s="44"/>
      <c r="F65" s="45"/>
      <c r="G65" s="45"/>
      <c r="H65" s="45"/>
      <c r="I65" s="45"/>
      <c r="J65" s="45"/>
      <c r="K65" s="45"/>
      <c r="L65" s="45"/>
      <c r="M65" s="45"/>
      <c r="N65" s="45"/>
      <c r="O65" s="46"/>
    </row>
    <row r="66" spans="5:15">
      <c r="E66" s="142" t="s">
        <v>52</v>
      </c>
      <c r="F66" s="133"/>
      <c r="G66" s="45"/>
      <c r="H66" s="45"/>
      <c r="I66" s="47">
        <f>+M37-$S$37</f>
        <v>-48683.158607952355</v>
      </c>
      <c r="J66" s="45"/>
      <c r="K66" s="47">
        <f>+O37-$S$37</f>
        <v>-38099.863258397439</v>
      </c>
      <c r="L66" s="45"/>
      <c r="M66" s="47">
        <f>+Q37-$S$37</f>
        <v>-10583.295349554857</v>
      </c>
      <c r="N66" s="45"/>
      <c r="O66" s="143">
        <f>+S37-$S$37</f>
        <v>0</v>
      </c>
    </row>
    <row r="67" spans="5:15">
      <c r="E67" s="142" t="s">
        <v>93</v>
      </c>
      <c r="F67" s="133"/>
      <c r="G67" s="45"/>
      <c r="H67" s="45"/>
      <c r="I67" s="47">
        <f>+M46-$S$37</f>
        <v>-55212.929604785808</v>
      </c>
      <c r="J67" s="45"/>
      <c r="K67" s="47">
        <f>+O46-$S$37</f>
        <v>-45185.774341089011</v>
      </c>
      <c r="L67" s="45"/>
      <c r="M67" s="47">
        <f>+Q46-$S$37</f>
        <v>-19115.170655479189</v>
      </c>
      <c r="N67" s="45"/>
      <c r="O67" s="48">
        <f>+S46-$S$37</f>
        <v>-9088.0153917827411</v>
      </c>
    </row>
    <row r="68" spans="5:15">
      <c r="E68" s="142" t="s">
        <v>82</v>
      </c>
      <c r="F68" s="133"/>
      <c r="G68" s="45"/>
      <c r="H68" s="45"/>
      <c r="I68" s="47">
        <f>+M55-$S$37</f>
        <v>-75377.882729165838</v>
      </c>
      <c r="J68" s="45"/>
      <c r="K68" s="47">
        <f>+O55-$S$37</f>
        <v>-65350.727465469099</v>
      </c>
      <c r="L68" s="45"/>
      <c r="M68" s="47">
        <f>+Q55-$S$37</f>
        <v>-39280.123779859336</v>
      </c>
      <c r="N68" s="45"/>
      <c r="O68" s="48">
        <f>+S55-$S$37</f>
        <v>-29252.968516162829</v>
      </c>
    </row>
    <row r="69" spans="5:15"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1"/>
    </row>
    <row r="74" spans="5:15">
      <c r="I74" s="37"/>
    </row>
    <row r="110" spans="9:11">
      <c r="I110" s="9">
        <v>258</v>
      </c>
      <c r="K110" s="9">
        <v>5.7</v>
      </c>
    </row>
    <row r="111" spans="9:11">
      <c r="I111" s="9">
        <f>+I110*31*16</f>
        <v>127968</v>
      </c>
      <c r="K111" s="9">
        <v>9500</v>
      </c>
    </row>
    <row r="112" spans="9:11">
      <c r="I112" s="9">
        <f>+I111*0.92</f>
        <v>117730.56000000001</v>
      </c>
      <c r="K112" s="9">
        <f>+K110*K111/1000+4</f>
        <v>58.15</v>
      </c>
    </row>
    <row r="114" spans="9:11">
      <c r="I114" s="36">
        <f>-I112*K112</f>
        <v>-6846032.0640000002</v>
      </c>
      <c r="K114" s="9">
        <v>45000</v>
      </c>
    </row>
    <row r="115" spans="9:11">
      <c r="I115" s="36">
        <f>+K114*31*K110</f>
        <v>7951500</v>
      </c>
    </row>
    <row r="117" spans="9:11">
      <c r="I117" s="37">
        <f>SUM(I114:I115)</f>
        <v>1105467.9359999998</v>
      </c>
    </row>
  </sheetData>
  <mergeCells count="13">
    <mergeCell ref="A1:S1"/>
    <mergeCell ref="A2:S2"/>
    <mergeCell ref="A5:S5"/>
    <mergeCell ref="A3:S3"/>
    <mergeCell ref="A18:E18"/>
    <mergeCell ref="A33:E33"/>
    <mergeCell ref="A8:F8"/>
    <mergeCell ref="G12:M12"/>
    <mergeCell ref="G16:I16"/>
    <mergeCell ref="K16:M16"/>
    <mergeCell ref="A50:E50"/>
    <mergeCell ref="E62:O62"/>
    <mergeCell ref="A41:E41"/>
  </mergeCells>
  <printOptions horizontalCentered="1"/>
  <pageMargins left="0.25" right="0.25" top="0.25" bottom="0.25" header="0.5" footer="0.5"/>
  <pageSetup scale="82" orientation="portrait" horizontalDpi="0" r:id="rId1"/>
  <headerFooter alignWithMargins="0">
    <oddFooter>&amp;L&amp;F, 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364"/>
  <sheetViews>
    <sheetView showGridLines="0" zoomScale="75" workbookViewId="0">
      <selection activeCell="A5" sqref="A5:AC5"/>
    </sheetView>
  </sheetViews>
  <sheetFormatPr defaultRowHeight="12.75"/>
  <cols>
    <col min="1" max="1" width="29" customWidth="1"/>
    <col min="2" max="2" width="14.42578125" customWidth="1"/>
    <col min="3" max="6" width="12.7109375" customWidth="1"/>
    <col min="7" max="29" width="11.28515625" customWidth="1"/>
    <col min="48" max="48" width="15.85546875" bestFit="1" customWidth="1"/>
    <col min="50" max="50" width="14.42578125" bestFit="1" customWidth="1"/>
    <col min="52" max="52" width="11.28515625" bestFit="1" customWidth="1"/>
  </cols>
  <sheetData>
    <row r="1" spans="1:29" ht="22.5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</row>
    <row r="2" spans="1:29" ht="16.5" customHeight="1">
      <c r="A2" s="248" t="s">
        <v>105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</row>
    <row r="3" spans="1:29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</row>
    <row r="4" spans="1:29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spans="1:29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</row>
    <row r="6" spans="1:29">
      <c r="A6" s="10"/>
      <c r="B6" s="11"/>
      <c r="C6" s="11"/>
      <c r="D6" s="11"/>
      <c r="E6" s="11"/>
    </row>
    <row r="7" spans="1:29">
      <c r="A7" s="255" t="s">
        <v>76</v>
      </c>
      <c r="B7" s="256"/>
      <c r="C7" s="256"/>
      <c r="D7" s="256"/>
      <c r="E7" s="256"/>
      <c r="F7" s="257"/>
      <c r="Q7" s="255" t="s">
        <v>75</v>
      </c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7"/>
    </row>
    <row r="8" spans="1:29">
      <c r="A8" s="80" t="s">
        <v>73</v>
      </c>
      <c r="B8" s="26"/>
      <c r="C8" s="26"/>
      <c r="D8" s="81"/>
      <c r="E8" s="145" t="s">
        <v>26</v>
      </c>
      <c r="F8" s="153">
        <f>+Summary!S8</f>
        <v>263000</v>
      </c>
    </row>
    <row r="9" spans="1:29">
      <c r="A9" s="16" t="s">
        <v>29</v>
      </c>
      <c r="B9" s="4"/>
      <c r="C9" s="4"/>
      <c r="D9" s="28"/>
      <c r="E9" s="28"/>
      <c r="F9" s="154">
        <f>+Summary!S10</f>
        <v>0.05</v>
      </c>
    </row>
    <row r="10" spans="1:29">
      <c r="A10" s="10"/>
      <c r="B10" s="11"/>
      <c r="C10" s="11"/>
      <c r="D10" s="11"/>
      <c r="E10" s="11"/>
    </row>
    <row r="11" spans="1:29" ht="15">
      <c r="A11" s="255" t="s">
        <v>24</v>
      </c>
      <c r="B11" s="256"/>
      <c r="C11" s="256"/>
      <c r="D11" s="256"/>
      <c r="E11" s="256"/>
      <c r="F11" s="257"/>
      <c r="Q11" s="86"/>
      <c r="S11" s="252" t="s">
        <v>71</v>
      </c>
      <c r="T11" s="253"/>
      <c r="U11" s="253"/>
      <c r="V11" s="253"/>
      <c r="W11" s="254"/>
      <c r="Y11" s="252" t="s">
        <v>72</v>
      </c>
      <c r="Z11" s="253"/>
      <c r="AA11" s="253"/>
      <c r="AB11" s="253"/>
      <c r="AC11" s="254"/>
    </row>
    <row r="12" spans="1:29">
      <c r="A12" s="15" t="s">
        <v>53</v>
      </c>
      <c r="B12" s="99" t="s">
        <v>28</v>
      </c>
      <c r="C12" s="41" t="s">
        <v>55</v>
      </c>
      <c r="D12" s="26"/>
      <c r="E12" s="26"/>
      <c r="F12" s="27"/>
      <c r="Q12" s="88" t="s">
        <v>24</v>
      </c>
      <c r="S12" s="82" t="s">
        <v>74</v>
      </c>
      <c r="T12" s="104">
        <v>240000</v>
      </c>
      <c r="U12" s="104">
        <v>245000</v>
      </c>
      <c r="V12" s="104">
        <v>258000</v>
      </c>
      <c r="W12" s="105">
        <v>263000</v>
      </c>
      <c r="Y12" s="82" t="s">
        <v>74</v>
      </c>
      <c r="Z12" s="104">
        <v>240000</v>
      </c>
      <c r="AA12" s="104">
        <v>245000</v>
      </c>
      <c r="AB12" s="104">
        <v>258000</v>
      </c>
      <c r="AC12" s="105">
        <v>263000</v>
      </c>
    </row>
    <row r="13" spans="1:29">
      <c r="A13" s="16" t="s">
        <v>54</v>
      </c>
      <c r="B13" s="100" t="s">
        <v>28</v>
      </c>
      <c r="C13" s="49" t="s">
        <v>56</v>
      </c>
      <c r="D13" s="4"/>
      <c r="E13" s="4"/>
      <c r="F13" s="52"/>
      <c r="Q13" s="87"/>
      <c r="S13" s="85">
        <f>+B41/1000</f>
        <v>586133.46949314291</v>
      </c>
      <c r="T13" s="83">
        <f t="dataTable" ref="T13:W13" dt2D="0" dtr="1" r1="F8"/>
        <v>534874.64896712685</v>
      </c>
      <c r="U13" s="83">
        <v>546017.87082060787</v>
      </c>
      <c r="V13" s="83">
        <v>574990.24763966107</v>
      </c>
      <c r="W13" s="84">
        <v>586133.46949314291</v>
      </c>
      <c r="Y13" s="85">
        <f>+B42/1000</f>
        <v>548419.73923546262</v>
      </c>
      <c r="Z13" s="83">
        <f t="dataTable" ref="Z13:AC13" dt2D="0" dtr="1" r1="F8" ca="1"/>
        <v>500459.07762931945</v>
      </c>
      <c r="AA13" s="83">
        <v>510885.30841326399</v>
      </c>
      <c r="AB13" s="83">
        <v>537993.50845151849</v>
      </c>
      <c r="AC13" s="84">
        <v>548419.73923546262</v>
      </c>
    </row>
    <row r="14" spans="1:29">
      <c r="C14" s="9"/>
    </row>
    <row r="15" spans="1:29" ht="15">
      <c r="A15" s="255" t="s">
        <v>30</v>
      </c>
      <c r="B15" s="256"/>
      <c r="C15" s="256"/>
      <c r="D15" s="256"/>
      <c r="E15" s="256"/>
      <c r="F15" s="257"/>
      <c r="Q15" s="86"/>
      <c r="Y15" s="252" t="s">
        <v>72</v>
      </c>
      <c r="Z15" s="253"/>
      <c r="AA15" s="253"/>
      <c r="AB15" s="253"/>
      <c r="AC15" s="254"/>
    </row>
    <row r="16" spans="1:29">
      <c r="A16" s="15" t="s">
        <v>53</v>
      </c>
      <c r="B16" s="99" t="s">
        <v>22</v>
      </c>
      <c r="C16" s="53" t="s">
        <v>57</v>
      </c>
      <c r="D16" s="54"/>
      <c r="E16" s="54"/>
      <c r="F16" s="55"/>
      <c r="Q16" s="88" t="s">
        <v>30</v>
      </c>
      <c r="Y16" s="82" t="s">
        <v>74</v>
      </c>
      <c r="Z16" s="104">
        <v>240000</v>
      </c>
      <c r="AA16" s="104">
        <v>245000</v>
      </c>
      <c r="AB16" s="104">
        <v>258000</v>
      </c>
      <c r="AC16" s="105">
        <v>263000</v>
      </c>
    </row>
    <row r="17" spans="1:29">
      <c r="A17" s="16" t="s">
        <v>54</v>
      </c>
      <c r="B17" s="100" t="s">
        <v>22</v>
      </c>
      <c r="C17" s="49" t="s">
        <v>58</v>
      </c>
      <c r="D17" s="50"/>
      <c r="E17" s="50"/>
      <c r="F17" s="51"/>
      <c r="Q17" s="87"/>
      <c r="Y17" s="85">
        <f>+B55/1000</f>
        <v>556681.33538658707</v>
      </c>
      <c r="Z17" s="83">
        <f t="dataTable" ref="Z17:AC17" dt2D="0" dtr="1" r1="F8" ca="1"/>
        <v>507998.17677863472</v>
      </c>
      <c r="AA17" s="83">
        <v>518581.47212818963</v>
      </c>
      <c r="AB17" s="83">
        <v>546098.04003703222</v>
      </c>
      <c r="AC17" s="84">
        <v>556681.33538658707</v>
      </c>
    </row>
    <row r="19" spans="1:29" ht="15">
      <c r="A19" s="255" t="s">
        <v>31</v>
      </c>
      <c r="B19" s="256"/>
      <c r="C19" s="256"/>
      <c r="D19" s="256"/>
      <c r="E19" s="256"/>
      <c r="F19" s="257"/>
      <c r="H19" s="89"/>
      <c r="I19" s="89"/>
      <c r="Q19" s="86"/>
      <c r="Y19" s="252" t="s">
        <v>72</v>
      </c>
      <c r="Z19" s="253"/>
      <c r="AA19" s="253"/>
      <c r="AB19" s="253"/>
      <c r="AC19" s="254"/>
    </row>
    <row r="20" spans="1:29">
      <c r="A20" s="15" t="s">
        <v>87</v>
      </c>
      <c r="B20" s="99" t="s">
        <v>22</v>
      </c>
      <c r="C20" s="138" t="s">
        <v>85</v>
      </c>
      <c r="D20" s="54"/>
      <c r="E20" s="54"/>
      <c r="F20" s="55"/>
      <c r="H20" s="89"/>
      <c r="I20" s="89"/>
      <c r="Q20" s="88" t="s">
        <v>31</v>
      </c>
      <c r="Y20" s="82" t="s">
        <v>74</v>
      </c>
      <c r="Z20" s="104">
        <v>240000</v>
      </c>
      <c r="AA20" s="104">
        <v>245000</v>
      </c>
      <c r="AB20" s="104">
        <v>258000</v>
      </c>
      <c r="AC20" s="105">
        <v>263000</v>
      </c>
    </row>
    <row r="21" spans="1:29">
      <c r="A21" s="16" t="s">
        <v>54</v>
      </c>
      <c r="B21" s="100" t="s">
        <v>22</v>
      </c>
      <c r="C21" s="49" t="s">
        <v>86</v>
      </c>
      <c r="D21" s="50"/>
      <c r="E21" s="50"/>
      <c r="F21" s="51"/>
      <c r="H21" s="90"/>
      <c r="I21" s="90"/>
      <c r="Q21" s="87"/>
      <c r="Y21" s="85">
        <f>+B68/1000</f>
        <v>547593.31999480433</v>
      </c>
      <c r="Z21" s="83">
        <f t="dataTable" ref="Z21:AC21" dt2D="0" dtr="1" r1="F8" ca="1"/>
        <v>501468.40578180127</v>
      </c>
      <c r="AA21" s="83">
        <v>511495.56104549806</v>
      </c>
      <c r="AB21" s="83">
        <v>537566.16473110789</v>
      </c>
      <c r="AC21" s="84">
        <v>547593.31999480433</v>
      </c>
    </row>
    <row r="23" spans="1:29" ht="15">
      <c r="A23" s="255" t="s">
        <v>84</v>
      </c>
      <c r="B23" s="256"/>
      <c r="C23" s="256"/>
      <c r="D23" s="256"/>
      <c r="E23" s="256"/>
      <c r="F23" s="257"/>
      <c r="Q23" s="86"/>
      <c r="Y23" s="252" t="s">
        <v>72</v>
      </c>
      <c r="Z23" s="253"/>
      <c r="AA23" s="253"/>
      <c r="AB23" s="253"/>
      <c r="AC23" s="254"/>
    </row>
    <row r="24" spans="1:29">
      <c r="A24" s="15" t="s">
        <v>53</v>
      </c>
      <c r="B24" s="99" t="s">
        <v>28</v>
      </c>
      <c r="C24" s="41" t="s">
        <v>59</v>
      </c>
      <c r="D24" s="26"/>
      <c r="E24" s="26"/>
      <c r="F24" s="27"/>
      <c r="Q24" s="88" t="s">
        <v>84</v>
      </c>
      <c r="Y24" s="82" t="s">
        <v>74</v>
      </c>
      <c r="Z24" s="104">
        <v>240000</v>
      </c>
      <c r="AA24" s="104">
        <v>245000</v>
      </c>
      <c r="AB24" s="104">
        <v>258000</v>
      </c>
      <c r="AC24" s="105">
        <v>263000</v>
      </c>
    </row>
    <row r="25" spans="1:29">
      <c r="A25" s="16" t="s">
        <v>54</v>
      </c>
      <c r="B25" s="100" t="s">
        <v>22</v>
      </c>
      <c r="C25" s="56" t="s">
        <v>60</v>
      </c>
      <c r="D25" s="4"/>
      <c r="E25" s="4"/>
      <c r="F25" s="52"/>
      <c r="Q25" s="87"/>
      <c r="Y25" s="85">
        <f>+B81/1000</f>
        <v>527428.36687042424</v>
      </c>
      <c r="Z25" s="83">
        <f t="dataTable" ref="Z25:AC25" dt2D="0" dtr="1" r1="F8" ca="1"/>
        <v>481303.45265742124</v>
      </c>
      <c r="AA25" s="83">
        <v>491330.60792111797</v>
      </c>
      <c r="AB25" s="83">
        <v>517401.21160672774</v>
      </c>
      <c r="AC25" s="84">
        <v>527428.36687042424</v>
      </c>
    </row>
    <row r="26" spans="1:29">
      <c r="C26" s="40"/>
    </row>
    <row r="28" spans="1:29" s="11" customFormat="1">
      <c r="G28" s="125">
        <v>1997</v>
      </c>
      <c r="H28" s="126">
        <v>1998</v>
      </c>
      <c r="I28" s="126">
        <v>1999</v>
      </c>
      <c r="J28" s="126">
        <v>2000</v>
      </c>
      <c r="K28" s="126">
        <v>2001</v>
      </c>
      <c r="L28" s="126">
        <v>2002</v>
      </c>
      <c r="M28" s="126">
        <v>2003</v>
      </c>
      <c r="N28" s="126">
        <v>2004</v>
      </c>
      <c r="O28" s="126">
        <v>2005</v>
      </c>
      <c r="P28" s="126">
        <v>2006</v>
      </c>
      <c r="Q28" s="126">
        <v>2007</v>
      </c>
      <c r="R28" s="126">
        <v>2008</v>
      </c>
      <c r="S28" s="126">
        <v>2009</v>
      </c>
      <c r="T28" s="126">
        <v>2010</v>
      </c>
      <c r="U28" s="126">
        <v>2011</v>
      </c>
      <c r="V28" s="126">
        <v>2012</v>
      </c>
      <c r="W28" s="126">
        <v>2013</v>
      </c>
      <c r="X28" s="126">
        <v>2014</v>
      </c>
      <c r="Y28" s="126">
        <v>2015</v>
      </c>
      <c r="Z28" s="126">
        <v>2016</v>
      </c>
      <c r="AA28" s="126">
        <v>2017</v>
      </c>
      <c r="AB28" s="126">
        <v>2018</v>
      </c>
      <c r="AC28" s="127">
        <v>2019</v>
      </c>
    </row>
    <row r="29" spans="1:29" s="11" customFormat="1"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>
      <c r="A30" s="251" t="s">
        <v>32</v>
      </c>
      <c r="B30" s="251"/>
      <c r="C30" s="251"/>
      <c r="D30" s="251"/>
      <c r="E30" s="251"/>
      <c r="F30" s="251"/>
    </row>
    <row r="31" spans="1:29" ht="13.5" thickBot="1">
      <c r="A31" s="13" t="s">
        <v>21</v>
      </c>
      <c r="F31" t="s">
        <v>25</v>
      </c>
      <c r="G31" s="101">
        <v>13.6</v>
      </c>
      <c r="H31" s="101">
        <v>14.04</v>
      </c>
      <c r="I31" s="101">
        <v>14.57</v>
      </c>
      <c r="J31" s="101">
        <v>15.09</v>
      </c>
      <c r="K31" s="101">
        <v>15.65</v>
      </c>
      <c r="L31" s="101">
        <v>16.21</v>
      </c>
      <c r="M31" s="101">
        <v>16.87</v>
      </c>
      <c r="N31" s="101">
        <v>17.54</v>
      </c>
      <c r="O31" s="101">
        <v>18.18</v>
      </c>
      <c r="P31" s="101">
        <v>18.88</v>
      </c>
      <c r="Q31" s="101">
        <v>17.579999999999998</v>
      </c>
      <c r="R31" s="101">
        <v>18.13</v>
      </c>
      <c r="S31" s="101">
        <v>18.87</v>
      </c>
      <c r="T31" s="101">
        <v>19.52</v>
      </c>
      <c r="U31" s="101">
        <v>20.22</v>
      </c>
      <c r="V31" s="101">
        <v>20.99</v>
      </c>
      <c r="W31" s="101">
        <v>21.56</v>
      </c>
      <c r="X31" s="101">
        <v>21.71</v>
      </c>
      <c r="Y31" s="101">
        <v>22.02</v>
      </c>
      <c r="Z31" s="101">
        <v>22.18</v>
      </c>
      <c r="AA31" s="101">
        <v>23.13</v>
      </c>
      <c r="AB31" s="101">
        <v>23.58</v>
      </c>
      <c r="AC31" s="101">
        <v>24.07</v>
      </c>
    </row>
    <row r="32" spans="1:29" ht="13.5" thickBot="1">
      <c r="A32" s="13" t="s">
        <v>13</v>
      </c>
      <c r="C32" s="24">
        <f>+IF($B$12="yes",1,0)</f>
        <v>0</v>
      </c>
      <c r="D32" s="77" t="s">
        <v>62</v>
      </c>
      <c r="F32" t="s">
        <v>25</v>
      </c>
      <c r="G32" s="20">
        <f>+'Tenaska''s i Adjustment'!D$44*$C$32</f>
        <v>0</v>
      </c>
      <c r="H32" s="20">
        <f>+'Tenaska''s i Adjustment'!E$44*$C$32</f>
        <v>0</v>
      </c>
      <c r="I32" s="20">
        <f>+'Tenaska''s i Adjustment'!F$44*$C$32</f>
        <v>0</v>
      </c>
      <c r="J32" s="20">
        <f>+'Tenaska''s i Adjustment'!G$44*$C$32</f>
        <v>0</v>
      </c>
      <c r="K32" s="20">
        <f>+'Tenaska''s i Adjustment'!H$44*$C$32</f>
        <v>0</v>
      </c>
      <c r="L32" s="20">
        <f>+'Tenaska''s i Adjustment'!I$44*$C$32</f>
        <v>0</v>
      </c>
      <c r="M32" s="20">
        <f>+'Tenaska''s i Adjustment'!J$44*$C$32</f>
        <v>0</v>
      </c>
      <c r="N32" s="20">
        <f>+'Tenaska''s i Adjustment'!K$44*$C$32</f>
        <v>0</v>
      </c>
      <c r="O32" s="20">
        <f>+'Tenaska''s i Adjustment'!L$44*$C$32</f>
        <v>0</v>
      </c>
      <c r="P32" s="20">
        <f>+'Tenaska''s i Adjustment'!M$44*$C$32</f>
        <v>0</v>
      </c>
      <c r="Q32" s="20">
        <f>+'Tenaska''s i Adjustment'!N$44*$C$32</f>
        <v>0</v>
      </c>
      <c r="R32" s="20">
        <f>+'Tenaska''s i Adjustment'!O$44*$C$32</f>
        <v>0</v>
      </c>
      <c r="S32" s="20">
        <f>+'Tenaska''s i Adjustment'!P$44*$C$32</f>
        <v>0</v>
      </c>
      <c r="T32" s="20">
        <f>+'Tenaska''s i Adjustment'!Q$44*$C$32</f>
        <v>0</v>
      </c>
      <c r="U32" s="20">
        <f>+'Tenaska''s i Adjustment'!R$44*$C$32</f>
        <v>0</v>
      </c>
      <c r="V32" s="20">
        <f>+'Tenaska''s i Adjustment'!S$44*$C$32</f>
        <v>0</v>
      </c>
      <c r="W32" s="20">
        <f>+'Tenaska''s i Adjustment'!T$44*$C$32</f>
        <v>0</v>
      </c>
      <c r="X32" s="20">
        <f>+'Tenaska''s i Adjustment'!U$44*$C$32</f>
        <v>0</v>
      </c>
      <c r="Y32" s="20">
        <f>+'Tenaska''s i Adjustment'!V$44*$C$32</f>
        <v>0</v>
      </c>
      <c r="Z32" s="20">
        <f>+'Tenaska''s i Adjustment'!W$44*$C$32</f>
        <v>0</v>
      </c>
      <c r="AA32" s="20">
        <f>+'Tenaska''s i Adjustment'!X$44*$C$32</f>
        <v>0</v>
      </c>
      <c r="AB32" s="20">
        <f>+'Tenaska''s i Adjustment'!Y$44*$C$32</f>
        <v>0</v>
      </c>
      <c r="AC32" s="20">
        <f>+'Tenaska''s i Adjustment'!Z$44*$C$32</f>
        <v>0</v>
      </c>
    </row>
    <row r="33" spans="1:29" s="13" customFormat="1" ht="13.5" thickBot="1">
      <c r="A33" s="13" t="s">
        <v>20</v>
      </c>
      <c r="C33" s="24">
        <f>+IF($B$13="yes",1,0)</f>
        <v>0</v>
      </c>
      <c r="D33" s="77" t="s">
        <v>62</v>
      </c>
      <c r="F33" t="s">
        <v>25</v>
      </c>
      <c r="G33" s="18">
        <f>+'Damage Calculations'!G$85*'Damage Calculations'!$C$33</f>
        <v>0</v>
      </c>
      <c r="H33" s="18">
        <f>+'Damage Calculations'!H$85*'Damage Calculations'!$C$33</f>
        <v>0</v>
      </c>
      <c r="I33" s="18">
        <f>+'Damage Calculations'!I$85*'Damage Calculations'!$C$33</f>
        <v>0</v>
      </c>
      <c r="J33" s="18">
        <f>+'Damage Calculations'!J$85*'Damage Calculations'!$C$33</f>
        <v>0</v>
      </c>
      <c r="K33" s="18">
        <f>+'Damage Calculations'!K$85*'Damage Calculations'!$C$33</f>
        <v>0</v>
      </c>
      <c r="L33" s="18">
        <f>+'Damage Calculations'!L$85*'Damage Calculations'!$C$33</f>
        <v>0</v>
      </c>
      <c r="M33" s="18">
        <f>+'Damage Calculations'!M$85*'Damage Calculations'!$C$33</f>
        <v>0</v>
      </c>
      <c r="N33" s="18">
        <f>+'Damage Calculations'!N$85*'Damage Calculations'!$C$33</f>
        <v>0</v>
      </c>
      <c r="O33" s="18">
        <f>+'Damage Calculations'!O$85*'Damage Calculations'!$C$33</f>
        <v>0</v>
      </c>
      <c r="P33" s="18">
        <f>+'Damage Calculations'!P$85*'Damage Calculations'!$C$33</f>
        <v>0</v>
      </c>
      <c r="Q33" s="18">
        <f>+'Damage Calculations'!Q$85*'Damage Calculations'!$C$33</f>
        <v>0</v>
      </c>
      <c r="R33" s="18">
        <f>+'Damage Calculations'!R$85*'Damage Calculations'!$C$33</f>
        <v>0</v>
      </c>
      <c r="S33" s="18">
        <f>+'Damage Calculations'!S$85*'Damage Calculations'!$C$33</f>
        <v>0</v>
      </c>
      <c r="T33" s="18">
        <f>+'Damage Calculations'!T$85*'Damage Calculations'!$C$33</f>
        <v>0</v>
      </c>
      <c r="U33" s="18">
        <f>+'Damage Calculations'!U$85*'Damage Calculations'!$C$33</f>
        <v>0</v>
      </c>
      <c r="V33" s="18">
        <f>+'Damage Calculations'!V$85*'Damage Calculations'!$C$33</f>
        <v>0</v>
      </c>
      <c r="W33" s="18">
        <f>+'Damage Calculations'!W$85*'Damage Calculations'!$C$33</f>
        <v>0</v>
      </c>
      <c r="X33" s="18">
        <f>+'Damage Calculations'!X$85*'Damage Calculations'!$C$33</f>
        <v>0</v>
      </c>
      <c r="Y33" s="18">
        <f>+'Damage Calculations'!Y$85*'Damage Calculations'!$C$33</f>
        <v>0</v>
      </c>
      <c r="Z33" s="18">
        <f>+'Damage Calculations'!Z$85*'Damage Calculations'!$C$33</f>
        <v>0</v>
      </c>
      <c r="AA33" s="18">
        <f>+'Damage Calculations'!AA$85*'Damage Calculations'!$C$33</f>
        <v>0</v>
      </c>
      <c r="AB33" s="18">
        <f>+'Damage Calculations'!AB$85*'Damage Calculations'!$C$33</f>
        <v>0</v>
      </c>
      <c r="AC33" s="18">
        <f>+'Damage Calculations'!AC$85*'Damage Calculations'!$C$33</f>
        <v>0</v>
      </c>
    </row>
    <row r="34" spans="1:29">
      <c r="A34" s="13" t="s">
        <v>27</v>
      </c>
      <c r="D34" s="22"/>
      <c r="F34" t="s">
        <v>25</v>
      </c>
      <c r="G34" s="102">
        <v>-1.96</v>
      </c>
      <c r="H34" s="102">
        <v>-2.12</v>
      </c>
      <c r="I34" s="102">
        <v>-3.94</v>
      </c>
      <c r="J34" s="102">
        <v>-2.2400000000000002</v>
      </c>
      <c r="K34" s="102">
        <v>-3.42</v>
      </c>
      <c r="L34" s="102">
        <v>-5.95</v>
      </c>
      <c r="M34" s="102">
        <v>-2.65</v>
      </c>
      <c r="N34" s="102">
        <v>-2.74</v>
      </c>
      <c r="O34" s="102">
        <v>-5.33</v>
      </c>
      <c r="P34" s="102">
        <v>-4.45</v>
      </c>
      <c r="Q34" s="102">
        <v>-3.19</v>
      </c>
      <c r="R34" s="102">
        <v>-10.45</v>
      </c>
      <c r="S34" s="102">
        <v>-3.53</v>
      </c>
      <c r="T34" s="102">
        <v>-3.75</v>
      </c>
      <c r="U34" s="102">
        <v>-6.74</v>
      </c>
      <c r="V34" s="102">
        <v>-4.08</v>
      </c>
      <c r="W34" s="102">
        <v>-4.32</v>
      </c>
      <c r="X34" s="102">
        <v>-9.2100000000000009</v>
      </c>
      <c r="Y34" s="102">
        <v>-4.7300000000000004</v>
      </c>
      <c r="Z34" s="102">
        <v>-4.99</v>
      </c>
      <c r="AA34" s="102">
        <v>-10.49</v>
      </c>
      <c r="AB34" s="102">
        <v>-5.5</v>
      </c>
      <c r="AC34" s="102">
        <v>-8.8699999999999992</v>
      </c>
    </row>
    <row r="35" spans="1:29" s="13" customFormat="1">
      <c r="A35" s="13" t="s">
        <v>23</v>
      </c>
      <c r="D35" s="77"/>
      <c r="F35" t="s">
        <v>25</v>
      </c>
      <c r="G35" s="18">
        <f t="shared" ref="G35:AC35" si="0">SUM(G31:G34)</f>
        <v>11.64</v>
      </c>
      <c r="H35" s="18">
        <f t="shared" si="0"/>
        <v>11.919999999999998</v>
      </c>
      <c r="I35" s="18">
        <f t="shared" si="0"/>
        <v>10.63</v>
      </c>
      <c r="J35" s="18">
        <f t="shared" si="0"/>
        <v>12.85</v>
      </c>
      <c r="K35" s="18">
        <f t="shared" si="0"/>
        <v>12.23</v>
      </c>
      <c r="L35" s="18">
        <f t="shared" si="0"/>
        <v>10.260000000000002</v>
      </c>
      <c r="M35" s="18">
        <f t="shared" si="0"/>
        <v>14.22</v>
      </c>
      <c r="N35" s="18">
        <f t="shared" si="0"/>
        <v>14.799999999999999</v>
      </c>
      <c r="O35" s="18">
        <f t="shared" si="0"/>
        <v>12.85</v>
      </c>
      <c r="P35" s="18">
        <f t="shared" si="0"/>
        <v>14.43</v>
      </c>
      <c r="Q35" s="18">
        <f t="shared" si="0"/>
        <v>14.389999999999999</v>
      </c>
      <c r="R35" s="18">
        <f t="shared" si="0"/>
        <v>7.68</v>
      </c>
      <c r="S35" s="18">
        <f t="shared" si="0"/>
        <v>15.340000000000002</v>
      </c>
      <c r="T35" s="18">
        <f t="shared" si="0"/>
        <v>15.77</v>
      </c>
      <c r="U35" s="18">
        <f t="shared" si="0"/>
        <v>13.479999999999999</v>
      </c>
      <c r="V35" s="18">
        <f t="shared" si="0"/>
        <v>16.909999999999997</v>
      </c>
      <c r="W35" s="18">
        <f t="shared" si="0"/>
        <v>17.239999999999998</v>
      </c>
      <c r="X35" s="18">
        <f t="shared" si="0"/>
        <v>12.5</v>
      </c>
      <c r="Y35" s="18">
        <f t="shared" si="0"/>
        <v>17.29</v>
      </c>
      <c r="Z35" s="18">
        <f t="shared" si="0"/>
        <v>17.189999999999998</v>
      </c>
      <c r="AA35" s="18">
        <f t="shared" si="0"/>
        <v>12.639999999999999</v>
      </c>
      <c r="AB35" s="18">
        <f t="shared" si="0"/>
        <v>18.079999999999998</v>
      </c>
      <c r="AC35" s="18">
        <f t="shared" si="0"/>
        <v>15.200000000000001</v>
      </c>
    </row>
    <row r="36" spans="1:29" s="8" customFormat="1">
      <c r="A36" s="13" t="s">
        <v>17</v>
      </c>
      <c r="D36" s="19"/>
      <c r="G36" s="103">
        <v>12</v>
      </c>
      <c r="H36" s="78">
        <f>+G36</f>
        <v>12</v>
      </c>
      <c r="I36" s="78">
        <f t="shared" ref="I36:AC36" si="1">+H36</f>
        <v>12</v>
      </c>
      <c r="J36" s="78">
        <f t="shared" si="1"/>
        <v>12</v>
      </c>
      <c r="K36" s="78">
        <f t="shared" si="1"/>
        <v>12</v>
      </c>
      <c r="L36" s="78">
        <f t="shared" si="1"/>
        <v>12</v>
      </c>
      <c r="M36" s="78">
        <f t="shared" si="1"/>
        <v>12</v>
      </c>
      <c r="N36" s="78">
        <f t="shared" si="1"/>
        <v>12</v>
      </c>
      <c r="O36" s="78">
        <f t="shared" si="1"/>
        <v>12</v>
      </c>
      <c r="P36" s="78">
        <f t="shared" si="1"/>
        <v>12</v>
      </c>
      <c r="Q36" s="78">
        <f t="shared" si="1"/>
        <v>12</v>
      </c>
      <c r="R36" s="78">
        <f t="shared" si="1"/>
        <v>12</v>
      </c>
      <c r="S36" s="78">
        <f t="shared" si="1"/>
        <v>12</v>
      </c>
      <c r="T36" s="78">
        <f t="shared" si="1"/>
        <v>12</v>
      </c>
      <c r="U36" s="78">
        <f t="shared" si="1"/>
        <v>12</v>
      </c>
      <c r="V36" s="78">
        <f t="shared" si="1"/>
        <v>12</v>
      </c>
      <c r="W36" s="78">
        <f t="shared" si="1"/>
        <v>12</v>
      </c>
      <c r="X36" s="78">
        <f t="shared" si="1"/>
        <v>12</v>
      </c>
      <c r="Y36" s="78">
        <f t="shared" si="1"/>
        <v>12</v>
      </c>
      <c r="Z36" s="78">
        <f t="shared" si="1"/>
        <v>12</v>
      </c>
      <c r="AA36" s="78">
        <f t="shared" si="1"/>
        <v>12</v>
      </c>
      <c r="AB36" s="78">
        <f t="shared" si="1"/>
        <v>12</v>
      </c>
      <c r="AC36" s="78">
        <f t="shared" si="1"/>
        <v>12</v>
      </c>
    </row>
    <row r="37" spans="1:29">
      <c r="A37" s="13" t="s">
        <v>16</v>
      </c>
      <c r="D37" s="22"/>
      <c r="F37" t="s">
        <v>26</v>
      </c>
      <c r="G37" s="17">
        <f>+$F$8</f>
        <v>263000</v>
      </c>
      <c r="H37" s="17">
        <f>+G37</f>
        <v>263000</v>
      </c>
      <c r="I37" s="17">
        <f t="shared" ref="I37:AC37" si="2">+H37</f>
        <v>263000</v>
      </c>
      <c r="J37" s="17">
        <f t="shared" si="2"/>
        <v>263000</v>
      </c>
      <c r="K37" s="17">
        <f t="shared" si="2"/>
        <v>263000</v>
      </c>
      <c r="L37" s="17">
        <f t="shared" si="2"/>
        <v>263000</v>
      </c>
      <c r="M37" s="17">
        <f t="shared" si="2"/>
        <v>263000</v>
      </c>
      <c r="N37" s="17">
        <f t="shared" si="2"/>
        <v>263000</v>
      </c>
      <c r="O37" s="17">
        <f t="shared" si="2"/>
        <v>263000</v>
      </c>
      <c r="P37" s="17">
        <f t="shared" si="2"/>
        <v>263000</v>
      </c>
      <c r="Q37" s="17">
        <f t="shared" si="2"/>
        <v>263000</v>
      </c>
      <c r="R37" s="17">
        <f t="shared" si="2"/>
        <v>263000</v>
      </c>
      <c r="S37" s="17">
        <f t="shared" si="2"/>
        <v>263000</v>
      </c>
      <c r="T37" s="17">
        <f t="shared" si="2"/>
        <v>263000</v>
      </c>
      <c r="U37" s="17">
        <f t="shared" si="2"/>
        <v>263000</v>
      </c>
      <c r="V37" s="17">
        <f t="shared" si="2"/>
        <v>263000</v>
      </c>
      <c r="W37" s="17">
        <f t="shared" si="2"/>
        <v>263000</v>
      </c>
      <c r="X37" s="17">
        <f t="shared" si="2"/>
        <v>263000</v>
      </c>
      <c r="Y37" s="17">
        <f t="shared" si="2"/>
        <v>263000</v>
      </c>
      <c r="Z37" s="17">
        <f t="shared" si="2"/>
        <v>263000</v>
      </c>
      <c r="AA37" s="17">
        <f t="shared" si="2"/>
        <v>263000</v>
      </c>
      <c r="AB37" s="17">
        <f t="shared" si="2"/>
        <v>263000</v>
      </c>
      <c r="AC37" s="17">
        <f t="shared" si="2"/>
        <v>263000</v>
      </c>
    </row>
    <row r="38" spans="1:29" s="6" customFormat="1">
      <c r="A38" s="57" t="s">
        <v>18</v>
      </c>
      <c r="D38" s="73"/>
      <c r="G38" s="57">
        <f>+G37*G36*G35</f>
        <v>36735840</v>
      </c>
      <c r="H38" s="57">
        <f t="shared" ref="H38:AC38" si="3">+H37*H36*H35</f>
        <v>37619519.999999993</v>
      </c>
      <c r="I38" s="57">
        <f t="shared" si="3"/>
        <v>33548280.000000004</v>
      </c>
      <c r="J38" s="57">
        <f t="shared" si="3"/>
        <v>40554600</v>
      </c>
      <c r="K38" s="57">
        <f t="shared" si="3"/>
        <v>38597880</v>
      </c>
      <c r="L38" s="57">
        <f t="shared" si="3"/>
        <v>32380560.000000004</v>
      </c>
      <c r="M38" s="57">
        <f t="shared" si="3"/>
        <v>44878320</v>
      </c>
      <c r="N38" s="57">
        <f t="shared" si="3"/>
        <v>46708800</v>
      </c>
      <c r="O38" s="57">
        <f t="shared" si="3"/>
        <v>40554600</v>
      </c>
      <c r="P38" s="57">
        <f t="shared" si="3"/>
        <v>45541080</v>
      </c>
      <c r="Q38" s="57">
        <f t="shared" si="3"/>
        <v>45414839.999999993</v>
      </c>
      <c r="R38" s="57">
        <f t="shared" si="3"/>
        <v>24238080</v>
      </c>
      <c r="S38" s="57">
        <f t="shared" si="3"/>
        <v>48413040.000000007</v>
      </c>
      <c r="T38" s="57">
        <f t="shared" si="3"/>
        <v>49770120</v>
      </c>
      <c r="U38" s="57">
        <f t="shared" si="3"/>
        <v>42542879.999999993</v>
      </c>
      <c r="V38" s="57">
        <f t="shared" si="3"/>
        <v>53367959.999999993</v>
      </c>
      <c r="W38" s="57">
        <f t="shared" si="3"/>
        <v>54409439.999999993</v>
      </c>
      <c r="X38" s="57">
        <f t="shared" si="3"/>
        <v>39450000</v>
      </c>
      <c r="Y38" s="57">
        <f t="shared" si="3"/>
        <v>54567240</v>
      </c>
      <c r="Z38" s="57">
        <f t="shared" si="3"/>
        <v>54251639.999999993</v>
      </c>
      <c r="AA38" s="57">
        <f t="shared" si="3"/>
        <v>39891839.999999993</v>
      </c>
      <c r="AB38" s="57">
        <f t="shared" si="3"/>
        <v>57060479.999999993</v>
      </c>
      <c r="AC38" s="57">
        <f t="shared" si="3"/>
        <v>47971200</v>
      </c>
    </row>
    <row r="39" spans="1:29" s="6" customFormat="1">
      <c r="A39" s="57" t="s">
        <v>19</v>
      </c>
      <c r="D39" s="73"/>
      <c r="G39" s="57">
        <f t="shared" ref="G39:AC39" si="4">+G38/G36</f>
        <v>3061320</v>
      </c>
      <c r="H39" s="57">
        <f t="shared" si="4"/>
        <v>3134959.9999999995</v>
      </c>
      <c r="I39" s="57">
        <f t="shared" si="4"/>
        <v>2795690.0000000005</v>
      </c>
      <c r="J39" s="57">
        <f t="shared" si="4"/>
        <v>3379550</v>
      </c>
      <c r="K39" s="57">
        <f t="shared" si="4"/>
        <v>3216490</v>
      </c>
      <c r="L39" s="57">
        <f t="shared" si="4"/>
        <v>2698380.0000000005</v>
      </c>
      <c r="M39" s="57">
        <f t="shared" si="4"/>
        <v>3739860</v>
      </c>
      <c r="N39" s="57">
        <f t="shared" si="4"/>
        <v>3892400</v>
      </c>
      <c r="O39" s="57">
        <f t="shared" si="4"/>
        <v>3379550</v>
      </c>
      <c r="P39" s="57">
        <f t="shared" si="4"/>
        <v>3795090</v>
      </c>
      <c r="Q39" s="57">
        <f t="shared" si="4"/>
        <v>3784569.9999999995</v>
      </c>
      <c r="R39" s="57">
        <f t="shared" si="4"/>
        <v>2019840</v>
      </c>
      <c r="S39" s="57">
        <f t="shared" si="4"/>
        <v>4034420.0000000005</v>
      </c>
      <c r="T39" s="57">
        <f t="shared" si="4"/>
        <v>4147510</v>
      </c>
      <c r="U39" s="57">
        <f t="shared" si="4"/>
        <v>3545239.9999999995</v>
      </c>
      <c r="V39" s="57">
        <f t="shared" si="4"/>
        <v>4447329.9999999991</v>
      </c>
      <c r="W39" s="57">
        <f t="shared" si="4"/>
        <v>4534119.9999999991</v>
      </c>
      <c r="X39" s="57">
        <f t="shared" si="4"/>
        <v>3287500</v>
      </c>
      <c r="Y39" s="57">
        <f t="shared" si="4"/>
        <v>4547270</v>
      </c>
      <c r="Z39" s="57">
        <f t="shared" si="4"/>
        <v>4520969.9999999991</v>
      </c>
      <c r="AA39" s="57">
        <f t="shared" si="4"/>
        <v>3324319.9999999995</v>
      </c>
      <c r="AB39" s="57">
        <f t="shared" si="4"/>
        <v>4755039.9999999991</v>
      </c>
      <c r="AC39" s="57">
        <f t="shared" si="4"/>
        <v>3997600</v>
      </c>
    </row>
    <row r="40" spans="1:29" s="6" customFormat="1" ht="13.5" thickBot="1">
      <c r="D40" s="73"/>
    </row>
    <row r="41" spans="1:29" s="6" customFormat="1">
      <c r="A41" s="110" t="str">
        <f>CONCATENATE("XNPV",ROUND($F$9*100,2)," at 12/31/96")</f>
        <v>XNPV5 at 12/31/96</v>
      </c>
      <c r="B41" s="111">
        <f>+XNPV(F9,'Damage Calculations'!C89:C364,'Damage Calculations'!B89:B364)</f>
        <v>586133469.49314296</v>
      </c>
      <c r="D41" s="73"/>
    </row>
    <row r="42" spans="1:29" s="6" customFormat="1" ht="13.5" thickBot="1">
      <c r="A42" s="112" t="str">
        <f>CONCATENATE("XNPV",ROUND($F$9*100,2)," at 12/31/00")</f>
        <v>XNPV5 at 12/31/00</v>
      </c>
      <c r="B42" s="113">
        <f>+XNPV(F9,'Damage Calculations'!C137:C364,'Damage Calculations'!B137:B364)</f>
        <v>548419739.23546267</v>
      </c>
      <c r="D42" s="73"/>
    </row>
    <row r="43" spans="1:29" s="6" customFormat="1">
      <c r="D43" s="73"/>
    </row>
    <row r="44" spans="1:29">
      <c r="A44" s="251" t="s">
        <v>33</v>
      </c>
      <c r="B44" s="251"/>
      <c r="C44" s="251"/>
      <c r="D44" s="251"/>
      <c r="E44" s="251"/>
      <c r="F44" s="251"/>
    </row>
    <row r="45" spans="1:29" ht="13.5" thickBot="1">
      <c r="A45" s="13" t="s">
        <v>21</v>
      </c>
      <c r="D45" s="22"/>
      <c r="F45" t="s">
        <v>25</v>
      </c>
      <c r="G45" s="20">
        <f>+G31</f>
        <v>13.6</v>
      </c>
      <c r="H45" s="20">
        <f t="shared" ref="H45:AC45" si="5">+H31</f>
        <v>14.04</v>
      </c>
      <c r="I45" s="20">
        <f t="shared" si="5"/>
        <v>14.57</v>
      </c>
      <c r="J45" s="20">
        <f t="shared" si="5"/>
        <v>15.09</v>
      </c>
      <c r="K45" s="20">
        <f t="shared" si="5"/>
        <v>15.65</v>
      </c>
      <c r="L45" s="20">
        <f t="shared" si="5"/>
        <v>16.21</v>
      </c>
      <c r="M45" s="20">
        <f t="shared" si="5"/>
        <v>16.87</v>
      </c>
      <c r="N45" s="20">
        <f t="shared" si="5"/>
        <v>17.54</v>
      </c>
      <c r="O45" s="20">
        <f t="shared" si="5"/>
        <v>18.18</v>
      </c>
      <c r="P45" s="20">
        <f t="shared" si="5"/>
        <v>18.88</v>
      </c>
      <c r="Q45" s="20">
        <f t="shared" si="5"/>
        <v>17.579999999999998</v>
      </c>
      <c r="R45" s="20">
        <f t="shared" si="5"/>
        <v>18.13</v>
      </c>
      <c r="S45" s="20">
        <f t="shared" si="5"/>
        <v>18.87</v>
      </c>
      <c r="T45" s="20">
        <f t="shared" si="5"/>
        <v>19.52</v>
      </c>
      <c r="U45" s="20">
        <f t="shared" si="5"/>
        <v>20.22</v>
      </c>
      <c r="V45" s="20">
        <f t="shared" si="5"/>
        <v>20.99</v>
      </c>
      <c r="W45" s="20">
        <f t="shared" si="5"/>
        <v>21.56</v>
      </c>
      <c r="X45" s="20">
        <f t="shared" si="5"/>
        <v>21.71</v>
      </c>
      <c r="Y45" s="20">
        <f t="shared" si="5"/>
        <v>22.02</v>
      </c>
      <c r="Z45" s="20">
        <f t="shared" si="5"/>
        <v>22.18</v>
      </c>
      <c r="AA45" s="20">
        <f t="shared" si="5"/>
        <v>23.13</v>
      </c>
      <c r="AB45" s="20">
        <f t="shared" si="5"/>
        <v>23.58</v>
      </c>
      <c r="AC45" s="20">
        <f t="shared" si="5"/>
        <v>24.07</v>
      </c>
    </row>
    <row r="46" spans="1:29" ht="13.5" thickBot="1">
      <c r="A46" s="13" t="s">
        <v>13</v>
      </c>
      <c r="C46" s="24">
        <f>+IF($B$16="yes",1,0)</f>
        <v>1</v>
      </c>
      <c r="D46" s="77" t="s">
        <v>62</v>
      </c>
      <c r="F46" t="s">
        <v>25</v>
      </c>
      <c r="G46" s="20">
        <f>+'Tenaska''s i Adjustment'!D$44*$C$46</f>
        <v>1.1960763712899549</v>
      </c>
      <c r="H46" s="20">
        <f>+'Tenaska''s i Adjustment'!E44*$C$46</f>
        <v>1.1884155396808413</v>
      </c>
      <c r="I46" s="20">
        <f>+'Tenaska''s i Adjustment'!F44*$C$46</f>
        <v>1.1786378840253999</v>
      </c>
      <c r="J46" s="20">
        <f>+'Tenaska''s i Adjustment'!G44*$C$46</f>
        <v>1.165462138092181</v>
      </c>
      <c r="K46" s="20">
        <f>+'Tenaska''s i Adjustment'!H44*$C$46</f>
        <v>1.1488883018811837</v>
      </c>
      <c r="L46" s="20">
        <f>+'Tenaska''s i Adjustment'!I44*$C$46</f>
        <v>1.1301988053534062</v>
      </c>
      <c r="M46" s="20">
        <f>+'Tenaska''s i Adjustment'!J44*$C$46</f>
        <v>1.1102268788646312</v>
      </c>
      <c r="N46" s="20">
        <f>+'Tenaska''s i Adjustment'!K44*$C$46</f>
        <v>1.086856862098079</v>
      </c>
      <c r="O46" s="20">
        <f>+'Tenaska''s i Adjustment'!L44*$C$46</f>
        <v>1.0600887550537486</v>
      </c>
      <c r="P46" s="20">
        <f>+'Tenaska''s i Adjustment'!M44*$C$46</f>
        <v>1.0299225577316404</v>
      </c>
      <c r="Q46" s="20">
        <f>+'Tenaska''s i Adjustment'!N44*$C$46</f>
        <v>0.98235413495766777</v>
      </c>
      <c r="R46" s="20">
        <f>+'Tenaska''s i Adjustment'!O44*$C$46</f>
        <v>0.90489899614963876</v>
      </c>
      <c r="S46" s="20">
        <f>+'Tenaska''s i Adjustment'!P44*$C$46</f>
        <v>0.82194863332144241</v>
      </c>
      <c r="T46" s="20">
        <f>+'Tenaska''s i Adjustment'!Q44*$C$46</f>
        <v>0.73822564717227956</v>
      </c>
      <c r="U46" s="20">
        <f>+'Tenaska''s i Adjustment'!R44*$C$46</f>
        <v>0.64168469210188384</v>
      </c>
      <c r="V46" s="139">
        <f>+'Tenaska''s i Adjustment'!S44*$C$46</f>
        <v>0.52821814727264094</v>
      </c>
      <c r="W46" s="139">
        <f>+'Tenaska''s i Adjustment'!T44*$C$46</f>
        <v>0.39702189459189502</v>
      </c>
      <c r="X46" s="139">
        <f>+'Tenaska''s i Adjustment'!U44*$C$46</f>
        <v>0.3005980770971271</v>
      </c>
      <c r="Y46" s="139">
        <f>+'Tenaska''s i Adjustment'!V44*$C$46</f>
        <v>0.19447305247788232</v>
      </c>
      <c r="Z46" s="139">
        <f>+'Tenaska''s i Adjustment'!W44*$C$46</f>
        <v>7.7267594178082044E-2</v>
      </c>
      <c r="AA46" s="140">
        <f>+'Tenaska''s i Adjustment'!X44*$C$46</f>
        <v>-1.9483871306470579E-16</v>
      </c>
      <c r="AB46" s="140">
        <f>+'Tenaska''s i Adjustment'!Y44*$C$46</f>
        <v>-1.9483871306470579E-16</v>
      </c>
      <c r="AC46" s="140">
        <f>+'Tenaska''s i Adjustment'!Z44*$C$46</f>
        <v>-1.9483871306470579E-16</v>
      </c>
    </row>
    <row r="47" spans="1:29" s="13" customFormat="1" ht="13.5" thickBot="1">
      <c r="A47" s="13" t="s">
        <v>20</v>
      </c>
      <c r="C47" s="24">
        <f>+IF($B$17="yes",1,0)</f>
        <v>1</v>
      </c>
      <c r="D47" s="77" t="s">
        <v>62</v>
      </c>
      <c r="F47" t="s">
        <v>25</v>
      </c>
      <c r="G47" s="18">
        <f>+'Damage Calculations'!G$85*'Damage Calculations'!$C$47</f>
        <v>0</v>
      </c>
      <c r="H47" s="18">
        <f>+'Damage Calculations'!H$85*'Damage Calculations'!$C$47</f>
        <v>0</v>
      </c>
      <c r="I47" s="18">
        <f>+'Damage Calculations'!I$85*'Damage Calculations'!$C$47</f>
        <v>0</v>
      </c>
      <c r="J47" s="18">
        <f>+'Damage Calculations'!J$85*'Damage Calculations'!$C$47</f>
        <v>-1.08</v>
      </c>
      <c r="K47" s="18">
        <f>+'Damage Calculations'!K$85*'Damage Calculations'!$C$47</f>
        <v>-1.1299999999999999</v>
      </c>
      <c r="L47" s="18">
        <f>+'Damage Calculations'!L$85*'Damage Calculations'!$C$47</f>
        <v>-1.19</v>
      </c>
      <c r="M47" s="18">
        <f>+'Damage Calculations'!M$85*'Damage Calculations'!$C$47</f>
        <v>-1.25</v>
      </c>
      <c r="N47" s="18">
        <f>+'Damage Calculations'!N$85*'Damage Calculations'!$C$47</f>
        <v>-1.31</v>
      </c>
      <c r="O47" s="18">
        <f>+'Damage Calculations'!O$85*'Damage Calculations'!$C$47</f>
        <v>-1.38</v>
      </c>
      <c r="P47" s="18">
        <f>+'Damage Calculations'!P$85*'Damage Calculations'!$C$47</f>
        <v>-1.45</v>
      </c>
      <c r="Q47" s="18">
        <f>+'Damage Calculations'!Q$85*'Damage Calculations'!$C$47</f>
        <v>0</v>
      </c>
      <c r="R47" s="18">
        <f>+'Damage Calculations'!R$85*'Damage Calculations'!$C$47</f>
        <v>0</v>
      </c>
      <c r="S47" s="18">
        <f>+'Damage Calculations'!S$85*'Damage Calculations'!$C$47</f>
        <v>0</v>
      </c>
      <c r="T47" s="18">
        <f>+'Damage Calculations'!T$85*'Damage Calculations'!$C$47</f>
        <v>0</v>
      </c>
      <c r="U47" s="18">
        <f>+'Damage Calculations'!U$85*'Damage Calculations'!$C$47</f>
        <v>0</v>
      </c>
      <c r="V47" s="18">
        <f>+'Damage Calculations'!V$85*'Damage Calculations'!$C$47</f>
        <v>0</v>
      </c>
      <c r="W47" s="18">
        <f>+'Damage Calculations'!W$85*'Damage Calculations'!$C$47</f>
        <v>0</v>
      </c>
      <c r="X47" s="18">
        <f>+'Damage Calculations'!X$85*'Damage Calculations'!$C$47</f>
        <v>0</v>
      </c>
      <c r="Y47" s="18">
        <f>+'Damage Calculations'!Y$85*'Damage Calculations'!$C$47</f>
        <v>0</v>
      </c>
      <c r="Z47" s="18">
        <f>+'Damage Calculations'!Z$85*'Damage Calculations'!$C$47</f>
        <v>0</v>
      </c>
      <c r="AA47" s="18">
        <f>+'Damage Calculations'!AA$85*'Damage Calculations'!$C$47</f>
        <v>0</v>
      </c>
      <c r="AB47" s="18">
        <f>+'Damage Calculations'!AB$85*'Damage Calculations'!$C$47</f>
        <v>0</v>
      </c>
      <c r="AC47" s="18">
        <f>+'Damage Calculations'!AC$85*'Damage Calculations'!$C$47</f>
        <v>0</v>
      </c>
    </row>
    <row r="48" spans="1:29">
      <c r="A48" s="13" t="s">
        <v>27</v>
      </c>
      <c r="D48" s="22"/>
      <c r="F48" t="s">
        <v>25</v>
      </c>
      <c r="G48" s="21">
        <f>+G34</f>
        <v>-1.96</v>
      </c>
      <c r="H48" s="21">
        <f t="shared" ref="H48:AC48" si="6">+H34</f>
        <v>-2.12</v>
      </c>
      <c r="I48" s="21">
        <f t="shared" si="6"/>
        <v>-3.94</v>
      </c>
      <c r="J48" s="21">
        <f t="shared" si="6"/>
        <v>-2.2400000000000002</v>
      </c>
      <c r="K48" s="21">
        <f t="shared" si="6"/>
        <v>-3.42</v>
      </c>
      <c r="L48" s="21">
        <f t="shared" si="6"/>
        <v>-5.95</v>
      </c>
      <c r="M48" s="21">
        <f t="shared" si="6"/>
        <v>-2.65</v>
      </c>
      <c r="N48" s="21">
        <f t="shared" si="6"/>
        <v>-2.74</v>
      </c>
      <c r="O48" s="21">
        <f t="shared" si="6"/>
        <v>-5.33</v>
      </c>
      <c r="P48" s="21">
        <f t="shared" si="6"/>
        <v>-4.45</v>
      </c>
      <c r="Q48" s="21">
        <f t="shared" si="6"/>
        <v>-3.19</v>
      </c>
      <c r="R48" s="21">
        <f t="shared" si="6"/>
        <v>-10.45</v>
      </c>
      <c r="S48" s="21">
        <f t="shared" si="6"/>
        <v>-3.53</v>
      </c>
      <c r="T48" s="21">
        <f t="shared" si="6"/>
        <v>-3.75</v>
      </c>
      <c r="U48" s="21">
        <f t="shared" si="6"/>
        <v>-6.74</v>
      </c>
      <c r="V48" s="21">
        <f t="shared" si="6"/>
        <v>-4.08</v>
      </c>
      <c r="W48" s="21">
        <f t="shared" si="6"/>
        <v>-4.32</v>
      </c>
      <c r="X48" s="21">
        <f t="shared" si="6"/>
        <v>-9.2100000000000009</v>
      </c>
      <c r="Y48" s="21">
        <f t="shared" si="6"/>
        <v>-4.7300000000000004</v>
      </c>
      <c r="Z48" s="21">
        <f t="shared" si="6"/>
        <v>-4.99</v>
      </c>
      <c r="AA48" s="21">
        <f t="shared" si="6"/>
        <v>-10.49</v>
      </c>
      <c r="AB48" s="21">
        <f t="shared" si="6"/>
        <v>-5.5</v>
      </c>
      <c r="AC48" s="21">
        <f t="shared" si="6"/>
        <v>-8.8699999999999992</v>
      </c>
    </row>
    <row r="49" spans="1:30">
      <c r="A49" s="13" t="s">
        <v>23</v>
      </c>
      <c r="D49" s="22"/>
      <c r="F49" t="s">
        <v>25</v>
      </c>
      <c r="G49" s="20">
        <f t="shared" ref="G49:AC49" si="7">SUM(G45:G48)</f>
        <v>12.836076371289955</v>
      </c>
      <c r="H49" s="20">
        <f t="shared" si="7"/>
        <v>13.108415539680841</v>
      </c>
      <c r="I49" s="20">
        <f t="shared" si="7"/>
        <v>11.808637884025401</v>
      </c>
      <c r="J49" s="20">
        <f t="shared" si="7"/>
        <v>12.935462138092181</v>
      </c>
      <c r="K49" s="20">
        <f t="shared" si="7"/>
        <v>12.248888301881186</v>
      </c>
      <c r="L49" s="20">
        <f t="shared" si="7"/>
        <v>10.200198805353406</v>
      </c>
      <c r="M49" s="20">
        <f t="shared" si="7"/>
        <v>14.080226878864631</v>
      </c>
      <c r="N49" s="20">
        <f t="shared" si="7"/>
        <v>14.576856862098078</v>
      </c>
      <c r="O49" s="20">
        <f t="shared" si="7"/>
        <v>12.530088755053749</v>
      </c>
      <c r="P49" s="20">
        <f t="shared" si="7"/>
        <v>14.009922557731642</v>
      </c>
      <c r="Q49" s="20">
        <f t="shared" si="7"/>
        <v>15.372354134957666</v>
      </c>
      <c r="R49" s="20">
        <f t="shared" si="7"/>
        <v>8.58489899614964</v>
      </c>
      <c r="S49" s="20">
        <f t="shared" si="7"/>
        <v>16.161948633321444</v>
      </c>
      <c r="T49" s="20">
        <f t="shared" si="7"/>
        <v>16.508225647172278</v>
      </c>
      <c r="U49" s="20">
        <f t="shared" si="7"/>
        <v>14.121684692101882</v>
      </c>
      <c r="V49" s="20">
        <f t="shared" si="7"/>
        <v>17.438218147272636</v>
      </c>
      <c r="W49" s="20">
        <f t="shared" si="7"/>
        <v>17.637021894591893</v>
      </c>
      <c r="X49" s="20">
        <f t="shared" si="7"/>
        <v>12.800598077097128</v>
      </c>
      <c r="Y49" s="20">
        <f t="shared" si="7"/>
        <v>17.484473052477881</v>
      </c>
      <c r="Z49" s="20">
        <f t="shared" si="7"/>
        <v>17.26726759417808</v>
      </c>
      <c r="AA49" s="20">
        <f t="shared" si="7"/>
        <v>12.639999999999999</v>
      </c>
      <c r="AB49" s="20">
        <f t="shared" si="7"/>
        <v>18.079999999999998</v>
      </c>
      <c r="AC49" s="20">
        <f t="shared" si="7"/>
        <v>15.200000000000001</v>
      </c>
    </row>
    <row r="50" spans="1:30">
      <c r="A50" s="13" t="s">
        <v>17</v>
      </c>
      <c r="D50" s="22"/>
      <c r="F50" s="8"/>
      <c r="G50" s="7">
        <f>+G36</f>
        <v>12</v>
      </c>
      <c r="H50" s="7">
        <f t="shared" ref="H50:AC50" si="8">+H36</f>
        <v>12</v>
      </c>
      <c r="I50" s="7">
        <f t="shared" si="8"/>
        <v>12</v>
      </c>
      <c r="J50" s="7">
        <f t="shared" si="8"/>
        <v>12</v>
      </c>
      <c r="K50" s="7">
        <f t="shared" si="8"/>
        <v>12</v>
      </c>
      <c r="L50" s="7">
        <f t="shared" si="8"/>
        <v>12</v>
      </c>
      <c r="M50" s="7">
        <f t="shared" si="8"/>
        <v>12</v>
      </c>
      <c r="N50" s="7">
        <f t="shared" si="8"/>
        <v>12</v>
      </c>
      <c r="O50" s="7">
        <f t="shared" si="8"/>
        <v>12</v>
      </c>
      <c r="P50" s="7">
        <f t="shared" si="8"/>
        <v>12</v>
      </c>
      <c r="Q50" s="7">
        <f t="shared" si="8"/>
        <v>12</v>
      </c>
      <c r="R50" s="7">
        <f t="shared" si="8"/>
        <v>12</v>
      </c>
      <c r="S50" s="7">
        <f t="shared" si="8"/>
        <v>12</v>
      </c>
      <c r="T50" s="7">
        <f t="shared" si="8"/>
        <v>12</v>
      </c>
      <c r="U50" s="7">
        <f t="shared" si="8"/>
        <v>12</v>
      </c>
      <c r="V50" s="7">
        <f t="shared" si="8"/>
        <v>12</v>
      </c>
      <c r="W50" s="7">
        <f t="shared" si="8"/>
        <v>12</v>
      </c>
      <c r="X50" s="7">
        <f t="shared" si="8"/>
        <v>12</v>
      </c>
      <c r="Y50" s="7">
        <f t="shared" si="8"/>
        <v>12</v>
      </c>
      <c r="Z50" s="7">
        <f t="shared" si="8"/>
        <v>12</v>
      </c>
      <c r="AA50" s="7">
        <f t="shared" si="8"/>
        <v>12</v>
      </c>
      <c r="AB50" s="7">
        <f t="shared" si="8"/>
        <v>12</v>
      </c>
      <c r="AC50" s="7">
        <f t="shared" si="8"/>
        <v>12</v>
      </c>
    </row>
    <row r="51" spans="1:30">
      <c r="A51" s="13" t="s">
        <v>16</v>
      </c>
      <c r="D51" s="22"/>
      <c r="F51" t="s">
        <v>26</v>
      </c>
      <c r="G51" s="17">
        <f>+$F$8</f>
        <v>263000</v>
      </c>
      <c r="H51" s="23">
        <f>+G51</f>
        <v>263000</v>
      </c>
      <c r="I51" s="23">
        <f t="shared" ref="I51:AC51" si="9">+H51</f>
        <v>263000</v>
      </c>
      <c r="J51" s="23">
        <f t="shared" si="9"/>
        <v>263000</v>
      </c>
      <c r="K51" s="23">
        <f t="shared" si="9"/>
        <v>263000</v>
      </c>
      <c r="L51" s="23">
        <f t="shared" si="9"/>
        <v>263000</v>
      </c>
      <c r="M51" s="23">
        <f t="shared" si="9"/>
        <v>263000</v>
      </c>
      <c r="N51" s="23">
        <f t="shared" si="9"/>
        <v>263000</v>
      </c>
      <c r="O51" s="23">
        <f t="shared" si="9"/>
        <v>263000</v>
      </c>
      <c r="P51" s="23">
        <f t="shared" si="9"/>
        <v>263000</v>
      </c>
      <c r="Q51" s="23">
        <f t="shared" si="9"/>
        <v>263000</v>
      </c>
      <c r="R51" s="23">
        <f t="shared" si="9"/>
        <v>263000</v>
      </c>
      <c r="S51" s="23">
        <f t="shared" si="9"/>
        <v>263000</v>
      </c>
      <c r="T51" s="23">
        <f t="shared" si="9"/>
        <v>263000</v>
      </c>
      <c r="U51" s="23">
        <f t="shared" si="9"/>
        <v>263000</v>
      </c>
      <c r="V51" s="23">
        <f t="shared" si="9"/>
        <v>263000</v>
      </c>
      <c r="W51" s="23">
        <f t="shared" si="9"/>
        <v>263000</v>
      </c>
      <c r="X51" s="23">
        <f t="shared" si="9"/>
        <v>263000</v>
      </c>
      <c r="Y51" s="23">
        <f t="shared" si="9"/>
        <v>263000</v>
      </c>
      <c r="Z51" s="23">
        <f t="shared" si="9"/>
        <v>263000</v>
      </c>
      <c r="AA51" s="23">
        <f t="shared" si="9"/>
        <v>263000</v>
      </c>
      <c r="AB51" s="23">
        <f t="shared" si="9"/>
        <v>263000</v>
      </c>
      <c r="AC51" s="23">
        <f t="shared" si="9"/>
        <v>263000</v>
      </c>
    </row>
    <row r="52" spans="1:30" s="6" customFormat="1">
      <c r="A52" s="57" t="s">
        <v>18</v>
      </c>
      <c r="D52" s="73"/>
      <c r="G52" s="57">
        <f t="shared" ref="G52:AC52" si="10">+G51*G50*G49</f>
        <v>40510657.027791098</v>
      </c>
      <c r="H52" s="57">
        <f t="shared" si="10"/>
        <v>41370159.443232737</v>
      </c>
      <c r="I52" s="57">
        <f t="shared" si="10"/>
        <v>37268061.161984168</v>
      </c>
      <c r="J52" s="57">
        <f t="shared" si="10"/>
        <v>40824318.507818922</v>
      </c>
      <c r="K52" s="57">
        <f t="shared" si="10"/>
        <v>38657491.480737023</v>
      </c>
      <c r="L52" s="57">
        <f t="shared" si="10"/>
        <v>32191827.429695349</v>
      </c>
      <c r="M52" s="57">
        <f t="shared" si="10"/>
        <v>44437196.029696777</v>
      </c>
      <c r="N52" s="57">
        <f t="shared" si="10"/>
        <v>46004560.256781533</v>
      </c>
      <c r="O52" s="57">
        <f t="shared" si="10"/>
        <v>39544960.110949628</v>
      </c>
      <c r="P52" s="57">
        <f t="shared" si="10"/>
        <v>44215315.592201062</v>
      </c>
      <c r="Q52" s="57">
        <f t="shared" si="10"/>
        <v>48515149.649926394</v>
      </c>
      <c r="R52" s="57">
        <f t="shared" si="10"/>
        <v>27093941.231848262</v>
      </c>
      <c r="S52" s="57">
        <f t="shared" si="10"/>
        <v>51007109.886762477</v>
      </c>
      <c r="T52" s="57">
        <f t="shared" si="10"/>
        <v>52099960.142475709</v>
      </c>
      <c r="U52" s="57">
        <f t="shared" si="10"/>
        <v>44568036.888273537</v>
      </c>
      <c r="V52" s="57">
        <f t="shared" si="10"/>
        <v>55035016.472792439</v>
      </c>
      <c r="W52" s="57">
        <f t="shared" si="10"/>
        <v>55662441.099332012</v>
      </c>
      <c r="X52" s="57">
        <f t="shared" si="10"/>
        <v>40398687.531318538</v>
      </c>
      <c r="Y52" s="57">
        <f t="shared" si="10"/>
        <v>55180996.953620195</v>
      </c>
      <c r="Z52" s="57">
        <f t="shared" si="10"/>
        <v>54495496.527226016</v>
      </c>
      <c r="AA52" s="57">
        <f t="shared" si="10"/>
        <v>39891839.999999993</v>
      </c>
      <c r="AB52" s="57">
        <f t="shared" si="10"/>
        <v>57060479.999999993</v>
      </c>
      <c r="AC52" s="57">
        <f t="shared" si="10"/>
        <v>47971200</v>
      </c>
    </row>
    <row r="53" spans="1:30" s="6" customFormat="1">
      <c r="A53" s="57" t="s">
        <v>19</v>
      </c>
      <c r="D53" s="73"/>
      <c r="G53" s="57">
        <f t="shared" ref="G53:AC53" si="11">+G52/G50</f>
        <v>3375888.085649258</v>
      </c>
      <c r="H53" s="57">
        <f t="shared" si="11"/>
        <v>3447513.2869360615</v>
      </c>
      <c r="I53" s="57">
        <f t="shared" si="11"/>
        <v>3105671.7634986807</v>
      </c>
      <c r="J53" s="57">
        <f t="shared" si="11"/>
        <v>3402026.5423182435</v>
      </c>
      <c r="K53" s="57">
        <f t="shared" si="11"/>
        <v>3221457.6233947519</v>
      </c>
      <c r="L53" s="57">
        <f t="shared" si="11"/>
        <v>2682652.2858079458</v>
      </c>
      <c r="M53" s="57">
        <f t="shared" si="11"/>
        <v>3703099.6691413983</v>
      </c>
      <c r="N53" s="57">
        <f t="shared" si="11"/>
        <v>3833713.3547317944</v>
      </c>
      <c r="O53" s="57">
        <f t="shared" si="11"/>
        <v>3295413.3425791357</v>
      </c>
      <c r="P53" s="57">
        <f t="shared" si="11"/>
        <v>3684609.632683422</v>
      </c>
      <c r="Q53" s="57">
        <f t="shared" si="11"/>
        <v>4042929.137493866</v>
      </c>
      <c r="R53" s="57">
        <f t="shared" si="11"/>
        <v>2257828.4359873552</v>
      </c>
      <c r="S53" s="57">
        <f t="shared" si="11"/>
        <v>4250592.4905635398</v>
      </c>
      <c r="T53" s="57">
        <f t="shared" si="11"/>
        <v>4341663.3452063091</v>
      </c>
      <c r="U53" s="57">
        <f t="shared" si="11"/>
        <v>3714003.0740227946</v>
      </c>
      <c r="V53" s="57">
        <f t="shared" si="11"/>
        <v>4586251.3727327036</v>
      </c>
      <c r="W53" s="57">
        <f t="shared" si="11"/>
        <v>4638536.7582776677</v>
      </c>
      <c r="X53" s="57">
        <f t="shared" si="11"/>
        <v>3366557.2942765448</v>
      </c>
      <c r="Y53" s="57">
        <f t="shared" si="11"/>
        <v>4598416.4128016829</v>
      </c>
      <c r="Z53" s="57">
        <f t="shared" si="11"/>
        <v>4541291.377268835</v>
      </c>
      <c r="AA53" s="57">
        <f t="shared" si="11"/>
        <v>3324319.9999999995</v>
      </c>
      <c r="AB53" s="57">
        <f t="shared" si="11"/>
        <v>4755039.9999999991</v>
      </c>
      <c r="AC53" s="57">
        <f t="shared" si="11"/>
        <v>3997600</v>
      </c>
    </row>
    <row r="54" spans="1:30" s="6" customFormat="1" ht="13.5" thickBot="1">
      <c r="D54" s="73"/>
    </row>
    <row r="55" spans="1:30" s="6" customFormat="1" ht="13.5" thickBot="1">
      <c r="A55" s="108" t="str">
        <f>CONCATENATE("XNPV",ROUND($F$9*100,2)," at 12/31/00")</f>
        <v>XNPV5 at 12/31/00</v>
      </c>
      <c r="B55" s="109">
        <f>+XNPV(F9,'Damage Calculations'!D137:D364,'Damage Calculations'!B137:B364)</f>
        <v>556681335.38658702</v>
      </c>
      <c r="D55" s="73"/>
    </row>
    <row r="56" spans="1:30" s="6" customFormat="1">
      <c r="D56" s="73"/>
    </row>
    <row r="57" spans="1:30">
      <c r="A57" s="251" t="s">
        <v>89</v>
      </c>
      <c r="B57" s="251"/>
      <c r="C57" s="251"/>
      <c r="D57" s="251"/>
      <c r="E57" s="251"/>
      <c r="F57" s="251"/>
    </row>
    <row r="58" spans="1:30" ht="13.5" thickBot="1">
      <c r="A58" s="13" t="s">
        <v>21</v>
      </c>
      <c r="D58" s="22"/>
      <c r="F58" t="s">
        <v>25</v>
      </c>
      <c r="G58" s="20">
        <f>+G31</f>
        <v>13.6</v>
      </c>
      <c r="H58" s="20">
        <f t="shared" ref="H58:AC58" si="12">+H31</f>
        <v>14.04</v>
      </c>
      <c r="I58" s="20">
        <f t="shared" si="12"/>
        <v>14.57</v>
      </c>
      <c r="J58" s="20">
        <f t="shared" si="12"/>
        <v>15.09</v>
      </c>
      <c r="K58" s="20">
        <f t="shared" si="12"/>
        <v>15.65</v>
      </c>
      <c r="L58" s="20">
        <f t="shared" si="12"/>
        <v>16.21</v>
      </c>
      <c r="M58" s="20">
        <f t="shared" si="12"/>
        <v>16.87</v>
      </c>
      <c r="N58" s="20">
        <f t="shared" si="12"/>
        <v>17.54</v>
      </c>
      <c r="O58" s="20">
        <f t="shared" si="12"/>
        <v>18.18</v>
      </c>
      <c r="P58" s="20">
        <f t="shared" si="12"/>
        <v>18.88</v>
      </c>
      <c r="Q58" s="20">
        <f t="shared" si="12"/>
        <v>17.579999999999998</v>
      </c>
      <c r="R58" s="20">
        <f t="shared" si="12"/>
        <v>18.13</v>
      </c>
      <c r="S58" s="20">
        <f t="shared" si="12"/>
        <v>18.87</v>
      </c>
      <c r="T58" s="20">
        <f t="shared" si="12"/>
        <v>19.52</v>
      </c>
      <c r="U58" s="20">
        <f t="shared" si="12"/>
        <v>20.22</v>
      </c>
      <c r="V58" s="20">
        <f t="shared" si="12"/>
        <v>20.99</v>
      </c>
      <c r="W58" s="20">
        <f t="shared" si="12"/>
        <v>21.56</v>
      </c>
      <c r="X58" s="20">
        <f t="shared" si="12"/>
        <v>21.71</v>
      </c>
      <c r="Y58" s="20">
        <f t="shared" si="12"/>
        <v>22.02</v>
      </c>
      <c r="Z58" s="20">
        <f t="shared" si="12"/>
        <v>22.18</v>
      </c>
      <c r="AA58" s="20">
        <f t="shared" si="12"/>
        <v>23.13</v>
      </c>
      <c r="AB58" s="20">
        <f t="shared" si="12"/>
        <v>23.58</v>
      </c>
      <c r="AC58" s="20">
        <f t="shared" si="12"/>
        <v>24.07</v>
      </c>
    </row>
    <row r="59" spans="1:30" ht="13.5" thickBot="1">
      <c r="A59" s="13" t="s">
        <v>13</v>
      </c>
      <c r="C59" s="24">
        <f>+IF($B$16="yes",1,0)</f>
        <v>1</v>
      </c>
      <c r="D59" s="77" t="s">
        <v>90</v>
      </c>
      <c r="F59" t="s">
        <v>25</v>
      </c>
      <c r="G59" s="20">
        <f>IF(+$C$59=1,'Brazos'' i Adjustment'!D44,IF(+'Damage Calculations'!$C$59=0,+'Tenaska''s i Adjustment'!D44,"Error"))</f>
        <v>0.81014391064638824</v>
      </c>
      <c r="H59" s="20">
        <f>IF(+$C$59=1,'Brazos'' i Adjustment'!E44,IF(+'Damage Calculations'!$C$59=0,+'Tenaska''s i Adjustment'!E44,"Error"))</f>
        <v>0.80526245762040594</v>
      </c>
      <c r="I59" s="20">
        <f>IF(+$C$59=1,'Brazos'' i Adjustment'!F44,IF(+'Damage Calculations'!$C$59=0,+'Tenaska''s i Adjustment'!F44,"Error"))</f>
        <v>0.79903217229087486</v>
      </c>
      <c r="J59" s="20">
        <f>IF(+$C$59=1,'Brazos'' i Adjustment'!G44,IF(+'Damage Calculations'!$C$59=0,+'Tenaska''s i Adjustment'!G44,"Error"))</f>
        <v>0.79063663664448713</v>
      </c>
      <c r="K59" s="20">
        <f>IF(+$C$59=1,'Brazos'' i Adjustment'!H44,IF(+'Damage Calculations'!$C$59=0,+'Tenaska''s i Adjustment'!H44,"Error"))</f>
        <v>0.7800758506812423</v>
      </c>
      <c r="L59" s="20">
        <f>IF(+$C$59=1,'Brazos'' i Adjustment'!I44,IF(+'Damage Calculations'!$C$59=0,+'Tenaska''s i Adjustment'!I44,"Error"))</f>
        <v>0.76816697393853006</v>
      </c>
      <c r="M59" s="20">
        <f>IF(+$C$59=1,'Brazos'' i Adjustment'!J44,IF(+'Damage Calculations'!$C$59=0,+'Tenaska''s i Adjustment'!J44,"Error"))</f>
        <v>0.75544093765842868</v>
      </c>
      <c r="N59" s="20">
        <f>IF(+$C$59=1,'Brazos'' i Adjustment'!K44,IF(+'Damage Calculations'!$C$59=0,+'Tenaska''s i Adjustment'!K44,"Error"))</f>
        <v>0.74054965106147053</v>
      </c>
      <c r="O59" s="20">
        <f>IF(+$C$59=1,'Brazos'' i Adjustment'!L44,IF(+'Damage Calculations'!$C$59=0,+'Tenaska''s i Adjustment'!L44,"Error"))</f>
        <v>0.7234931141476556</v>
      </c>
      <c r="P59" s="20">
        <f>IF(+$C$59=1,'Brazos'' i Adjustment'!M44,IF(+'Damage Calculations'!$C$59=0,+'Tenaska''s i Adjustment'!M44,"Error"))</f>
        <v>0.7042713269169838</v>
      </c>
      <c r="Q59" s="20">
        <f>IF(+$C$59=1,'Brazos'' i Adjustment'!N44,IF(+'Damage Calculations'!$C$59=0,+'Tenaska''s i Adjustment'!N44,"Error"))</f>
        <v>0.67396090722116631</v>
      </c>
      <c r="R59" s="20">
        <f>IF(+$C$59=1,'Brazos'' i Adjustment'!O44,IF(+'Damage Calculations'!$C$59=0,+'Tenaska''s i Adjustment'!O44,"Error"))</f>
        <v>0.62460678471799769</v>
      </c>
      <c r="S59" s="20">
        <f>IF(+$C$59=1,'Brazos'' i Adjustment'!P44,IF(+'Damage Calculations'!$C$59=0,+'Tenaska''s i Adjustment'!P44,"Error"))</f>
        <v>0.57175112618187607</v>
      </c>
      <c r="T59" s="20">
        <f>IF(+$C$59=1,'Brazos'' i Adjustment'!Q44,IF(+'Damage Calculations'!$C$59=0,+'Tenaska''s i Adjustment'!Q44,"Error"))</f>
        <v>0.51840315497782019</v>
      </c>
      <c r="U59" s="20">
        <f>IF(+$C$59=1,'Brazos'' i Adjustment'!R44,IF(+'Damage Calculations'!$C$59=0,+'Tenaska''s i Adjustment'!R44,"Error"))</f>
        <v>0.45688762229087471</v>
      </c>
      <c r="V59" s="20">
        <f>IF(+$C$59=1,'Brazos'' i Adjustment'!S44,IF(+'Damage Calculations'!$C$59=0,+'Tenaska''s i Adjustment'!S44,"Error"))</f>
        <v>0.38359318480120513</v>
      </c>
      <c r="W59" s="20">
        <f>IF(+$C$59=1,'Brazos'' i Adjustment'!T44,IF(+'Damage Calculations'!$C$59=0,+'Tenaska''s i Adjustment'!T44,"Error"))</f>
        <v>0.2898410789416116</v>
      </c>
      <c r="X59" s="20">
        <f>IF(+$C$59=1,'Brazos'' i Adjustment'!U44,IF(+'Damage Calculations'!$C$59=0,+'Tenaska''s i Adjustment'!U44,"Error"))</f>
        <v>0.21944802586558335</v>
      </c>
      <c r="Y59" s="20">
        <f>IF(+$C$59=1,'Brazos'' i Adjustment'!V44,IF(+'Damage Calculations'!$C$59=0,+'Tenaska''s i Adjustment'!V44,"Error"))</f>
        <v>0.14197272272149589</v>
      </c>
      <c r="Z59" s="20">
        <f>IF(+$C$59=1,'Brazos'' i Adjustment'!W44,IF(+'Damage Calculations'!$C$59=0,+'Tenaska''s i Adjustment'!W44,"Error"))</f>
        <v>5.6408281681337512E-2</v>
      </c>
      <c r="AA59" s="20">
        <f>IF(+$C$59=1,'Brazos'' i Adjustment'!X44,IF(+'Damage Calculations'!$C$59=0,+'Tenaska''s i Adjustment'!X44,"Error"))</f>
        <v>-7.847705867769452E-17</v>
      </c>
      <c r="AB59" s="20">
        <f>IF(+$C$59=1,'Brazos'' i Adjustment'!Y44,IF(+'Damage Calculations'!$C$59=0,+'Tenaska''s i Adjustment'!Y44,"Error"))</f>
        <v>-7.847705867769452E-17</v>
      </c>
      <c r="AC59" s="20">
        <f>IF(+$C$59=1,'Brazos'' i Adjustment'!Z44,IF(+'Damage Calculations'!$C$59=0,+'Tenaska''s i Adjustment'!Z44,"Error"))</f>
        <v>-7.847705867769452E-17</v>
      </c>
      <c r="AD59" s="20"/>
    </row>
    <row r="60" spans="1:30" s="13" customFormat="1" ht="13.5" thickBot="1">
      <c r="A60" s="13" t="s">
        <v>20</v>
      </c>
      <c r="C60" s="24">
        <f>+IF($B$17="yes",1,0)</f>
        <v>1</v>
      </c>
      <c r="D60" s="77" t="s">
        <v>62</v>
      </c>
      <c r="F60" t="s">
        <v>25</v>
      </c>
      <c r="G60" s="18">
        <f>+'Damage Calculations'!G$85*'Damage Calculations'!$C$60</f>
        <v>0</v>
      </c>
      <c r="H60" s="18">
        <f>+'Damage Calculations'!H$85*'Damage Calculations'!$C$60</f>
        <v>0</v>
      </c>
      <c r="I60" s="18">
        <f>+'Damage Calculations'!I$85*'Damage Calculations'!$C$60</f>
        <v>0</v>
      </c>
      <c r="J60" s="18">
        <f>+'Damage Calculations'!J$85*'Damage Calculations'!$C$60</f>
        <v>-1.08</v>
      </c>
      <c r="K60" s="18">
        <f>+'Damage Calculations'!K$85*'Damage Calculations'!$C$60</f>
        <v>-1.1299999999999999</v>
      </c>
      <c r="L60" s="18">
        <f>+'Damage Calculations'!L$85*'Damage Calculations'!$C$60</f>
        <v>-1.19</v>
      </c>
      <c r="M60" s="18">
        <f>+'Damage Calculations'!M$85*'Damage Calculations'!$C$60</f>
        <v>-1.25</v>
      </c>
      <c r="N60" s="18">
        <f>+'Damage Calculations'!N$85*'Damage Calculations'!$C$60</f>
        <v>-1.31</v>
      </c>
      <c r="O60" s="18">
        <f>+'Damage Calculations'!O$85*'Damage Calculations'!$C$60</f>
        <v>-1.38</v>
      </c>
      <c r="P60" s="18">
        <f>+'Damage Calculations'!P$85*'Damage Calculations'!$C$60</f>
        <v>-1.45</v>
      </c>
      <c r="Q60" s="18">
        <f>+'Damage Calculations'!Q$85*'Damage Calculations'!$C$60</f>
        <v>0</v>
      </c>
      <c r="R60" s="18">
        <f>+'Damage Calculations'!R$85*'Damage Calculations'!$C$60</f>
        <v>0</v>
      </c>
      <c r="S60" s="18">
        <f>+'Damage Calculations'!S$85*'Damage Calculations'!$C$60</f>
        <v>0</v>
      </c>
      <c r="T60" s="18">
        <f>+'Damage Calculations'!T$85*'Damage Calculations'!$C$60</f>
        <v>0</v>
      </c>
      <c r="U60" s="18">
        <f>+'Damage Calculations'!U$85*'Damage Calculations'!$C$60</f>
        <v>0</v>
      </c>
      <c r="V60" s="18">
        <f>+'Damage Calculations'!V$85*'Damage Calculations'!$C$60</f>
        <v>0</v>
      </c>
      <c r="W60" s="18">
        <f>+'Damage Calculations'!W$85*'Damage Calculations'!$C$60</f>
        <v>0</v>
      </c>
      <c r="X60" s="18">
        <f>+'Damage Calculations'!X$85*'Damage Calculations'!$C$60</f>
        <v>0</v>
      </c>
      <c r="Y60" s="18">
        <f>+'Damage Calculations'!Y$85*'Damage Calculations'!$C$60</f>
        <v>0</v>
      </c>
      <c r="Z60" s="18">
        <f>+'Damage Calculations'!Z$85*'Damage Calculations'!$C$60</f>
        <v>0</v>
      </c>
      <c r="AA60" s="18">
        <f>+'Damage Calculations'!AA$85*'Damage Calculations'!$C$60</f>
        <v>0</v>
      </c>
      <c r="AB60" s="18">
        <f>+'Damage Calculations'!AB$85*'Damage Calculations'!$C$60</f>
        <v>0</v>
      </c>
      <c r="AC60" s="18">
        <f>+'Damage Calculations'!AC$85*'Damage Calculations'!$C$60</f>
        <v>0</v>
      </c>
    </row>
    <row r="61" spans="1:30">
      <c r="A61" s="13" t="s">
        <v>27</v>
      </c>
      <c r="D61" s="22"/>
      <c r="F61" t="s">
        <v>25</v>
      </c>
      <c r="G61" s="21">
        <f>+G34</f>
        <v>-1.96</v>
      </c>
      <c r="H61" s="21">
        <f t="shared" ref="H61:AC61" si="13">+H34</f>
        <v>-2.12</v>
      </c>
      <c r="I61" s="21">
        <f t="shared" si="13"/>
        <v>-3.94</v>
      </c>
      <c r="J61" s="21">
        <f t="shared" si="13"/>
        <v>-2.2400000000000002</v>
      </c>
      <c r="K61" s="21">
        <f t="shared" si="13"/>
        <v>-3.42</v>
      </c>
      <c r="L61" s="21">
        <f t="shared" si="13"/>
        <v>-5.95</v>
      </c>
      <c r="M61" s="21">
        <f t="shared" si="13"/>
        <v>-2.65</v>
      </c>
      <c r="N61" s="21">
        <f t="shared" si="13"/>
        <v>-2.74</v>
      </c>
      <c r="O61" s="21">
        <f t="shared" si="13"/>
        <v>-5.33</v>
      </c>
      <c r="P61" s="21">
        <f t="shared" si="13"/>
        <v>-4.45</v>
      </c>
      <c r="Q61" s="21">
        <f t="shared" si="13"/>
        <v>-3.19</v>
      </c>
      <c r="R61" s="21">
        <f t="shared" si="13"/>
        <v>-10.45</v>
      </c>
      <c r="S61" s="21">
        <f t="shared" si="13"/>
        <v>-3.53</v>
      </c>
      <c r="T61" s="21">
        <f t="shared" si="13"/>
        <v>-3.75</v>
      </c>
      <c r="U61" s="21">
        <f t="shared" si="13"/>
        <v>-6.74</v>
      </c>
      <c r="V61" s="21">
        <f t="shared" si="13"/>
        <v>-4.08</v>
      </c>
      <c r="W61" s="21">
        <f t="shared" si="13"/>
        <v>-4.32</v>
      </c>
      <c r="X61" s="21">
        <f t="shared" si="13"/>
        <v>-9.2100000000000009</v>
      </c>
      <c r="Y61" s="21">
        <f t="shared" si="13"/>
        <v>-4.7300000000000004</v>
      </c>
      <c r="Z61" s="21">
        <f t="shared" si="13"/>
        <v>-4.99</v>
      </c>
      <c r="AA61" s="21">
        <f t="shared" si="13"/>
        <v>-10.49</v>
      </c>
      <c r="AB61" s="21">
        <f t="shared" si="13"/>
        <v>-5.5</v>
      </c>
      <c r="AC61" s="21">
        <f t="shared" si="13"/>
        <v>-8.8699999999999992</v>
      </c>
    </row>
    <row r="62" spans="1:30">
      <c r="A62" s="13" t="s">
        <v>23</v>
      </c>
      <c r="D62" s="22"/>
      <c r="F62" t="s">
        <v>25</v>
      </c>
      <c r="G62" s="20">
        <f t="shared" ref="G62:AC62" si="14">SUM(G58:G61)</f>
        <v>12.450143910646389</v>
      </c>
      <c r="H62" s="20">
        <f t="shared" si="14"/>
        <v>12.725262457620406</v>
      </c>
      <c r="I62" s="20">
        <f t="shared" si="14"/>
        <v>11.429032172290876</v>
      </c>
      <c r="J62" s="20">
        <f t="shared" si="14"/>
        <v>12.560636636644487</v>
      </c>
      <c r="K62" s="20">
        <f t="shared" si="14"/>
        <v>11.880075850681242</v>
      </c>
      <c r="L62" s="20">
        <f t="shared" si="14"/>
        <v>9.8381669739385309</v>
      </c>
      <c r="M62" s="20">
        <f t="shared" si="14"/>
        <v>13.725440937658428</v>
      </c>
      <c r="N62" s="20">
        <f t="shared" si="14"/>
        <v>14.230549651061471</v>
      </c>
      <c r="O62" s="20">
        <f t="shared" si="14"/>
        <v>12.193493114147655</v>
      </c>
      <c r="P62" s="20">
        <f t="shared" si="14"/>
        <v>13.684271326916985</v>
      </c>
      <c r="Q62" s="20">
        <f t="shared" si="14"/>
        <v>15.063960907221164</v>
      </c>
      <c r="R62" s="20">
        <f t="shared" si="14"/>
        <v>8.304606784717997</v>
      </c>
      <c r="S62" s="20">
        <f t="shared" si="14"/>
        <v>15.911751126181878</v>
      </c>
      <c r="T62" s="20">
        <f t="shared" si="14"/>
        <v>16.288403154977821</v>
      </c>
      <c r="U62" s="20">
        <f t="shared" si="14"/>
        <v>13.936887622290874</v>
      </c>
      <c r="V62" s="20">
        <f t="shared" si="14"/>
        <v>17.293593184801203</v>
      </c>
      <c r="W62" s="20">
        <f t="shared" si="14"/>
        <v>17.529841078941612</v>
      </c>
      <c r="X62" s="20">
        <f t="shared" si="14"/>
        <v>12.719448025865585</v>
      </c>
      <c r="Y62" s="20">
        <f t="shared" si="14"/>
        <v>17.431972722721493</v>
      </c>
      <c r="Z62" s="20">
        <f t="shared" si="14"/>
        <v>17.24640828168134</v>
      </c>
      <c r="AA62" s="20">
        <f t="shared" si="14"/>
        <v>12.639999999999999</v>
      </c>
      <c r="AB62" s="20">
        <f t="shared" si="14"/>
        <v>18.079999999999998</v>
      </c>
      <c r="AC62" s="20">
        <f t="shared" si="14"/>
        <v>15.200000000000001</v>
      </c>
    </row>
    <row r="63" spans="1:30">
      <c r="A63" s="13" t="s">
        <v>17</v>
      </c>
      <c r="D63" s="22"/>
      <c r="F63" s="8"/>
      <c r="G63" s="7">
        <f>+G36</f>
        <v>12</v>
      </c>
      <c r="H63" s="7">
        <f t="shared" ref="H63:AC63" si="15">+H36</f>
        <v>12</v>
      </c>
      <c r="I63" s="7">
        <f t="shared" si="15"/>
        <v>12</v>
      </c>
      <c r="J63" s="7">
        <f t="shared" si="15"/>
        <v>12</v>
      </c>
      <c r="K63" s="7">
        <f t="shared" si="15"/>
        <v>12</v>
      </c>
      <c r="L63" s="7">
        <f t="shared" si="15"/>
        <v>12</v>
      </c>
      <c r="M63" s="7">
        <f t="shared" si="15"/>
        <v>12</v>
      </c>
      <c r="N63" s="7">
        <f t="shared" si="15"/>
        <v>12</v>
      </c>
      <c r="O63" s="7">
        <f t="shared" si="15"/>
        <v>12</v>
      </c>
      <c r="P63" s="7">
        <f t="shared" si="15"/>
        <v>12</v>
      </c>
      <c r="Q63" s="7">
        <f t="shared" si="15"/>
        <v>12</v>
      </c>
      <c r="R63" s="7">
        <f t="shared" si="15"/>
        <v>12</v>
      </c>
      <c r="S63" s="7">
        <f t="shared" si="15"/>
        <v>12</v>
      </c>
      <c r="T63" s="7">
        <f t="shared" si="15"/>
        <v>12</v>
      </c>
      <c r="U63" s="7">
        <f t="shared" si="15"/>
        <v>12</v>
      </c>
      <c r="V63" s="7">
        <f t="shared" si="15"/>
        <v>12</v>
      </c>
      <c r="W63" s="7">
        <f t="shared" si="15"/>
        <v>12</v>
      </c>
      <c r="X63" s="7">
        <f t="shared" si="15"/>
        <v>12</v>
      </c>
      <c r="Y63" s="7">
        <f t="shared" si="15"/>
        <v>12</v>
      </c>
      <c r="Z63" s="7">
        <f t="shared" si="15"/>
        <v>12</v>
      </c>
      <c r="AA63" s="7">
        <f t="shared" si="15"/>
        <v>12</v>
      </c>
      <c r="AB63" s="7">
        <f t="shared" si="15"/>
        <v>12</v>
      </c>
      <c r="AC63" s="7">
        <f t="shared" si="15"/>
        <v>12</v>
      </c>
    </row>
    <row r="64" spans="1:30">
      <c r="A64" s="13" t="s">
        <v>16</v>
      </c>
      <c r="D64" s="22"/>
      <c r="F64" t="s">
        <v>26</v>
      </c>
      <c r="G64" s="17">
        <f>+$F$8</f>
        <v>263000</v>
      </c>
      <c r="H64" s="23">
        <f>+G64</f>
        <v>263000</v>
      </c>
      <c r="I64" s="23">
        <f t="shared" ref="I64:AC64" si="16">+H64</f>
        <v>263000</v>
      </c>
      <c r="J64" s="23">
        <f t="shared" si="16"/>
        <v>263000</v>
      </c>
      <c r="K64" s="23">
        <f t="shared" si="16"/>
        <v>263000</v>
      </c>
      <c r="L64" s="23">
        <f t="shared" si="16"/>
        <v>263000</v>
      </c>
      <c r="M64" s="23">
        <f t="shared" si="16"/>
        <v>263000</v>
      </c>
      <c r="N64" s="23">
        <f t="shared" si="16"/>
        <v>263000</v>
      </c>
      <c r="O64" s="23">
        <f t="shared" si="16"/>
        <v>263000</v>
      </c>
      <c r="P64" s="23">
        <f t="shared" si="16"/>
        <v>263000</v>
      </c>
      <c r="Q64" s="23">
        <f t="shared" si="16"/>
        <v>263000</v>
      </c>
      <c r="R64" s="23">
        <f t="shared" si="16"/>
        <v>263000</v>
      </c>
      <c r="S64" s="23">
        <f t="shared" si="16"/>
        <v>263000</v>
      </c>
      <c r="T64" s="23">
        <f t="shared" si="16"/>
        <v>263000</v>
      </c>
      <c r="U64" s="23">
        <f t="shared" si="16"/>
        <v>263000</v>
      </c>
      <c r="V64" s="23">
        <f t="shared" si="16"/>
        <v>263000</v>
      </c>
      <c r="W64" s="23">
        <f t="shared" si="16"/>
        <v>263000</v>
      </c>
      <c r="X64" s="23">
        <f t="shared" si="16"/>
        <v>263000</v>
      </c>
      <c r="Y64" s="23">
        <f t="shared" si="16"/>
        <v>263000</v>
      </c>
      <c r="Z64" s="23">
        <f t="shared" si="16"/>
        <v>263000</v>
      </c>
      <c r="AA64" s="23">
        <f t="shared" si="16"/>
        <v>263000</v>
      </c>
      <c r="AB64" s="23">
        <f t="shared" si="16"/>
        <v>263000</v>
      </c>
      <c r="AC64" s="23">
        <f t="shared" si="16"/>
        <v>263000</v>
      </c>
    </row>
    <row r="65" spans="1:57" s="6" customFormat="1">
      <c r="A65" s="57" t="s">
        <v>18</v>
      </c>
      <c r="D65" s="73"/>
      <c r="G65" s="141">
        <f t="shared" ref="G65:AC65" si="17">+G64*G63*G62</f>
        <v>39292654.182000004</v>
      </c>
      <c r="H65" s="141">
        <f t="shared" si="17"/>
        <v>40160928.316250004</v>
      </c>
      <c r="I65" s="141">
        <f t="shared" si="17"/>
        <v>36070025.535750002</v>
      </c>
      <c r="J65" s="141">
        <f t="shared" si="17"/>
        <v>39641369.225249998</v>
      </c>
      <c r="K65" s="141">
        <f t="shared" si="17"/>
        <v>37493519.384750001</v>
      </c>
      <c r="L65" s="141">
        <f t="shared" si="17"/>
        <v>31049254.969750002</v>
      </c>
      <c r="M65" s="141">
        <f t="shared" si="17"/>
        <v>43317491.599249996</v>
      </c>
      <c r="N65" s="141">
        <f t="shared" si="17"/>
        <v>44911614.698750004</v>
      </c>
      <c r="O65" s="141">
        <f t="shared" si="17"/>
        <v>38482664.268249996</v>
      </c>
      <c r="P65" s="141">
        <f t="shared" si="17"/>
        <v>43187560.307750002</v>
      </c>
      <c r="Q65" s="141">
        <f t="shared" si="17"/>
        <v>47541860.623189993</v>
      </c>
      <c r="R65" s="141">
        <f t="shared" si="17"/>
        <v>26209339.012569997</v>
      </c>
      <c r="S65" s="141">
        <f t="shared" si="17"/>
        <v>50217486.554230005</v>
      </c>
      <c r="T65" s="141">
        <f t="shared" si="17"/>
        <v>51406200.357110001</v>
      </c>
      <c r="U65" s="141">
        <f t="shared" si="17"/>
        <v>43984817.335949995</v>
      </c>
      <c r="V65" s="141">
        <f t="shared" si="17"/>
        <v>54578580.091232598</v>
      </c>
      <c r="W65" s="141">
        <f t="shared" si="17"/>
        <v>55324178.445139728</v>
      </c>
      <c r="X65" s="141">
        <f t="shared" si="17"/>
        <v>40142577.969631784</v>
      </c>
      <c r="Y65" s="141">
        <f t="shared" si="17"/>
        <v>55015305.912909031</v>
      </c>
      <c r="Z65" s="141">
        <f t="shared" si="17"/>
        <v>54429664.536986306</v>
      </c>
      <c r="AA65" s="141">
        <f t="shared" si="17"/>
        <v>39891839.999999993</v>
      </c>
      <c r="AB65" s="141">
        <f t="shared" si="17"/>
        <v>57060479.999999993</v>
      </c>
      <c r="AC65" s="141">
        <f t="shared" si="17"/>
        <v>47971200</v>
      </c>
    </row>
    <row r="66" spans="1:57" s="6" customFormat="1">
      <c r="A66" s="57" t="s">
        <v>19</v>
      </c>
      <c r="D66" s="73"/>
      <c r="G66" s="57">
        <f t="shared" ref="G66:AC66" si="18">+G65/G63</f>
        <v>3274387.8485000003</v>
      </c>
      <c r="H66" s="57">
        <f t="shared" si="18"/>
        <v>3346744.0263541671</v>
      </c>
      <c r="I66" s="57">
        <f t="shared" si="18"/>
        <v>3005835.4613125003</v>
      </c>
      <c r="J66" s="57">
        <f t="shared" si="18"/>
        <v>3303447.4354375</v>
      </c>
      <c r="K66" s="57">
        <f t="shared" si="18"/>
        <v>3124459.9487291668</v>
      </c>
      <c r="L66" s="57">
        <f t="shared" si="18"/>
        <v>2587437.9141458333</v>
      </c>
      <c r="M66" s="57">
        <f t="shared" si="18"/>
        <v>3609790.9666041662</v>
      </c>
      <c r="N66" s="57">
        <f t="shared" si="18"/>
        <v>3742634.558229167</v>
      </c>
      <c r="O66" s="57">
        <f t="shared" si="18"/>
        <v>3206888.689020833</v>
      </c>
      <c r="P66" s="57">
        <f t="shared" si="18"/>
        <v>3598963.358979167</v>
      </c>
      <c r="Q66" s="57">
        <f t="shared" si="18"/>
        <v>3961821.7185991663</v>
      </c>
      <c r="R66" s="57">
        <f t="shared" si="18"/>
        <v>2184111.584380833</v>
      </c>
      <c r="S66" s="57">
        <f t="shared" si="18"/>
        <v>4184790.5461858339</v>
      </c>
      <c r="T66" s="57">
        <f t="shared" si="18"/>
        <v>4283850.0297591668</v>
      </c>
      <c r="U66" s="57">
        <f t="shared" si="18"/>
        <v>3665401.4446624997</v>
      </c>
      <c r="V66" s="57">
        <f t="shared" si="18"/>
        <v>4548215.0076027168</v>
      </c>
      <c r="W66" s="57">
        <f t="shared" si="18"/>
        <v>4610348.2037616437</v>
      </c>
      <c r="X66" s="57">
        <f t="shared" si="18"/>
        <v>3345214.8308026488</v>
      </c>
      <c r="Y66" s="57">
        <f t="shared" si="18"/>
        <v>4584608.8260757523</v>
      </c>
      <c r="Z66" s="57">
        <f t="shared" si="18"/>
        <v>4535805.3780821925</v>
      </c>
      <c r="AA66" s="57">
        <f t="shared" si="18"/>
        <v>3324319.9999999995</v>
      </c>
      <c r="AB66" s="57">
        <f t="shared" si="18"/>
        <v>4755039.9999999991</v>
      </c>
      <c r="AC66" s="57">
        <f t="shared" si="18"/>
        <v>3997600</v>
      </c>
    </row>
    <row r="67" spans="1:57" s="6" customFormat="1" ht="13.5" thickBot="1">
      <c r="D67" s="73"/>
    </row>
    <row r="68" spans="1:57" s="6" customFormat="1" ht="13.5" thickBot="1">
      <c r="A68" s="108" t="str">
        <f>CONCATENATE("XNPV",ROUND($F$9*100,2)," at 12/31/00")</f>
        <v>XNPV5 at 12/31/00</v>
      </c>
      <c r="B68" s="109">
        <f>XNPV(F9,E137:E364,B137:B364)</f>
        <v>547593319.99480438</v>
      </c>
      <c r="D68" s="73"/>
    </row>
    <row r="69" spans="1:57">
      <c r="A69" s="13"/>
      <c r="D69" s="22"/>
    </row>
    <row r="70" spans="1:57">
      <c r="A70" s="251" t="s">
        <v>88</v>
      </c>
      <c r="B70" s="251"/>
      <c r="C70" s="251"/>
      <c r="D70" s="251"/>
      <c r="E70" s="251"/>
      <c r="F70" s="251"/>
    </row>
    <row r="71" spans="1:57" ht="13.5" thickBot="1">
      <c r="A71" s="13" t="s">
        <v>21</v>
      </c>
      <c r="D71" s="22"/>
      <c r="F71" t="s">
        <v>25</v>
      </c>
      <c r="G71" s="18">
        <v>13.6</v>
      </c>
      <c r="H71" s="18">
        <v>14.04</v>
      </c>
      <c r="I71" s="18">
        <v>14.57</v>
      </c>
      <c r="J71" s="18">
        <v>15.09</v>
      </c>
      <c r="K71" s="18">
        <v>15.65</v>
      </c>
      <c r="L71" s="18">
        <v>16.21</v>
      </c>
      <c r="M71" s="18">
        <v>16.87</v>
      </c>
      <c r="N71" s="18">
        <v>17.54</v>
      </c>
      <c r="O71" s="18">
        <v>18.18</v>
      </c>
      <c r="P71" s="18">
        <v>18.88</v>
      </c>
      <c r="Q71" s="18">
        <v>17.579999999999998</v>
      </c>
      <c r="R71" s="18">
        <v>18.13</v>
      </c>
      <c r="S71" s="18">
        <v>18.87</v>
      </c>
      <c r="T71" s="18">
        <v>19.52</v>
      </c>
      <c r="U71" s="18">
        <v>20.22</v>
      </c>
      <c r="V71" s="18">
        <v>20.99</v>
      </c>
      <c r="W71" s="18">
        <v>21.56</v>
      </c>
      <c r="X71" s="18">
        <v>21.71</v>
      </c>
      <c r="Y71" s="18">
        <v>22.02</v>
      </c>
      <c r="Z71" s="18">
        <v>22.18</v>
      </c>
      <c r="AA71" s="18">
        <v>23.13</v>
      </c>
      <c r="AB71" s="18">
        <v>23.58</v>
      </c>
      <c r="AC71" s="18">
        <v>24.07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spans="1:57" ht="13.5" thickBot="1">
      <c r="A72" s="13" t="s">
        <v>13</v>
      </c>
      <c r="C72" s="24">
        <f>+IF($B$24="yes",1,0)</f>
        <v>0</v>
      </c>
      <c r="D72" s="77" t="s">
        <v>62</v>
      </c>
      <c r="F72" t="s">
        <v>25</v>
      </c>
      <c r="G72" s="20">
        <f>+'Tenaska''s i Adjustment'!D$44*$C$72</f>
        <v>0</v>
      </c>
      <c r="H72" s="20">
        <f>+'Tenaska''s i Adjustment'!E$44*$C$72</f>
        <v>0</v>
      </c>
      <c r="I72" s="20">
        <f>+'Tenaska''s i Adjustment'!F$44*$C$72</f>
        <v>0</v>
      </c>
      <c r="J72" s="20">
        <f>+'Tenaska''s i Adjustment'!G$44*$C$72</f>
        <v>0</v>
      </c>
      <c r="K72" s="20">
        <f>+'Tenaska''s i Adjustment'!H$44*$C$72</f>
        <v>0</v>
      </c>
      <c r="L72" s="20">
        <f>+'Tenaska''s i Adjustment'!I$44*$C$72</f>
        <v>0</v>
      </c>
      <c r="M72" s="20">
        <f>+'Tenaska''s i Adjustment'!J$44*$C$72</f>
        <v>0</v>
      </c>
      <c r="N72" s="20">
        <f>+'Tenaska''s i Adjustment'!K$44*$C$72</f>
        <v>0</v>
      </c>
      <c r="O72" s="20">
        <f>+'Tenaska''s i Adjustment'!L$44*$C$72</f>
        <v>0</v>
      </c>
      <c r="P72" s="20">
        <f>+'Tenaska''s i Adjustment'!M$44*$C$72</f>
        <v>0</v>
      </c>
      <c r="Q72" s="20">
        <f>+'Tenaska''s i Adjustment'!N$44*$C$72</f>
        <v>0</v>
      </c>
      <c r="R72" s="20">
        <f>+'Tenaska''s i Adjustment'!O$44*$C$72</f>
        <v>0</v>
      </c>
      <c r="S72" s="20">
        <f>+'Tenaska''s i Adjustment'!P$44*$C$72</f>
        <v>0</v>
      </c>
      <c r="T72" s="20">
        <f>+'Tenaska''s i Adjustment'!Q$44*$C$72</f>
        <v>0</v>
      </c>
      <c r="U72" s="20">
        <f>+'Tenaska''s i Adjustment'!R$44*$C$72</f>
        <v>0</v>
      </c>
      <c r="V72" s="20">
        <f>+'Tenaska''s i Adjustment'!S$44*$C$72</f>
        <v>0</v>
      </c>
      <c r="W72" s="20">
        <f>+'Tenaska''s i Adjustment'!T$44*$C$72</f>
        <v>0</v>
      </c>
      <c r="X72" s="20">
        <f>+'Tenaska''s i Adjustment'!U$44*$C$72</f>
        <v>0</v>
      </c>
      <c r="Y72" s="20">
        <f>+'Tenaska''s i Adjustment'!V$44*$C$72</f>
        <v>0</v>
      </c>
      <c r="Z72" s="20">
        <f>+'Tenaska''s i Adjustment'!W$44*$C$72</f>
        <v>0</v>
      </c>
      <c r="AA72" s="20">
        <f>+'Tenaska''s i Adjustment'!X$44*$C$72</f>
        <v>0</v>
      </c>
      <c r="AB72" s="20">
        <f>+'Tenaska''s i Adjustment'!Y$44*$C$72</f>
        <v>0</v>
      </c>
      <c r="AC72" s="20">
        <f>+'Tenaska''s i Adjustment'!Z$44*$C$72</f>
        <v>0</v>
      </c>
    </row>
    <row r="73" spans="1:57" ht="13.5" thickBot="1">
      <c r="A73" s="13" t="s">
        <v>20</v>
      </c>
      <c r="C73" s="24">
        <f>+IF($B$25="yes",1,0)</f>
        <v>1</v>
      </c>
      <c r="D73" s="77" t="s">
        <v>62</v>
      </c>
      <c r="F73" t="s">
        <v>25</v>
      </c>
      <c r="G73" s="20">
        <f>+'Damage Calculations'!G85*$C$73</f>
        <v>0</v>
      </c>
      <c r="H73" s="20">
        <f>+'Damage Calculations'!H85*$C$73</f>
        <v>0</v>
      </c>
      <c r="I73" s="20">
        <f>+'Damage Calculations'!I85*$C$73</f>
        <v>0</v>
      </c>
      <c r="J73" s="20">
        <f>+'Damage Calculations'!J85*$C$73</f>
        <v>-1.08</v>
      </c>
      <c r="K73" s="20">
        <f>+'Damage Calculations'!K85*$C$73</f>
        <v>-1.1299999999999999</v>
      </c>
      <c r="L73" s="20">
        <f>+'Damage Calculations'!L85*$C$73</f>
        <v>-1.19</v>
      </c>
      <c r="M73" s="20">
        <f>+'Damage Calculations'!M85*$C$73</f>
        <v>-1.25</v>
      </c>
      <c r="N73" s="20">
        <f>+'Damage Calculations'!N85*$C$73</f>
        <v>-1.31</v>
      </c>
      <c r="O73" s="20">
        <f>+'Damage Calculations'!O85*$C$73</f>
        <v>-1.38</v>
      </c>
      <c r="P73" s="20">
        <f>+'Damage Calculations'!P85*$C$73</f>
        <v>-1.45</v>
      </c>
      <c r="Q73" s="20">
        <f>+'Damage Calculations'!Q85*$C$73</f>
        <v>0</v>
      </c>
      <c r="R73" s="20">
        <f>+'Damage Calculations'!R85*$C$73</f>
        <v>0</v>
      </c>
      <c r="S73" s="20">
        <f>+'Damage Calculations'!S85*$C$73</f>
        <v>0</v>
      </c>
      <c r="T73" s="20">
        <f>+'Damage Calculations'!T85*$C$73</f>
        <v>0</v>
      </c>
      <c r="U73" s="20">
        <f>+'Damage Calculations'!U85*$C$73</f>
        <v>0</v>
      </c>
      <c r="V73" s="20">
        <f>+'Damage Calculations'!V85*$C$73</f>
        <v>0</v>
      </c>
      <c r="W73" s="20">
        <f>+'Damage Calculations'!W85*$C$73</f>
        <v>0</v>
      </c>
      <c r="X73" s="20">
        <f>+'Damage Calculations'!X85*$C$73</f>
        <v>0</v>
      </c>
      <c r="Y73" s="20">
        <f>+'Damage Calculations'!Y85*$C$73</f>
        <v>0</v>
      </c>
      <c r="Z73" s="20">
        <f>+'Damage Calculations'!Z85*$C$73</f>
        <v>0</v>
      </c>
      <c r="AA73" s="20">
        <f>+'Damage Calculations'!AA85*$C$73</f>
        <v>0</v>
      </c>
      <c r="AB73" s="20">
        <f>+'Damage Calculations'!AB85*$C$73</f>
        <v>0</v>
      </c>
      <c r="AC73" s="20">
        <f>+'Damage Calculations'!AC85*$C$73</f>
        <v>0</v>
      </c>
    </row>
    <row r="74" spans="1:57">
      <c r="A74" s="13" t="s">
        <v>27</v>
      </c>
      <c r="F74" t="s">
        <v>25</v>
      </c>
      <c r="G74" s="21">
        <f>+G48</f>
        <v>-1.96</v>
      </c>
      <c r="H74" s="21">
        <f t="shared" ref="H74:AC74" si="19">+H48</f>
        <v>-2.12</v>
      </c>
      <c r="I74" s="21">
        <f t="shared" si="19"/>
        <v>-3.94</v>
      </c>
      <c r="J74" s="21">
        <f t="shared" si="19"/>
        <v>-2.2400000000000002</v>
      </c>
      <c r="K74" s="21">
        <f t="shared" si="19"/>
        <v>-3.42</v>
      </c>
      <c r="L74" s="21">
        <f t="shared" si="19"/>
        <v>-5.95</v>
      </c>
      <c r="M74" s="21">
        <f t="shared" si="19"/>
        <v>-2.65</v>
      </c>
      <c r="N74" s="21">
        <f t="shared" si="19"/>
        <v>-2.74</v>
      </c>
      <c r="O74" s="21">
        <f t="shared" si="19"/>
        <v>-5.33</v>
      </c>
      <c r="P74" s="21">
        <f t="shared" si="19"/>
        <v>-4.45</v>
      </c>
      <c r="Q74" s="21">
        <f t="shared" si="19"/>
        <v>-3.19</v>
      </c>
      <c r="R74" s="21">
        <f t="shared" si="19"/>
        <v>-10.45</v>
      </c>
      <c r="S74" s="21">
        <f t="shared" si="19"/>
        <v>-3.53</v>
      </c>
      <c r="T74" s="21">
        <f t="shared" si="19"/>
        <v>-3.75</v>
      </c>
      <c r="U74" s="21">
        <f t="shared" si="19"/>
        <v>-6.74</v>
      </c>
      <c r="V74" s="21">
        <f t="shared" si="19"/>
        <v>-4.08</v>
      </c>
      <c r="W74" s="21">
        <f t="shared" si="19"/>
        <v>-4.32</v>
      </c>
      <c r="X74" s="21">
        <f t="shared" si="19"/>
        <v>-9.2100000000000009</v>
      </c>
      <c r="Y74" s="21">
        <f t="shared" si="19"/>
        <v>-4.7300000000000004</v>
      </c>
      <c r="Z74" s="21">
        <f t="shared" si="19"/>
        <v>-4.99</v>
      </c>
      <c r="AA74" s="21">
        <f t="shared" si="19"/>
        <v>-10.49</v>
      </c>
      <c r="AB74" s="21">
        <f t="shared" si="19"/>
        <v>-5.5</v>
      </c>
      <c r="AC74" s="21">
        <f t="shared" si="19"/>
        <v>-8.8699999999999992</v>
      </c>
    </row>
    <row r="75" spans="1:57" s="12" customFormat="1">
      <c r="A75" s="13" t="s">
        <v>23</v>
      </c>
      <c r="F75" t="s">
        <v>25</v>
      </c>
      <c r="G75" s="20">
        <f t="shared" ref="G75:AC75" si="20">SUM(G71:G74)</f>
        <v>11.64</v>
      </c>
      <c r="H75" s="20">
        <f t="shared" si="20"/>
        <v>11.919999999999998</v>
      </c>
      <c r="I75" s="20">
        <f t="shared" si="20"/>
        <v>10.63</v>
      </c>
      <c r="J75" s="20">
        <f t="shared" si="20"/>
        <v>11.77</v>
      </c>
      <c r="K75" s="20">
        <f t="shared" si="20"/>
        <v>11.1</v>
      </c>
      <c r="L75" s="20">
        <f t="shared" si="20"/>
        <v>9.07</v>
      </c>
      <c r="M75" s="20">
        <f t="shared" si="20"/>
        <v>12.97</v>
      </c>
      <c r="N75" s="20">
        <f t="shared" si="20"/>
        <v>13.49</v>
      </c>
      <c r="O75" s="20">
        <f t="shared" si="20"/>
        <v>11.47</v>
      </c>
      <c r="P75" s="20">
        <f t="shared" si="20"/>
        <v>12.98</v>
      </c>
      <c r="Q75" s="20">
        <f t="shared" si="20"/>
        <v>14.389999999999999</v>
      </c>
      <c r="R75" s="20">
        <f t="shared" si="20"/>
        <v>7.68</v>
      </c>
      <c r="S75" s="20">
        <f t="shared" si="20"/>
        <v>15.340000000000002</v>
      </c>
      <c r="T75" s="20">
        <f t="shared" si="20"/>
        <v>15.77</v>
      </c>
      <c r="U75" s="20">
        <f t="shared" si="20"/>
        <v>13.479999999999999</v>
      </c>
      <c r="V75" s="20">
        <f t="shared" si="20"/>
        <v>16.909999999999997</v>
      </c>
      <c r="W75" s="20">
        <f t="shared" si="20"/>
        <v>17.239999999999998</v>
      </c>
      <c r="X75" s="20">
        <f t="shared" si="20"/>
        <v>12.5</v>
      </c>
      <c r="Y75" s="20">
        <f t="shared" si="20"/>
        <v>17.29</v>
      </c>
      <c r="Z75" s="20">
        <f t="shared" si="20"/>
        <v>17.189999999999998</v>
      </c>
      <c r="AA75" s="20">
        <f t="shared" si="20"/>
        <v>12.639999999999999</v>
      </c>
      <c r="AB75" s="20">
        <f t="shared" si="20"/>
        <v>18.079999999999998</v>
      </c>
      <c r="AC75" s="20">
        <f t="shared" si="20"/>
        <v>15.200000000000001</v>
      </c>
    </row>
    <row r="76" spans="1:57">
      <c r="A76" s="13" t="s">
        <v>17</v>
      </c>
      <c r="F76" s="8"/>
      <c r="G76" s="7">
        <f>+G50</f>
        <v>12</v>
      </c>
      <c r="H76" s="7">
        <f t="shared" ref="H76:AC76" si="21">+H50</f>
        <v>12</v>
      </c>
      <c r="I76" s="7">
        <f t="shared" si="21"/>
        <v>12</v>
      </c>
      <c r="J76" s="7">
        <f t="shared" si="21"/>
        <v>12</v>
      </c>
      <c r="K76" s="7">
        <f t="shared" si="21"/>
        <v>12</v>
      </c>
      <c r="L76" s="7">
        <f t="shared" si="21"/>
        <v>12</v>
      </c>
      <c r="M76" s="7">
        <f t="shared" si="21"/>
        <v>12</v>
      </c>
      <c r="N76" s="7">
        <f t="shared" si="21"/>
        <v>12</v>
      </c>
      <c r="O76" s="7">
        <f t="shared" si="21"/>
        <v>12</v>
      </c>
      <c r="P76" s="7">
        <f t="shared" si="21"/>
        <v>12</v>
      </c>
      <c r="Q76" s="7">
        <f t="shared" si="21"/>
        <v>12</v>
      </c>
      <c r="R76" s="7">
        <f t="shared" si="21"/>
        <v>12</v>
      </c>
      <c r="S76" s="7">
        <f t="shared" si="21"/>
        <v>12</v>
      </c>
      <c r="T76" s="7">
        <f t="shared" si="21"/>
        <v>12</v>
      </c>
      <c r="U76" s="7">
        <f t="shared" si="21"/>
        <v>12</v>
      </c>
      <c r="V76" s="7">
        <f t="shared" si="21"/>
        <v>12</v>
      </c>
      <c r="W76" s="7">
        <f t="shared" si="21"/>
        <v>12</v>
      </c>
      <c r="X76" s="7">
        <f t="shared" si="21"/>
        <v>12</v>
      </c>
      <c r="Y76" s="7">
        <f t="shared" si="21"/>
        <v>12</v>
      </c>
      <c r="Z76" s="7">
        <f t="shared" si="21"/>
        <v>12</v>
      </c>
      <c r="AA76" s="7">
        <f t="shared" si="21"/>
        <v>12</v>
      </c>
      <c r="AB76" s="7">
        <f t="shared" si="21"/>
        <v>12</v>
      </c>
      <c r="AC76" s="7">
        <f t="shared" si="21"/>
        <v>12</v>
      </c>
    </row>
    <row r="77" spans="1:57">
      <c r="A77" s="13" t="s">
        <v>16</v>
      </c>
      <c r="F77" t="s">
        <v>26</v>
      </c>
      <c r="G77" s="23">
        <f>+$F$8</f>
        <v>263000</v>
      </c>
      <c r="H77" s="23">
        <f>+G77</f>
        <v>263000</v>
      </c>
      <c r="I77" s="23">
        <f t="shared" ref="I77:AC77" si="22">+H77</f>
        <v>263000</v>
      </c>
      <c r="J77" s="23">
        <f t="shared" si="22"/>
        <v>263000</v>
      </c>
      <c r="K77" s="23">
        <f t="shared" si="22"/>
        <v>263000</v>
      </c>
      <c r="L77" s="23">
        <f t="shared" si="22"/>
        <v>263000</v>
      </c>
      <c r="M77" s="23">
        <f t="shared" si="22"/>
        <v>263000</v>
      </c>
      <c r="N77" s="23">
        <f t="shared" si="22"/>
        <v>263000</v>
      </c>
      <c r="O77" s="23">
        <f t="shared" si="22"/>
        <v>263000</v>
      </c>
      <c r="P77" s="23">
        <f t="shared" si="22"/>
        <v>263000</v>
      </c>
      <c r="Q77" s="23">
        <f t="shared" si="22"/>
        <v>263000</v>
      </c>
      <c r="R77" s="23">
        <f t="shared" si="22"/>
        <v>263000</v>
      </c>
      <c r="S77" s="23">
        <f t="shared" si="22"/>
        <v>263000</v>
      </c>
      <c r="T77" s="23">
        <f t="shared" si="22"/>
        <v>263000</v>
      </c>
      <c r="U77" s="23">
        <f t="shared" si="22"/>
        <v>263000</v>
      </c>
      <c r="V77" s="23">
        <f t="shared" si="22"/>
        <v>263000</v>
      </c>
      <c r="W77" s="23">
        <f t="shared" si="22"/>
        <v>263000</v>
      </c>
      <c r="X77" s="23">
        <f t="shared" si="22"/>
        <v>263000</v>
      </c>
      <c r="Y77" s="23">
        <f t="shared" si="22"/>
        <v>263000</v>
      </c>
      <c r="Z77" s="23">
        <f t="shared" si="22"/>
        <v>263000</v>
      </c>
      <c r="AA77" s="23">
        <f t="shared" si="22"/>
        <v>263000</v>
      </c>
      <c r="AB77" s="23">
        <f t="shared" si="22"/>
        <v>263000</v>
      </c>
      <c r="AC77" s="23">
        <f t="shared" si="22"/>
        <v>263000</v>
      </c>
    </row>
    <row r="78" spans="1:57" s="6" customFormat="1">
      <c r="A78" s="57" t="s">
        <v>18</v>
      </c>
      <c r="G78" s="57">
        <f t="shared" ref="G78:AC78" si="23">+G77*G76*G75</f>
        <v>36735840</v>
      </c>
      <c r="H78" s="57">
        <f t="shared" si="23"/>
        <v>37619519.999999993</v>
      </c>
      <c r="I78" s="57">
        <f t="shared" si="23"/>
        <v>33548280.000000004</v>
      </c>
      <c r="J78" s="57">
        <f t="shared" si="23"/>
        <v>37146120</v>
      </c>
      <c r="K78" s="57">
        <f t="shared" si="23"/>
        <v>35031600</v>
      </c>
      <c r="L78" s="57">
        <f t="shared" si="23"/>
        <v>28624920</v>
      </c>
      <c r="M78" s="57">
        <f t="shared" si="23"/>
        <v>40933320</v>
      </c>
      <c r="N78" s="57">
        <f t="shared" si="23"/>
        <v>42574440</v>
      </c>
      <c r="O78" s="57">
        <f t="shared" si="23"/>
        <v>36199320</v>
      </c>
      <c r="P78" s="57">
        <f t="shared" si="23"/>
        <v>40964880</v>
      </c>
      <c r="Q78" s="57">
        <f t="shared" si="23"/>
        <v>45414839.999999993</v>
      </c>
      <c r="R78" s="57">
        <f t="shared" si="23"/>
        <v>24238080</v>
      </c>
      <c r="S78" s="57">
        <f t="shared" si="23"/>
        <v>48413040.000000007</v>
      </c>
      <c r="T78" s="57">
        <f t="shared" si="23"/>
        <v>49770120</v>
      </c>
      <c r="U78" s="57">
        <f t="shared" si="23"/>
        <v>42542879.999999993</v>
      </c>
      <c r="V78" s="57">
        <f t="shared" si="23"/>
        <v>53367959.999999993</v>
      </c>
      <c r="W78" s="57">
        <f t="shared" si="23"/>
        <v>54409439.999999993</v>
      </c>
      <c r="X78" s="57">
        <f t="shared" si="23"/>
        <v>39450000</v>
      </c>
      <c r="Y78" s="57">
        <f t="shared" si="23"/>
        <v>54567240</v>
      </c>
      <c r="Z78" s="57">
        <f t="shared" si="23"/>
        <v>54251639.999999993</v>
      </c>
      <c r="AA78" s="57">
        <f t="shared" si="23"/>
        <v>39891839.999999993</v>
      </c>
      <c r="AB78" s="57">
        <f t="shared" si="23"/>
        <v>57060479.999999993</v>
      </c>
      <c r="AC78" s="57">
        <f t="shared" si="23"/>
        <v>47971200</v>
      </c>
    </row>
    <row r="79" spans="1:57" s="6" customFormat="1">
      <c r="A79" s="57" t="s">
        <v>19</v>
      </c>
      <c r="G79" s="57">
        <f t="shared" ref="G79:AC79" si="24">+G78/G76</f>
        <v>3061320</v>
      </c>
      <c r="H79" s="57">
        <f t="shared" si="24"/>
        <v>3134959.9999999995</v>
      </c>
      <c r="I79" s="57">
        <f t="shared" si="24"/>
        <v>2795690.0000000005</v>
      </c>
      <c r="J79" s="57">
        <f t="shared" si="24"/>
        <v>3095510</v>
      </c>
      <c r="K79" s="57">
        <f t="shared" si="24"/>
        <v>2919300</v>
      </c>
      <c r="L79" s="57">
        <f t="shared" si="24"/>
        <v>2385410</v>
      </c>
      <c r="M79" s="57">
        <f t="shared" si="24"/>
        <v>3411110</v>
      </c>
      <c r="N79" s="57">
        <f t="shared" si="24"/>
        <v>3547870</v>
      </c>
      <c r="O79" s="57">
        <f t="shared" si="24"/>
        <v>3016610</v>
      </c>
      <c r="P79" s="57">
        <f t="shared" si="24"/>
        <v>3413740</v>
      </c>
      <c r="Q79" s="57">
        <f t="shared" si="24"/>
        <v>3784569.9999999995</v>
      </c>
      <c r="R79" s="57">
        <f t="shared" si="24"/>
        <v>2019840</v>
      </c>
      <c r="S79" s="57">
        <f t="shared" si="24"/>
        <v>4034420.0000000005</v>
      </c>
      <c r="T79" s="57">
        <f t="shared" si="24"/>
        <v>4147510</v>
      </c>
      <c r="U79" s="57">
        <f t="shared" si="24"/>
        <v>3545239.9999999995</v>
      </c>
      <c r="V79" s="57">
        <f t="shared" si="24"/>
        <v>4447329.9999999991</v>
      </c>
      <c r="W79" s="57">
        <f t="shared" si="24"/>
        <v>4534119.9999999991</v>
      </c>
      <c r="X79" s="57">
        <f t="shared" si="24"/>
        <v>3287500</v>
      </c>
      <c r="Y79" s="57">
        <f t="shared" si="24"/>
        <v>4547270</v>
      </c>
      <c r="Z79" s="57">
        <f t="shared" si="24"/>
        <v>4520969.9999999991</v>
      </c>
      <c r="AA79" s="57">
        <f t="shared" si="24"/>
        <v>3324319.9999999995</v>
      </c>
      <c r="AB79" s="57">
        <f t="shared" si="24"/>
        <v>4755039.9999999991</v>
      </c>
      <c r="AC79" s="57">
        <f t="shared" si="24"/>
        <v>3997600</v>
      </c>
    </row>
    <row r="80" spans="1:57" ht="13.5" thickBot="1">
      <c r="A80" s="13"/>
    </row>
    <row r="81" spans="1:29" ht="13.5" thickBot="1">
      <c r="A81" s="108" t="str">
        <f>CONCATENATE("XNPV",ROUND($F$9*100,2)," at 12/31/00")</f>
        <v>XNPV5 at 12/31/00</v>
      </c>
      <c r="B81" s="109">
        <f>+XNPV(F9,'Damage Calculations'!F137:F364,'Damage Calculations'!B137:B364)</f>
        <v>527428366.87042427</v>
      </c>
    </row>
    <row r="84" spans="1:29" s="9" customFormat="1" ht="13.5" thickBot="1"/>
    <row r="85" spans="1:29" s="9" customFormat="1" ht="13.5" thickBot="1">
      <c r="A85" s="70" t="s">
        <v>64</v>
      </c>
      <c r="B85" s="58"/>
      <c r="C85" s="58"/>
      <c r="D85" s="58"/>
      <c r="E85" s="58"/>
      <c r="F85" s="58" t="s">
        <v>25</v>
      </c>
      <c r="G85" s="106">
        <v>0</v>
      </c>
      <c r="H85" s="106">
        <v>0</v>
      </c>
      <c r="I85" s="106">
        <v>0</v>
      </c>
      <c r="J85" s="106">
        <v>-1.08</v>
      </c>
      <c r="K85" s="106">
        <v>-1.1299999999999999</v>
      </c>
      <c r="L85" s="106">
        <v>-1.19</v>
      </c>
      <c r="M85" s="106">
        <v>-1.25</v>
      </c>
      <c r="N85" s="106">
        <v>-1.31</v>
      </c>
      <c r="O85" s="106">
        <v>-1.38</v>
      </c>
      <c r="P85" s="106">
        <v>-1.45</v>
      </c>
      <c r="Q85" s="106">
        <v>0</v>
      </c>
      <c r="R85" s="106">
        <v>0</v>
      </c>
      <c r="S85" s="106">
        <v>0</v>
      </c>
      <c r="T85" s="106">
        <v>0</v>
      </c>
      <c r="U85" s="106">
        <v>0</v>
      </c>
      <c r="V85" s="106">
        <v>0</v>
      </c>
      <c r="W85" s="106">
        <v>0</v>
      </c>
      <c r="X85" s="106">
        <v>0</v>
      </c>
      <c r="Y85" s="106">
        <v>0</v>
      </c>
      <c r="Z85" s="106">
        <v>0</v>
      </c>
      <c r="AA85" s="106">
        <v>0</v>
      </c>
      <c r="AB85" s="106">
        <v>0</v>
      </c>
      <c r="AC85" s="107">
        <v>0</v>
      </c>
    </row>
    <row r="87" spans="1:29" ht="13.5" thickBot="1"/>
    <row r="88" spans="1:29" ht="15">
      <c r="A88" s="61" t="s">
        <v>63</v>
      </c>
      <c r="B88" s="68" t="s">
        <v>61</v>
      </c>
      <c r="C88" s="68" t="s">
        <v>24</v>
      </c>
      <c r="D88" s="68" t="s">
        <v>30</v>
      </c>
      <c r="E88" s="68" t="s">
        <v>31</v>
      </c>
      <c r="F88" s="69" t="s">
        <v>84</v>
      </c>
    </row>
    <row r="89" spans="1:29">
      <c r="A89" s="59"/>
      <c r="B89" s="62">
        <v>35461</v>
      </c>
      <c r="C89" s="63">
        <f>+'Damage Calculations'!$G$39</f>
        <v>3061320</v>
      </c>
      <c r="D89" s="63">
        <f>+'Damage Calculations'!$G$53</f>
        <v>3375888.085649258</v>
      </c>
      <c r="E89" s="63">
        <f>+'Damage Calculations'!$G$66</f>
        <v>3274387.8485000003</v>
      </c>
      <c r="F89" s="64">
        <f>+'Damage Calculations'!$G$79</f>
        <v>3061320</v>
      </c>
    </row>
    <row r="90" spans="1:29">
      <c r="A90" s="59"/>
      <c r="B90" s="62">
        <v>35489</v>
      </c>
      <c r="C90" s="63">
        <f>+'Damage Calculations'!$G$39</f>
        <v>3061320</v>
      </c>
      <c r="D90" s="63">
        <f>+'Damage Calculations'!$G$53</f>
        <v>3375888.085649258</v>
      </c>
      <c r="E90" s="63">
        <f>+'Damage Calculations'!$G$66</f>
        <v>3274387.8485000003</v>
      </c>
      <c r="F90" s="64">
        <f>+'Damage Calculations'!$G$79</f>
        <v>3061320</v>
      </c>
    </row>
    <row r="91" spans="1:29">
      <c r="A91" s="59"/>
      <c r="B91" s="62">
        <v>35520</v>
      </c>
      <c r="C91" s="63">
        <f>+'Damage Calculations'!$G$39</f>
        <v>3061320</v>
      </c>
      <c r="D91" s="63">
        <f>+'Damage Calculations'!$G$53</f>
        <v>3375888.085649258</v>
      </c>
      <c r="E91" s="63">
        <f>+'Damage Calculations'!$G$66</f>
        <v>3274387.8485000003</v>
      </c>
      <c r="F91" s="64">
        <f>+'Damage Calculations'!$G$79</f>
        <v>3061320</v>
      </c>
    </row>
    <row r="92" spans="1:29">
      <c r="A92" s="59"/>
      <c r="B92" s="62">
        <v>35550</v>
      </c>
      <c r="C92" s="63">
        <f>+'Damage Calculations'!$G$39</f>
        <v>3061320</v>
      </c>
      <c r="D92" s="63">
        <f>+'Damage Calculations'!$G$53</f>
        <v>3375888.085649258</v>
      </c>
      <c r="E92" s="63">
        <f>+'Damage Calculations'!$G$66</f>
        <v>3274387.8485000003</v>
      </c>
      <c r="F92" s="64">
        <f>+'Damage Calculations'!$G$79</f>
        <v>3061320</v>
      </c>
    </row>
    <row r="93" spans="1:29">
      <c r="A93" s="59"/>
      <c r="B93" s="62">
        <v>35581</v>
      </c>
      <c r="C93" s="63">
        <f>+'Damage Calculations'!$G$39</f>
        <v>3061320</v>
      </c>
      <c r="D93" s="63">
        <f>+'Damage Calculations'!$G$53</f>
        <v>3375888.085649258</v>
      </c>
      <c r="E93" s="63">
        <f>+'Damage Calculations'!$G$66</f>
        <v>3274387.8485000003</v>
      </c>
      <c r="F93" s="64">
        <f>+'Damage Calculations'!$G$79</f>
        <v>3061320</v>
      </c>
    </row>
    <row r="94" spans="1:29">
      <c r="A94" s="59"/>
      <c r="B94" s="62">
        <v>35611</v>
      </c>
      <c r="C94" s="63">
        <f>+'Damage Calculations'!$G$39</f>
        <v>3061320</v>
      </c>
      <c r="D94" s="63">
        <f>+'Damage Calculations'!$G$53</f>
        <v>3375888.085649258</v>
      </c>
      <c r="E94" s="63">
        <f>+'Damage Calculations'!$G$66</f>
        <v>3274387.8485000003</v>
      </c>
      <c r="F94" s="64">
        <f>+'Damage Calculations'!$G$79</f>
        <v>3061320</v>
      </c>
    </row>
    <row r="95" spans="1:29">
      <c r="A95" s="59"/>
      <c r="B95" s="62">
        <v>35642</v>
      </c>
      <c r="C95" s="63">
        <f>+'Damage Calculations'!$G$39</f>
        <v>3061320</v>
      </c>
      <c r="D95" s="63">
        <f>+'Damage Calculations'!$G$53</f>
        <v>3375888.085649258</v>
      </c>
      <c r="E95" s="63">
        <f>+'Damage Calculations'!$G$66</f>
        <v>3274387.8485000003</v>
      </c>
      <c r="F95" s="64">
        <f>+'Damage Calculations'!$G$79</f>
        <v>3061320</v>
      </c>
    </row>
    <row r="96" spans="1:29">
      <c r="A96" s="59"/>
      <c r="B96" s="62">
        <v>35673</v>
      </c>
      <c r="C96" s="63">
        <f>+'Damage Calculations'!$G$39</f>
        <v>3061320</v>
      </c>
      <c r="D96" s="63">
        <f>+'Damage Calculations'!$G$53</f>
        <v>3375888.085649258</v>
      </c>
      <c r="E96" s="63">
        <f>+'Damage Calculations'!$G$66</f>
        <v>3274387.8485000003</v>
      </c>
      <c r="F96" s="64">
        <f>+'Damage Calculations'!$G$79</f>
        <v>3061320</v>
      </c>
    </row>
    <row r="97" spans="1:6">
      <c r="A97" s="59"/>
      <c r="B97" s="62">
        <v>35703</v>
      </c>
      <c r="C97" s="63">
        <f>+'Damage Calculations'!$G$39</f>
        <v>3061320</v>
      </c>
      <c r="D97" s="63">
        <f>+'Damage Calculations'!$G$53</f>
        <v>3375888.085649258</v>
      </c>
      <c r="E97" s="63">
        <f>+'Damage Calculations'!$G$66</f>
        <v>3274387.8485000003</v>
      </c>
      <c r="F97" s="64">
        <f>+'Damage Calculations'!$G$79</f>
        <v>3061320</v>
      </c>
    </row>
    <row r="98" spans="1:6">
      <c r="A98" s="59"/>
      <c r="B98" s="62">
        <v>35734</v>
      </c>
      <c r="C98" s="63">
        <f>+'Damage Calculations'!$G$39</f>
        <v>3061320</v>
      </c>
      <c r="D98" s="63">
        <f>+'Damage Calculations'!$G$53</f>
        <v>3375888.085649258</v>
      </c>
      <c r="E98" s="63">
        <f>+'Damage Calculations'!$G$66</f>
        <v>3274387.8485000003</v>
      </c>
      <c r="F98" s="64">
        <f>+'Damage Calculations'!$G$79</f>
        <v>3061320</v>
      </c>
    </row>
    <row r="99" spans="1:6">
      <c r="A99" s="59"/>
      <c r="B99" s="62">
        <v>35764</v>
      </c>
      <c r="C99" s="63">
        <f>+'Damage Calculations'!$G$39</f>
        <v>3061320</v>
      </c>
      <c r="D99" s="63">
        <f>+'Damage Calculations'!$G$53</f>
        <v>3375888.085649258</v>
      </c>
      <c r="E99" s="63">
        <f>+'Damage Calculations'!$G$66</f>
        <v>3274387.8485000003</v>
      </c>
      <c r="F99" s="64">
        <f>+'Damage Calculations'!$G$79</f>
        <v>3061320</v>
      </c>
    </row>
    <row r="100" spans="1:6">
      <c r="A100" s="59"/>
      <c r="B100" s="62">
        <v>35795</v>
      </c>
      <c r="C100" s="63">
        <f>+'Damage Calculations'!$G$39</f>
        <v>3061320</v>
      </c>
      <c r="D100" s="63">
        <f>+'Damage Calculations'!$G$53</f>
        <v>3375888.085649258</v>
      </c>
      <c r="E100" s="63">
        <f>+'Damage Calculations'!$G$66</f>
        <v>3274387.8485000003</v>
      </c>
      <c r="F100" s="64">
        <f>+'Damage Calculations'!$G$79</f>
        <v>3061320</v>
      </c>
    </row>
    <row r="101" spans="1:6">
      <c r="A101" s="59"/>
      <c r="B101" s="62">
        <v>35826</v>
      </c>
      <c r="C101" s="63">
        <f>+'Damage Calculations'!$H$39</f>
        <v>3134959.9999999995</v>
      </c>
      <c r="D101" s="63">
        <f>+'Damage Calculations'!$H$53</f>
        <v>3447513.2869360615</v>
      </c>
      <c r="E101" s="63">
        <f>+'Damage Calculations'!$H$66</f>
        <v>3346744.0263541671</v>
      </c>
      <c r="F101" s="64">
        <f>+'Damage Calculations'!$H$79</f>
        <v>3134959.9999999995</v>
      </c>
    </row>
    <row r="102" spans="1:6">
      <c r="A102" s="59"/>
      <c r="B102" s="62">
        <v>35854</v>
      </c>
      <c r="C102" s="63">
        <f>+'Damage Calculations'!$H$39</f>
        <v>3134959.9999999995</v>
      </c>
      <c r="D102" s="63">
        <f>+'Damage Calculations'!$H$53</f>
        <v>3447513.2869360615</v>
      </c>
      <c r="E102" s="63">
        <f>+'Damage Calculations'!$H$66</f>
        <v>3346744.0263541671</v>
      </c>
      <c r="F102" s="64">
        <f>+'Damage Calculations'!$H$79</f>
        <v>3134959.9999999995</v>
      </c>
    </row>
    <row r="103" spans="1:6">
      <c r="A103" s="59"/>
      <c r="B103" s="62">
        <v>35885</v>
      </c>
      <c r="C103" s="63">
        <f>+'Damage Calculations'!$H$39</f>
        <v>3134959.9999999995</v>
      </c>
      <c r="D103" s="63">
        <f>+'Damage Calculations'!$H$53</f>
        <v>3447513.2869360615</v>
      </c>
      <c r="E103" s="63">
        <f>+'Damage Calculations'!$H$66</f>
        <v>3346744.0263541671</v>
      </c>
      <c r="F103" s="64">
        <f>+'Damage Calculations'!$H$79</f>
        <v>3134959.9999999995</v>
      </c>
    </row>
    <row r="104" spans="1:6">
      <c r="A104" s="59"/>
      <c r="B104" s="62">
        <v>35915</v>
      </c>
      <c r="C104" s="63">
        <f>+'Damage Calculations'!$H$39</f>
        <v>3134959.9999999995</v>
      </c>
      <c r="D104" s="63">
        <f>+'Damage Calculations'!$H$53</f>
        <v>3447513.2869360615</v>
      </c>
      <c r="E104" s="63">
        <f>+'Damage Calculations'!$H$66</f>
        <v>3346744.0263541671</v>
      </c>
      <c r="F104" s="64">
        <f>+'Damage Calculations'!$H$79</f>
        <v>3134959.9999999995</v>
      </c>
    </row>
    <row r="105" spans="1:6">
      <c r="A105" s="59"/>
      <c r="B105" s="62">
        <v>35946</v>
      </c>
      <c r="C105" s="63">
        <f>+'Damage Calculations'!$H$39</f>
        <v>3134959.9999999995</v>
      </c>
      <c r="D105" s="63">
        <f>+'Damage Calculations'!$H$53</f>
        <v>3447513.2869360615</v>
      </c>
      <c r="E105" s="63">
        <f>+'Damage Calculations'!$H$66</f>
        <v>3346744.0263541671</v>
      </c>
      <c r="F105" s="64">
        <f>+'Damage Calculations'!$H$79</f>
        <v>3134959.9999999995</v>
      </c>
    </row>
    <row r="106" spans="1:6">
      <c r="A106" s="59"/>
      <c r="B106" s="62">
        <v>35976</v>
      </c>
      <c r="C106" s="63">
        <f>+'Damage Calculations'!$H$39</f>
        <v>3134959.9999999995</v>
      </c>
      <c r="D106" s="63">
        <f>+'Damage Calculations'!$H$53</f>
        <v>3447513.2869360615</v>
      </c>
      <c r="E106" s="63">
        <f>+'Damage Calculations'!$H$66</f>
        <v>3346744.0263541671</v>
      </c>
      <c r="F106" s="64">
        <f>+'Damage Calculations'!$H$79</f>
        <v>3134959.9999999995</v>
      </c>
    </row>
    <row r="107" spans="1:6">
      <c r="A107" s="59"/>
      <c r="B107" s="62">
        <v>36007</v>
      </c>
      <c r="C107" s="63">
        <f>+'Damage Calculations'!$H$39</f>
        <v>3134959.9999999995</v>
      </c>
      <c r="D107" s="63">
        <f>+'Damage Calculations'!$H$53</f>
        <v>3447513.2869360615</v>
      </c>
      <c r="E107" s="63">
        <f>+'Damage Calculations'!$H$66</f>
        <v>3346744.0263541671</v>
      </c>
      <c r="F107" s="64">
        <f>+'Damage Calculations'!$H$79</f>
        <v>3134959.9999999995</v>
      </c>
    </row>
    <row r="108" spans="1:6">
      <c r="A108" s="59"/>
      <c r="B108" s="62">
        <v>36038</v>
      </c>
      <c r="C108" s="63">
        <f>+'Damage Calculations'!$H$39</f>
        <v>3134959.9999999995</v>
      </c>
      <c r="D108" s="63">
        <f>+'Damage Calculations'!$H$53</f>
        <v>3447513.2869360615</v>
      </c>
      <c r="E108" s="63">
        <f>+'Damage Calculations'!$H$66</f>
        <v>3346744.0263541671</v>
      </c>
      <c r="F108" s="64">
        <f>+'Damage Calculations'!$H$79</f>
        <v>3134959.9999999995</v>
      </c>
    </row>
    <row r="109" spans="1:6">
      <c r="A109" s="59"/>
      <c r="B109" s="62">
        <v>36068</v>
      </c>
      <c r="C109" s="63">
        <f>+'Damage Calculations'!$H$39</f>
        <v>3134959.9999999995</v>
      </c>
      <c r="D109" s="63">
        <f>+'Damage Calculations'!$H$53</f>
        <v>3447513.2869360615</v>
      </c>
      <c r="E109" s="63">
        <f>+'Damage Calculations'!$H$66</f>
        <v>3346744.0263541671</v>
      </c>
      <c r="F109" s="64">
        <f>+'Damage Calculations'!$H$79</f>
        <v>3134959.9999999995</v>
      </c>
    </row>
    <row r="110" spans="1:6">
      <c r="A110" s="59"/>
      <c r="B110" s="62">
        <v>36099</v>
      </c>
      <c r="C110" s="63">
        <f>+'Damage Calculations'!$H$39</f>
        <v>3134959.9999999995</v>
      </c>
      <c r="D110" s="63">
        <f>+'Damage Calculations'!$H$53</f>
        <v>3447513.2869360615</v>
      </c>
      <c r="E110" s="63">
        <f>+'Damage Calculations'!$H$66</f>
        <v>3346744.0263541671</v>
      </c>
      <c r="F110" s="64">
        <f>+'Damage Calculations'!$H$79</f>
        <v>3134959.9999999995</v>
      </c>
    </row>
    <row r="111" spans="1:6">
      <c r="A111" s="59"/>
      <c r="B111" s="62">
        <v>36129</v>
      </c>
      <c r="C111" s="63">
        <f>+'Damage Calculations'!$H$39</f>
        <v>3134959.9999999995</v>
      </c>
      <c r="D111" s="63">
        <f>+'Damage Calculations'!$H$53</f>
        <v>3447513.2869360615</v>
      </c>
      <c r="E111" s="63">
        <f>+'Damage Calculations'!$H$66</f>
        <v>3346744.0263541671</v>
      </c>
      <c r="F111" s="64">
        <f>+'Damage Calculations'!$H$79</f>
        <v>3134959.9999999995</v>
      </c>
    </row>
    <row r="112" spans="1:6">
      <c r="A112" s="59"/>
      <c r="B112" s="62">
        <v>36160</v>
      </c>
      <c r="C112" s="63">
        <f>+'Damage Calculations'!$H$39</f>
        <v>3134959.9999999995</v>
      </c>
      <c r="D112" s="63">
        <f>+'Damage Calculations'!$H$53</f>
        <v>3447513.2869360615</v>
      </c>
      <c r="E112" s="63">
        <f>+'Damage Calculations'!$H$66</f>
        <v>3346744.0263541671</v>
      </c>
      <c r="F112" s="64">
        <f>+'Damage Calculations'!$H$79</f>
        <v>3134959.9999999995</v>
      </c>
    </row>
    <row r="113" spans="1:6">
      <c r="A113" s="59"/>
      <c r="B113" s="62">
        <v>36191</v>
      </c>
      <c r="C113" s="63">
        <f>+'Damage Calculations'!$I$39</f>
        <v>2795690.0000000005</v>
      </c>
      <c r="D113" s="63">
        <f>+'Damage Calculations'!$I$53</f>
        <v>3105671.7634986807</v>
      </c>
      <c r="E113" s="63">
        <f>+'Damage Calculations'!$I$66</f>
        <v>3005835.4613125003</v>
      </c>
      <c r="F113" s="64">
        <f>+'Damage Calculations'!$I$79</f>
        <v>2795690.0000000005</v>
      </c>
    </row>
    <row r="114" spans="1:6">
      <c r="A114" s="59"/>
      <c r="B114" s="62">
        <v>36219</v>
      </c>
      <c r="C114" s="63">
        <f>+'Damage Calculations'!$I$39</f>
        <v>2795690.0000000005</v>
      </c>
      <c r="D114" s="63">
        <f>+'Damage Calculations'!$I$53</f>
        <v>3105671.7634986807</v>
      </c>
      <c r="E114" s="63">
        <f>+'Damage Calculations'!$I$66</f>
        <v>3005835.4613125003</v>
      </c>
      <c r="F114" s="64">
        <f>+'Damage Calculations'!$I$79</f>
        <v>2795690.0000000005</v>
      </c>
    </row>
    <row r="115" spans="1:6">
      <c r="A115" s="59"/>
      <c r="B115" s="62">
        <v>36250</v>
      </c>
      <c r="C115" s="63">
        <f>+'Damage Calculations'!$I$39</f>
        <v>2795690.0000000005</v>
      </c>
      <c r="D115" s="63">
        <f>+'Damage Calculations'!$I$53</f>
        <v>3105671.7634986807</v>
      </c>
      <c r="E115" s="63">
        <f>+'Damage Calculations'!$I$66</f>
        <v>3005835.4613125003</v>
      </c>
      <c r="F115" s="64">
        <f>+'Damage Calculations'!$I$79</f>
        <v>2795690.0000000005</v>
      </c>
    </row>
    <row r="116" spans="1:6">
      <c r="A116" s="59"/>
      <c r="B116" s="62">
        <v>36280</v>
      </c>
      <c r="C116" s="63">
        <f>+'Damage Calculations'!$I$39</f>
        <v>2795690.0000000005</v>
      </c>
      <c r="D116" s="63">
        <f>+'Damage Calculations'!$I$53</f>
        <v>3105671.7634986807</v>
      </c>
      <c r="E116" s="63">
        <f>+'Damage Calculations'!$I$66</f>
        <v>3005835.4613125003</v>
      </c>
      <c r="F116" s="64">
        <f>+'Damage Calculations'!$I$79</f>
        <v>2795690.0000000005</v>
      </c>
    </row>
    <row r="117" spans="1:6">
      <c r="A117" s="59"/>
      <c r="B117" s="62">
        <v>36311</v>
      </c>
      <c r="C117" s="63">
        <f>+'Damage Calculations'!$I$39</f>
        <v>2795690.0000000005</v>
      </c>
      <c r="D117" s="63">
        <f>+'Damage Calculations'!$I$53</f>
        <v>3105671.7634986807</v>
      </c>
      <c r="E117" s="63">
        <f>+'Damage Calculations'!$I$66</f>
        <v>3005835.4613125003</v>
      </c>
      <c r="F117" s="64">
        <f>+'Damage Calculations'!$I$79</f>
        <v>2795690.0000000005</v>
      </c>
    </row>
    <row r="118" spans="1:6">
      <c r="A118" s="59"/>
      <c r="B118" s="62">
        <v>36341</v>
      </c>
      <c r="C118" s="63">
        <f>+'Damage Calculations'!$I$39</f>
        <v>2795690.0000000005</v>
      </c>
      <c r="D118" s="63">
        <f>+'Damage Calculations'!$I$53</f>
        <v>3105671.7634986807</v>
      </c>
      <c r="E118" s="63">
        <f>+'Damage Calculations'!$I$66</f>
        <v>3005835.4613125003</v>
      </c>
      <c r="F118" s="64">
        <f>+'Damage Calculations'!$I$79</f>
        <v>2795690.0000000005</v>
      </c>
    </row>
    <row r="119" spans="1:6">
      <c r="A119" s="59"/>
      <c r="B119" s="62">
        <v>36372</v>
      </c>
      <c r="C119" s="63">
        <f>+'Damage Calculations'!$I$39</f>
        <v>2795690.0000000005</v>
      </c>
      <c r="D119" s="63">
        <f>+'Damage Calculations'!$I$53</f>
        <v>3105671.7634986807</v>
      </c>
      <c r="E119" s="63">
        <f>+'Damage Calculations'!$I$66</f>
        <v>3005835.4613125003</v>
      </c>
      <c r="F119" s="64">
        <f>+'Damage Calculations'!$I$79</f>
        <v>2795690.0000000005</v>
      </c>
    </row>
    <row r="120" spans="1:6">
      <c r="A120" s="59"/>
      <c r="B120" s="62">
        <v>36403</v>
      </c>
      <c r="C120" s="63">
        <f>+'Damage Calculations'!$I$39</f>
        <v>2795690.0000000005</v>
      </c>
      <c r="D120" s="63">
        <f>+'Damage Calculations'!$I$53</f>
        <v>3105671.7634986807</v>
      </c>
      <c r="E120" s="63">
        <f>+'Damage Calculations'!$I$66</f>
        <v>3005835.4613125003</v>
      </c>
      <c r="F120" s="64">
        <f>+'Damage Calculations'!$I$79</f>
        <v>2795690.0000000005</v>
      </c>
    </row>
    <row r="121" spans="1:6">
      <c r="A121" s="59"/>
      <c r="B121" s="62">
        <v>36433</v>
      </c>
      <c r="C121" s="63">
        <f>+'Damage Calculations'!$I$39</f>
        <v>2795690.0000000005</v>
      </c>
      <c r="D121" s="63">
        <f>+'Damage Calculations'!$I$53</f>
        <v>3105671.7634986807</v>
      </c>
      <c r="E121" s="63">
        <f>+'Damage Calculations'!$I$66</f>
        <v>3005835.4613125003</v>
      </c>
      <c r="F121" s="64">
        <f>+'Damage Calculations'!$I$79</f>
        <v>2795690.0000000005</v>
      </c>
    </row>
    <row r="122" spans="1:6">
      <c r="A122" s="59"/>
      <c r="B122" s="62">
        <v>36464</v>
      </c>
      <c r="C122" s="63">
        <f>+'Damage Calculations'!$I$39</f>
        <v>2795690.0000000005</v>
      </c>
      <c r="D122" s="63">
        <f>+'Damage Calculations'!$I$53</f>
        <v>3105671.7634986807</v>
      </c>
      <c r="E122" s="63">
        <f>+'Damage Calculations'!$I$66</f>
        <v>3005835.4613125003</v>
      </c>
      <c r="F122" s="64">
        <f>+'Damage Calculations'!$I$79</f>
        <v>2795690.0000000005</v>
      </c>
    </row>
    <row r="123" spans="1:6">
      <c r="A123" s="59"/>
      <c r="B123" s="62">
        <v>36494</v>
      </c>
      <c r="C123" s="63">
        <f>+'Damage Calculations'!$I$39</f>
        <v>2795690.0000000005</v>
      </c>
      <c r="D123" s="63">
        <f>+'Damage Calculations'!$I$53</f>
        <v>3105671.7634986807</v>
      </c>
      <c r="E123" s="63">
        <f>+'Damage Calculations'!$I$66</f>
        <v>3005835.4613125003</v>
      </c>
      <c r="F123" s="64">
        <f>+'Damage Calculations'!$I$79</f>
        <v>2795690.0000000005</v>
      </c>
    </row>
    <row r="124" spans="1:6">
      <c r="A124" s="59"/>
      <c r="B124" s="62">
        <v>36525</v>
      </c>
      <c r="C124" s="63">
        <f>+'Damage Calculations'!$I$39</f>
        <v>2795690.0000000005</v>
      </c>
      <c r="D124" s="63">
        <f>+'Damage Calculations'!$I$53</f>
        <v>3105671.7634986807</v>
      </c>
      <c r="E124" s="63">
        <f>+'Damage Calculations'!$I$66</f>
        <v>3005835.4613125003</v>
      </c>
      <c r="F124" s="64">
        <f>+'Damage Calculations'!$I$79</f>
        <v>2795690.0000000005</v>
      </c>
    </row>
    <row r="125" spans="1:6">
      <c r="A125" s="59"/>
      <c r="B125" s="62">
        <v>36556</v>
      </c>
      <c r="C125" s="63">
        <f>+'Damage Calculations'!$J$39</f>
        <v>3379550</v>
      </c>
      <c r="D125" s="63">
        <f>+'Damage Calculations'!$J$53</f>
        <v>3402026.5423182435</v>
      </c>
      <c r="E125" s="63">
        <f>+'Damage Calculations'!$J$66</f>
        <v>3303447.4354375</v>
      </c>
      <c r="F125" s="64">
        <f>+'Damage Calculations'!$J$79</f>
        <v>3095510</v>
      </c>
    </row>
    <row r="126" spans="1:6">
      <c r="A126" s="59"/>
      <c r="B126" s="62">
        <v>36585</v>
      </c>
      <c r="C126" s="63">
        <f>+'Damage Calculations'!$J$39</f>
        <v>3379550</v>
      </c>
      <c r="D126" s="63">
        <f>+'Damage Calculations'!$J$53</f>
        <v>3402026.5423182435</v>
      </c>
      <c r="E126" s="63">
        <f>+'Damage Calculations'!$J$66</f>
        <v>3303447.4354375</v>
      </c>
      <c r="F126" s="64">
        <f>+'Damage Calculations'!$J$79</f>
        <v>3095510</v>
      </c>
    </row>
    <row r="127" spans="1:6">
      <c r="A127" s="59"/>
      <c r="B127" s="62">
        <v>36616</v>
      </c>
      <c r="C127" s="63">
        <f>+'Damage Calculations'!$J$39</f>
        <v>3379550</v>
      </c>
      <c r="D127" s="63">
        <f>+'Damage Calculations'!$J$53</f>
        <v>3402026.5423182435</v>
      </c>
      <c r="E127" s="63">
        <f>+'Damage Calculations'!$J$66</f>
        <v>3303447.4354375</v>
      </c>
      <c r="F127" s="64">
        <f>+'Damage Calculations'!$J$79</f>
        <v>3095510</v>
      </c>
    </row>
    <row r="128" spans="1:6">
      <c r="A128" s="59"/>
      <c r="B128" s="62">
        <v>36646</v>
      </c>
      <c r="C128" s="63">
        <f>+'Damage Calculations'!$J$39</f>
        <v>3379550</v>
      </c>
      <c r="D128" s="63">
        <f>+'Damage Calculations'!$J$53</f>
        <v>3402026.5423182435</v>
      </c>
      <c r="E128" s="63">
        <f>+'Damage Calculations'!$J$66</f>
        <v>3303447.4354375</v>
      </c>
      <c r="F128" s="64">
        <f>+'Damage Calculations'!$J$79</f>
        <v>3095510</v>
      </c>
    </row>
    <row r="129" spans="1:6">
      <c r="A129" s="59"/>
      <c r="B129" s="62">
        <v>36677</v>
      </c>
      <c r="C129" s="63">
        <f>+'Damage Calculations'!$J$39</f>
        <v>3379550</v>
      </c>
      <c r="D129" s="63">
        <f>+'Damage Calculations'!$J$53</f>
        <v>3402026.5423182435</v>
      </c>
      <c r="E129" s="63">
        <f>+'Damage Calculations'!$J$66</f>
        <v>3303447.4354375</v>
      </c>
      <c r="F129" s="64">
        <f>+'Damage Calculations'!$J$79</f>
        <v>3095510</v>
      </c>
    </row>
    <row r="130" spans="1:6">
      <c r="A130" s="59"/>
      <c r="B130" s="62">
        <v>36707</v>
      </c>
      <c r="C130" s="63">
        <f>+'Damage Calculations'!$J$39</f>
        <v>3379550</v>
      </c>
      <c r="D130" s="63">
        <f>+'Damage Calculations'!$J$53</f>
        <v>3402026.5423182435</v>
      </c>
      <c r="E130" s="63">
        <f>+'Damage Calculations'!$J$66</f>
        <v>3303447.4354375</v>
      </c>
      <c r="F130" s="64">
        <f>+'Damage Calculations'!$J$79</f>
        <v>3095510</v>
      </c>
    </row>
    <row r="131" spans="1:6">
      <c r="A131" s="59"/>
      <c r="B131" s="62">
        <v>36738</v>
      </c>
      <c r="C131" s="63">
        <f>+'Damage Calculations'!$J$39</f>
        <v>3379550</v>
      </c>
      <c r="D131" s="63">
        <f>+'Damage Calculations'!$J$53</f>
        <v>3402026.5423182435</v>
      </c>
      <c r="E131" s="63">
        <f>+'Damage Calculations'!$J$66</f>
        <v>3303447.4354375</v>
      </c>
      <c r="F131" s="64">
        <f>+'Damage Calculations'!$J$79</f>
        <v>3095510</v>
      </c>
    </row>
    <row r="132" spans="1:6">
      <c r="A132" s="59"/>
      <c r="B132" s="62">
        <v>36769</v>
      </c>
      <c r="C132" s="63">
        <f>+'Damage Calculations'!$J$39</f>
        <v>3379550</v>
      </c>
      <c r="D132" s="63">
        <f>+'Damage Calculations'!$J$53</f>
        <v>3402026.5423182435</v>
      </c>
      <c r="E132" s="63">
        <f>+'Damage Calculations'!$J$66</f>
        <v>3303447.4354375</v>
      </c>
      <c r="F132" s="64">
        <f>+'Damage Calculations'!$J$79</f>
        <v>3095510</v>
      </c>
    </row>
    <row r="133" spans="1:6">
      <c r="A133" s="59"/>
      <c r="B133" s="62">
        <v>36799</v>
      </c>
      <c r="C133" s="63">
        <f>+'Damage Calculations'!$J$39</f>
        <v>3379550</v>
      </c>
      <c r="D133" s="63">
        <f>+'Damage Calculations'!$J$53</f>
        <v>3402026.5423182435</v>
      </c>
      <c r="E133" s="63">
        <f>+'Damage Calculations'!$J$66</f>
        <v>3303447.4354375</v>
      </c>
      <c r="F133" s="64">
        <f>+'Damage Calculations'!$J$79</f>
        <v>3095510</v>
      </c>
    </row>
    <row r="134" spans="1:6">
      <c r="A134" s="59"/>
      <c r="B134" s="62">
        <v>36830</v>
      </c>
      <c r="C134" s="63">
        <f>+'Damage Calculations'!$J$39</f>
        <v>3379550</v>
      </c>
      <c r="D134" s="63">
        <f>+'Damage Calculations'!$J$53</f>
        <v>3402026.5423182435</v>
      </c>
      <c r="E134" s="63">
        <f>+'Damage Calculations'!$J$66</f>
        <v>3303447.4354375</v>
      </c>
      <c r="F134" s="64">
        <f>+'Damage Calculations'!$J$79</f>
        <v>3095510</v>
      </c>
    </row>
    <row r="135" spans="1:6">
      <c r="A135" s="59"/>
      <c r="B135" s="62">
        <v>36860</v>
      </c>
      <c r="C135" s="63">
        <f>+'Damage Calculations'!$J$39</f>
        <v>3379550</v>
      </c>
      <c r="D135" s="63">
        <f>+'Damage Calculations'!$J$53</f>
        <v>3402026.5423182435</v>
      </c>
      <c r="E135" s="63">
        <f>+'Damage Calculations'!$J$66</f>
        <v>3303447.4354375</v>
      </c>
      <c r="F135" s="64">
        <f>+'Damage Calculations'!$J$79</f>
        <v>3095510</v>
      </c>
    </row>
    <row r="136" spans="1:6">
      <c r="A136" s="59"/>
      <c r="B136" s="62">
        <v>36891</v>
      </c>
      <c r="C136" s="63">
        <f>+'Damage Calculations'!$J$39</f>
        <v>3379550</v>
      </c>
      <c r="D136" s="63">
        <f>+'Damage Calculations'!$J$53</f>
        <v>3402026.5423182435</v>
      </c>
      <c r="E136" s="63">
        <f>+'Damage Calculations'!$J$66</f>
        <v>3303447.4354375</v>
      </c>
      <c r="F136" s="64">
        <f>+'Damage Calculations'!$J$79</f>
        <v>3095510</v>
      </c>
    </row>
    <row r="137" spans="1:6">
      <c r="A137" s="59"/>
      <c r="B137" s="62">
        <v>36922</v>
      </c>
      <c r="C137" s="63">
        <f>+'Damage Calculations'!$K$39</f>
        <v>3216490</v>
      </c>
      <c r="D137" s="63">
        <f>+'Damage Calculations'!$K$53</f>
        <v>3221457.6233947519</v>
      </c>
      <c r="E137" s="63">
        <f>+'Damage Calculations'!$K$66</f>
        <v>3124459.9487291668</v>
      </c>
      <c r="F137" s="64">
        <f>+'Damage Calculations'!$K$79</f>
        <v>2919300</v>
      </c>
    </row>
    <row r="138" spans="1:6">
      <c r="A138" s="59"/>
      <c r="B138" s="62">
        <v>36950</v>
      </c>
      <c r="C138" s="63">
        <f>+'Damage Calculations'!$K$39</f>
        <v>3216490</v>
      </c>
      <c r="D138" s="63">
        <f>+'Damage Calculations'!$K$53</f>
        <v>3221457.6233947519</v>
      </c>
      <c r="E138" s="63">
        <f>+'Damage Calculations'!$K$66</f>
        <v>3124459.9487291668</v>
      </c>
      <c r="F138" s="64">
        <f>+'Damage Calculations'!$K$79</f>
        <v>2919300</v>
      </c>
    </row>
    <row r="139" spans="1:6">
      <c r="A139" s="59"/>
      <c r="B139" s="62">
        <v>36981</v>
      </c>
      <c r="C139" s="63">
        <f>+'Damage Calculations'!$K$39</f>
        <v>3216490</v>
      </c>
      <c r="D139" s="63">
        <f>+'Damage Calculations'!$K$53</f>
        <v>3221457.6233947519</v>
      </c>
      <c r="E139" s="63">
        <f>+'Damage Calculations'!$K$66</f>
        <v>3124459.9487291668</v>
      </c>
      <c r="F139" s="64">
        <f>+'Damage Calculations'!$K$79</f>
        <v>2919300</v>
      </c>
    </row>
    <row r="140" spans="1:6">
      <c r="A140" s="59"/>
      <c r="B140" s="62">
        <v>37011</v>
      </c>
      <c r="C140" s="63">
        <f>+'Damage Calculations'!$K$39</f>
        <v>3216490</v>
      </c>
      <c r="D140" s="63">
        <f>+'Damage Calculations'!$K$53</f>
        <v>3221457.6233947519</v>
      </c>
      <c r="E140" s="63">
        <f>+'Damage Calculations'!$K$66</f>
        <v>3124459.9487291668</v>
      </c>
      <c r="F140" s="64">
        <f>+'Damage Calculations'!$K$79</f>
        <v>2919300</v>
      </c>
    </row>
    <row r="141" spans="1:6">
      <c r="A141" s="59"/>
      <c r="B141" s="62">
        <v>37042</v>
      </c>
      <c r="C141" s="63">
        <f>+'Damage Calculations'!$K$39</f>
        <v>3216490</v>
      </c>
      <c r="D141" s="63">
        <f>+'Damage Calculations'!$K$53</f>
        <v>3221457.6233947519</v>
      </c>
      <c r="E141" s="63">
        <f>+'Damage Calculations'!$K$66</f>
        <v>3124459.9487291668</v>
      </c>
      <c r="F141" s="64">
        <f>+'Damage Calculations'!$K$79</f>
        <v>2919300</v>
      </c>
    </row>
    <row r="142" spans="1:6">
      <c r="A142" s="59"/>
      <c r="B142" s="62">
        <v>37072</v>
      </c>
      <c r="C142" s="63">
        <f>+'Damage Calculations'!$K$39</f>
        <v>3216490</v>
      </c>
      <c r="D142" s="63">
        <f>+'Damage Calculations'!$K$53</f>
        <v>3221457.6233947519</v>
      </c>
      <c r="E142" s="63">
        <f>+'Damage Calculations'!$K$66</f>
        <v>3124459.9487291668</v>
      </c>
      <c r="F142" s="64">
        <f>+'Damage Calculations'!$K$79</f>
        <v>2919300</v>
      </c>
    </row>
    <row r="143" spans="1:6">
      <c r="A143" s="59"/>
      <c r="B143" s="62">
        <v>37103</v>
      </c>
      <c r="C143" s="63">
        <f>+'Damage Calculations'!$K$39</f>
        <v>3216490</v>
      </c>
      <c r="D143" s="63">
        <f>+'Damage Calculations'!$K$53</f>
        <v>3221457.6233947519</v>
      </c>
      <c r="E143" s="63">
        <f>+'Damage Calculations'!$K$66</f>
        <v>3124459.9487291668</v>
      </c>
      <c r="F143" s="64">
        <f>+'Damage Calculations'!$K$79</f>
        <v>2919300</v>
      </c>
    </row>
    <row r="144" spans="1:6">
      <c r="A144" s="59"/>
      <c r="B144" s="62">
        <v>37134</v>
      </c>
      <c r="C144" s="63">
        <f>+'Damage Calculations'!$K$39</f>
        <v>3216490</v>
      </c>
      <c r="D144" s="63">
        <f>+'Damage Calculations'!$K$53</f>
        <v>3221457.6233947519</v>
      </c>
      <c r="E144" s="63">
        <f>+'Damage Calculations'!$K$66</f>
        <v>3124459.9487291668</v>
      </c>
      <c r="F144" s="64">
        <f>+'Damage Calculations'!$K$79</f>
        <v>2919300</v>
      </c>
    </row>
    <row r="145" spans="1:6">
      <c r="A145" s="59"/>
      <c r="B145" s="62">
        <v>37164</v>
      </c>
      <c r="C145" s="63">
        <f>+'Damage Calculations'!$K$39</f>
        <v>3216490</v>
      </c>
      <c r="D145" s="63">
        <f>+'Damage Calculations'!$K$53</f>
        <v>3221457.6233947519</v>
      </c>
      <c r="E145" s="63">
        <f>+'Damage Calculations'!$K$66</f>
        <v>3124459.9487291668</v>
      </c>
      <c r="F145" s="64">
        <f>+'Damage Calculations'!$K$79</f>
        <v>2919300</v>
      </c>
    </row>
    <row r="146" spans="1:6">
      <c r="A146" s="59"/>
      <c r="B146" s="62">
        <v>37195</v>
      </c>
      <c r="C146" s="63">
        <f>+'Damage Calculations'!$K$39</f>
        <v>3216490</v>
      </c>
      <c r="D146" s="63">
        <f>+'Damage Calculations'!$K$53</f>
        <v>3221457.6233947519</v>
      </c>
      <c r="E146" s="63">
        <f>+'Damage Calculations'!$K$66</f>
        <v>3124459.9487291668</v>
      </c>
      <c r="F146" s="64">
        <f>+'Damage Calculations'!$K$79</f>
        <v>2919300</v>
      </c>
    </row>
    <row r="147" spans="1:6">
      <c r="A147" s="59"/>
      <c r="B147" s="62">
        <v>37225</v>
      </c>
      <c r="C147" s="63">
        <f>+'Damage Calculations'!$K$39</f>
        <v>3216490</v>
      </c>
      <c r="D147" s="63">
        <f>+'Damage Calculations'!$K$53</f>
        <v>3221457.6233947519</v>
      </c>
      <c r="E147" s="63">
        <f>+'Damage Calculations'!$K$66</f>
        <v>3124459.9487291668</v>
      </c>
      <c r="F147" s="64">
        <f>+'Damage Calculations'!$K$79</f>
        <v>2919300</v>
      </c>
    </row>
    <row r="148" spans="1:6">
      <c r="A148" s="59"/>
      <c r="B148" s="62">
        <v>37256</v>
      </c>
      <c r="C148" s="63">
        <f>+'Damage Calculations'!$K$39</f>
        <v>3216490</v>
      </c>
      <c r="D148" s="63">
        <f>+'Damage Calculations'!$K$53</f>
        <v>3221457.6233947519</v>
      </c>
      <c r="E148" s="63">
        <f>+'Damage Calculations'!$K$66</f>
        <v>3124459.9487291668</v>
      </c>
      <c r="F148" s="64">
        <f>+'Damage Calculations'!$K$79</f>
        <v>2919300</v>
      </c>
    </row>
    <row r="149" spans="1:6">
      <c r="A149" s="59"/>
      <c r="B149" s="62">
        <v>37287</v>
      </c>
      <c r="C149" s="63">
        <f>+'Damage Calculations'!$L$39</f>
        <v>2698380.0000000005</v>
      </c>
      <c r="D149" s="63">
        <f>+'Damage Calculations'!$L$53</f>
        <v>2682652.2858079458</v>
      </c>
      <c r="E149" s="63">
        <f>+'Damage Calculations'!$L$66</f>
        <v>2587437.9141458333</v>
      </c>
      <c r="F149" s="64">
        <f>+'Damage Calculations'!$L$79</f>
        <v>2385410</v>
      </c>
    </row>
    <row r="150" spans="1:6">
      <c r="A150" s="59"/>
      <c r="B150" s="62">
        <v>37315</v>
      </c>
      <c r="C150" s="63">
        <f>+'Damage Calculations'!$L$39</f>
        <v>2698380.0000000005</v>
      </c>
      <c r="D150" s="63">
        <f>+'Damage Calculations'!$L$53</f>
        <v>2682652.2858079458</v>
      </c>
      <c r="E150" s="63">
        <f>+'Damage Calculations'!$L$66</f>
        <v>2587437.9141458333</v>
      </c>
      <c r="F150" s="64">
        <f>+'Damage Calculations'!$L$79</f>
        <v>2385410</v>
      </c>
    </row>
    <row r="151" spans="1:6">
      <c r="A151" s="59"/>
      <c r="B151" s="62">
        <v>37346</v>
      </c>
      <c r="C151" s="63">
        <f>+'Damage Calculations'!$L$39</f>
        <v>2698380.0000000005</v>
      </c>
      <c r="D151" s="63">
        <f>+'Damage Calculations'!$L$53</f>
        <v>2682652.2858079458</v>
      </c>
      <c r="E151" s="63">
        <f>+'Damage Calculations'!$L$66</f>
        <v>2587437.9141458333</v>
      </c>
      <c r="F151" s="64">
        <f>+'Damage Calculations'!$L$79</f>
        <v>2385410</v>
      </c>
    </row>
    <row r="152" spans="1:6">
      <c r="A152" s="59"/>
      <c r="B152" s="62">
        <v>37376</v>
      </c>
      <c r="C152" s="63">
        <f>+'Damage Calculations'!$L$39</f>
        <v>2698380.0000000005</v>
      </c>
      <c r="D152" s="63">
        <f>+'Damage Calculations'!$L$53</f>
        <v>2682652.2858079458</v>
      </c>
      <c r="E152" s="63">
        <f>+'Damage Calculations'!$L$66</f>
        <v>2587437.9141458333</v>
      </c>
      <c r="F152" s="64">
        <f>+'Damage Calculations'!$L$79</f>
        <v>2385410</v>
      </c>
    </row>
    <row r="153" spans="1:6">
      <c r="A153" s="59"/>
      <c r="B153" s="62">
        <v>37407</v>
      </c>
      <c r="C153" s="63">
        <f>+'Damage Calculations'!$L$39</f>
        <v>2698380.0000000005</v>
      </c>
      <c r="D153" s="63">
        <f>+'Damage Calculations'!$L$53</f>
        <v>2682652.2858079458</v>
      </c>
      <c r="E153" s="63">
        <f>+'Damage Calculations'!$L$66</f>
        <v>2587437.9141458333</v>
      </c>
      <c r="F153" s="64">
        <f>+'Damage Calculations'!$L$79</f>
        <v>2385410</v>
      </c>
    </row>
    <row r="154" spans="1:6">
      <c r="A154" s="59"/>
      <c r="B154" s="62">
        <v>37437</v>
      </c>
      <c r="C154" s="63">
        <f>+'Damage Calculations'!$L$39</f>
        <v>2698380.0000000005</v>
      </c>
      <c r="D154" s="63">
        <f>+'Damage Calculations'!$L$53</f>
        <v>2682652.2858079458</v>
      </c>
      <c r="E154" s="63">
        <f>+'Damage Calculations'!$L$66</f>
        <v>2587437.9141458333</v>
      </c>
      <c r="F154" s="64">
        <f>+'Damage Calculations'!$L$79</f>
        <v>2385410</v>
      </c>
    </row>
    <row r="155" spans="1:6">
      <c r="A155" s="59"/>
      <c r="B155" s="62">
        <v>37468</v>
      </c>
      <c r="C155" s="63">
        <f>+'Damage Calculations'!$L$39</f>
        <v>2698380.0000000005</v>
      </c>
      <c r="D155" s="63">
        <f>+'Damage Calculations'!$L$53</f>
        <v>2682652.2858079458</v>
      </c>
      <c r="E155" s="63">
        <f>+'Damage Calculations'!$L$66</f>
        <v>2587437.9141458333</v>
      </c>
      <c r="F155" s="64">
        <f>+'Damage Calculations'!$L$79</f>
        <v>2385410</v>
      </c>
    </row>
    <row r="156" spans="1:6">
      <c r="A156" s="59"/>
      <c r="B156" s="62">
        <v>37499</v>
      </c>
      <c r="C156" s="63">
        <f>+'Damage Calculations'!$L$39</f>
        <v>2698380.0000000005</v>
      </c>
      <c r="D156" s="63">
        <f>+'Damage Calculations'!$L$53</f>
        <v>2682652.2858079458</v>
      </c>
      <c r="E156" s="63">
        <f>+'Damage Calculations'!$L$66</f>
        <v>2587437.9141458333</v>
      </c>
      <c r="F156" s="64">
        <f>+'Damage Calculations'!$L$79</f>
        <v>2385410</v>
      </c>
    </row>
    <row r="157" spans="1:6">
      <c r="A157" s="59"/>
      <c r="B157" s="62">
        <v>37529</v>
      </c>
      <c r="C157" s="63">
        <f>+'Damage Calculations'!$L$39</f>
        <v>2698380.0000000005</v>
      </c>
      <c r="D157" s="63">
        <f>+'Damage Calculations'!$L$53</f>
        <v>2682652.2858079458</v>
      </c>
      <c r="E157" s="63">
        <f>+'Damage Calculations'!$L$66</f>
        <v>2587437.9141458333</v>
      </c>
      <c r="F157" s="64">
        <f>+'Damage Calculations'!$L$79</f>
        <v>2385410</v>
      </c>
    </row>
    <row r="158" spans="1:6">
      <c r="A158" s="59"/>
      <c r="B158" s="62">
        <v>37560</v>
      </c>
      <c r="C158" s="63">
        <f>+'Damage Calculations'!$L$39</f>
        <v>2698380.0000000005</v>
      </c>
      <c r="D158" s="63">
        <f>+'Damage Calculations'!$L$53</f>
        <v>2682652.2858079458</v>
      </c>
      <c r="E158" s="63">
        <f>+'Damage Calculations'!$L$66</f>
        <v>2587437.9141458333</v>
      </c>
      <c r="F158" s="64">
        <f>+'Damage Calculations'!$L$79</f>
        <v>2385410</v>
      </c>
    </row>
    <row r="159" spans="1:6">
      <c r="A159" s="59"/>
      <c r="B159" s="62">
        <v>37590</v>
      </c>
      <c r="C159" s="63">
        <f>+'Damage Calculations'!$L$39</f>
        <v>2698380.0000000005</v>
      </c>
      <c r="D159" s="63">
        <f>+'Damage Calculations'!$L$53</f>
        <v>2682652.2858079458</v>
      </c>
      <c r="E159" s="63">
        <f>+'Damage Calculations'!$L$66</f>
        <v>2587437.9141458333</v>
      </c>
      <c r="F159" s="64">
        <f>+'Damage Calculations'!$L$79</f>
        <v>2385410</v>
      </c>
    </row>
    <row r="160" spans="1:6">
      <c r="A160" s="59"/>
      <c r="B160" s="62">
        <v>37621</v>
      </c>
      <c r="C160" s="63">
        <f>+'Damage Calculations'!$L$39</f>
        <v>2698380.0000000005</v>
      </c>
      <c r="D160" s="63">
        <f>+'Damage Calculations'!$L$53</f>
        <v>2682652.2858079458</v>
      </c>
      <c r="E160" s="63">
        <f>+'Damage Calculations'!$L$66</f>
        <v>2587437.9141458333</v>
      </c>
      <c r="F160" s="64">
        <f>+'Damage Calculations'!$L$79</f>
        <v>2385410</v>
      </c>
    </row>
    <row r="161" spans="1:6">
      <c r="A161" s="59"/>
      <c r="B161" s="62">
        <v>37652</v>
      </c>
      <c r="C161" s="63">
        <f>+'Damage Calculations'!$M$39</f>
        <v>3739860</v>
      </c>
      <c r="D161" s="63">
        <f>+'Damage Calculations'!$M$53</f>
        <v>3703099.6691413983</v>
      </c>
      <c r="E161" s="63">
        <f>+'Damage Calculations'!$M$66</f>
        <v>3609790.9666041662</v>
      </c>
      <c r="F161" s="64">
        <f>+'Damage Calculations'!$M$79</f>
        <v>3411110</v>
      </c>
    </row>
    <row r="162" spans="1:6">
      <c r="A162" s="59"/>
      <c r="B162" s="62">
        <v>37680</v>
      </c>
      <c r="C162" s="63">
        <f>+'Damage Calculations'!$M$39</f>
        <v>3739860</v>
      </c>
      <c r="D162" s="63">
        <f>+'Damage Calculations'!$M$53</f>
        <v>3703099.6691413983</v>
      </c>
      <c r="E162" s="63">
        <f>+'Damage Calculations'!$M$66</f>
        <v>3609790.9666041662</v>
      </c>
      <c r="F162" s="64">
        <f>+'Damage Calculations'!$M$79</f>
        <v>3411110</v>
      </c>
    </row>
    <row r="163" spans="1:6">
      <c r="A163" s="59"/>
      <c r="B163" s="62">
        <v>37711</v>
      </c>
      <c r="C163" s="63">
        <f>+'Damage Calculations'!$M$39</f>
        <v>3739860</v>
      </c>
      <c r="D163" s="63">
        <f>+'Damage Calculations'!$M$53</f>
        <v>3703099.6691413983</v>
      </c>
      <c r="E163" s="63">
        <f>+'Damage Calculations'!$M$66</f>
        <v>3609790.9666041662</v>
      </c>
      <c r="F163" s="64">
        <f>+'Damage Calculations'!$M$79</f>
        <v>3411110</v>
      </c>
    </row>
    <row r="164" spans="1:6">
      <c r="A164" s="59"/>
      <c r="B164" s="62">
        <v>37741</v>
      </c>
      <c r="C164" s="63">
        <f>+'Damage Calculations'!$M$39</f>
        <v>3739860</v>
      </c>
      <c r="D164" s="63">
        <f>+'Damage Calculations'!$M$53</f>
        <v>3703099.6691413983</v>
      </c>
      <c r="E164" s="63">
        <f>+'Damage Calculations'!$M$66</f>
        <v>3609790.9666041662</v>
      </c>
      <c r="F164" s="64">
        <f>+'Damage Calculations'!$M$79</f>
        <v>3411110</v>
      </c>
    </row>
    <row r="165" spans="1:6">
      <c r="A165" s="59"/>
      <c r="B165" s="62">
        <v>37772</v>
      </c>
      <c r="C165" s="63">
        <f>+'Damage Calculations'!$M$39</f>
        <v>3739860</v>
      </c>
      <c r="D165" s="63">
        <f>+'Damage Calculations'!$M$53</f>
        <v>3703099.6691413983</v>
      </c>
      <c r="E165" s="63">
        <f>+'Damage Calculations'!$M$66</f>
        <v>3609790.9666041662</v>
      </c>
      <c r="F165" s="64">
        <f>+'Damage Calculations'!$M$79</f>
        <v>3411110</v>
      </c>
    </row>
    <row r="166" spans="1:6">
      <c r="A166" s="59"/>
      <c r="B166" s="62">
        <v>37802</v>
      </c>
      <c r="C166" s="63">
        <f>+'Damage Calculations'!$M$39</f>
        <v>3739860</v>
      </c>
      <c r="D166" s="63">
        <f>+'Damage Calculations'!$M$53</f>
        <v>3703099.6691413983</v>
      </c>
      <c r="E166" s="63">
        <f>+'Damage Calculations'!$M$66</f>
        <v>3609790.9666041662</v>
      </c>
      <c r="F166" s="64">
        <f>+'Damage Calculations'!$M$79</f>
        <v>3411110</v>
      </c>
    </row>
    <row r="167" spans="1:6">
      <c r="A167" s="59"/>
      <c r="B167" s="62">
        <v>37833</v>
      </c>
      <c r="C167" s="63">
        <f>+'Damage Calculations'!$M$39</f>
        <v>3739860</v>
      </c>
      <c r="D167" s="63">
        <f>+'Damage Calculations'!$M$53</f>
        <v>3703099.6691413983</v>
      </c>
      <c r="E167" s="63">
        <f>+'Damage Calculations'!$M$66</f>
        <v>3609790.9666041662</v>
      </c>
      <c r="F167" s="64">
        <f>+'Damage Calculations'!$M$79</f>
        <v>3411110</v>
      </c>
    </row>
    <row r="168" spans="1:6">
      <c r="A168" s="59"/>
      <c r="B168" s="62">
        <v>37864</v>
      </c>
      <c r="C168" s="63">
        <f>+'Damage Calculations'!$M$39</f>
        <v>3739860</v>
      </c>
      <c r="D168" s="63">
        <f>+'Damage Calculations'!$M$53</f>
        <v>3703099.6691413983</v>
      </c>
      <c r="E168" s="63">
        <f>+'Damage Calculations'!$M$66</f>
        <v>3609790.9666041662</v>
      </c>
      <c r="F168" s="64">
        <f>+'Damage Calculations'!$M$79</f>
        <v>3411110</v>
      </c>
    </row>
    <row r="169" spans="1:6">
      <c r="A169" s="59"/>
      <c r="B169" s="62">
        <v>37894</v>
      </c>
      <c r="C169" s="63">
        <f>+'Damage Calculations'!$M$39</f>
        <v>3739860</v>
      </c>
      <c r="D169" s="63">
        <f>+'Damage Calculations'!$M$53</f>
        <v>3703099.6691413983</v>
      </c>
      <c r="E169" s="63">
        <f>+'Damage Calculations'!$M$66</f>
        <v>3609790.9666041662</v>
      </c>
      <c r="F169" s="64">
        <f>+'Damage Calculations'!$M$79</f>
        <v>3411110</v>
      </c>
    </row>
    <row r="170" spans="1:6">
      <c r="A170" s="59"/>
      <c r="B170" s="62">
        <v>37925</v>
      </c>
      <c r="C170" s="63">
        <f>+'Damage Calculations'!$M$39</f>
        <v>3739860</v>
      </c>
      <c r="D170" s="63">
        <f>+'Damage Calculations'!$M$53</f>
        <v>3703099.6691413983</v>
      </c>
      <c r="E170" s="63">
        <f>+'Damage Calculations'!$M$66</f>
        <v>3609790.9666041662</v>
      </c>
      <c r="F170" s="64">
        <f>+'Damage Calculations'!$M$79</f>
        <v>3411110</v>
      </c>
    </row>
    <row r="171" spans="1:6">
      <c r="A171" s="59"/>
      <c r="B171" s="62">
        <v>37955</v>
      </c>
      <c r="C171" s="63">
        <f>+'Damage Calculations'!$M$39</f>
        <v>3739860</v>
      </c>
      <c r="D171" s="63">
        <f>+'Damage Calculations'!$M$53</f>
        <v>3703099.6691413983</v>
      </c>
      <c r="E171" s="63">
        <f>+'Damage Calculations'!$M$66</f>
        <v>3609790.9666041662</v>
      </c>
      <c r="F171" s="64">
        <f>+'Damage Calculations'!$M$79</f>
        <v>3411110</v>
      </c>
    </row>
    <row r="172" spans="1:6">
      <c r="A172" s="59"/>
      <c r="B172" s="62">
        <v>37986</v>
      </c>
      <c r="C172" s="63">
        <f>+'Damage Calculations'!$M$39</f>
        <v>3739860</v>
      </c>
      <c r="D172" s="63">
        <f>+'Damage Calculations'!$M$53</f>
        <v>3703099.6691413983</v>
      </c>
      <c r="E172" s="63">
        <f>+'Damage Calculations'!$M$66</f>
        <v>3609790.9666041662</v>
      </c>
      <c r="F172" s="64">
        <f>+'Damage Calculations'!$M$79</f>
        <v>3411110</v>
      </c>
    </row>
    <row r="173" spans="1:6">
      <c r="A173" s="59"/>
      <c r="B173" s="62">
        <v>38017</v>
      </c>
      <c r="C173" s="63">
        <f>+'Damage Calculations'!$N$39</f>
        <v>3892400</v>
      </c>
      <c r="D173" s="63">
        <f>+'Damage Calculations'!$N$53</f>
        <v>3833713.3547317944</v>
      </c>
      <c r="E173" s="63">
        <f>+'Damage Calculations'!$N$66</f>
        <v>3742634.558229167</v>
      </c>
      <c r="F173" s="64">
        <f>+'Damage Calculations'!$N$79</f>
        <v>3547870</v>
      </c>
    </row>
    <row r="174" spans="1:6">
      <c r="A174" s="59"/>
      <c r="B174" s="62">
        <v>38046</v>
      </c>
      <c r="C174" s="63">
        <f>+'Damage Calculations'!$N$39</f>
        <v>3892400</v>
      </c>
      <c r="D174" s="63">
        <f>+'Damage Calculations'!$N$53</f>
        <v>3833713.3547317944</v>
      </c>
      <c r="E174" s="63">
        <f>+'Damage Calculations'!$N$66</f>
        <v>3742634.558229167</v>
      </c>
      <c r="F174" s="64">
        <f>+'Damage Calculations'!$N$79</f>
        <v>3547870</v>
      </c>
    </row>
    <row r="175" spans="1:6">
      <c r="A175" s="59"/>
      <c r="B175" s="62">
        <v>38077</v>
      </c>
      <c r="C175" s="63">
        <f>+'Damage Calculations'!$N$39</f>
        <v>3892400</v>
      </c>
      <c r="D175" s="63">
        <f>+'Damage Calculations'!$N$53</f>
        <v>3833713.3547317944</v>
      </c>
      <c r="E175" s="63">
        <f>+'Damage Calculations'!$N$66</f>
        <v>3742634.558229167</v>
      </c>
      <c r="F175" s="64">
        <f>+'Damage Calculations'!$N$79</f>
        <v>3547870</v>
      </c>
    </row>
    <row r="176" spans="1:6">
      <c r="A176" s="59"/>
      <c r="B176" s="62">
        <v>38107</v>
      </c>
      <c r="C176" s="63">
        <f>+'Damage Calculations'!$N$39</f>
        <v>3892400</v>
      </c>
      <c r="D176" s="63">
        <f>+'Damage Calculations'!$N$53</f>
        <v>3833713.3547317944</v>
      </c>
      <c r="E176" s="63">
        <f>+'Damage Calculations'!$N$66</f>
        <v>3742634.558229167</v>
      </c>
      <c r="F176" s="64">
        <f>+'Damage Calculations'!$N$79</f>
        <v>3547870</v>
      </c>
    </row>
    <row r="177" spans="1:6">
      <c r="A177" s="59"/>
      <c r="B177" s="62">
        <v>38138</v>
      </c>
      <c r="C177" s="63">
        <f>+'Damage Calculations'!$N$39</f>
        <v>3892400</v>
      </c>
      <c r="D177" s="63">
        <f>+'Damage Calculations'!$N$53</f>
        <v>3833713.3547317944</v>
      </c>
      <c r="E177" s="63">
        <f>+'Damage Calculations'!$N$66</f>
        <v>3742634.558229167</v>
      </c>
      <c r="F177" s="64">
        <f>+'Damage Calculations'!$N$79</f>
        <v>3547870</v>
      </c>
    </row>
    <row r="178" spans="1:6">
      <c r="A178" s="59"/>
      <c r="B178" s="62">
        <v>38168</v>
      </c>
      <c r="C178" s="63">
        <f>+'Damage Calculations'!$N$39</f>
        <v>3892400</v>
      </c>
      <c r="D178" s="63">
        <f>+'Damage Calculations'!$N$53</f>
        <v>3833713.3547317944</v>
      </c>
      <c r="E178" s="63">
        <f>+'Damage Calculations'!$N$66</f>
        <v>3742634.558229167</v>
      </c>
      <c r="F178" s="64">
        <f>+'Damage Calculations'!$N$79</f>
        <v>3547870</v>
      </c>
    </row>
    <row r="179" spans="1:6">
      <c r="A179" s="59"/>
      <c r="B179" s="62">
        <v>38199</v>
      </c>
      <c r="C179" s="63">
        <f>+'Damage Calculations'!$N$39</f>
        <v>3892400</v>
      </c>
      <c r="D179" s="63">
        <f>+'Damage Calculations'!$N$53</f>
        <v>3833713.3547317944</v>
      </c>
      <c r="E179" s="63">
        <f>+'Damage Calculations'!$N$66</f>
        <v>3742634.558229167</v>
      </c>
      <c r="F179" s="64">
        <f>+'Damage Calculations'!$N$79</f>
        <v>3547870</v>
      </c>
    </row>
    <row r="180" spans="1:6">
      <c r="A180" s="59"/>
      <c r="B180" s="62">
        <v>38230</v>
      </c>
      <c r="C180" s="63">
        <f>+'Damage Calculations'!$N$39</f>
        <v>3892400</v>
      </c>
      <c r="D180" s="63">
        <f>+'Damage Calculations'!$N$53</f>
        <v>3833713.3547317944</v>
      </c>
      <c r="E180" s="63">
        <f>+'Damage Calculations'!$N$66</f>
        <v>3742634.558229167</v>
      </c>
      <c r="F180" s="64">
        <f>+'Damage Calculations'!$N$79</f>
        <v>3547870</v>
      </c>
    </row>
    <row r="181" spans="1:6">
      <c r="A181" s="59"/>
      <c r="B181" s="62">
        <v>38260</v>
      </c>
      <c r="C181" s="63">
        <f>+'Damage Calculations'!$N$39</f>
        <v>3892400</v>
      </c>
      <c r="D181" s="63">
        <f>+'Damage Calculations'!$N$53</f>
        <v>3833713.3547317944</v>
      </c>
      <c r="E181" s="63">
        <f>+'Damage Calculations'!$N$66</f>
        <v>3742634.558229167</v>
      </c>
      <c r="F181" s="64">
        <f>+'Damage Calculations'!$N$79</f>
        <v>3547870</v>
      </c>
    </row>
    <row r="182" spans="1:6">
      <c r="A182" s="59"/>
      <c r="B182" s="62">
        <v>38291</v>
      </c>
      <c r="C182" s="63">
        <f>+'Damage Calculations'!$N$39</f>
        <v>3892400</v>
      </c>
      <c r="D182" s="63">
        <f>+'Damage Calculations'!$N$53</f>
        <v>3833713.3547317944</v>
      </c>
      <c r="E182" s="63">
        <f>+'Damage Calculations'!$N$66</f>
        <v>3742634.558229167</v>
      </c>
      <c r="F182" s="64">
        <f>+'Damage Calculations'!$N$79</f>
        <v>3547870</v>
      </c>
    </row>
    <row r="183" spans="1:6">
      <c r="A183" s="59"/>
      <c r="B183" s="62">
        <v>38321</v>
      </c>
      <c r="C183" s="63">
        <f>+'Damage Calculations'!$N$39</f>
        <v>3892400</v>
      </c>
      <c r="D183" s="63">
        <f>+'Damage Calculations'!$N$53</f>
        <v>3833713.3547317944</v>
      </c>
      <c r="E183" s="63">
        <f>+'Damage Calculations'!$N$66</f>
        <v>3742634.558229167</v>
      </c>
      <c r="F183" s="64">
        <f>+'Damage Calculations'!$N$79</f>
        <v>3547870</v>
      </c>
    </row>
    <row r="184" spans="1:6">
      <c r="A184" s="59"/>
      <c r="B184" s="62">
        <v>38352</v>
      </c>
      <c r="C184" s="63">
        <f>+'Damage Calculations'!$N$39</f>
        <v>3892400</v>
      </c>
      <c r="D184" s="63">
        <f>+'Damage Calculations'!$N$53</f>
        <v>3833713.3547317944</v>
      </c>
      <c r="E184" s="63">
        <f>+'Damage Calculations'!$N$66</f>
        <v>3742634.558229167</v>
      </c>
      <c r="F184" s="64">
        <f>+'Damage Calculations'!$N$79</f>
        <v>3547870</v>
      </c>
    </row>
    <row r="185" spans="1:6">
      <c r="A185" s="59"/>
      <c r="B185" s="62">
        <v>38383</v>
      </c>
      <c r="C185" s="63">
        <f>+'Damage Calculations'!$O$39</f>
        <v>3379550</v>
      </c>
      <c r="D185" s="63">
        <f>+'Damage Calculations'!$O$53</f>
        <v>3295413.3425791357</v>
      </c>
      <c r="E185" s="63">
        <f>+'Damage Calculations'!$O$66</f>
        <v>3206888.689020833</v>
      </c>
      <c r="F185" s="64">
        <f>+'Damage Calculations'!$O$79</f>
        <v>3016610</v>
      </c>
    </row>
    <row r="186" spans="1:6">
      <c r="A186" s="59"/>
      <c r="B186" s="62">
        <v>38411</v>
      </c>
      <c r="C186" s="63">
        <f>+'Damage Calculations'!$O$39</f>
        <v>3379550</v>
      </c>
      <c r="D186" s="63">
        <f>+'Damage Calculations'!$O$53</f>
        <v>3295413.3425791357</v>
      </c>
      <c r="E186" s="63">
        <f>+'Damage Calculations'!$O$66</f>
        <v>3206888.689020833</v>
      </c>
      <c r="F186" s="64">
        <f>+'Damage Calculations'!$O$79</f>
        <v>3016610</v>
      </c>
    </row>
    <row r="187" spans="1:6">
      <c r="A187" s="59"/>
      <c r="B187" s="62">
        <v>38442</v>
      </c>
      <c r="C187" s="63">
        <f>+'Damage Calculations'!$O$39</f>
        <v>3379550</v>
      </c>
      <c r="D187" s="63">
        <f>+'Damage Calculations'!$O$53</f>
        <v>3295413.3425791357</v>
      </c>
      <c r="E187" s="63">
        <f>+'Damage Calculations'!$O$66</f>
        <v>3206888.689020833</v>
      </c>
      <c r="F187" s="64">
        <f>+'Damage Calculations'!$O$79</f>
        <v>3016610</v>
      </c>
    </row>
    <row r="188" spans="1:6">
      <c r="A188" s="59"/>
      <c r="B188" s="62">
        <v>38472</v>
      </c>
      <c r="C188" s="63">
        <f>+'Damage Calculations'!$O$39</f>
        <v>3379550</v>
      </c>
      <c r="D188" s="63">
        <f>+'Damage Calculations'!$O$53</f>
        <v>3295413.3425791357</v>
      </c>
      <c r="E188" s="63">
        <f>+'Damage Calculations'!$O$66</f>
        <v>3206888.689020833</v>
      </c>
      <c r="F188" s="64">
        <f>+'Damage Calculations'!$O$79</f>
        <v>3016610</v>
      </c>
    </row>
    <row r="189" spans="1:6">
      <c r="A189" s="59"/>
      <c r="B189" s="62">
        <v>38503</v>
      </c>
      <c r="C189" s="63">
        <f>+'Damage Calculations'!$O$39</f>
        <v>3379550</v>
      </c>
      <c r="D189" s="63">
        <f>+'Damage Calculations'!$O$53</f>
        <v>3295413.3425791357</v>
      </c>
      <c r="E189" s="63">
        <f>+'Damage Calculations'!$O$66</f>
        <v>3206888.689020833</v>
      </c>
      <c r="F189" s="64">
        <f>+'Damage Calculations'!$O$79</f>
        <v>3016610</v>
      </c>
    </row>
    <row r="190" spans="1:6">
      <c r="A190" s="59"/>
      <c r="B190" s="62">
        <v>38533</v>
      </c>
      <c r="C190" s="63">
        <f>+'Damage Calculations'!$O$39</f>
        <v>3379550</v>
      </c>
      <c r="D190" s="63">
        <f>+'Damage Calculations'!$O$53</f>
        <v>3295413.3425791357</v>
      </c>
      <c r="E190" s="63">
        <f>+'Damage Calculations'!$O$66</f>
        <v>3206888.689020833</v>
      </c>
      <c r="F190" s="64">
        <f>+'Damage Calculations'!$O$79</f>
        <v>3016610</v>
      </c>
    </row>
    <row r="191" spans="1:6">
      <c r="A191" s="59"/>
      <c r="B191" s="62">
        <v>38564</v>
      </c>
      <c r="C191" s="63">
        <f>+'Damage Calculations'!$O$39</f>
        <v>3379550</v>
      </c>
      <c r="D191" s="63">
        <f>+'Damage Calculations'!$O$53</f>
        <v>3295413.3425791357</v>
      </c>
      <c r="E191" s="63">
        <f>+'Damage Calculations'!$O$66</f>
        <v>3206888.689020833</v>
      </c>
      <c r="F191" s="64">
        <f>+'Damage Calculations'!$O$79</f>
        <v>3016610</v>
      </c>
    </row>
    <row r="192" spans="1:6">
      <c r="A192" s="59"/>
      <c r="B192" s="62">
        <v>38595</v>
      </c>
      <c r="C192" s="63">
        <f>+'Damage Calculations'!$O$39</f>
        <v>3379550</v>
      </c>
      <c r="D192" s="63">
        <f>+'Damage Calculations'!$O$53</f>
        <v>3295413.3425791357</v>
      </c>
      <c r="E192" s="63">
        <f>+'Damage Calculations'!$O$66</f>
        <v>3206888.689020833</v>
      </c>
      <c r="F192" s="64">
        <f>+'Damage Calculations'!$O$79</f>
        <v>3016610</v>
      </c>
    </row>
    <row r="193" spans="1:6">
      <c r="A193" s="59"/>
      <c r="B193" s="62">
        <v>38625</v>
      </c>
      <c r="C193" s="63">
        <f>+'Damage Calculations'!$O$39</f>
        <v>3379550</v>
      </c>
      <c r="D193" s="63">
        <f>+'Damage Calculations'!$O$53</f>
        <v>3295413.3425791357</v>
      </c>
      <c r="E193" s="63">
        <f>+'Damage Calculations'!$O$66</f>
        <v>3206888.689020833</v>
      </c>
      <c r="F193" s="64">
        <f>+'Damage Calculations'!$O$79</f>
        <v>3016610</v>
      </c>
    </row>
    <row r="194" spans="1:6">
      <c r="A194" s="59"/>
      <c r="B194" s="62">
        <v>38656</v>
      </c>
      <c r="C194" s="63">
        <f>+'Damage Calculations'!$O$39</f>
        <v>3379550</v>
      </c>
      <c r="D194" s="63">
        <f>+'Damage Calculations'!$O$53</f>
        <v>3295413.3425791357</v>
      </c>
      <c r="E194" s="63">
        <f>+'Damage Calculations'!$O$66</f>
        <v>3206888.689020833</v>
      </c>
      <c r="F194" s="64">
        <f>+'Damage Calculations'!$O$79</f>
        <v>3016610</v>
      </c>
    </row>
    <row r="195" spans="1:6">
      <c r="A195" s="59"/>
      <c r="B195" s="62">
        <v>38686</v>
      </c>
      <c r="C195" s="63">
        <f>+'Damage Calculations'!$O$39</f>
        <v>3379550</v>
      </c>
      <c r="D195" s="63">
        <f>+'Damage Calculations'!$O$53</f>
        <v>3295413.3425791357</v>
      </c>
      <c r="E195" s="63">
        <f>+'Damage Calculations'!$O$66</f>
        <v>3206888.689020833</v>
      </c>
      <c r="F195" s="64">
        <f>+'Damage Calculations'!$O$79</f>
        <v>3016610</v>
      </c>
    </row>
    <row r="196" spans="1:6">
      <c r="A196" s="59"/>
      <c r="B196" s="62">
        <v>38717</v>
      </c>
      <c r="C196" s="63">
        <f>+'Damage Calculations'!$O$39</f>
        <v>3379550</v>
      </c>
      <c r="D196" s="63">
        <f>+'Damage Calculations'!$O$53</f>
        <v>3295413.3425791357</v>
      </c>
      <c r="E196" s="63">
        <f>+'Damage Calculations'!$O$66</f>
        <v>3206888.689020833</v>
      </c>
      <c r="F196" s="64">
        <f>+'Damage Calculations'!$O$79</f>
        <v>3016610</v>
      </c>
    </row>
    <row r="197" spans="1:6">
      <c r="A197" s="59"/>
      <c r="B197" s="62">
        <v>38748</v>
      </c>
      <c r="C197" s="63">
        <f>+'Damage Calculations'!$P$39</f>
        <v>3795090</v>
      </c>
      <c r="D197" s="63">
        <f>+'Damage Calculations'!$P$53</f>
        <v>3684609.632683422</v>
      </c>
      <c r="E197" s="63">
        <f>+'Damage Calculations'!$P$66</f>
        <v>3598963.358979167</v>
      </c>
      <c r="F197" s="64">
        <f>+'Damage Calculations'!$P$79</f>
        <v>3413740</v>
      </c>
    </row>
    <row r="198" spans="1:6">
      <c r="A198" s="59"/>
      <c r="B198" s="62">
        <v>38776</v>
      </c>
      <c r="C198" s="63">
        <f>+'Damage Calculations'!$P$39</f>
        <v>3795090</v>
      </c>
      <c r="D198" s="63">
        <f>+'Damage Calculations'!$P$53</f>
        <v>3684609.632683422</v>
      </c>
      <c r="E198" s="63">
        <f>+'Damage Calculations'!$P$66</f>
        <v>3598963.358979167</v>
      </c>
      <c r="F198" s="64">
        <f>+'Damage Calculations'!$P$79</f>
        <v>3413740</v>
      </c>
    </row>
    <row r="199" spans="1:6">
      <c r="A199" s="59"/>
      <c r="B199" s="62">
        <v>38807</v>
      </c>
      <c r="C199" s="63">
        <f>+'Damage Calculations'!$P$39</f>
        <v>3795090</v>
      </c>
      <c r="D199" s="63">
        <f>+'Damage Calculations'!$P$53</f>
        <v>3684609.632683422</v>
      </c>
      <c r="E199" s="63">
        <f>+'Damage Calculations'!$P$66</f>
        <v>3598963.358979167</v>
      </c>
      <c r="F199" s="64">
        <f>+'Damage Calculations'!$P$79</f>
        <v>3413740</v>
      </c>
    </row>
    <row r="200" spans="1:6">
      <c r="A200" s="59"/>
      <c r="B200" s="62">
        <v>38837</v>
      </c>
      <c r="C200" s="63">
        <f>+'Damage Calculations'!$P$39</f>
        <v>3795090</v>
      </c>
      <c r="D200" s="63">
        <f>+'Damage Calculations'!$P$53</f>
        <v>3684609.632683422</v>
      </c>
      <c r="E200" s="63">
        <f>+'Damage Calculations'!$P$66</f>
        <v>3598963.358979167</v>
      </c>
      <c r="F200" s="64">
        <f>+'Damage Calculations'!$P$79</f>
        <v>3413740</v>
      </c>
    </row>
    <row r="201" spans="1:6">
      <c r="A201" s="59"/>
      <c r="B201" s="62">
        <v>38868</v>
      </c>
      <c r="C201" s="63">
        <f>+'Damage Calculations'!$P$39</f>
        <v>3795090</v>
      </c>
      <c r="D201" s="63">
        <f>+'Damage Calculations'!$P$53</f>
        <v>3684609.632683422</v>
      </c>
      <c r="E201" s="63">
        <f>+'Damage Calculations'!$P$66</f>
        <v>3598963.358979167</v>
      </c>
      <c r="F201" s="64">
        <f>+'Damage Calculations'!$P$79</f>
        <v>3413740</v>
      </c>
    </row>
    <row r="202" spans="1:6">
      <c r="A202" s="59"/>
      <c r="B202" s="62">
        <v>38898</v>
      </c>
      <c r="C202" s="63">
        <f>+'Damage Calculations'!$P$39</f>
        <v>3795090</v>
      </c>
      <c r="D202" s="63">
        <f>+'Damage Calculations'!$P$53</f>
        <v>3684609.632683422</v>
      </c>
      <c r="E202" s="63">
        <f>+'Damage Calculations'!$P$66</f>
        <v>3598963.358979167</v>
      </c>
      <c r="F202" s="64">
        <f>+'Damage Calculations'!$P$79</f>
        <v>3413740</v>
      </c>
    </row>
    <row r="203" spans="1:6">
      <c r="A203" s="59"/>
      <c r="B203" s="62">
        <v>38929</v>
      </c>
      <c r="C203" s="63">
        <f>+'Damage Calculations'!$P$39</f>
        <v>3795090</v>
      </c>
      <c r="D203" s="63">
        <f>+'Damage Calculations'!$P$53</f>
        <v>3684609.632683422</v>
      </c>
      <c r="E203" s="63">
        <f>+'Damage Calculations'!$P$66</f>
        <v>3598963.358979167</v>
      </c>
      <c r="F203" s="64">
        <f>+'Damage Calculations'!$P$79</f>
        <v>3413740</v>
      </c>
    </row>
    <row r="204" spans="1:6">
      <c r="A204" s="59"/>
      <c r="B204" s="62">
        <v>38960</v>
      </c>
      <c r="C204" s="63">
        <f>+'Damage Calculations'!$P$39</f>
        <v>3795090</v>
      </c>
      <c r="D204" s="63">
        <f>+'Damage Calculations'!$P$53</f>
        <v>3684609.632683422</v>
      </c>
      <c r="E204" s="63">
        <f>+'Damage Calculations'!$P$66</f>
        <v>3598963.358979167</v>
      </c>
      <c r="F204" s="64">
        <f>+'Damage Calculations'!$P$79</f>
        <v>3413740</v>
      </c>
    </row>
    <row r="205" spans="1:6">
      <c r="A205" s="59"/>
      <c r="B205" s="62">
        <v>38990</v>
      </c>
      <c r="C205" s="63">
        <f>+'Damage Calculations'!$P$39</f>
        <v>3795090</v>
      </c>
      <c r="D205" s="63">
        <f>+'Damage Calculations'!$P$53</f>
        <v>3684609.632683422</v>
      </c>
      <c r="E205" s="63">
        <f>+'Damage Calculations'!$P$66</f>
        <v>3598963.358979167</v>
      </c>
      <c r="F205" s="64">
        <f>+'Damage Calculations'!$P$79</f>
        <v>3413740</v>
      </c>
    </row>
    <row r="206" spans="1:6">
      <c r="A206" s="59"/>
      <c r="B206" s="62">
        <v>39021</v>
      </c>
      <c r="C206" s="63">
        <f>+'Damage Calculations'!$P$39</f>
        <v>3795090</v>
      </c>
      <c r="D206" s="63">
        <f>+'Damage Calculations'!$P$53</f>
        <v>3684609.632683422</v>
      </c>
      <c r="E206" s="63">
        <f>+'Damage Calculations'!$P$66</f>
        <v>3598963.358979167</v>
      </c>
      <c r="F206" s="64">
        <f>+'Damage Calculations'!$P$79</f>
        <v>3413740</v>
      </c>
    </row>
    <row r="207" spans="1:6">
      <c r="A207" s="59"/>
      <c r="B207" s="62">
        <v>39051</v>
      </c>
      <c r="C207" s="63">
        <f>+'Damage Calculations'!$P$39</f>
        <v>3795090</v>
      </c>
      <c r="D207" s="63">
        <f>+'Damage Calculations'!$P$53</f>
        <v>3684609.632683422</v>
      </c>
      <c r="E207" s="63">
        <f>+'Damage Calculations'!$P$66</f>
        <v>3598963.358979167</v>
      </c>
      <c r="F207" s="64">
        <f>+'Damage Calculations'!$P$79</f>
        <v>3413740</v>
      </c>
    </row>
    <row r="208" spans="1:6">
      <c r="A208" s="59"/>
      <c r="B208" s="62">
        <v>39082</v>
      </c>
      <c r="C208" s="63">
        <f>+'Damage Calculations'!$P$39</f>
        <v>3795090</v>
      </c>
      <c r="D208" s="63">
        <f>+'Damage Calculations'!$P$53</f>
        <v>3684609.632683422</v>
      </c>
      <c r="E208" s="63">
        <f>+'Damage Calculations'!$P$66</f>
        <v>3598963.358979167</v>
      </c>
      <c r="F208" s="64">
        <f>+'Damage Calculations'!$P$79</f>
        <v>3413740</v>
      </c>
    </row>
    <row r="209" spans="1:6">
      <c r="A209" s="59"/>
      <c r="B209" s="62">
        <v>39113</v>
      </c>
      <c r="C209" s="63">
        <f>+'Damage Calculations'!$Q$39</f>
        <v>3784569.9999999995</v>
      </c>
      <c r="D209" s="63">
        <f>+'Damage Calculations'!$Q$53</f>
        <v>4042929.137493866</v>
      </c>
      <c r="E209" s="63">
        <f>+'Damage Calculations'!$Q$66</f>
        <v>3961821.7185991663</v>
      </c>
      <c r="F209" s="64">
        <f>+'Damage Calculations'!$Q$79</f>
        <v>3784569.9999999995</v>
      </c>
    </row>
    <row r="210" spans="1:6">
      <c r="A210" s="59"/>
      <c r="B210" s="62">
        <v>39141</v>
      </c>
      <c r="C210" s="63">
        <f>+'Damage Calculations'!$Q$39</f>
        <v>3784569.9999999995</v>
      </c>
      <c r="D210" s="63">
        <f>+'Damage Calculations'!$Q$53</f>
        <v>4042929.137493866</v>
      </c>
      <c r="E210" s="63">
        <f>+'Damage Calculations'!$Q$66</f>
        <v>3961821.7185991663</v>
      </c>
      <c r="F210" s="64">
        <f>+'Damage Calculations'!$Q$79</f>
        <v>3784569.9999999995</v>
      </c>
    </row>
    <row r="211" spans="1:6">
      <c r="A211" s="59"/>
      <c r="B211" s="62">
        <v>39172</v>
      </c>
      <c r="C211" s="63">
        <f>+'Damage Calculations'!$Q$39</f>
        <v>3784569.9999999995</v>
      </c>
      <c r="D211" s="63">
        <f>+'Damage Calculations'!$Q$53</f>
        <v>4042929.137493866</v>
      </c>
      <c r="E211" s="63">
        <f>+'Damage Calculations'!$Q$66</f>
        <v>3961821.7185991663</v>
      </c>
      <c r="F211" s="64">
        <f>+'Damage Calculations'!$Q$79</f>
        <v>3784569.9999999995</v>
      </c>
    </row>
    <row r="212" spans="1:6">
      <c r="A212" s="59"/>
      <c r="B212" s="62">
        <v>39202</v>
      </c>
      <c r="C212" s="63">
        <f>+'Damage Calculations'!$Q$39</f>
        <v>3784569.9999999995</v>
      </c>
      <c r="D212" s="63">
        <f>+'Damage Calculations'!$Q$53</f>
        <v>4042929.137493866</v>
      </c>
      <c r="E212" s="63">
        <f>+'Damage Calculations'!$Q$66</f>
        <v>3961821.7185991663</v>
      </c>
      <c r="F212" s="64">
        <f>+'Damage Calculations'!$Q$79</f>
        <v>3784569.9999999995</v>
      </c>
    </row>
    <row r="213" spans="1:6">
      <c r="A213" s="59"/>
      <c r="B213" s="62">
        <v>39233</v>
      </c>
      <c r="C213" s="63">
        <f>+'Damage Calculations'!$Q$39</f>
        <v>3784569.9999999995</v>
      </c>
      <c r="D213" s="63">
        <f>+'Damage Calculations'!$Q$53</f>
        <v>4042929.137493866</v>
      </c>
      <c r="E213" s="63">
        <f>+'Damage Calculations'!$Q$66</f>
        <v>3961821.7185991663</v>
      </c>
      <c r="F213" s="64">
        <f>+'Damage Calculations'!$Q$79</f>
        <v>3784569.9999999995</v>
      </c>
    </row>
    <row r="214" spans="1:6">
      <c r="A214" s="59"/>
      <c r="B214" s="62">
        <v>39263</v>
      </c>
      <c r="C214" s="63">
        <f>+'Damage Calculations'!$Q$39</f>
        <v>3784569.9999999995</v>
      </c>
      <c r="D214" s="63">
        <f>+'Damage Calculations'!$Q$53</f>
        <v>4042929.137493866</v>
      </c>
      <c r="E214" s="63">
        <f>+'Damage Calculations'!$Q$66</f>
        <v>3961821.7185991663</v>
      </c>
      <c r="F214" s="64">
        <f>+'Damage Calculations'!$Q$79</f>
        <v>3784569.9999999995</v>
      </c>
    </row>
    <row r="215" spans="1:6">
      <c r="A215" s="59"/>
      <c r="B215" s="62">
        <v>39294</v>
      </c>
      <c r="C215" s="63">
        <f>+'Damage Calculations'!$Q$39</f>
        <v>3784569.9999999995</v>
      </c>
      <c r="D215" s="63">
        <f>+'Damage Calculations'!$Q$53</f>
        <v>4042929.137493866</v>
      </c>
      <c r="E215" s="63">
        <f>+'Damage Calculations'!$Q$66</f>
        <v>3961821.7185991663</v>
      </c>
      <c r="F215" s="64">
        <f>+'Damage Calculations'!$Q$79</f>
        <v>3784569.9999999995</v>
      </c>
    </row>
    <row r="216" spans="1:6">
      <c r="A216" s="59"/>
      <c r="B216" s="62">
        <v>39325</v>
      </c>
      <c r="C216" s="63">
        <f>+'Damage Calculations'!$Q$39</f>
        <v>3784569.9999999995</v>
      </c>
      <c r="D216" s="63">
        <f>+'Damage Calculations'!$Q$53</f>
        <v>4042929.137493866</v>
      </c>
      <c r="E216" s="63">
        <f>+'Damage Calculations'!$Q$66</f>
        <v>3961821.7185991663</v>
      </c>
      <c r="F216" s="64">
        <f>+'Damage Calculations'!$Q$79</f>
        <v>3784569.9999999995</v>
      </c>
    </row>
    <row r="217" spans="1:6">
      <c r="A217" s="59"/>
      <c r="B217" s="62">
        <v>39355</v>
      </c>
      <c r="C217" s="63">
        <f>+'Damage Calculations'!$Q$39</f>
        <v>3784569.9999999995</v>
      </c>
      <c r="D217" s="63">
        <f>+'Damage Calculations'!$Q$53</f>
        <v>4042929.137493866</v>
      </c>
      <c r="E217" s="63">
        <f>+'Damage Calculations'!$Q$66</f>
        <v>3961821.7185991663</v>
      </c>
      <c r="F217" s="64">
        <f>+'Damage Calculations'!$Q$79</f>
        <v>3784569.9999999995</v>
      </c>
    </row>
    <row r="218" spans="1:6">
      <c r="A218" s="59"/>
      <c r="B218" s="62">
        <v>39386</v>
      </c>
      <c r="C218" s="63">
        <f>+'Damage Calculations'!$Q$39</f>
        <v>3784569.9999999995</v>
      </c>
      <c r="D218" s="63">
        <f>+'Damage Calculations'!$Q$53</f>
        <v>4042929.137493866</v>
      </c>
      <c r="E218" s="63">
        <f>+'Damage Calculations'!$Q$66</f>
        <v>3961821.7185991663</v>
      </c>
      <c r="F218" s="64">
        <f>+'Damage Calculations'!$Q$79</f>
        <v>3784569.9999999995</v>
      </c>
    </row>
    <row r="219" spans="1:6">
      <c r="A219" s="59"/>
      <c r="B219" s="62">
        <v>39416</v>
      </c>
      <c r="C219" s="63">
        <f>+'Damage Calculations'!$Q$39</f>
        <v>3784569.9999999995</v>
      </c>
      <c r="D219" s="63">
        <f>+'Damage Calculations'!$Q$53</f>
        <v>4042929.137493866</v>
      </c>
      <c r="E219" s="63">
        <f>+'Damage Calculations'!$Q$66</f>
        <v>3961821.7185991663</v>
      </c>
      <c r="F219" s="64">
        <f>+'Damage Calculations'!$Q$79</f>
        <v>3784569.9999999995</v>
      </c>
    </row>
    <row r="220" spans="1:6">
      <c r="A220" s="59"/>
      <c r="B220" s="62">
        <v>39447</v>
      </c>
      <c r="C220" s="63">
        <f>+'Damage Calculations'!$Q$39</f>
        <v>3784569.9999999995</v>
      </c>
      <c r="D220" s="63">
        <f>+'Damage Calculations'!$Q$53</f>
        <v>4042929.137493866</v>
      </c>
      <c r="E220" s="63">
        <f>+'Damage Calculations'!$Q$66</f>
        <v>3961821.7185991663</v>
      </c>
      <c r="F220" s="64">
        <f>+'Damage Calculations'!$Q$79</f>
        <v>3784569.9999999995</v>
      </c>
    </row>
    <row r="221" spans="1:6">
      <c r="A221" s="59"/>
      <c r="B221" s="62">
        <v>39478</v>
      </c>
      <c r="C221" s="63">
        <f>+'Damage Calculations'!$R$39</f>
        <v>2019840</v>
      </c>
      <c r="D221" s="63">
        <f>+'Damage Calculations'!$R$53</f>
        <v>2257828.4359873552</v>
      </c>
      <c r="E221" s="63">
        <f>+'Damage Calculations'!$R$66</f>
        <v>2184111.584380833</v>
      </c>
      <c r="F221" s="64">
        <f>+'Damage Calculations'!$R$79</f>
        <v>2019840</v>
      </c>
    </row>
    <row r="222" spans="1:6">
      <c r="A222" s="59"/>
      <c r="B222" s="62">
        <v>39507</v>
      </c>
      <c r="C222" s="63">
        <f>+'Damage Calculations'!$R$39</f>
        <v>2019840</v>
      </c>
      <c r="D222" s="63">
        <f>+'Damage Calculations'!$R$53</f>
        <v>2257828.4359873552</v>
      </c>
      <c r="E222" s="63">
        <f>+'Damage Calculations'!$R$66</f>
        <v>2184111.584380833</v>
      </c>
      <c r="F222" s="64">
        <f>+'Damage Calculations'!$R$79</f>
        <v>2019840</v>
      </c>
    </row>
    <row r="223" spans="1:6">
      <c r="A223" s="59"/>
      <c r="B223" s="62">
        <v>39538</v>
      </c>
      <c r="C223" s="63">
        <f>+'Damage Calculations'!$R$39</f>
        <v>2019840</v>
      </c>
      <c r="D223" s="63">
        <f>+'Damage Calculations'!$R$53</f>
        <v>2257828.4359873552</v>
      </c>
      <c r="E223" s="63">
        <f>+'Damage Calculations'!$R$66</f>
        <v>2184111.584380833</v>
      </c>
      <c r="F223" s="64">
        <f>+'Damage Calculations'!$R$79</f>
        <v>2019840</v>
      </c>
    </row>
    <row r="224" spans="1:6">
      <c r="A224" s="59"/>
      <c r="B224" s="62">
        <v>39568</v>
      </c>
      <c r="C224" s="63">
        <f>+'Damage Calculations'!$R$39</f>
        <v>2019840</v>
      </c>
      <c r="D224" s="63">
        <f>+'Damage Calculations'!$R$53</f>
        <v>2257828.4359873552</v>
      </c>
      <c r="E224" s="63">
        <f>+'Damage Calculations'!$R$66</f>
        <v>2184111.584380833</v>
      </c>
      <c r="F224" s="64">
        <f>+'Damage Calculations'!$R$79</f>
        <v>2019840</v>
      </c>
    </row>
    <row r="225" spans="1:6">
      <c r="A225" s="59"/>
      <c r="B225" s="62">
        <v>39599</v>
      </c>
      <c r="C225" s="63">
        <f>+'Damage Calculations'!$R$39</f>
        <v>2019840</v>
      </c>
      <c r="D225" s="63">
        <f>+'Damage Calculations'!$R$53</f>
        <v>2257828.4359873552</v>
      </c>
      <c r="E225" s="63">
        <f>+'Damage Calculations'!$R$66</f>
        <v>2184111.584380833</v>
      </c>
      <c r="F225" s="64">
        <f>+'Damage Calculations'!$R$79</f>
        <v>2019840</v>
      </c>
    </row>
    <row r="226" spans="1:6">
      <c r="A226" s="59"/>
      <c r="B226" s="62">
        <v>39629</v>
      </c>
      <c r="C226" s="63">
        <f>+'Damage Calculations'!$R$39</f>
        <v>2019840</v>
      </c>
      <c r="D226" s="63">
        <f>+'Damage Calculations'!$R$53</f>
        <v>2257828.4359873552</v>
      </c>
      <c r="E226" s="63">
        <f>+'Damage Calculations'!$R$66</f>
        <v>2184111.584380833</v>
      </c>
      <c r="F226" s="64">
        <f>+'Damage Calculations'!$R$79</f>
        <v>2019840</v>
      </c>
    </row>
    <row r="227" spans="1:6">
      <c r="A227" s="59"/>
      <c r="B227" s="62">
        <v>39660</v>
      </c>
      <c r="C227" s="63">
        <f>+'Damage Calculations'!$R$39</f>
        <v>2019840</v>
      </c>
      <c r="D227" s="63">
        <f>+'Damage Calculations'!$R$53</f>
        <v>2257828.4359873552</v>
      </c>
      <c r="E227" s="63">
        <f>+'Damage Calculations'!$R$66</f>
        <v>2184111.584380833</v>
      </c>
      <c r="F227" s="64">
        <f>+'Damage Calculations'!$R$79</f>
        <v>2019840</v>
      </c>
    </row>
    <row r="228" spans="1:6">
      <c r="A228" s="59"/>
      <c r="B228" s="62">
        <v>39691</v>
      </c>
      <c r="C228" s="63">
        <f>+'Damage Calculations'!$R$39</f>
        <v>2019840</v>
      </c>
      <c r="D228" s="63">
        <f>+'Damage Calculations'!$R$53</f>
        <v>2257828.4359873552</v>
      </c>
      <c r="E228" s="63">
        <f>+'Damage Calculations'!$R$66</f>
        <v>2184111.584380833</v>
      </c>
      <c r="F228" s="64">
        <f>+'Damage Calculations'!$R$79</f>
        <v>2019840</v>
      </c>
    </row>
    <row r="229" spans="1:6">
      <c r="A229" s="59"/>
      <c r="B229" s="62">
        <v>39721</v>
      </c>
      <c r="C229" s="63">
        <f>+'Damage Calculations'!$R$39</f>
        <v>2019840</v>
      </c>
      <c r="D229" s="63">
        <f>+'Damage Calculations'!$R$53</f>
        <v>2257828.4359873552</v>
      </c>
      <c r="E229" s="63">
        <f>+'Damage Calculations'!$R$66</f>
        <v>2184111.584380833</v>
      </c>
      <c r="F229" s="64">
        <f>+'Damage Calculations'!$R$79</f>
        <v>2019840</v>
      </c>
    </row>
    <row r="230" spans="1:6">
      <c r="A230" s="59"/>
      <c r="B230" s="62">
        <v>39752</v>
      </c>
      <c r="C230" s="63">
        <f>+'Damage Calculations'!$R$39</f>
        <v>2019840</v>
      </c>
      <c r="D230" s="63">
        <f>+'Damage Calculations'!$R$53</f>
        <v>2257828.4359873552</v>
      </c>
      <c r="E230" s="63">
        <f>+'Damage Calculations'!$R$66</f>
        <v>2184111.584380833</v>
      </c>
      <c r="F230" s="64">
        <f>+'Damage Calculations'!$R$79</f>
        <v>2019840</v>
      </c>
    </row>
    <row r="231" spans="1:6">
      <c r="A231" s="59"/>
      <c r="B231" s="62">
        <v>39782</v>
      </c>
      <c r="C231" s="63">
        <f>+'Damage Calculations'!$R$39</f>
        <v>2019840</v>
      </c>
      <c r="D231" s="63">
        <f>+'Damage Calculations'!$R$53</f>
        <v>2257828.4359873552</v>
      </c>
      <c r="E231" s="63">
        <f>+'Damage Calculations'!$R$66</f>
        <v>2184111.584380833</v>
      </c>
      <c r="F231" s="64">
        <f>+'Damage Calculations'!$R$79</f>
        <v>2019840</v>
      </c>
    </row>
    <row r="232" spans="1:6">
      <c r="A232" s="59"/>
      <c r="B232" s="62">
        <v>39813</v>
      </c>
      <c r="C232" s="63">
        <f>+'Damage Calculations'!$R$39</f>
        <v>2019840</v>
      </c>
      <c r="D232" s="63">
        <f>+'Damage Calculations'!$R$53</f>
        <v>2257828.4359873552</v>
      </c>
      <c r="E232" s="63">
        <f>+'Damage Calculations'!$R$66</f>
        <v>2184111.584380833</v>
      </c>
      <c r="F232" s="64">
        <f>+'Damage Calculations'!$R$79</f>
        <v>2019840</v>
      </c>
    </row>
    <row r="233" spans="1:6">
      <c r="A233" s="59"/>
      <c r="B233" s="62">
        <v>39844</v>
      </c>
      <c r="C233" s="63">
        <f>+'Damage Calculations'!$S$39</f>
        <v>4034420.0000000005</v>
      </c>
      <c r="D233" s="63">
        <f>+'Damage Calculations'!$S$53</f>
        <v>4250592.4905635398</v>
      </c>
      <c r="E233" s="63">
        <f>+'Damage Calculations'!$S$66</f>
        <v>4184790.5461858339</v>
      </c>
      <c r="F233" s="64">
        <f>+'Damage Calculations'!$S$79</f>
        <v>4034420.0000000005</v>
      </c>
    </row>
    <row r="234" spans="1:6">
      <c r="A234" s="59"/>
      <c r="B234" s="62">
        <v>39872</v>
      </c>
      <c r="C234" s="63">
        <f>+'Damage Calculations'!$S$39</f>
        <v>4034420.0000000005</v>
      </c>
      <c r="D234" s="63">
        <f>+'Damage Calculations'!$S$53</f>
        <v>4250592.4905635398</v>
      </c>
      <c r="E234" s="63">
        <f>+'Damage Calculations'!$S$66</f>
        <v>4184790.5461858339</v>
      </c>
      <c r="F234" s="64">
        <f>+'Damage Calculations'!$S$79</f>
        <v>4034420.0000000005</v>
      </c>
    </row>
    <row r="235" spans="1:6">
      <c r="A235" s="59"/>
      <c r="B235" s="62">
        <v>39903</v>
      </c>
      <c r="C235" s="63">
        <f>+'Damage Calculations'!$S$39</f>
        <v>4034420.0000000005</v>
      </c>
      <c r="D235" s="63">
        <f>+'Damage Calculations'!$S$53</f>
        <v>4250592.4905635398</v>
      </c>
      <c r="E235" s="63">
        <f>+'Damage Calculations'!$S$66</f>
        <v>4184790.5461858339</v>
      </c>
      <c r="F235" s="64">
        <f>+'Damage Calculations'!$S$79</f>
        <v>4034420.0000000005</v>
      </c>
    </row>
    <row r="236" spans="1:6">
      <c r="A236" s="59"/>
      <c r="B236" s="62">
        <v>39933</v>
      </c>
      <c r="C236" s="63">
        <f>+'Damage Calculations'!$S$39</f>
        <v>4034420.0000000005</v>
      </c>
      <c r="D236" s="63">
        <f>+'Damage Calculations'!$S$53</f>
        <v>4250592.4905635398</v>
      </c>
      <c r="E236" s="63">
        <f>+'Damage Calculations'!$S$66</f>
        <v>4184790.5461858339</v>
      </c>
      <c r="F236" s="64">
        <f>+'Damage Calculations'!$S$79</f>
        <v>4034420.0000000005</v>
      </c>
    </row>
    <row r="237" spans="1:6">
      <c r="A237" s="59"/>
      <c r="B237" s="62">
        <v>39964</v>
      </c>
      <c r="C237" s="63">
        <f>+'Damage Calculations'!$S$39</f>
        <v>4034420.0000000005</v>
      </c>
      <c r="D237" s="63">
        <f>+'Damage Calculations'!$S$53</f>
        <v>4250592.4905635398</v>
      </c>
      <c r="E237" s="63">
        <f>+'Damage Calculations'!$S$66</f>
        <v>4184790.5461858339</v>
      </c>
      <c r="F237" s="64">
        <f>+'Damage Calculations'!$S$79</f>
        <v>4034420.0000000005</v>
      </c>
    </row>
    <row r="238" spans="1:6">
      <c r="A238" s="59"/>
      <c r="B238" s="62">
        <v>39994</v>
      </c>
      <c r="C238" s="63">
        <f>+'Damage Calculations'!$S$39</f>
        <v>4034420.0000000005</v>
      </c>
      <c r="D238" s="63">
        <f>+'Damage Calculations'!$S$53</f>
        <v>4250592.4905635398</v>
      </c>
      <c r="E238" s="63">
        <f>+'Damage Calculations'!$S$66</f>
        <v>4184790.5461858339</v>
      </c>
      <c r="F238" s="64">
        <f>+'Damage Calculations'!$S$79</f>
        <v>4034420.0000000005</v>
      </c>
    </row>
    <row r="239" spans="1:6">
      <c r="A239" s="59"/>
      <c r="B239" s="62">
        <v>40025</v>
      </c>
      <c r="C239" s="63">
        <f>+'Damage Calculations'!$S$39</f>
        <v>4034420.0000000005</v>
      </c>
      <c r="D239" s="63">
        <f>+'Damage Calculations'!$S$53</f>
        <v>4250592.4905635398</v>
      </c>
      <c r="E239" s="63">
        <f>+'Damage Calculations'!$S$66</f>
        <v>4184790.5461858339</v>
      </c>
      <c r="F239" s="64">
        <f>+'Damage Calculations'!$S$79</f>
        <v>4034420.0000000005</v>
      </c>
    </row>
    <row r="240" spans="1:6">
      <c r="A240" s="59"/>
      <c r="B240" s="62">
        <v>40056</v>
      </c>
      <c r="C240" s="63">
        <f>+'Damage Calculations'!$S$39</f>
        <v>4034420.0000000005</v>
      </c>
      <c r="D240" s="63">
        <f>+'Damage Calculations'!$S$53</f>
        <v>4250592.4905635398</v>
      </c>
      <c r="E240" s="63">
        <f>+'Damage Calculations'!$S$66</f>
        <v>4184790.5461858339</v>
      </c>
      <c r="F240" s="64">
        <f>+'Damage Calculations'!$S$79</f>
        <v>4034420.0000000005</v>
      </c>
    </row>
    <row r="241" spans="1:6">
      <c r="A241" s="59"/>
      <c r="B241" s="62">
        <v>40086</v>
      </c>
      <c r="C241" s="63">
        <f>+'Damage Calculations'!$S$39</f>
        <v>4034420.0000000005</v>
      </c>
      <c r="D241" s="63">
        <f>+'Damage Calculations'!$S$53</f>
        <v>4250592.4905635398</v>
      </c>
      <c r="E241" s="63">
        <f>+'Damage Calculations'!$S$66</f>
        <v>4184790.5461858339</v>
      </c>
      <c r="F241" s="64">
        <f>+'Damage Calculations'!$S$79</f>
        <v>4034420.0000000005</v>
      </c>
    </row>
    <row r="242" spans="1:6">
      <c r="A242" s="59"/>
      <c r="B242" s="62">
        <v>40117</v>
      </c>
      <c r="C242" s="63">
        <f>+'Damage Calculations'!$S$39</f>
        <v>4034420.0000000005</v>
      </c>
      <c r="D242" s="63">
        <f>+'Damage Calculations'!$S$53</f>
        <v>4250592.4905635398</v>
      </c>
      <c r="E242" s="63">
        <f>+'Damage Calculations'!$S$66</f>
        <v>4184790.5461858339</v>
      </c>
      <c r="F242" s="64">
        <f>+'Damage Calculations'!$S$79</f>
        <v>4034420.0000000005</v>
      </c>
    </row>
    <row r="243" spans="1:6">
      <c r="A243" s="59"/>
      <c r="B243" s="62">
        <v>40147</v>
      </c>
      <c r="C243" s="63">
        <f>+'Damage Calculations'!$S$39</f>
        <v>4034420.0000000005</v>
      </c>
      <c r="D243" s="63">
        <f>+'Damage Calculations'!$S$53</f>
        <v>4250592.4905635398</v>
      </c>
      <c r="E243" s="63">
        <f>+'Damage Calculations'!$S$66</f>
        <v>4184790.5461858339</v>
      </c>
      <c r="F243" s="64">
        <f>+'Damage Calculations'!$S$79</f>
        <v>4034420.0000000005</v>
      </c>
    </row>
    <row r="244" spans="1:6">
      <c r="A244" s="59"/>
      <c r="B244" s="62">
        <v>40178</v>
      </c>
      <c r="C244" s="63">
        <f>+'Damage Calculations'!$S$39</f>
        <v>4034420.0000000005</v>
      </c>
      <c r="D244" s="63">
        <f>+'Damage Calculations'!$S$53</f>
        <v>4250592.4905635398</v>
      </c>
      <c r="E244" s="63">
        <f>+'Damage Calculations'!$S$66</f>
        <v>4184790.5461858339</v>
      </c>
      <c r="F244" s="64">
        <f>+'Damage Calculations'!$S$79</f>
        <v>4034420.0000000005</v>
      </c>
    </row>
    <row r="245" spans="1:6">
      <c r="A245" s="59"/>
      <c r="B245" s="62">
        <v>40209</v>
      </c>
      <c r="C245" s="63">
        <f>+'Damage Calculations'!$T$39</f>
        <v>4147510</v>
      </c>
      <c r="D245" s="63">
        <f>+'Damage Calculations'!$T$53</f>
        <v>4341663.3452063091</v>
      </c>
      <c r="E245" s="63">
        <f>+'Damage Calculations'!$T$66</f>
        <v>4283850.0297591668</v>
      </c>
      <c r="F245" s="64">
        <f>+'Damage Calculations'!$T$79</f>
        <v>4147510</v>
      </c>
    </row>
    <row r="246" spans="1:6">
      <c r="A246" s="59"/>
      <c r="B246" s="62">
        <v>40237</v>
      </c>
      <c r="C246" s="63">
        <f>+'Damage Calculations'!$T$39</f>
        <v>4147510</v>
      </c>
      <c r="D246" s="63">
        <f>+'Damage Calculations'!$T$53</f>
        <v>4341663.3452063091</v>
      </c>
      <c r="E246" s="63">
        <f>+'Damage Calculations'!$T$66</f>
        <v>4283850.0297591668</v>
      </c>
      <c r="F246" s="64">
        <f>+'Damage Calculations'!$T$79</f>
        <v>4147510</v>
      </c>
    </row>
    <row r="247" spans="1:6">
      <c r="A247" s="59"/>
      <c r="B247" s="62">
        <v>40268</v>
      </c>
      <c r="C247" s="63">
        <f>+'Damage Calculations'!$T$39</f>
        <v>4147510</v>
      </c>
      <c r="D247" s="63">
        <f>+'Damage Calculations'!$T$53</f>
        <v>4341663.3452063091</v>
      </c>
      <c r="E247" s="63">
        <f>+'Damage Calculations'!$T$66</f>
        <v>4283850.0297591668</v>
      </c>
      <c r="F247" s="64">
        <f>+'Damage Calculations'!$T$79</f>
        <v>4147510</v>
      </c>
    </row>
    <row r="248" spans="1:6">
      <c r="A248" s="59"/>
      <c r="B248" s="62">
        <v>40298</v>
      </c>
      <c r="C248" s="63">
        <f>+'Damage Calculations'!$T$39</f>
        <v>4147510</v>
      </c>
      <c r="D248" s="63">
        <f>+'Damage Calculations'!$T$53</f>
        <v>4341663.3452063091</v>
      </c>
      <c r="E248" s="63">
        <f>+'Damage Calculations'!$T$66</f>
        <v>4283850.0297591668</v>
      </c>
      <c r="F248" s="64">
        <f>+'Damage Calculations'!$T$79</f>
        <v>4147510</v>
      </c>
    </row>
    <row r="249" spans="1:6">
      <c r="A249" s="59"/>
      <c r="B249" s="62">
        <v>40329</v>
      </c>
      <c r="C249" s="63">
        <f>+'Damage Calculations'!$T$39</f>
        <v>4147510</v>
      </c>
      <c r="D249" s="63">
        <f>+'Damage Calculations'!$T$53</f>
        <v>4341663.3452063091</v>
      </c>
      <c r="E249" s="63">
        <f>+'Damage Calculations'!$T$66</f>
        <v>4283850.0297591668</v>
      </c>
      <c r="F249" s="64">
        <f>+'Damage Calculations'!$T$79</f>
        <v>4147510</v>
      </c>
    </row>
    <row r="250" spans="1:6">
      <c r="A250" s="59"/>
      <c r="B250" s="62">
        <v>40359</v>
      </c>
      <c r="C250" s="63">
        <f>+'Damage Calculations'!$T$39</f>
        <v>4147510</v>
      </c>
      <c r="D250" s="63">
        <f>+'Damage Calculations'!$T$53</f>
        <v>4341663.3452063091</v>
      </c>
      <c r="E250" s="63">
        <f>+'Damage Calculations'!$T$66</f>
        <v>4283850.0297591668</v>
      </c>
      <c r="F250" s="64">
        <f>+'Damage Calculations'!$T$79</f>
        <v>4147510</v>
      </c>
    </row>
    <row r="251" spans="1:6">
      <c r="A251" s="59"/>
      <c r="B251" s="62">
        <v>40390</v>
      </c>
      <c r="C251" s="63">
        <f>+'Damage Calculations'!$T$39</f>
        <v>4147510</v>
      </c>
      <c r="D251" s="63">
        <f>+'Damage Calculations'!$T$53</f>
        <v>4341663.3452063091</v>
      </c>
      <c r="E251" s="63">
        <f>+'Damage Calculations'!$T$66</f>
        <v>4283850.0297591668</v>
      </c>
      <c r="F251" s="64">
        <f>+'Damage Calculations'!$T$79</f>
        <v>4147510</v>
      </c>
    </row>
    <row r="252" spans="1:6">
      <c r="A252" s="59"/>
      <c r="B252" s="62">
        <v>40421</v>
      </c>
      <c r="C252" s="63">
        <f>+'Damage Calculations'!$T$39</f>
        <v>4147510</v>
      </c>
      <c r="D252" s="63">
        <f>+'Damage Calculations'!$T$53</f>
        <v>4341663.3452063091</v>
      </c>
      <c r="E252" s="63">
        <f>+'Damage Calculations'!$T$66</f>
        <v>4283850.0297591668</v>
      </c>
      <c r="F252" s="64">
        <f>+'Damage Calculations'!$T$79</f>
        <v>4147510</v>
      </c>
    </row>
    <row r="253" spans="1:6">
      <c r="A253" s="59"/>
      <c r="B253" s="62">
        <v>40451</v>
      </c>
      <c r="C253" s="63">
        <f>+'Damage Calculations'!$T$39</f>
        <v>4147510</v>
      </c>
      <c r="D253" s="63">
        <f>+'Damage Calculations'!$T$53</f>
        <v>4341663.3452063091</v>
      </c>
      <c r="E253" s="63">
        <f>+'Damage Calculations'!$T$66</f>
        <v>4283850.0297591668</v>
      </c>
      <c r="F253" s="64">
        <f>+'Damage Calculations'!$T$79</f>
        <v>4147510</v>
      </c>
    </row>
    <row r="254" spans="1:6">
      <c r="A254" s="59"/>
      <c r="B254" s="62">
        <v>40482</v>
      </c>
      <c r="C254" s="63">
        <f>+'Damage Calculations'!$T$39</f>
        <v>4147510</v>
      </c>
      <c r="D254" s="63">
        <f>+'Damage Calculations'!$T$53</f>
        <v>4341663.3452063091</v>
      </c>
      <c r="E254" s="63">
        <f>+'Damage Calculations'!$T$66</f>
        <v>4283850.0297591668</v>
      </c>
      <c r="F254" s="64">
        <f>+'Damage Calculations'!$T$79</f>
        <v>4147510</v>
      </c>
    </row>
    <row r="255" spans="1:6">
      <c r="A255" s="59"/>
      <c r="B255" s="62">
        <v>40512</v>
      </c>
      <c r="C255" s="63">
        <f>+'Damage Calculations'!$T$39</f>
        <v>4147510</v>
      </c>
      <c r="D255" s="63">
        <f>+'Damage Calculations'!$T$53</f>
        <v>4341663.3452063091</v>
      </c>
      <c r="E255" s="63">
        <f>+'Damage Calculations'!$T$66</f>
        <v>4283850.0297591668</v>
      </c>
      <c r="F255" s="64">
        <f>+'Damage Calculations'!$T$79</f>
        <v>4147510</v>
      </c>
    </row>
    <row r="256" spans="1:6">
      <c r="A256" s="59"/>
      <c r="B256" s="62">
        <v>40543</v>
      </c>
      <c r="C256" s="63">
        <f>+'Damage Calculations'!$T$39</f>
        <v>4147510</v>
      </c>
      <c r="D256" s="63">
        <f>+'Damage Calculations'!$T$53</f>
        <v>4341663.3452063091</v>
      </c>
      <c r="E256" s="63">
        <f>+'Damage Calculations'!$T$66</f>
        <v>4283850.0297591668</v>
      </c>
      <c r="F256" s="64">
        <f>+'Damage Calculations'!$T$79</f>
        <v>4147510</v>
      </c>
    </row>
    <row r="257" spans="1:6">
      <c r="A257" s="59"/>
      <c r="B257" s="62">
        <v>40574</v>
      </c>
      <c r="C257" s="63">
        <f>+'Damage Calculations'!$U$39</f>
        <v>3545239.9999999995</v>
      </c>
      <c r="D257" s="63">
        <f>+'Damage Calculations'!$U$53</f>
        <v>3714003.0740227946</v>
      </c>
      <c r="E257" s="63">
        <f>+'Damage Calculations'!$U$66</f>
        <v>3665401.4446624997</v>
      </c>
      <c r="F257" s="64">
        <f>+'Damage Calculations'!$U$79</f>
        <v>3545239.9999999995</v>
      </c>
    </row>
    <row r="258" spans="1:6">
      <c r="A258" s="59"/>
      <c r="B258" s="62">
        <v>40602</v>
      </c>
      <c r="C258" s="63">
        <f>+'Damage Calculations'!$U$39</f>
        <v>3545239.9999999995</v>
      </c>
      <c r="D258" s="63">
        <f>+'Damage Calculations'!$U$53</f>
        <v>3714003.0740227946</v>
      </c>
      <c r="E258" s="63">
        <f>+'Damage Calculations'!$U$66</f>
        <v>3665401.4446624997</v>
      </c>
      <c r="F258" s="64">
        <f>+'Damage Calculations'!$U$79</f>
        <v>3545239.9999999995</v>
      </c>
    </row>
    <row r="259" spans="1:6">
      <c r="A259" s="59"/>
      <c r="B259" s="62">
        <v>40633</v>
      </c>
      <c r="C259" s="63">
        <f>+'Damage Calculations'!$U$39</f>
        <v>3545239.9999999995</v>
      </c>
      <c r="D259" s="63">
        <f>+'Damage Calculations'!$U$53</f>
        <v>3714003.0740227946</v>
      </c>
      <c r="E259" s="63">
        <f>+'Damage Calculations'!$U$66</f>
        <v>3665401.4446624997</v>
      </c>
      <c r="F259" s="64">
        <f>+'Damage Calculations'!$U$79</f>
        <v>3545239.9999999995</v>
      </c>
    </row>
    <row r="260" spans="1:6">
      <c r="A260" s="59"/>
      <c r="B260" s="62">
        <v>40663</v>
      </c>
      <c r="C260" s="63">
        <f>+'Damage Calculations'!$U$39</f>
        <v>3545239.9999999995</v>
      </c>
      <c r="D260" s="63">
        <f>+'Damage Calculations'!$U$53</f>
        <v>3714003.0740227946</v>
      </c>
      <c r="E260" s="63">
        <f>+'Damage Calculations'!$U$66</f>
        <v>3665401.4446624997</v>
      </c>
      <c r="F260" s="64">
        <f>+'Damage Calculations'!$U$79</f>
        <v>3545239.9999999995</v>
      </c>
    </row>
    <row r="261" spans="1:6">
      <c r="A261" s="59"/>
      <c r="B261" s="62">
        <v>40694</v>
      </c>
      <c r="C261" s="63">
        <f>+'Damage Calculations'!$U$39</f>
        <v>3545239.9999999995</v>
      </c>
      <c r="D261" s="63">
        <f>+'Damage Calculations'!$U$53</f>
        <v>3714003.0740227946</v>
      </c>
      <c r="E261" s="63">
        <f>+'Damage Calculations'!$U$66</f>
        <v>3665401.4446624997</v>
      </c>
      <c r="F261" s="64">
        <f>+'Damage Calculations'!$U$79</f>
        <v>3545239.9999999995</v>
      </c>
    </row>
    <row r="262" spans="1:6">
      <c r="A262" s="59"/>
      <c r="B262" s="62">
        <v>40724</v>
      </c>
      <c r="C262" s="63">
        <f>+'Damage Calculations'!$U$39</f>
        <v>3545239.9999999995</v>
      </c>
      <c r="D262" s="63">
        <f>+'Damage Calculations'!$U$53</f>
        <v>3714003.0740227946</v>
      </c>
      <c r="E262" s="63">
        <f>+'Damage Calculations'!$U$66</f>
        <v>3665401.4446624997</v>
      </c>
      <c r="F262" s="64">
        <f>+'Damage Calculations'!$U$79</f>
        <v>3545239.9999999995</v>
      </c>
    </row>
    <row r="263" spans="1:6">
      <c r="A263" s="59"/>
      <c r="B263" s="62">
        <v>40755</v>
      </c>
      <c r="C263" s="63">
        <f>+'Damage Calculations'!$U$39</f>
        <v>3545239.9999999995</v>
      </c>
      <c r="D263" s="63">
        <f>+'Damage Calculations'!$U$53</f>
        <v>3714003.0740227946</v>
      </c>
      <c r="E263" s="63">
        <f>+'Damage Calculations'!$U$66</f>
        <v>3665401.4446624997</v>
      </c>
      <c r="F263" s="64">
        <f>+'Damage Calculations'!$U$79</f>
        <v>3545239.9999999995</v>
      </c>
    </row>
    <row r="264" spans="1:6">
      <c r="A264" s="59"/>
      <c r="B264" s="62">
        <v>40786</v>
      </c>
      <c r="C264" s="63">
        <f>+'Damage Calculations'!$U$39</f>
        <v>3545239.9999999995</v>
      </c>
      <c r="D264" s="63">
        <f>+'Damage Calculations'!$U$53</f>
        <v>3714003.0740227946</v>
      </c>
      <c r="E264" s="63">
        <f>+'Damage Calculations'!$U$66</f>
        <v>3665401.4446624997</v>
      </c>
      <c r="F264" s="64">
        <f>+'Damage Calculations'!$U$79</f>
        <v>3545239.9999999995</v>
      </c>
    </row>
    <row r="265" spans="1:6">
      <c r="A265" s="59"/>
      <c r="B265" s="62">
        <v>40816</v>
      </c>
      <c r="C265" s="63">
        <f>+'Damage Calculations'!$U$39</f>
        <v>3545239.9999999995</v>
      </c>
      <c r="D265" s="63">
        <f>+'Damage Calculations'!$U$53</f>
        <v>3714003.0740227946</v>
      </c>
      <c r="E265" s="63">
        <f>+'Damage Calculations'!$U$66</f>
        <v>3665401.4446624997</v>
      </c>
      <c r="F265" s="64">
        <f>+'Damage Calculations'!$U$79</f>
        <v>3545239.9999999995</v>
      </c>
    </row>
    <row r="266" spans="1:6">
      <c r="A266" s="59"/>
      <c r="B266" s="62">
        <v>40847</v>
      </c>
      <c r="C266" s="63">
        <f>+'Damage Calculations'!$U$39</f>
        <v>3545239.9999999995</v>
      </c>
      <c r="D266" s="63">
        <f>+'Damage Calculations'!$U$53</f>
        <v>3714003.0740227946</v>
      </c>
      <c r="E266" s="63">
        <f>+'Damage Calculations'!$U$66</f>
        <v>3665401.4446624997</v>
      </c>
      <c r="F266" s="64">
        <f>+'Damage Calculations'!$U$79</f>
        <v>3545239.9999999995</v>
      </c>
    </row>
    <row r="267" spans="1:6">
      <c r="A267" s="59"/>
      <c r="B267" s="62">
        <v>40877</v>
      </c>
      <c r="C267" s="63">
        <f>+'Damage Calculations'!$U$39</f>
        <v>3545239.9999999995</v>
      </c>
      <c r="D267" s="63">
        <f>+'Damage Calculations'!$U$53</f>
        <v>3714003.0740227946</v>
      </c>
      <c r="E267" s="63">
        <f>+'Damage Calculations'!$U$66</f>
        <v>3665401.4446624997</v>
      </c>
      <c r="F267" s="64">
        <f>+'Damage Calculations'!$U$79</f>
        <v>3545239.9999999995</v>
      </c>
    </row>
    <row r="268" spans="1:6">
      <c r="A268" s="59"/>
      <c r="B268" s="62">
        <v>40908</v>
      </c>
      <c r="C268" s="63">
        <f>+'Damage Calculations'!$U$39</f>
        <v>3545239.9999999995</v>
      </c>
      <c r="D268" s="63">
        <f>+'Damage Calculations'!$U$53</f>
        <v>3714003.0740227946</v>
      </c>
      <c r="E268" s="63">
        <f>+'Damage Calculations'!$U$66</f>
        <v>3665401.4446624997</v>
      </c>
      <c r="F268" s="64">
        <f>+'Damage Calculations'!$U$79</f>
        <v>3545239.9999999995</v>
      </c>
    </row>
    <row r="269" spans="1:6">
      <c r="A269" s="59"/>
      <c r="B269" s="62">
        <v>40939</v>
      </c>
      <c r="C269" s="63">
        <f>+'Damage Calculations'!$V$39</f>
        <v>4447329.9999999991</v>
      </c>
      <c r="D269" s="63">
        <f>+'Damage Calculations'!$V$53</f>
        <v>4586251.3727327036</v>
      </c>
      <c r="E269" s="63">
        <f>+'Damage Calculations'!$V$66</f>
        <v>4548215.0076027168</v>
      </c>
      <c r="F269" s="64">
        <f>+'Damage Calculations'!$V$79</f>
        <v>4447329.9999999991</v>
      </c>
    </row>
    <row r="270" spans="1:6">
      <c r="A270" s="59"/>
      <c r="B270" s="62">
        <v>40968</v>
      </c>
      <c r="C270" s="63">
        <f>+'Damage Calculations'!$V$39</f>
        <v>4447329.9999999991</v>
      </c>
      <c r="D270" s="63">
        <f>+'Damage Calculations'!$V$53</f>
        <v>4586251.3727327036</v>
      </c>
      <c r="E270" s="63">
        <f>+'Damage Calculations'!$V$66</f>
        <v>4548215.0076027168</v>
      </c>
      <c r="F270" s="64">
        <f>+'Damage Calculations'!$V$79</f>
        <v>4447329.9999999991</v>
      </c>
    </row>
    <row r="271" spans="1:6">
      <c r="A271" s="59"/>
      <c r="B271" s="62">
        <v>40999</v>
      </c>
      <c r="C271" s="63">
        <f>+'Damage Calculations'!$V$39</f>
        <v>4447329.9999999991</v>
      </c>
      <c r="D271" s="63">
        <f>+'Damage Calculations'!$V$53</f>
        <v>4586251.3727327036</v>
      </c>
      <c r="E271" s="63">
        <f>+'Damage Calculations'!$V$66</f>
        <v>4548215.0076027168</v>
      </c>
      <c r="F271" s="64">
        <f>+'Damage Calculations'!$V$79</f>
        <v>4447329.9999999991</v>
      </c>
    </row>
    <row r="272" spans="1:6">
      <c r="A272" s="59"/>
      <c r="B272" s="62">
        <v>41029</v>
      </c>
      <c r="C272" s="63">
        <f>+'Damage Calculations'!$V$39</f>
        <v>4447329.9999999991</v>
      </c>
      <c r="D272" s="63">
        <f>+'Damage Calculations'!$V$53</f>
        <v>4586251.3727327036</v>
      </c>
      <c r="E272" s="63">
        <f>+'Damage Calculations'!$V$66</f>
        <v>4548215.0076027168</v>
      </c>
      <c r="F272" s="64">
        <f>+'Damage Calculations'!$V$79</f>
        <v>4447329.9999999991</v>
      </c>
    </row>
    <row r="273" spans="1:6">
      <c r="A273" s="59"/>
      <c r="B273" s="62">
        <v>41060</v>
      </c>
      <c r="C273" s="63">
        <f>+'Damage Calculations'!$V$39</f>
        <v>4447329.9999999991</v>
      </c>
      <c r="D273" s="63">
        <f>+'Damage Calculations'!$V$53</f>
        <v>4586251.3727327036</v>
      </c>
      <c r="E273" s="63">
        <f>+'Damage Calculations'!$V$66</f>
        <v>4548215.0076027168</v>
      </c>
      <c r="F273" s="64">
        <f>+'Damage Calculations'!$V$79</f>
        <v>4447329.9999999991</v>
      </c>
    </row>
    <row r="274" spans="1:6">
      <c r="A274" s="59"/>
      <c r="B274" s="62">
        <v>41090</v>
      </c>
      <c r="C274" s="63">
        <f>+'Damage Calculations'!$V$39</f>
        <v>4447329.9999999991</v>
      </c>
      <c r="D274" s="63">
        <f>+'Damage Calculations'!$V$53</f>
        <v>4586251.3727327036</v>
      </c>
      <c r="E274" s="63">
        <f>+'Damage Calculations'!$V$66</f>
        <v>4548215.0076027168</v>
      </c>
      <c r="F274" s="64">
        <f>+'Damage Calculations'!$V$79</f>
        <v>4447329.9999999991</v>
      </c>
    </row>
    <row r="275" spans="1:6">
      <c r="A275" s="59"/>
      <c r="B275" s="62">
        <v>41121</v>
      </c>
      <c r="C275" s="63">
        <f>+'Damage Calculations'!$V$39</f>
        <v>4447329.9999999991</v>
      </c>
      <c r="D275" s="63">
        <f>+'Damage Calculations'!$V$53</f>
        <v>4586251.3727327036</v>
      </c>
      <c r="E275" s="63">
        <f>+'Damage Calculations'!$V$66</f>
        <v>4548215.0076027168</v>
      </c>
      <c r="F275" s="64">
        <f>+'Damage Calculations'!$V$79</f>
        <v>4447329.9999999991</v>
      </c>
    </row>
    <row r="276" spans="1:6">
      <c r="A276" s="59"/>
      <c r="B276" s="62">
        <v>41152</v>
      </c>
      <c r="C276" s="63">
        <f>+'Damage Calculations'!$V$39</f>
        <v>4447329.9999999991</v>
      </c>
      <c r="D276" s="63">
        <f>+'Damage Calculations'!$V$53</f>
        <v>4586251.3727327036</v>
      </c>
      <c r="E276" s="63">
        <f>+'Damage Calculations'!$V$66</f>
        <v>4548215.0076027168</v>
      </c>
      <c r="F276" s="64">
        <f>+'Damage Calculations'!$V$79</f>
        <v>4447329.9999999991</v>
      </c>
    </row>
    <row r="277" spans="1:6">
      <c r="A277" s="59"/>
      <c r="B277" s="62">
        <v>41182</v>
      </c>
      <c r="C277" s="63">
        <f>+'Damage Calculations'!$V$39</f>
        <v>4447329.9999999991</v>
      </c>
      <c r="D277" s="63">
        <f>+'Damage Calculations'!$V$53</f>
        <v>4586251.3727327036</v>
      </c>
      <c r="E277" s="63">
        <f>+'Damage Calculations'!$V$66</f>
        <v>4548215.0076027168</v>
      </c>
      <c r="F277" s="64">
        <f>+'Damage Calculations'!$V$79</f>
        <v>4447329.9999999991</v>
      </c>
    </row>
    <row r="278" spans="1:6">
      <c r="A278" s="59"/>
      <c r="B278" s="62">
        <v>41213</v>
      </c>
      <c r="C278" s="63">
        <f>+'Damage Calculations'!$V$39</f>
        <v>4447329.9999999991</v>
      </c>
      <c r="D278" s="63">
        <f>+'Damage Calculations'!$V$53</f>
        <v>4586251.3727327036</v>
      </c>
      <c r="E278" s="63">
        <f>+'Damage Calculations'!$V$66</f>
        <v>4548215.0076027168</v>
      </c>
      <c r="F278" s="64">
        <f>+'Damage Calculations'!$V$79</f>
        <v>4447329.9999999991</v>
      </c>
    </row>
    <row r="279" spans="1:6">
      <c r="A279" s="59"/>
      <c r="B279" s="62">
        <v>41243</v>
      </c>
      <c r="C279" s="63">
        <f>+'Damage Calculations'!$V$39</f>
        <v>4447329.9999999991</v>
      </c>
      <c r="D279" s="63">
        <f>+'Damage Calculations'!$V$53</f>
        <v>4586251.3727327036</v>
      </c>
      <c r="E279" s="63">
        <f>+'Damage Calculations'!$V$66</f>
        <v>4548215.0076027168</v>
      </c>
      <c r="F279" s="64">
        <f>+'Damage Calculations'!$V$79</f>
        <v>4447329.9999999991</v>
      </c>
    </row>
    <row r="280" spans="1:6">
      <c r="A280" s="59"/>
      <c r="B280" s="62">
        <v>41274</v>
      </c>
      <c r="C280" s="63">
        <f>+'Damage Calculations'!$V$39</f>
        <v>4447329.9999999991</v>
      </c>
      <c r="D280" s="63">
        <f>+'Damage Calculations'!$V$53</f>
        <v>4586251.3727327036</v>
      </c>
      <c r="E280" s="63">
        <f>+'Damage Calculations'!$V$66</f>
        <v>4548215.0076027168</v>
      </c>
      <c r="F280" s="64">
        <f>+'Damage Calculations'!$V$79</f>
        <v>4447329.9999999991</v>
      </c>
    </row>
    <row r="281" spans="1:6">
      <c r="A281" s="59"/>
      <c r="B281" s="62">
        <v>41305</v>
      </c>
      <c r="C281" s="63">
        <f>+'Damage Calculations'!$W$39</f>
        <v>4534119.9999999991</v>
      </c>
      <c r="D281" s="63">
        <f>+'Damage Calculations'!$W$53</f>
        <v>4638536.7582776677</v>
      </c>
      <c r="E281" s="63">
        <f>+'Damage Calculations'!$W$66</f>
        <v>4610348.2037616437</v>
      </c>
      <c r="F281" s="64">
        <f>+'Damage Calculations'!$W$79</f>
        <v>4534119.9999999991</v>
      </c>
    </row>
    <row r="282" spans="1:6">
      <c r="A282" s="59"/>
      <c r="B282" s="62">
        <v>41333</v>
      </c>
      <c r="C282" s="63">
        <f>+'Damage Calculations'!$W$39</f>
        <v>4534119.9999999991</v>
      </c>
      <c r="D282" s="63">
        <f>+'Damage Calculations'!$W$53</f>
        <v>4638536.7582776677</v>
      </c>
      <c r="E282" s="63">
        <f>+'Damage Calculations'!$W$66</f>
        <v>4610348.2037616437</v>
      </c>
      <c r="F282" s="64">
        <f>+'Damage Calculations'!$W$79</f>
        <v>4534119.9999999991</v>
      </c>
    </row>
    <row r="283" spans="1:6">
      <c r="A283" s="59"/>
      <c r="B283" s="62">
        <v>41364</v>
      </c>
      <c r="C283" s="63">
        <f>+'Damage Calculations'!$W$39</f>
        <v>4534119.9999999991</v>
      </c>
      <c r="D283" s="63">
        <f>+'Damage Calculations'!$W$53</f>
        <v>4638536.7582776677</v>
      </c>
      <c r="E283" s="63">
        <f>+'Damage Calculations'!$W$66</f>
        <v>4610348.2037616437</v>
      </c>
      <c r="F283" s="64">
        <f>+'Damage Calculations'!$W$79</f>
        <v>4534119.9999999991</v>
      </c>
    </row>
    <row r="284" spans="1:6">
      <c r="A284" s="59"/>
      <c r="B284" s="62">
        <v>41394</v>
      </c>
      <c r="C284" s="63">
        <f>+'Damage Calculations'!$W$39</f>
        <v>4534119.9999999991</v>
      </c>
      <c r="D284" s="63">
        <f>+'Damage Calculations'!$W$53</f>
        <v>4638536.7582776677</v>
      </c>
      <c r="E284" s="63">
        <f>+'Damage Calculations'!$W$66</f>
        <v>4610348.2037616437</v>
      </c>
      <c r="F284" s="64">
        <f>+'Damage Calculations'!$W$79</f>
        <v>4534119.9999999991</v>
      </c>
    </row>
    <row r="285" spans="1:6">
      <c r="A285" s="59"/>
      <c r="B285" s="62">
        <v>41425</v>
      </c>
      <c r="C285" s="63">
        <f>+'Damage Calculations'!$W$39</f>
        <v>4534119.9999999991</v>
      </c>
      <c r="D285" s="63">
        <f>+'Damage Calculations'!$W$53</f>
        <v>4638536.7582776677</v>
      </c>
      <c r="E285" s="63">
        <f>+'Damage Calculations'!$W$66</f>
        <v>4610348.2037616437</v>
      </c>
      <c r="F285" s="64">
        <f>+'Damage Calculations'!$W$79</f>
        <v>4534119.9999999991</v>
      </c>
    </row>
    <row r="286" spans="1:6">
      <c r="A286" s="59"/>
      <c r="B286" s="62">
        <v>41455</v>
      </c>
      <c r="C286" s="63">
        <f>+'Damage Calculations'!$W$39</f>
        <v>4534119.9999999991</v>
      </c>
      <c r="D286" s="63">
        <f>+'Damage Calculations'!$W$53</f>
        <v>4638536.7582776677</v>
      </c>
      <c r="E286" s="63">
        <f>+'Damage Calculations'!$W$66</f>
        <v>4610348.2037616437</v>
      </c>
      <c r="F286" s="64">
        <f>+'Damage Calculations'!$W$79</f>
        <v>4534119.9999999991</v>
      </c>
    </row>
    <row r="287" spans="1:6">
      <c r="A287" s="59"/>
      <c r="B287" s="62">
        <v>41486</v>
      </c>
      <c r="C287" s="63">
        <f>+'Damage Calculations'!$W$39</f>
        <v>4534119.9999999991</v>
      </c>
      <c r="D287" s="63">
        <f>+'Damage Calculations'!$W$53</f>
        <v>4638536.7582776677</v>
      </c>
      <c r="E287" s="63">
        <f>+'Damage Calculations'!$W$66</f>
        <v>4610348.2037616437</v>
      </c>
      <c r="F287" s="64">
        <f>+'Damage Calculations'!$W$79</f>
        <v>4534119.9999999991</v>
      </c>
    </row>
    <row r="288" spans="1:6">
      <c r="A288" s="59"/>
      <c r="B288" s="62">
        <v>41517</v>
      </c>
      <c r="C288" s="63">
        <f>+'Damage Calculations'!$W$39</f>
        <v>4534119.9999999991</v>
      </c>
      <c r="D288" s="63">
        <f>+'Damage Calculations'!$W$53</f>
        <v>4638536.7582776677</v>
      </c>
      <c r="E288" s="63">
        <f>+'Damage Calculations'!$W$66</f>
        <v>4610348.2037616437</v>
      </c>
      <c r="F288" s="64">
        <f>+'Damage Calculations'!$W$79</f>
        <v>4534119.9999999991</v>
      </c>
    </row>
    <row r="289" spans="1:6">
      <c r="A289" s="59"/>
      <c r="B289" s="62">
        <v>41547</v>
      </c>
      <c r="C289" s="63">
        <f>+'Damage Calculations'!$W$39</f>
        <v>4534119.9999999991</v>
      </c>
      <c r="D289" s="63">
        <f>+'Damage Calculations'!$W$53</f>
        <v>4638536.7582776677</v>
      </c>
      <c r="E289" s="63">
        <f>+'Damage Calculations'!$W$66</f>
        <v>4610348.2037616437</v>
      </c>
      <c r="F289" s="64">
        <f>+'Damage Calculations'!$W$79</f>
        <v>4534119.9999999991</v>
      </c>
    </row>
    <row r="290" spans="1:6">
      <c r="A290" s="59"/>
      <c r="B290" s="62">
        <v>41578</v>
      </c>
      <c r="C290" s="63">
        <f>+'Damage Calculations'!$W$39</f>
        <v>4534119.9999999991</v>
      </c>
      <c r="D290" s="63">
        <f>+'Damage Calculations'!$W$53</f>
        <v>4638536.7582776677</v>
      </c>
      <c r="E290" s="63">
        <f>+'Damage Calculations'!$W$66</f>
        <v>4610348.2037616437</v>
      </c>
      <c r="F290" s="64">
        <f>+'Damage Calculations'!$W$79</f>
        <v>4534119.9999999991</v>
      </c>
    </row>
    <row r="291" spans="1:6">
      <c r="A291" s="59"/>
      <c r="B291" s="62">
        <v>41608</v>
      </c>
      <c r="C291" s="63">
        <f>+'Damage Calculations'!$W$39</f>
        <v>4534119.9999999991</v>
      </c>
      <c r="D291" s="63">
        <f>+'Damage Calculations'!$W$53</f>
        <v>4638536.7582776677</v>
      </c>
      <c r="E291" s="63">
        <f>+'Damage Calculations'!$W$66</f>
        <v>4610348.2037616437</v>
      </c>
      <c r="F291" s="64">
        <f>+'Damage Calculations'!$W$79</f>
        <v>4534119.9999999991</v>
      </c>
    </row>
    <row r="292" spans="1:6">
      <c r="A292" s="59"/>
      <c r="B292" s="62">
        <v>41639</v>
      </c>
      <c r="C292" s="63">
        <f>+'Damage Calculations'!$W$39</f>
        <v>4534119.9999999991</v>
      </c>
      <c r="D292" s="63">
        <f>+'Damage Calculations'!$W$53</f>
        <v>4638536.7582776677</v>
      </c>
      <c r="E292" s="63">
        <f>+'Damage Calculations'!$W$66</f>
        <v>4610348.2037616437</v>
      </c>
      <c r="F292" s="64">
        <f>+'Damage Calculations'!$W$79</f>
        <v>4534119.9999999991</v>
      </c>
    </row>
    <row r="293" spans="1:6">
      <c r="A293" s="59"/>
      <c r="B293" s="62">
        <v>41670</v>
      </c>
      <c r="C293" s="63">
        <f>+'Damage Calculations'!$X$39</f>
        <v>3287500</v>
      </c>
      <c r="D293" s="63">
        <f>+'Damage Calculations'!$X$53</f>
        <v>3366557.2942765448</v>
      </c>
      <c r="E293" s="63">
        <f>+'Damage Calculations'!$X$66</f>
        <v>3345214.8308026488</v>
      </c>
      <c r="F293" s="64">
        <f>+'Damage Calculations'!$X$79</f>
        <v>3287500</v>
      </c>
    </row>
    <row r="294" spans="1:6">
      <c r="A294" s="59"/>
      <c r="B294" s="62">
        <v>41698</v>
      </c>
      <c r="C294" s="63">
        <f>+'Damage Calculations'!$X$39</f>
        <v>3287500</v>
      </c>
      <c r="D294" s="63">
        <f>+'Damage Calculations'!$X$53</f>
        <v>3366557.2942765448</v>
      </c>
      <c r="E294" s="63">
        <f>+'Damage Calculations'!$X$66</f>
        <v>3345214.8308026488</v>
      </c>
      <c r="F294" s="64">
        <f>+'Damage Calculations'!$X$79</f>
        <v>3287500</v>
      </c>
    </row>
    <row r="295" spans="1:6">
      <c r="A295" s="59"/>
      <c r="B295" s="62">
        <v>41729</v>
      </c>
      <c r="C295" s="63">
        <f>+'Damage Calculations'!$X$39</f>
        <v>3287500</v>
      </c>
      <c r="D295" s="63">
        <f>+'Damage Calculations'!$X$53</f>
        <v>3366557.2942765448</v>
      </c>
      <c r="E295" s="63">
        <f>+'Damage Calculations'!$X$66</f>
        <v>3345214.8308026488</v>
      </c>
      <c r="F295" s="64">
        <f>+'Damage Calculations'!$X$79</f>
        <v>3287500</v>
      </c>
    </row>
    <row r="296" spans="1:6">
      <c r="A296" s="59"/>
      <c r="B296" s="62">
        <v>41759</v>
      </c>
      <c r="C296" s="63">
        <f>+'Damage Calculations'!$X$39</f>
        <v>3287500</v>
      </c>
      <c r="D296" s="63">
        <f>+'Damage Calculations'!$X$53</f>
        <v>3366557.2942765448</v>
      </c>
      <c r="E296" s="63">
        <f>+'Damage Calculations'!$X$66</f>
        <v>3345214.8308026488</v>
      </c>
      <c r="F296" s="64">
        <f>+'Damage Calculations'!$X$79</f>
        <v>3287500</v>
      </c>
    </row>
    <row r="297" spans="1:6">
      <c r="A297" s="59"/>
      <c r="B297" s="62">
        <v>41790</v>
      </c>
      <c r="C297" s="63">
        <f>+'Damage Calculations'!$X$39</f>
        <v>3287500</v>
      </c>
      <c r="D297" s="63">
        <f>+'Damage Calculations'!$X$53</f>
        <v>3366557.2942765448</v>
      </c>
      <c r="E297" s="63">
        <f>+'Damage Calculations'!$X$66</f>
        <v>3345214.8308026488</v>
      </c>
      <c r="F297" s="64">
        <f>+'Damage Calculations'!$X$79</f>
        <v>3287500</v>
      </c>
    </row>
    <row r="298" spans="1:6">
      <c r="A298" s="59"/>
      <c r="B298" s="62">
        <v>41820</v>
      </c>
      <c r="C298" s="63">
        <f>+'Damage Calculations'!$X$39</f>
        <v>3287500</v>
      </c>
      <c r="D298" s="63">
        <f>+'Damage Calculations'!$X$53</f>
        <v>3366557.2942765448</v>
      </c>
      <c r="E298" s="63">
        <f>+'Damage Calculations'!$X$66</f>
        <v>3345214.8308026488</v>
      </c>
      <c r="F298" s="64">
        <f>+'Damage Calculations'!$X$79</f>
        <v>3287500</v>
      </c>
    </row>
    <row r="299" spans="1:6">
      <c r="A299" s="59"/>
      <c r="B299" s="62">
        <v>41851</v>
      </c>
      <c r="C299" s="63">
        <f>+'Damage Calculations'!$X$39</f>
        <v>3287500</v>
      </c>
      <c r="D299" s="63">
        <f>+'Damage Calculations'!$X$53</f>
        <v>3366557.2942765448</v>
      </c>
      <c r="E299" s="63">
        <f>+'Damage Calculations'!$X$66</f>
        <v>3345214.8308026488</v>
      </c>
      <c r="F299" s="64">
        <f>+'Damage Calculations'!$X$79</f>
        <v>3287500</v>
      </c>
    </row>
    <row r="300" spans="1:6">
      <c r="A300" s="59"/>
      <c r="B300" s="62">
        <v>41882</v>
      </c>
      <c r="C300" s="63">
        <f>+'Damage Calculations'!$X$39</f>
        <v>3287500</v>
      </c>
      <c r="D300" s="63">
        <f>+'Damage Calculations'!$X$53</f>
        <v>3366557.2942765448</v>
      </c>
      <c r="E300" s="63">
        <f>+'Damage Calculations'!$X$66</f>
        <v>3345214.8308026488</v>
      </c>
      <c r="F300" s="64">
        <f>+'Damage Calculations'!$X$79</f>
        <v>3287500</v>
      </c>
    </row>
    <row r="301" spans="1:6">
      <c r="A301" s="59"/>
      <c r="B301" s="62">
        <v>41912</v>
      </c>
      <c r="C301" s="63">
        <f>+'Damage Calculations'!$X$39</f>
        <v>3287500</v>
      </c>
      <c r="D301" s="63">
        <f>+'Damage Calculations'!$X$53</f>
        <v>3366557.2942765448</v>
      </c>
      <c r="E301" s="63">
        <f>+'Damage Calculations'!$X$66</f>
        <v>3345214.8308026488</v>
      </c>
      <c r="F301" s="64">
        <f>+'Damage Calculations'!$X$79</f>
        <v>3287500</v>
      </c>
    </row>
    <row r="302" spans="1:6">
      <c r="A302" s="59"/>
      <c r="B302" s="62">
        <v>41943</v>
      </c>
      <c r="C302" s="63">
        <f>+'Damage Calculations'!$X$39</f>
        <v>3287500</v>
      </c>
      <c r="D302" s="63">
        <f>+'Damage Calculations'!$X$53</f>
        <v>3366557.2942765448</v>
      </c>
      <c r="E302" s="63">
        <f>+'Damage Calculations'!$X$66</f>
        <v>3345214.8308026488</v>
      </c>
      <c r="F302" s="64">
        <f>+'Damage Calculations'!$X$79</f>
        <v>3287500</v>
      </c>
    </row>
    <row r="303" spans="1:6">
      <c r="A303" s="59"/>
      <c r="B303" s="62">
        <v>41973</v>
      </c>
      <c r="C303" s="63">
        <f>+'Damage Calculations'!$X$39</f>
        <v>3287500</v>
      </c>
      <c r="D303" s="63">
        <f>+'Damage Calculations'!$X$53</f>
        <v>3366557.2942765448</v>
      </c>
      <c r="E303" s="63">
        <f>+'Damage Calculations'!$X$66</f>
        <v>3345214.8308026488</v>
      </c>
      <c r="F303" s="64">
        <f>+'Damage Calculations'!$X$79</f>
        <v>3287500</v>
      </c>
    </row>
    <row r="304" spans="1:6">
      <c r="A304" s="59"/>
      <c r="B304" s="62">
        <v>42004</v>
      </c>
      <c r="C304" s="63">
        <f>+'Damage Calculations'!$X$39</f>
        <v>3287500</v>
      </c>
      <c r="D304" s="63">
        <f>+'Damage Calculations'!$X$53</f>
        <v>3366557.2942765448</v>
      </c>
      <c r="E304" s="63">
        <f>+'Damage Calculations'!$X$66</f>
        <v>3345214.8308026488</v>
      </c>
      <c r="F304" s="64">
        <f>+'Damage Calculations'!$X$79</f>
        <v>3287500</v>
      </c>
    </row>
    <row r="305" spans="1:6">
      <c r="A305" s="59"/>
      <c r="B305" s="62">
        <v>42035</v>
      </c>
      <c r="C305" s="63">
        <f>+'Damage Calculations'!$Y$39</f>
        <v>4547270</v>
      </c>
      <c r="D305" s="63">
        <f>+'Damage Calculations'!$Y$53</f>
        <v>4598416.4128016829</v>
      </c>
      <c r="E305" s="63">
        <f>+'Damage Calculations'!$Y$66</f>
        <v>4584608.8260757523</v>
      </c>
      <c r="F305" s="64">
        <f>+'Damage Calculations'!$Y$79</f>
        <v>4547270</v>
      </c>
    </row>
    <row r="306" spans="1:6">
      <c r="A306" s="59"/>
      <c r="B306" s="62">
        <v>42063</v>
      </c>
      <c r="C306" s="63">
        <f>+'Damage Calculations'!$Y$39</f>
        <v>4547270</v>
      </c>
      <c r="D306" s="63">
        <f>+'Damage Calculations'!$Y$53</f>
        <v>4598416.4128016829</v>
      </c>
      <c r="E306" s="63">
        <f>+'Damage Calculations'!$Y$66</f>
        <v>4584608.8260757523</v>
      </c>
      <c r="F306" s="64">
        <f>+'Damage Calculations'!$Y$79</f>
        <v>4547270</v>
      </c>
    </row>
    <row r="307" spans="1:6">
      <c r="A307" s="59"/>
      <c r="B307" s="62">
        <v>42094</v>
      </c>
      <c r="C307" s="63">
        <f>+'Damage Calculations'!$Y$39</f>
        <v>4547270</v>
      </c>
      <c r="D307" s="63">
        <f>+'Damage Calculations'!$Y$53</f>
        <v>4598416.4128016829</v>
      </c>
      <c r="E307" s="63">
        <f>+'Damage Calculations'!$Y$66</f>
        <v>4584608.8260757523</v>
      </c>
      <c r="F307" s="64">
        <f>+'Damage Calculations'!$Y$79</f>
        <v>4547270</v>
      </c>
    </row>
    <row r="308" spans="1:6">
      <c r="A308" s="59"/>
      <c r="B308" s="62">
        <v>42124</v>
      </c>
      <c r="C308" s="63">
        <f>+'Damage Calculations'!$Y$39</f>
        <v>4547270</v>
      </c>
      <c r="D308" s="63">
        <f>+'Damage Calculations'!$Y$53</f>
        <v>4598416.4128016829</v>
      </c>
      <c r="E308" s="63">
        <f>+'Damage Calculations'!$Y$66</f>
        <v>4584608.8260757523</v>
      </c>
      <c r="F308" s="64">
        <f>+'Damage Calculations'!$Y$79</f>
        <v>4547270</v>
      </c>
    </row>
    <row r="309" spans="1:6">
      <c r="A309" s="59"/>
      <c r="B309" s="62">
        <v>42155</v>
      </c>
      <c r="C309" s="63">
        <f>+'Damage Calculations'!$Y$39</f>
        <v>4547270</v>
      </c>
      <c r="D309" s="63">
        <f>+'Damage Calculations'!$Y$53</f>
        <v>4598416.4128016829</v>
      </c>
      <c r="E309" s="63">
        <f>+'Damage Calculations'!$Y$66</f>
        <v>4584608.8260757523</v>
      </c>
      <c r="F309" s="64">
        <f>+'Damage Calculations'!$Y$79</f>
        <v>4547270</v>
      </c>
    </row>
    <row r="310" spans="1:6">
      <c r="A310" s="59"/>
      <c r="B310" s="62">
        <v>42185</v>
      </c>
      <c r="C310" s="63">
        <f>+'Damage Calculations'!$Y$39</f>
        <v>4547270</v>
      </c>
      <c r="D310" s="63">
        <f>+'Damage Calculations'!$Y$53</f>
        <v>4598416.4128016829</v>
      </c>
      <c r="E310" s="63">
        <f>+'Damage Calculations'!$Y$66</f>
        <v>4584608.8260757523</v>
      </c>
      <c r="F310" s="64">
        <f>+'Damage Calculations'!$Y$79</f>
        <v>4547270</v>
      </c>
    </row>
    <row r="311" spans="1:6">
      <c r="A311" s="59"/>
      <c r="B311" s="62">
        <v>42216</v>
      </c>
      <c r="C311" s="63">
        <f>+'Damage Calculations'!$Y$39</f>
        <v>4547270</v>
      </c>
      <c r="D311" s="63">
        <f>+'Damage Calculations'!$Y$53</f>
        <v>4598416.4128016829</v>
      </c>
      <c r="E311" s="63">
        <f>+'Damage Calculations'!$Y$66</f>
        <v>4584608.8260757523</v>
      </c>
      <c r="F311" s="64">
        <f>+'Damage Calculations'!$Y$79</f>
        <v>4547270</v>
      </c>
    </row>
    <row r="312" spans="1:6">
      <c r="A312" s="59"/>
      <c r="B312" s="62">
        <v>42247</v>
      </c>
      <c r="C312" s="63">
        <f>+'Damage Calculations'!$Y$39</f>
        <v>4547270</v>
      </c>
      <c r="D312" s="63">
        <f>+'Damage Calculations'!$Y$53</f>
        <v>4598416.4128016829</v>
      </c>
      <c r="E312" s="63">
        <f>+'Damage Calculations'!$Y$66</f>
        <v>4584608.8260757523</v>
      </c>
      <c r="F312" s="64">
        <f>+'Damage Calculations'!$Y$79</f>
        <v>4547270</v>
      </c>
    </row>
    <row r="313" spans="1:6">
      <c r="A313" s="59"/>
      <c r="B313" s="62">
        <v>42277</v>
      </c>
      <c r="C313" s="63">
        <f>+'Damage Calculations'!$Y$39</f>
        <v>4547270</v>
      </c>
      <c r="D313" s="63">
        <f>+'Damage Calculations'!$Y$53</f>
        <v>4598416.4128016829</v>
      </c>
      <c r="E313" s="63">
        <f>+'Damage Calculations'!$Y$66</f>
        <v>4584608.8260757523</v>
      </c>
      <c r="F313" s="64">
        <f>+'Damage Calculations'!$Y$79</f>
        <v>4547270</v>
      </c>
    </row>
    <row r="314" spans="1:6">
      <c r="A314" s="59"/>
      <c r="B314" s="62">
        <v>42308</v>
      </c>
      <c r="C314" s="63">
        <f>+'Damage Calculations'!$Y$39</f>
        <v>4547270</v>
      </c>
      <c r="D314" s="63">
        <f>+'Damage Calculations'!$Y$53</f>
        <v>4598416.4128016829</v>
      </c>
      <c r="E314" s="63">
        <f>+'Damage Calculations'!$Y$66</f>
        <v>4584608.8260757523</v>
      </c>
      <c r="F314" s="64">
        <f>+'Damage Calculations'!$Y$79</f>
        <v>4547270</v>
      </c>
    </row>
    <row r="315" spans="1:6">
      <c r="A315" s="59"/>
      <c r="B315" s="62">
        <v>42338</v>
      </c>
      <c r="C315" s="63">
        <f>+'Damage Calculations'!$Y$39</f>
        <v>4547270</v>
      </c>
      <c r="D315" s="63">
        <f>+'Damage Calculations'!$Y$53</f>
        <v>4598416.4128016829</v>
      </c>
      <c r="E315" s="63">
        <f>+'Damage Calculations'!$Y$66</f>
        <v>4584608.8260757523</v>
      </c>
      <c r="F315" s="64">
        <f>+'Damage Calculations'!$Y$79</f>
        <v>4547270</v>
      </c>
    </row>
    <row r="316" spans="1:6">
      <c r="A316" s="59"/>
      <c r="B316" s="62">
        <v>42369</v>
      </c>
      <c r="C316" s="63">
        <f>+'Damage Calculations'!$Y$39</f>
        <v>4547270</v>
      </c>
      <c r="D316" s="63">
        <f>+'Damage Calculations'!$Y$53</f>
        <v>4598416.4128016829</v>
      </c>
      <c r="E316" s="63">
        <f>+'Damage Calculations'!$Y$66</f>
        <v>4584608.8260757523</v>
      </c>
      <c r="F316" s="64">
        <f>+'Damage Calculations'!$Y$79</f>
        <v>4547270</v>
      </c>
    </row>
    <row r="317" spans="1:6">
      <c r="A317" s="59"/>
      <c r="B317" s="62">
        <v>42400</v>
      </c>
      <c r="C317" s="63">
        <f>+'Damage Calculations'!$Z$39</f>
        <v>4520969.9999999991</v>
      </c>
      <c r="D317" s="63">
        <f>+'Damage Calculations'!$Z$53</f>
        <v>4541291.377268835</v>
      </c>
      <c r="E317" s="63">
        <f>+'Damage Calculations'!$Z$66</f>
        <v>4535805.3780821925</v>
      </c>
      <c r="F317" s="64">
        <f>+'Damage Calculations'!$Z$79</f>
        <v>4520969.9999999991</v>
      </c>
    </row>
    <row r="318" spans="1:6">
      <c r="A318" s="59"/>
      <c r="B318" s="62">
        <v>42429</v>
      </c>
      <c r="C318" s="63">
        <f>+'Damage Calculations'!$Z$39</f>
        <v>4520969.9999999991</v>
      </c>
      <c r="D318" s="63">
        <f>+'Damage Calculations'!$Z$53</f>
        <v>4541291.377268835</v>
      </c>
      <c r="E318" s="63">
        <f>+'Damage Calculations'!$Z$66</f>
        <v>4535805.3780821925</v>
      </c>
      <c r="F318" s="64">
        <f>+'Damage Calculations'!$Z$79</f>
        <v>4520969.9999999991</v>
      </c>
    </row>
    <row r="319" spans="1:6">
      <c r="A319" s="59"/>
      <c r="B319" s="62">
        <v>42460</v>
      </c>
      <c r="C319" s="63">
        <f>+'Damage Calculations'!$Z$39</f>
        <v>4520969.9999999991</v>
      </c>
      <c r="D319" s="63">
        <f>+'Damage Calculations'!$Z$53</f>
        <v>4541291.377268835</v>
      </c>
      <c r="E319" s="63">
        <f>+'Damage Calculations'!$Z$66</f>
        <v>4535805.3780821925</v>
      </c>
      <c r="F319" s="64">
        <f>+'Damage Calculations'!$Z$79</f>
        <v>4520969.9999999991</v>
      </c>
    </row>
    <row r="320" spans="1:6">
      <c r="A320" s="59"/>
      <c r="B320" s="62">
        <v>42490</v>
      </c>
      <c r="C320" s="63">
        <f>+'Damage Calculations'!$Z$39</f>
        <v>4520969.9999999991</v>
      </c>
      <c r="D320" s="63">
        <f>+'Damage Calculations'!$Z$53</f>
        <v>4541291.377268835</v>
      </c>
      <c r="E320" s="63">
        <f>+'Damage Calculations'!$Z$66</f>
        <v>4535805.3780821925</v>
      </c>
      <c r="F320" s="64">
        <f>+'Damage Calculations'!$Z$79</f>
        <v>4520969.9999999991</v>
      </c>
    </row>
    <row r="321" spans="1:6">
      <c r="A321" s="59"/>
      <c r="B321" s="62">
        <v>42521</v>
      </c>
      <c r="C321" s="63">
        <f>+'Damage Calculations'!$Z$39</f>
        <v>4520969.9999999991</v>
      </c>
      <c r="D321" s="63">
        <f>+'Damage Calculations'!$Z$53</f>
        <v>4541291.377268835</v>
      </c>
      <c r="E321" s="63">
        <f>+'Damage Calculations'!$Z$66</f>
        <v>4535805.3780821925</v>
      </c>
      <c r="F321" s="64">
        <f>+'Damage Calculations'!$Z$79</f>
        <v>4520969.9999999991</v>
      </c>
    </row>
    <row r="322" spans="1:6">
      <c r="A322" s="59"/>
      <c r="B322" s="62">
        <v>42551</v>
      </c>
      <c r="C322" s="63">
        <f>+'Damage Calculations'!$Z$39</f>
        <v>4520969.9999999991</v>
      </c>
      <c r="D322" s="63">
        <f>+'Damage Calculations'!$Z$53</f>
        <v>4541291.377268835</v>
      </c>
      <c r="E322" s="63">
        <f>+'Damage Calculations'!$Z$66</f>
        <v>4535805.3780821925</v>
      </c>
      <c r="F322" s="64">
        <f>+'Damage Calculations'!$Z$79</f>
        <v>4520969.9999999991</v>
      </c>
    </row>
    <row r="323" spans="1:6">
      <c r="A323" s="59"/>
      <c r="B323" s="62">
        <v>42582</v>
      </c>
      <c r="C323" s="63">
        <f>+'Damage Calculations'!$Z$39</f>
        <v>4520969.9999999991</v>
      </c>
      <c r="D323" s="63">
        <f>+'Damage Calculations'!$Z$53</f>
        <v>4541291.377268835</v>
      </c>
      <c r="E323" s="63">
        <f>+'Damage Calculations'!$Z$66</f>
        <v>4535805.3780821925</v>
      </c>
      <c r="F323" s="64">
        <f>+'Damage Calculations'!$Z$79</f>
        <v>4520969.9999999991</v>
      </c>
    </row>
    <row r="324" spans="1:6">
      <c r="A324" s="59"/>
      <c r="B324" s="62">
        <v>42613</v>
      </c>
      <c r="C324" s="63">
        <f>+'Damage Calculations'!$Z$39</f>
        <v>4520969.9999999991</v>
      </c>
      <c r="D324" s="63">
        <f>+'Damage Calculations'!$Z$53</f>
        <v>4541291.377268835</v>
      </c>
      <c r="E324" s="63">
        <f>+'Damage Calculations'!$Z$66</f>
        <v>4535805.3780821925</v>
      </c>
      <c r="F324" s="64">
        <f>+'Damage Calculations'!$Z$79</f>
        <v>4520969.9999999991</v>
      </c>
    </row>
    <row r="325" spans="1:6">
      <c r="A325" s="59"/>
      <c r="B325" s="62">
        <v>42643</v>
      </c>
      <c r="C325" s="63">
        <f>+'Damage Calculations'!$Z$39</f>
        <v>4520969.9999999991</v>
      </c>
      <c r="D325" s="63">
        <f>+'Damage Calculations'!$Z$53</f>
        <v>4541291.377268835</v>
      </c>
      <c r="E325" s="63">
        <f>+'Damage Calculations'!$Z$66</f>
        <v>4535805.3780821925</v>
      </c>
      <c r="F325" s="64">
        <f>+'Damage Calculations'!$Z$79</f>
        <v>4520969.9999999991</v>
      </c>
    </row>
    <row r="326" spans="1:6">
      <c r="A326" s="59"/>
      <c r="B326" s="62">
        <v>42674</v>
      </c>
      <c r="C326" s="63">
        <f>+'Damage Calculations'!$Z$39</f>
        <v>4520969.9999999991</v>
      </c>
      <c r="D326" s="63">
        <f>+'Damage Calculations'!$Z$53</f>
        <v>4541291.377268835</v>
      </c>
      <c r="E326" s="63">
        <f>+'Damage Calculations'!$Z$66</f>
        <v>4535805.3780821925</v>
      </c>
      <c r="F326" s="64">
        <f>+'Damage Calculations'!$Z$79</f>
        <v>4520969.9999999991</v>
      </c>
    </row>
    <row r="327" spans="1:6">
      <c r="A327" s="59"/>
      <c r="B327" s="62">
        <v>42704</v>
      </c>
      <c r="C327" s="63">
        <f>+'Damage Calculations'!$Z$39</f>
        <v>4520969.9999999991</v>
      </c>
      <c r="D327" s="63">
        <f>+'Damage Calculations'!$Z$53</f>
        <v>4541291.377268835</v>
      </c>
      <c r="E327" s="63">
        <f>+'Damage Calculations'!$Z$66</f>
        <v>4535805.3780821925</v>
      </c>
      <c r="F327" s="64">
        <f>+'Damage Calculations'!$Z$79</f>
        <v>4520969.9999999991</v>
      </c>
    </row>
    <row r="328" spans="1:6">
      <c r="A328" s="59"/>
      <c r="B328" s="62">
        <v>42735</v>
      </c>
      <c r="C328" s="63">
        <f>+'Damage Calculations'!$Z$39</f>
        <v>4520969.9999999991</v>
      </c>
      <c r="D328" s="63">
        <f>+'Damage Calculations'!$Z$53</f>
        <v>4541291.377268835</v>
      </c>
      <c r="E328" s="63">
        <f>+'Damage Calculations'!$Z$66</f>
        <v>4535805.3780821925</v>
      </c>
      <c r="F328" s="64">
        <f>+'Damage Calculations'!$Z$79</f>
        <v>4520969.9999999991</v>
      </c>
    </row>
    <row r="329" spans="1:6">
      <c r="A329" s="59"/>
      <c r="B329" s="62">
        <v>42766</v>
      </c>
      <c r="C329" s="63">
        <f>+'Damage Calculations'!$AA$39</f>
        <v>3324319.9999999995</v>
      </c>
      <c r="D329" s="63">
        <f>+'Damage Calculations'!$AA$53</f>
        <v>3324319.9999999995</v>
      </c>
      <c r="E329" s="63">
        <f>+'Damage Calculations'!$AA$66</f>
        <v>3324319.9999999995</v>
      </c>
      <c r="F329" s="64">
        <f>+'Damage Calculations'!$AA$79</f>
        <v>3324319.9999999995</v>
      </c>
    </row>
    <row r="330" spans="1:6">
      <c r="A330" s="59"/>
      <c r="B330" s="62">
        <v>42794</v>
      </c>
      <c r="C330" s="63">
        <f>+'Damage Calculations'!$AA$39</f>
        <v>3324319.9999999995</v>
      </c>
      <c r="D330" s="63">
        <f>+'Damage Calculations'!$AA$53</f>
        <v>3324319.9999999995</v>
      </c>
      <c r="E330" s="63">
        <f>+'Damage Calculations'!$AA$66</f>
        <v>3324319.9999999995</v>
      </c>
      <c r="F330" s="64">
        <f>+'Damage Calculations'!$AA$79</f>
        <v>3324319.9999999995</v>
      </c>
    </row>
    <row r="331" spans="1:6">
      <c r="A331" s="59"/>
      <c r="B331" s="62">
        <v>42825</v>
      </c>
      <c r="C331" s="63">
        <f>+'Damage Calculations'!$AA$39</f>
        <v>3324319.9999999995</v>
      </c>
      <c r="D331" s="63">
        <f>+'Damage Calculations'!$AA$53</f>
        <v>3324319.9999999995</v>
      </c>
      <c r="E331" s="63">
        <f>+'Damage Calculations'!$AA$66</f>
        <v>3324319.9999999995</v>
      </c>
      <c r="F331" s="64">
        <f>+'Damage Calculations'!$AA$79</f>
        <v>3324319.9999999995</v>
      </c>
    </row>
    <row r="332" spans="1:6">
      <c r="A332" s="59"/>
      <c r="B332" s="62">
        <v>42855</v>
      </c>
      <c r="C332" s="63">
        <f>+'Damage Calculations'!$AA$39</f>
        <v>3324319.9999999995</v>
      </c>
      <c r="D332" s="63">
        <f>+'Damage Calculations'!$AA$53</f>
        <v>3324319.9999999995</v>
      </c>
      <c r="E332" s="63">
        <f>+'Damage Calculations'!$AA$66</f>
        <v>3324319.9999999995</v>
      </c>
      <c r="F332" s="64">
        <f>+'Damage Calculations'!$AA$79</f>
        <v>3324319.9999999995</v>
      </c>
    </row>
    <row r="333" spans="1:6">
      <c r="A333" s="59"/>
      <c r="B333" s="62">
        <v>42886</v>
      </c>
      <c r="C333" s="63">
        <f>+'Damage Calculations'!$AA$39</f>
        <v>3324319.9999999995</v>
      </c>
      <c r="D333" s="63">
        <f>+'Damage Calculations'!$AA$53</f>
        <v>3324319.9999999995</v>
      </c>
      <c r="E333" s="63">
        <f>+'Damage Calculations'!$AA$66</f>
        <v>3324319.9999999995</v>
      </c>
      <c r="F333" s="64">
        <f>+'Damage Calculations'!$AA$79</f>
        <v>3324319.9999999995</v>
      </c>
    </row>
    <row r="334" spans="1:6">
      <c r="A334" s="59"/>
      <c r="B334" s="62">
        <v>42916</v>
      </c>
      <c r="C334" s="63">
        <f>+'Damage Calculations'!$AA$39</f>
        <v>3324319.9999999995</v>
      </c>
      <c r="D334" s="63">
        <f>+'Damage Calculations'!$AA$53</f>
        <v>3324319.9999999995</v>
      </c>
      <c r="E334" s="63">
        <f>+'Damage Calculations'!$AA$66</f>
        <v>3324319.9999999995</v>
      </c>
      <c r="F334" s="64">
        <f>+'Damage Calculations'!$AA$79</f>
        <v>3324319.9999999995</v>
      </c>
    </row>
    <row r="335" spans="1:6">
      <c r="A335" s="59"/>
      <c r="B335" s="62">
        <v>42947</v>
      </c>
      <c r="C335" s="63">
        <f>+'Damage Calculations'!$AA$39</f>
        <v>3324319.9999999995</v>
      </c>
      <c r="D335" s="63">
        <f>+'Damage Calculations'!$AA$53</f>
        <v>3324319.9999999995</v>
      </c>
      <c r="E335" s="63">
        <f>+'Damage Calculations'!$AA$66</f>
        <v>3324319.9999999995</v>
      </c>
      <c r="F335" s="64">
        <f>+'Damage Calculations'!$AA$79</f>
        <v>3324319.9999999995</v>
      </c>
    </row>
    <row r="336" spans="1:6">
      <c r="A336" s="59"/>
      <c r="B336" s="62">
        <v>42978</v>
      </c>
      <c r="C336" s="63">
        <f>+'Damage Calculations'!$AA$39</f>
        <v>3324319.9999999995</v>
      </c>
      <c r="D336" s="63">
        <f>+'Damage Calculations'!$AA$53</f>
        <v>3324319.9999999995</v>
      </c>
      <c r="E336" s="63">
        <f>+'Damage Calculations'!$AA$66</f>
        <v>3324319.9999999995</v>
      </c>
      <c r="F336" s="64">
        <f>+'Damage Calculations'!$AA$79</f>
        <v>3324319.9999999995</v>
      </c>
    </row>
    <row r="337" spans="1:6">
      <c r="A337" s="59"/>
      <c r="B337" s="62">
        <v>43008</v>
      </c>
      <c r="C337" s="63">
        <f>+'Damage Calculations'!$AA$39</f>
        <v>3324319.9999999995</v>
      </c>
      <c r="D337" s="63">
        <f>+'Damage Calculations'!$AA$53</f>
        <v>3324319.9999999995</v>
      </c>
      <c r="E337" s="63">
        <f>+'Damage Calculations'!$AA$66</f>
        <v>3324319.9999999995</v>
      </c>
      <c r="F337" s="64">
        <f>+'Damage Calculations'!$AA$79</f>
        <v>3324319.9999999995</v>
      </c>
    </row>
    <row r="338" spans="1:6">
      <c r="A338" s="59"/>
      <c r="B338" s="62">
        <v>43039</v>
      </c>
      <c r="C338" s="63">
        <f>+'Damage Calculations'!$AA$39</f>
        <v>3324319.9999999995</v>
      </c>
      <c r="D338" s="63">
        <f>+'Damage Calculations'!$AA$53</f>
        <v>3324319.9999999995</v>
      </c>
      <c r="E338" s="63">
        <f>+'Damage Calculations'!$AA$66</f>
        <v>3324319.9999999995</v>
      </c>
      <c r="F338" s="64">
        <f>+'Damage Calculations'!$AA$79</f>
        <v>3324319.9999999995</v>
      </c>
    </row>
    <row r="339" spans="1:6">
      <c r="A339" s="59"/>
      <c r="B339" s="62">
        <v>43069</v>
      </c>
      <c r="C339" s="63">
        <f>+'Damage Calculations'!$AA$39</f>
        <v>3324319.9999999995</v>
      </c>
      <c r="D339" s="63">
        <f>+'Damage Calculations'!$AA$53</f>
        <v>3324319.9999999995</v>
      </c>
      <c r="E339" s="63">
        <f>+'Damage Calculations'!$AA$66</f>
        <v>3324319.9999999995</v>
      </c>
      <c r="F339" s="64">
        <f>+'Damage Calculations'!$AA$79</f>
        <v>3324319.9999999995</v>
      </c>
    </row>
    <row r="340" spans="1:6">
      <c r="A340" s="59"/>
      <c r="B340" s="62">
        <v>43100</v>
      </c>
      <c r="C340" s="63">
        <f>+'Damage Calculations'!$AA$39</f>
        <v>3324319.9999999995</v>
      </c>
      <c r="D340" s="63">
        <f>+'Damage Calculations'!$AA$53</f>
        <v>3324319.9999999995</v>
      </c>
      <c r="E340" s="63">
        <f>+'Damage Calculations'!$AA$66</f>
        <v>3324319.9999999995</v>
      </c>
      <c r="F340" s="64">
        <f>+'Damage Calculations'!$AA$79</f>
        <v>3324319.9999999995</v>
      </c>
    </row>
    <row r="341" spans="1:6">
      <c r="A341" s="59"/>
      <c r="B341" s="62">
        <v>43131</v>
      </c>
      <c r="C341" s="63">
        <f>+'Damage Calculations'!$AB$39</f>
        <v>4755039.9999999991</v>
      </c>
      <c r="D341" s="63">
        <f>+'Damage Calculations'!$AB$53</f>
        <v>4755039.9999999991</v>
      </c>
      <c r="E341" s="63">
        <f>+'Damage Calculations'!$AB$66</f>
        <v>4755039.9999999991</v>
      </c>
      <c r="F341" s="64">
        <f>+'Damage Calculations'!$AB$79</f>
        <v>4755039.9999999991</v>
      </c>
    </row>
    <row r="342" spans="1:6">
      <c r="A342" s="59"/>
      <c r="B342" s="62">
        <v>43159</v>
      </c>
      <c r="C342" s="63">
        <f>+'Damage Calculations'!$AB$39</f>
        <v>4755039.9999999991</v>
      </c>
      <c r="D342" s="63">
        <f>+'Damage Calculations'!$AB$53</f>
        <v>4755039.9999999991</v>
      </c>
      <c r="E342" s="63">
        <f>+'Damage Calculations'!$AB$66</f>
        <v>4755039.9999999991</v>
      </c>
      <c r="F342" s="64">
        <f>+'Damage Calculations'!$AB$79</f>
        <v>4755039.9999999991</v>
      </c>
    </row>
    <row r="343" spans="1:6">
      <c r="A343" s="59"/>
      <c r="B343" s="62">
        <v>43190</v>
      </c>
      <c r="C343" s="63">
        <f>+'Damage Calculations'!$AB$39</f>
        <v>4755039.9999999991</v>
      </c>
      <c r="D343" s="63">
        <f>+'Damage Calculations'!$AB$53</f>
        <v>4755039.9999999991</v>
      </c>
      <c r="E343" s="63">
        <f>+'Damage Calculations'!$AB$66</f>
        <v>4755039.9999999991</v>
      </c>
      <c r="F343" s="64">
        <f>+'Damage Calculations'!$AB$79</f>
        <v>4755039.9999999991</v>
      </c>
    </row>
    <row r="344" spans="1:6">
      <c r="A344" s="59"/>
      <c r="B344" s="62">
        <v>43220</v>
      </c>
      <c r="C344" s="63">
        <f>+'Damage Calculations'!$AB$39</f>
        <v>4755039.9999999991</v>
      </c>
      <c r="D344" s="63">
        <f>+'Damage Calculations'!$AB$53</f>
        <v>4755039.9999999991</v>
      </c>
      <c r="E344" s="63">
        <f>+'Damage Calculations'!$AB$66</f>
        <v>4755039.9999999991</v>
      </c>
      <c r="F344" s="64">
        <f>+'Damage Calculations'!$AB$79</f>
        <v>4755039.9999999991</v>
      </c>
    </row>
    <row r="345" spans="1:6">
      <c r="A345" s="59"/>
      <c r="B345" s="62">
        <v>43251</v>
      </c>
      <c r="C345" s="63">
        <f>+'Damage Calculations'!$AB$39</f>
        <v>4755039.9999999991</v>
      </c>
      <c r="D345" s="63">
        <f>+'Damage Calculations'!$AB$53</f>
        <v>4755039.9999999991</v>
      </c>
      <c r="E345" s="63">
        <f>+'Damage Calculations'!$AB$66</f>
        <v>4755039.9999999991</v>
      </c>
      <c r="F345" s="64">
        <f>+'Damage Calculations'!$AB$79</f>
        <v>4755039.9999999991</v>
      </c>
    </row>
    <row r="346" spans="1:6">
      <c r="A346" s="59"/>
      <c r="B346" s="62">
        <v>43281</v>
      </c>
      <c r="C346" s="63">
        <f>+'Damage Calculations'!$AB$39</f>
        <v>4755039.9999999991</v>
      </c>
      <c r="D346" s="63">
        <f>+'Damage Calculations'!$AB$53</f>
        <v>4755039.9999999991</v>
      </c>
      <c r="E346" s="63">
        <f>+'Damage Calculations'!$AB$66</f>
        <v>4755039.9999999991</v>
      </c>
      <c r="F346" s="64">
        <f>+'Damage Calculations'!$AB$79</f>
        <v>4755039.9999999991</v>
      </c>
    </row>
    <row r="347" spans="1:6">
      <c r="A347" s="59"/>
      <c r="B347" s="62">
        <v>43312</v>
      </c>
      <c r="C347" s="63">
        <f>+'Damage Calculations'!$AB$39</f>
        <v>4755039.9999999991</v>
      </c>
      <c r="D347" s="63">
        <f>+'Damage Calculations'!$AB$53</f>
        <v>4755039.9999999991</v>
      </c>
      <c r="E347" s="63">
        <f>+'Damage Calculations'!$AB$66</f>
        <v>4755039.9999999991</v>
      </c>
      <c r="F347" s="64">
        <f>+'Damage Calculations'!$AB$79</f>
        <v>4755039.9999999991</v>
      </c>
    </row>
    <row r="348" spans="1:6">
      <c r="A348" s="59"/>
      <c r="B348" s="62">
        <v>43343</v>
      </c>
      <c r="C348" s="63">
        <f>+'Damage Calculations'!$AB$39</f>
        <v>4755039.9999999991</v>
      </c>
      <c r="D348" s="63">
        <f>+'Damage Calculations'!$AB$53</f>
        <v>4755039.9999999991</v>
      </c>
      <c r="E348" s="63">
        <f>+'Damage Calculations'!$AB$66</f>
        <v>4755039.9999999991</v>
      </c>
      <c r="F348" s="64">
        <f>+'Damage Calculations'!$AB$79</f>
        <v>4755039.9999999991</v>
      </c>
    </row>
    <row r="349" spans="1:6">
      <c r="A349" s="59"/>
      <c r="B349" s="62">
        <v>43373</v>
      </c>
      <c r="C349" s="63">
        <f>+'Damage Calculations'!$AB$39</f>
        <v>4755039.9999999991</v>
      </c>
      <c r="D349" s="63">
        <f>+'Damage Calculations'!$AB$53</f>
        <v>4755039.9999999991</v>
      </c>
      <c r="E349" s="63">
        <f>+'Damage Calculations'!$AB$66</f>
        <v>4755039.9999999991</v>
      </c>
      <c r="F349" s="64">
        <f>+'Damage Calculations'!$AB$79</f>
        <v>4755039.9999999991</v>
      </c>
    </row>
    <row r="350" spans="1:6">
      <c r="A350" s="59"/>
      <c r="B350" s="62">
        <v>43404</v>
      </c>
      <c r="C350" s="63">
        <f>+'Damage Calculations'!$AB$39</f>
        <v>4755039.9999999991</v>
      </c>
      <c r="D350" s="63">
        <f>+'Damage Calculations'!$AB$53</f>
        <v>4755039.9999999991</v>
      </c>
      <c r="E350" s="63">
        <f>+'Damage Calculations'!$AB$66</f>
        <v>4755039.9999999991</v>
      </c>
      <c r="F350" s="64">
        <f>+'Damage Calculations'!$AB$79</f>
        <v>4755039.9999999991</v>
      </c>
    </row>
    <row r="351" spans="1:6">
      <c r="A351" s="59"/>
      <c r="B351" s="62">
        <v>43434</v>
      </c>
      <c r="C351" s="63">
        <f>+'Damage Calculations'!$AB$39</f>
        <v>4755039.9999999991</v>
      </c>
      <c r="D351" s="63">
        <f>+'Damage Calculations'!$AB$53</f>
        <v>4755039.9999999991</v>
      </c>
      <c r="E351" s="63">
        <f>+'Damage Calculations'!$AB$66</f>
        <v>4755039.9999999991</v>
      </c>
      <c r="F351" s="64">
        <f>+'Damage Calculations'!$AB$79</f>
        <v>4755039.9999999991</v>
      </c>
    </row>
    <row r="352" spans="1:6">
      <c r="A352" s="59"/>
      <c r="B352" s="62">
        <v>43465</v>
      </c>
      <c r="C352" s="63">
        <f>+'Damage Calculations'!$AB$39</f>
        <v>4755039.9999999991</v>
      </c>
      <c r="D352" s="63">
        <f>+'Damage Calculations'!$AB$53</f>
        <v>4755039.9999999991</v>
      </c>
      <c r="E352" s="63">
        <f>+'Damage Calculations'!$AB$66</f>
        <v>4755039.9999999991</v>
      </c>
      <c r="F352" s="64">
        <f>+'Damage Calculations'!$AB$79</f>
        <v>4755039.9999999991</v>
      </c>
    </row>
    <row r="353" spans="1:6">
      <c r="A353" s="59"/>
      <c r="B353" s="62">
        <v>43496</v>
      </c>
      <c r="C353" s="63">
        <f>+'Damage Calculations'!$AC$39</f>
        <v>3997600</v>
      </c>
      <c r="D353" s="63">
        <f>+'Damage Calculations'!$AC$53</f>
        <v>3997600</v>
      </c>
      <c r="E353" s="63">
        <f>+'Damage Calculations'!$AC$66</f>
        <v>3997600</v>
      </c>
      <c r="F353" s="64">
        <f>+'Damage Calculations'!$AC$79</f>
        <v>3997600</v>
      </c>
    </row>
    <row r="354" spans="1:6">
      <c r="A354" s="59"/>
      <c r="B354" s="62">
        <v>43524</v>
      </c>
      <c r="C354" s="63">
        <f>+'Damage Calculations'!$AC$39</f>
        <v>3997600</v>
      </c>
      <c r="D354" s="63">
        <f>+'Damage Calculations'!$AC$53</f>
        <v>3997600</v>
      </c>
      <c r="E354" s="63">
        <f>+'Damage Calculations'!$AC$66</f>
        <v>3997600</v>
      </c>
      <c r="F354" s="64">
        <f>+'Damage Calculations'!$AC$79</f>
        <v>3997600</v>
      </c>
    </row>
    <row r="355" spans="1:6">
      <c r="A355" s="59"/>
      <c r="B355" s="62">
        <v>43555</v>
      </c>
      <c r="C355" s="63">
        <f>+'Damage Calculations'!$AC$39</f>
        <v>3997600</v>
      </c>
      <c r="D355" s="63">
        <f>+'Damage Calculations'!$AC$53</f>
        <v>3997600</v>
      </c>
      <c r="E355" s="63">
        <f>+'Damage Calculations'!$AC$66</f>
        <v>3997600</v>
      </c>
      <c r="F355" s="64">
        <f>+'Damage Calculations'!$AC$79</f>
        <v>3997600</v>
      </c>
    </row>
    <row r="356" spans="1:6">
      <c r="A356" s="59"/>
      <c r="B356" s="62">
        <v>43585</v>
      </c>
      <c r="C356" s="63">
        <f>+'Damage Calculations'!$AC$39</f>
        <v>3997600</v>
      </c>
      <c r="D356" s="63">
        <f>+'Damage Calculations'!$AC$53</f>
        <v>3997600</v>
      </c>
      <c r="E356" s="63">
        <f>+'Damage Calculations'!$AC$66</f>
        <v>3997600</v>
      </c>
      <c r="F356" s="64">
        <f>+'Damage Calculations'!$AC$79</f>
        <v>3997600</v>
      </c>
    </row>
    <row r="357" spans="1:6">
      <c r="A357" s="59"/>
      <c r="B357" s="62">
        <v>43616</v>
      </c>
      <c r="C357" s="63">
        <f>+'Damage Calculations'!$AC$39</f>
        <v>3997600</v>
      </c>
      <c r="D357" s="63">
        <f>+'Damage Calculations'!$AC$53</f>
        <v>3997600</v>
      </c>
      <c r="E357" s="63">
        <f>+'Damage Calculations'!$AC$66</f>
        <v>3997600</v>
      </c>
      <c r="F357" s="64">
        <f>+'Damage Calculations'!$AC$79</f>
        <v>3997600</v>
      </c>
    </row>
    <row r="358" spans="1:6">
      <c r="A358" s="59"/>
      <c r="B358" s="62">
        <v>43646</v>
      </c>
      <c r="C358" s="63">
        <f>+'Damage Calculations'!$AC$39</f>
        <v>3997600</v>
      </c>
      <c r="D358" s="63">
        <f>+'Damage Calculations'!$AC$53</f>
        <v>3997600</v>
      </c>
      <c r="E358" s="63">
        <f>+'Damage Calculations'!$AC$66</f>
        <v>3997600</v>
      </c>
      <c r="F358" s="64">
        <f>+'Damage Calculations'!$AC$79</f>
        <v>3997600</v>
      </c>
    </row>
    <row r="359" spans="1:6">
      <c r="A359" s="59"/>
      <c r="B359" s="62">
        <v>43677</v>
      </c>
      <c r="C359" s="63">
        <f>+'Damage Calculations'!$AC$39</f>
        <v>3997600</v>
      </c>
      <c r="D359" s="63">
        <f>+'Damage Calculations'!$AC$53</f>
        <v>3997600</v>
      </c>
      <c r="E359" s="63">
        <f>+'Damage Calculations'!$AC$66</f>
        <v>3997600</v>
      </c>
      <c r="F359" s="64">
        <f>+'Damage Calculations'!$AC$79</f>
        <v>3997600</v>
      </c>
    </row>
    <row r="360" spans="1:6">
      <c r="A360" s="59"/>
      <c r="B360" s="62">
        <v>43708</v>
      </c>
      <c r="C360" s="63">
        <f>+'Damage Calculations'!$AC$39</f>
        <v>3997600</v>
      </c>
      <c r="D360" s="63">
        <f>+'Damage Calculations'!$AC$53</f>
        <v>3997600</v>
      </c>
      <c r="E360" s="63">
        <f>+'Damage Calculations'!$AC$66</f>
        <v>3997600</v>
      </c>
      <c r="F360" s="64">
        <f>+'Damage Calculations'!$AC$79</f>
        <v>3997600</v>
      </c>
    </row>
    <row r="361" spans="1:6">
      <c r="A361" s="59"/>
      <c r="B361" s="62">
        <v>43738</v>
      </c>
      <c r="C361" s="63">
        <f>+'Damage Calculations'!$AC$39</f>
        <v>3997600</v>
      </c>
      <c r="D361" s="63">
        <f>+'Damage Calculations'!$AC$53</f>
        <v>3997600</v>
      </c>
      <c r="E361" s="63">
        <f>+'Damage Calculations'!$AC$66</f>
        <v>3997600</v>
      </c>
      <c r="F361" s="64">
        <f>+'Damage Calculations'!$AC$79</f>
        <v>3997600</v>
      </c>
    </row>
    <row r="362" spans="1:6">
      <c r="A362" s="59"/>
      <c r="B362" s="62">
        <v>43769</v>
      </c>
      <c r="C362" s="63">
        <f>+'Damage Calculations'!$AC$39</f>
        <v>3997600</v>
      </c>
      <c r="D362" s="63">
        <f>+'Damage Calculations'!$AC$53</f>
        <v>3997600</v>
      </c>
      <c r="E362" s="63">
        <f>+'Damage Calculations'!$AC$66</f>
        <v>3997600</v>
      </c>
      <c r="F362" s="64">
        <f>+'Damage Calculations'!$AC$79</f>
        <v>3997600</v>
      </c>
    </row>
    <row r="363" spans="1:6">
      <c r="A363" s="59"/>
      <c r="B363" s="62">
        <v>43799</v>
      </c>
      <c r="C363" s="63">
        <f>+'Damage Calculations'!$AC$39</f>
        <v>3997600</v>
      </c>
      <c r="D363" s="63">
        <f>+'Damage Calculations'!$AC$53</f>
        <v>3997600</v>
      </c>
      <c r="E363" s="63">
        <f>+'Damage Calculations'!$AC$66</f>
        <v>3997600</v>
      </c>
      <c r="F363" s="64">
        <f>+'Damage Calculations'!$AC$79</f>
        <v>3997600</v>
      </c>
    </row>
    <row r="364" spans="1:6" ht="13.5" thickBot="1">
      <c r="A364" s="60"/>
      <c r="B364" s="65">
        <v>43830</v>
      </c>
      <c r="C364" s="66">
        <f>+'Damage Calculations'!$AC$39</f>
        <v>3997600</v>
      </c>
      <c r="D364" s="66">
        <f>+'Damage Calculations'!$AC$53</f>
        <v>3997600</v>
      </c>
      <c r="E364" s="66">
        <f>+'Damage Calculations'!$AC$66</f>
        <v>3997600</v>
      </c>
      <c r="F364" s="67">
        <f>+'Damage Calculations'!$AC$79</f>
        <v>3997600</v>
      </c>
    </row>
  </sheetData>
  <mergeCells count="19">
    <mergeCell ref="A15:F15"/>
    <mergeCell ref="A23:F23"/>
    <mergeCell ref="A1:AC1"/>
    <mergeCell ref="A2:AC2"/>
    <mergeCell ref="A5:AC5"/>
    <mergeCell ref="A7:F7"/>
    <mergeCell ref="Q7:AC7"/>
    <mergeCell ref="Y11:AC11"/>
    <mergeCell ref="Y15:AC15"/>
    <mergeCell ref="A44:F44"/>
    <mergeCell ref="A57:F57"/>
    <mergeCell ref="A70:F70"/>
    <mergeCell ref="A3:AC3"/>
    <mergeCell ref="A30:F30"/>
    <mergeCell ref="Y23:AC23"/>
    <mergeCell ref="S11:W11"/>
    <mergeCell ref="A19:F19"/>
    <mergeCell ref="Y19:AC19"/>
    <mergeCell ref="A11:F11"/>
  </mergeCells>
  <printOptions horizontalCentered="1"/>
  <pageMargins left="0.25" right="0.25" top="0.25" bottom="0.25" header="0.5" footer="0.5"/>
  <pageSetup paperSize="150" scale="49" orientation="landscape" horizontalDpi="0" r:id="rId1"/>
  <headerFooter alignWithMargins="0">
    <oddFooter>&amp;L&amp;F, &amp;A&amp;R&amp;D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M10" sqref="M10"/>
    </sheetView>
  </sheetViews>
  <sheetFormatPr defaultRowHeight="12.75"/>
  <cols>
    <col min="1" max="1" width="29.5703125" customWidth="1"/>
    <col min="2" max="3" width="11.28515625" customWidth="1"/>
    <col min="4" max="26" width="9.7109375" customWidth="1"/>
  </cols>
  <sheetData>
    <row r="1" spans="1:26" ht="22.5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6.5" customHeight="1">
      <c r="A2" s="248" t="s">
        <v>97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spans="1:26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spans="1:26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72">
        <v>0</v>
      </c>
      <c r="E12" s="72">
        <f t="shared" ref="E12:R15" si="0">+E$11*$C$50/4</f>
        <v>287.5</v>
      </c>
      <c r="F12" s="72">
        <f t="shared" si="0"/>
        <v>402.50000000000006</v>
      </c>
      <c r="G12" s="72">
        <f t="shared" si="0"/>
        <v>517.5</v>
      </c>
      <c r="H12" s="72">
        <f t="shared" si="0"/>
        <v>632.5</v>
      </c>
      <c r="I12" s="72">
        <f t="shared" si="0"/>
        <v>632.5</v>
      </c>
      <c r="J12" s="72">
        <f t="shared" si="0"/>
        <v>747.5</v>
      </c>
      <c r="K12" s="72">
        <f t="shared" si="0"/>
        <v>862.5</v>
      </c>
      <c r="L12" s="72">
        <f t="shared" si="0"/>
        <v>977.50000000000011</v>
      </c>
      <c r="M12" s="72">
        <f t="shared" si="0"/>
        <v>1092.5</v>
      </c>
      <c r="N12" s="72">
        <f t="shared" si="0"/>
        <v>2463.3000000000002</v>
      </c>
      <c r="O12" s="72">
        <f t="shared" si="0"/>
        <v>2881.9</v>
      </c>
      <c r="P12" s="72">
        <f t="shared" si="0"/>
        <v>2684.1</v>
      </c>
      <c r="Q12" s="72">
        <f t="shared" si="0"/>
        <v>3079.7</v>
      </c>
      <c r="R12" s="72">
        <f t="shared" si="0"/>
        <v>3576.5</v>
      </c>
      <c r="S12" s="72">
        <f>+S$11*$C$50/2</f>
        <v>3979.0000000000005</v>
      </c>
      <c r="T12" s="72">
        <f t="shared" ref="T12:Z15" si="1">+T$11*$C$50/4</f>
        <v>0</v>
      </c>
      <c r="U12" s="72">
        <f t="shared" si="1"/>
        <v>0</v>
      </c>
      <c r="V12" s="72">
        <f t="shared" si="1"/>
        <v>0</v>
      </c>
      <c r="W12" s="72">
        <f t="shared" si="1"/>
        <v>0</v>
      </c>
      <c r="X12" s="72">
        <f t="shared" si="1"/>
        <v>0</v>
      </c>
      <c r="Y12" s="72">
        <f t="shared" si="1"/>
        <v>0</v>
      </c>
      <c r="Z12" s="72">
        <f t="shared" si="1"/>
        <v>0</v>
      </c>
    </row>
    <row r="13" spans="1:26">
      <c r="A13" s="162" t="s">
        <v>2</v>
      </c>
      <c r="B13" s="22"/>
      <c r="D13" s="72">
        <v>0</v>
      </c>
      <c r="E13" s="72">
        <f t="shared" si="0"/>
        <v>287.5</v>
      </c>
      <c r="F13" s="72">
        <f t="shared" si="0"/>
        <v>402.50000000000006</v>
      </c>
      <c r="G13" s="72">
        <f t="shared" si="0"/>
        <v>517.5</v>
      </c>
      <c r="H13" s="72">
        <f t="shared" si="0"/>
        <v>632.5</v>
      </c>
      <c r="I13" s="72">
        <f t="shared" si="0"/>
        <v>632.5</v>
      </c>
      <c r="J13" s="72">
        <f t="shared" si="0"/>
        <v>747.5</v>
      </c>
      <c r="K13" s="72">
        <f t="shared" si="0"/>
        <v>862.5</v>
      </c>
      <c r="L13" s="72">
        <f t="shared" si="0"/>
        <v>977.50000000000011</v>
      </c>
      <c r="M13" s="72">
        <f t="shared" si="0"/>
        <v>1092.5</v>
      </c>
      <c r="N13" s="72">
        <f t="shared" si="0"/>
        <v>2463.3000000000002</v>
      </c>
      <c r="O13" s="72">
        <f t="shared" si="0"/>
        <v>2881.9</v>
      </c>
      <c r="P13" s="72">
        <f t="shared" si="0"/>
        <v>2684.1</v>
      </c>
      <c r="Q13" s="72">
        <f t="shared" si="0"/>
        <v>3079.7</v>
      </c>
      <c r="R13" s="72">
        <f t="shared" si="0"/>
        <v>3576.5</v>
      </c>
      <c r="S13" s="72">
        <f>+S$11*$C$50/2</f>
        <v>3979.0000000000005</v>
      </c>
      <c r="T13" s="72">
        <f t="shared" si="1"/>
        <v>0</v>
      </c>
      <c r="U13" s="72">
        <f t="shared" si="1"/>
        <v>0</v>
      </c>
      <c r="V13" s="72">
        <f t="shared" si="1"/>
        <v>0</v>
      </c>
      <c r="W13" s="72">
        <f t="shared" si="1"/>
        <v>0</v>
      </c>
      <c r="X13" s="72">
        <f t="shared" si="1"/>
        <v>0</v>
      </c>
      <c r="Y13" s="72">
        <f t="shared" si="1"/>
        <v>0</v>
      </c>
      <c r="Z13" s="72">
        <f t="shared" si="1"/>
        <v>0</v>
      </c>
    </row>
    <row r="14" spans="1:26">
      <c r="A14" s="162" t="s">
        <v>3</v>
      </c>
      <c r="B14" s="22"/>
      <c r="D14" s="72">
        <f>+D$11*$C$50/2</f>
        <v>345</v>
      </c>
      <c r="E14" s="72">
        <f t="shared" si="0"/>
        <v>287.5</v>
      </c>
      <c r="F14" s="72">
        <f t="shared" si="0"/>
        <v>402.50000000000006</v>
      </c>
      <c r="G14" s="72">
        <f t="shared" si="0"/>
        <v>517.5</v>
      </c>
      <c r="H14" s="72">
        <f t="shared" si="0"/>
        <v>632.5</v>
      </c>
      <c r="I14" s="72">
        <f t="shared" si="0"/>
        <v>632.5</v>
      </c>
      <c r="J14" s="72">
        <f t="shared" si="0"/>
        <v>747.5</v>
      </c>
      <c r="K14" s="72">
        <f t="shared" si="0"/>
        <v>862.5</v>
      </c>
      <c r="L14" s="72">
        <f t="shared" si="0"/>
        <v>977.50000000000011</v>
      </c>
      <c r="M14" s="72">
        <f t="shared" si="0"/>
        <v>1092.5</v>
      </c>
      <c r="N14" s="72">
        <f t="shared" si="0"/>
        <v>2463.3000000000002</v>
      </c>
      <c r="O14" s="72">
        <f t="shared" si="0"/>
        <v>2881.9</v>
      </c>
      <c r="P14" s="72">
        <f t="shared" si="0"/>
        <v>2684.1</v>
      </c>
      <c r="Q14" s="72">
        <f t="shared" si="0"/>
        <v>3079.7</v>
      </c>
      <c r="R14" s="72">
        <f t="shared" si="0"/>
        <v>3576.5</v>
      </c>
      <c r="S14" s="72">
        <v>0</v>
      </c>
      <c r="T14" s="72">
        <f t="shared" si="1"/>
        <v>0</v>
      </c>
      <c r="U14" s="72">
        <f t="shared" si="1"/>
        <v>0</v>
      </c>
      <c r="V14" s="72">
        <f t="shared" si="1"/>
        <v>0</v>
      </c>
      <c r="W14" s="72">
        <f t="shared" si="1"/>
        <v>0</v>
      </c>
      <c r="X14" s="72">
        <f t="shared" si="1"/>
        <v>0</v>
      </c>
      <c r="Y14" s="72">
        <f t="shared" si="1"/>
        <v>0</v>
      </c>
      <c r="Z14" s="72">
        <f t="shared" si="1"/>
        <v>0</v>
      </c>
    </row>
    <row r="15" spans="1:26">
      <c r="A15" s="162" t="s">
        <v>4</v>
      </c>
      <c r="B15" s="22"/>
      <c r="D15" s="72">
        <f>+D$11*$C$50/2</f>
        <v>345</v>
      </c>
      <c r="E15" s="72">
        <f t="shared" si="0"/>
        <v>287.5</v>
      </c>
      <c r="F15" s="72">
        <f t="shared" si="0"/>
        <v>402.50000000000006</v>
      </c>
      <c r="G15" s="72">
        <f t="shared" si="0"/>
        <v>517.5</v>
      </c>
      <c r="H15" s="72">
        <f t="shared" si="0"/>
        <v>632.5</v>
      </c>
      <c r="I15" s="72">
        <f t="shared" si="0"/>
        <v>632.5</v>
      </c>
      <c r="J15" s="72">
        <f t="shared" si="0"/>
        <v>747.5</v>
      </c>
      <c r="K15" s="72">
        <f t="shared" si="0"/>
        <v>862.5</v>
      </c>
      <c r="L15" s="72">
        <f t="shared" si="0"/>
        <v>977.50000000000011</v>
      </c>
      <c r="M15" s="72">
        <f t="shared" si="0"/>
        <v>1092.5</v>
      </c>
      <c r="N15" s="72">
        <f t="shared" si="0"/>
        <v>2463.3000000000002</v>
      </c>
      <c r="O15" s="72">
        <f t="shared" si="0"/>
        <v>2881.9</v>
      </c>
      <c r="P15" s="72">
        <f t="shared" si="0"/>
        <v>2684.1</v>
      </c>
      <c r="Q15" s="72">
        <f t="shared" si="0"/>
        <v>3079.7</v>
      </c>
      <c r="R15" s="72">
        <f t="shared" si="0"/>
        <v>3576.5</v>
      </c>
      <c r="S15" s="72">
        <v>0</v>
      </c>
      <c r="T15" s="72">
        <f t="shared" si="1"/>
        <v>0</v>
      </c>
      <c r="U15" s="72">
        <f t="shared" si="1"/>
        <v>0</v>
      </c>
      <c r="V15" s="72">
        <f t="shared" si="1"/>
        <v>0</v>
      </c>
      <c r="W15" s="72">
        <f t="shared" si="1"/>
        <v>0</v>
      </c>
      <c r="X15" s="72">
        <f t="shared" si="1"/>
        <v>0</v>
      </c>
      <c r="Y15" s="72">
        <f t="shared" si="1"/>
        <v>0</v>
      </c>
      <c r="Z15" s="72">
        <f t="shared" si="1"/>
        <v>0</v>
      </c>
    </row>
    <row r="16" spans="1:26">
      <c r="A16" s="162"/>
      <c r="B16" s="2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>
      <c r="A17" s="162" t="s">
        <v>5</v>
      </c>
      <c r="B17" s="22"/>
      <c r="D17" s="72">
        <f>+C50</f>
        <v>92000</v>
      </c>
      <c r="E17" s="72">
        <f t="shared" ref="E17:Z17" si="2">+D20-D15</f>
        <v>91310</v>
      </c>
      <c r="F17" s="72">
        <f t="shared" si="2"/>
        <v>90160</v>
      </c>
      <c r="G17" s="72">
        <f t="shared" si="2"/>
        <v>88550</v>
      </c>
      <c r="H17" s="72">
        <f t="shared" si="2"/>
        <v>86480</v>
      </c>
      <c r="I17" s="72">
        <f t="shared" si="2"/>
        <v>83950</v>
      </c>
      <c r="J17" s="72">
        <f t="shared" si="2"/>
        <v>81420</v>
      </c>
      <c r="K17" s="72">
        <f t="shared" si="2"/>
        <v>78430</v>
      </c>
      <c r="L17" s="72">
        <f t="shared" si="2"/>
        <v>74980</v>
      </c>
      <c r="M17" s="72">
        <f t="shared" si="2"/>
        <v>71070</v>
      </c>
      <c r="N17" s="72">
        <f t="shared" si="2"/>
        <v>66700</v>
      </c>
      <c r="O17" s="72">
        <f t="shared" si="2"/>
        <v>56846.799999999988</v>
      </c>
      <c r="P17" s="72">
        <f t="shared" si="2"/>
        <v>45319.199999999983</v>
      </c>
      <c r="Q17" s="72">
        <f t="shared" si="2"/>
        <v>34582.799999999988</v>
      </c>
      <c r="R17" s="72">
        <f t="shared" si="2"/>
        <v>22263.999999999985</v>
      </c>
      <c r="S17" s="72">
        <f t="shared" si="2"/>
        <v>7957.9999999999854</v>
      </c>
      <c r="T17" s="72">
        <f t="shared" si="2"/>
        <v>-1.546140993013978E-11</v>
      </c>
      <c r="U17" s="72">
        <f t="shared" si="2"/>
        <v>-1.546140993013978E-11</v>
      </c>
      <c r="V17" s="72">
        <f t="shared" si="2"/>
        <v>-1.546140993013978E-11</v>
      </c>
      <c r="W17" s="72">
        <f t="shared" si="2"/>
        <v>-1.546140993013978E-11</v>
      </c>
      <c r="X17" s="72">
        <f t="shared" si="2"/>
        <v>-1.546140993013978E-11</v>
      </c>
      <c r="Y17" s="72">
        <f t="shared" si="2"/>
        <v>-1.546140993013978E-11</v>
      </c>
      <c r="Z17" s="72">
        <f t="shared" si="2"/>
        <v>-1.546140993013978E-11</v>
      </c>
    </row>
    <row r="18" spans="1:26">
      <c r="A18" s="162" t="s">
        <v>6</v>
      </c>
      <c r="B18" s="22"/>
      <c r="D18" s="72">
        <f t="shared" ref="D18:M20" si="3">+D17-D12</f>
        <v>92000</v>
      </c>
      <c r="E18" s="72">
        <f t="shared" si="3"/>
        <v>91022.5</v>
      </c>
      <c r="F18" s="72">
        <f t="shared" si="3"/>
        <v>89757.5</v>
      </c>
      <c r="G18" s="72">
        <f t="shared" si="3"/>
        <v>88032.5</v>
      </c>
      <c r="H18" s="72">
        <f t="shared" si="3"/>
        <v>85847.5</v>
      </c>
      <c r="I18" s="72">
        <f t="shared" si="3"/>
        <v>83317.5</v>
      </c>
      <c r="J18" s="72">
        <f t="shared" si="3"/>
        <v>80672.5</v>
      </c>
      <c r="K18" s="72">
        <f t="shared" si="3"/>
        <v>77567.5</v>
      </c>
      <c r="L18" s="72">
        <f t="shared" si="3"/>
        <v>74002.5</v>
      </c>
      <c r="M18" s="72">
        <f t="shared" si="3"/>
        <v>69977.5</v>
      </c>
      <c r="N18" s="72">
        <f t="shared" ref="N18:W20" si="4">+N17-N12</f>
        <v>64236.7</v>
      </c>
      <c r="O18" s="72">
        <f t="shared" si="4"/>
        <v>53964.899999999987</v>
      </c>
      <c r="P18" s="72">
        <f t="shared" si="4"/>
        <v>42635.099999999984</v>
      </c>
      <c r="Q18" s="72">
        <f t="shared" si="4"/>
        <v>31503.099999999988</v>
      </c>
      <c r="R18" s="72">
        <f t="shared" si="4"/>
        <v>18687.499999999985</v>
      </c>
      <c r="S18" s="72">
        <f t="shared" si="4"/>
        <v>3978.999999999985</v>
      </c>
      <c r="T18" s="72">
        <f t="shared" si="4"/>
        <v>-1.546140993013978E-11</v>
      </c>
      <c r="U18" s="72">
        <f t="shared" si="4"/>
        <v>-1.546140993013978E-11</v>
      </c>
      <c r="V18" s="72">
        <f t="shared" si="4"/>
        <v>-1.546140993013978E-11</v>
      </c>
      <c r="W18" s="72">
        <f t="shared" si="4"/>
        <v>-1.546140993013978E-11</v>
      </c>
      <c r="X18" s="72">
        <f t="shared" ref="X18:Z20" si="5">+X17-X12</f>
        <v>-1.546140993013978E-11</v>
      </c>
      <c r="Y18" s="72">
        <f t="shared" si="5"/>
        <v>-1.546140993013978E-11</v>
      </c>
      <c r="Z18" s="72">
        <f t="shared" si="5"/>
        <v>-1.546140993013978E-11</v>
      </c>
    </row>
    <row r="19" spans="1:26">
      <c r="A19" s="162" t="s">
        <v>7</v>
      </c>
      <c r="B19" s="22"/>
      <c r="D19" s="72">
        <f>+D18-D13</f>
        <v>92000</v>
      </c>
      <c r="E19" s="72">
        <f t="shared" si="3"/>
        <v>90735</v>
      </c>
      <c r="F19" s="72">
        <f t="shared" si="3"/>
        <v>89355</v>
      </c>
      <c r="G19" s="72">
        <f t="shared" si="3"/>
        <v>87515</v>
      </c>
      <c r="H19" s="72">
        <f t="shared" si="3"/>
        <v>85215</v>
      </c>
      <c r="I19" s="72">
        <f t="shared" si="3"/>
        <v>82685</v>
      </c>
      <c r="J19" s="72">
        <f t="shared" si="3"/>
        <v>79925</v>
      </c>
      <c r="K19" s="72">
        <f t="shared" si="3"/>
        <v>76705</v>
      </c>
      <c r="L19" s="72">
        <f t="shared" si="3"/>
        <v>73025</v>
      </c>
      <c r="M19" s="72">
        <f t="shared" si="3"/>
        <v>68885</v>
      </c>
      <c r="N19" s="72">
        <f t="shared" si="4"/>
        <v>61773.399999999994</v>
      </c>
      <c r="O19" s="72">
        <f t="shared" si="4"/>
        <v>51082.999999999985</v>
      </c>
      <c r="P19" s="72">
        <f t="shared" si="4"/>
        <v>39950.999999999985</v>
      </c>
      <c r="Q19" s="72">
        <f t="shared" si="4"/>
        <v>28423.399999999987</v>
      </c>
      <c r="R19" s="72">
        <f t="shared" si="4"/>
        <v>15110.999999999985</v>
      </c>
      <c r="S19" s="72">
        <f t="shared" si="4"/>
        <v>-1.546140993013978E-11</v>
      </c>
      <c r="T19" s="72">
        <f t="shared" si="4"/>
        <v>-1.546140993013978E-11</v>
      </c>
      <c r="U19" s="72">
        <f t="shared" si="4"/>
        <v>-1.546140993013978E-11</v>
      </c>
      <c r="V19" s="72">
        <f t="shared" si="4"/>
        <v>-1.546140993013978E-11</v>
      </c>
      <c r="W19" s="72">
        <f t="shared" si="4"/>
        <v>-1.546140993013978E-11</v>
      </c>
      <c r="X19" s="72">
        <f t="shared" si="5"/>
        <v>-1.546140993013978E-11</v>
      </c>
      <c r="Y19" s="72">
        <f t="shared" si="5"/>
        <v>-1.546140993013978E-11</v>
      </c>
      <c r="Z19" s="72">
        <f t="shared" si="5"/>
        <v>-1.546140993013978E-11</v>
      </c>
    </row>
    <row r="20" spans="1:26">
      <c r="A20" s="162" t="s">
        <v>8</v>
      </c>
      <c r="B20" s="22"/>
      <c r="D20" s="72">
        <f t="shared" si="3"/>
        <v>91655</v>
      </c>
      <c r="E20" s="72">
        <f t="shared" si="3"/>
        <v>90447.5</v>
      </c>
      <c r="F20" s="72">
        <f t="shared" si="3"/>
        <v>88952.5</v>
      </c>
      <c r="G20" s="72">
        <f t="shared" si="3"/>
        <v>86997.5</v>
      </c>
      <c r="H20" s="72">
        <f t="shared" si="3"/>
        <v>84582.5</v>
      </c>
      <c r="I20" s="72">
        <f t="shared" si="3"/>
        <v>82052.5</v>
      </c>
      <c r="J20" s="72">
        <f t="shared" si="3"/>
        <v>79177.5</v>
      </c>
      <c r="K20" s="72">
        <f t="shared" si="3"/>
        <v>75842.5</v>
      </c>
      <c r="L20" s="72">
        <f t="shared" si="3"/>
        <v>72047.5</v>
      </c>
      <c r="M20" s="72">
        <f t="shared" si="3"/>
        <v>67792.5</v>
      </c>
      <c r="N20" s="72">
        <f t="shared" si="4"/>
        <v>59310.099999999991</v>
      </c>
      <c r="O20" s="72">
        <f t="shared" si="4"/>
        <v>48201.099999999984</v>
      </c>
      <c r="P20" s="72">
        <f t="shared" si="4"/>
        <v>37266.899999999987</v>
      </c>
      <c r="Q20" s="72">
        <f t="shared" si="4"/>
        <v>25343.699999999986</v>
      </c>
      <c r="R20" s="72">
        <f t="shared" si="4"/>
        <v>11534.499999999985</v>
      </c>
      <c r="S20" s="72">
        <f t="shared" si="4"/>
        <v>-1.546140993013978E-11</v>
      </c>
      <c r="T20" s="72">
        <f t="shared" si="4"/>
        <v>-1.546140993013978E-11</v>
      </c>
      <c r="U20" s="72">
        <f t="shared" si="4"/>
        <v>-1.546140993013978E-11</v>
      </c>
      <c r="V20" s="72">
        <f t="shared" si="4"/>
        <v>-1.546140993013978E-11</v>
      </c>
      <c r="W20" s="72">
        <f t="shared" si="4"/>
        <v>-1.546140993013978E-11</v>
      </c>
      <c r="X20" s="72">
        <f t="shared" si="5"/>
        <v>-1.546140993013978E-11</v>
      </c>
      <c r="Y20" s="72">
        <f t="shared" si="5"/>
        <v>-1.546140993013978E-11</v>
      </c>
      <c r="Z20" s="72">
        <f t="shared" si="5"/>
        <v>-1.546140993013978E-11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72">
        <f t="shared" ref="D24:R27" si="6">+D$23*$C$51/4</f>
        <v>0</v>
      </c>
      <c r="E24" s="72">
        <f t="shared" si="6"/>
        <v>0</v>
      </c>
      <c r="F24" s="72">
        <f t="shared" si="6"/>
        <v>0</v>
      </c>
      <c r="G24" s="72">
        <f t="shared" si="6"/>
        <v>0</v>
      </c>
      <c r="H24" s="72">
        <f t="shared" si="6"/>
        <v>0</v>
      </c>
      <c r="I24" s="72">
        <f t="shared" si="6"/>
        <v>0</v>
      </c>
      <c r="J24" s="72">
        <f t="shared" si="6"/>
        <v>0</v>
      </c>
      <c r="K24" s="72">
        <f t="shared" si="6"/>
        <v>0</v>
      </c>
      <c r="L24" s="72">
        <f t="shared" si="6"/>
        <v>0</v>
      </c>
      <c r="M24" s="72">
        <f t="shared" si="6"/>
        <v>0</v>
      </c>
      <c r="N24" s="72">
        <f t="shared" si="6"/>
        <v>0</v>
      </c>
      <c r="O24" s="72">
        <f t="shared" si="6"/>
        <v>0</v>
      </c>
      <c r="P24" s="72">
        <f t="shared" si="6"/>
        <v>0</v>
      </c>
      <c r="Q24" s="72">
        <f t="shared" si="6"/>
        <v>0</v>
      </c>
      <c r="R24" s="72">
        <f t="shared" si="6"/>
        <v>0</v>
      </c>
      <c r="S24" s="72">
        <v>0</v>
      </c>
      <c r="T24" s="72">
        <f t="shared" ref="T24:Z27" si="7">+T$23*$C$51/4</f>
        <v>3150</v>
      </c>
      <c r="U24" s="72">
        <f t="shared" si="7"/>
        <v>3450.0200000000004</v>
      </c>
      <c r="V24" s="72">
        <f t="shared" si="7"/>
        <v>3825.0099999999998</v>
      </c>
      <c r="W24" s="72">
        <f t="shared" si="7"/>
        <v>4200</v>
      </c>
      <c r="X24" s="72">
        <f t="shared" si="7"/>
        <v>0</v>
      </c>
      <c r="Y24" s="72">
        <f t="shared" si="7"/>
        <v>0</v>
      </c>
      <c r="Z24" s="72">
        <f t="shared" si="7"/>
        <v>0</v>
      </c>
    </row>
    <row r="25" spans="1:26">
      <c r="A25" s="162" t="s">
        <v>2</v>
      </c>
      <c r="B25" s="22"/>
      <c r="D25" s="72">
        <f t="shared" si="6"/>
        <v>0</v>
      </c>
      <c r="E25" s="72">
        <f t="shared" si="6"/>
        <v>0</v>
      </c>
      <c r="F25" s="72">
        <f t="shared" si="6"/>
        <v>0</v>
      </c>
      <c r="G25" s="72">
        <f t="shared" si="6"/>
        <v>0</v>
      </c>
      <c r="H25" s="72">
        <f t="shared" si="6"/>
        <v>0</v>
      </c>
      <c r="I25" s="72">
        <f t="shared" si="6"/>
        <v>0</v>
      </c>
      <c r="J25" s="72">
        <f t="shared" si="6"/>
        <v>0</v>
      </c>
      <c r="K25" s="72">
        <f t="shared" si="6"/>
        <v>0</v>
      </c>
      <c r="L25" s="72">
        <f t="shared" si="6"/>
        <v>0</v>
      </c>
      <c r="M25" s="72">
        <f t="shared" si="6"/>
        <v>0</v>
      </c>
      <c r="N25" s="72">
        <f t="shared" si="6"/>
        <v>0</v>
      </c>
      <c r="O25" s="72">
        <f t="shared" si="6"/>
        <v>0</v>
      </c>
      <c r="P25" s="72">
        <f t="shared" si="6"/>
        <v>0</v>
      </c>
      <c r="Q25" s="72">
        <f t="shared" si="6"/>
        <v>0</v>
      </c>
      <c r="R25" s="72">
        <f t="shared" si="6"/>
        <v>0</v>
      </c>
      <c r="S25" s="72">
        <v>0</v>
      </c>
      <c r="T25" s="72">
        <f t="shared" si="7"/>
        <v>3150</v>
      </c>
      <c r="U25" s="72">
        <f t="shared" si="7"/>
        <v>3450.0200000000004</v>
      </c>
      <c r="V25" s="72">
        <f t="shared" si="7"/>
        <v>3825.0099999999998</v>
      </c>
      <c r="W25" s="72">
        <f t="shared" si="7"/>
        <v>4200</v>
      </c>
      <c r="X25" s="72">
        <f t="shared" si="7"/>
        <v>0</v>
      </c>
      <c r="Y25" s="72">
        <f t="shared" si="7"/>
        <v>0</v>
      </c>
      <c r="Z25" s="72">
        <f t="shared" si="7"/>
        <v>0</v>
      </c>
    </row>
    <row r="26" spans="1:26">
      <c r="A26" s="162" t="s">
        <v>3</v>
      </c>
      <c r="B26" s="22"/>
      <c r="D26" s="72">
        <f t="shared" si="6"/>
        <v>0</v>
      </c>
      <c r="E26" s="72">
        <f t="shared" si="6"/>
        <v>0</v>
      </c>
      <c r="F26" s="72">
        <f t="shared" si="6"/>
        <v>0</v>
      </c>
      <c r="G26" s="72">
        <f t="shared" si="6"/>
        <v>0</v>
      </c>
      <c r="H26" s="72">
        <f t="shared" si="6"/>
        <v>0</v>
      </c>
      <c r="I26" s="72">
        <f t="shared" si="6"/>
        <v>0</v>
      </c>
      <c r="J26" s="72">
        <f t="shared" si="6"/>
        <v>0</v>
      </c>
      <c r="K26" s="72">
        <f t="shared" si="6"/>
        <v>0</v>
      </c>
      <c r="L26" s="72">
        <f t="shared" si="6"/>
        <v>0</v>
      </c>
      <c r="M26" s="72">
        <f t="shared" si="6"/>
        <v>0</v>
      </c>
      <c r="N26" s="72">
        <f t="shared" si="6"/>
        <v>0</v>
      </c>
      <c r="O26" s="72">
        <f t="shared" si="6"/>
        <v>0</v>
      </c>
      <c r="P26" s="72">
        <f t="shared" si="6"/>
        <v>0</v>
      </c>
      <c r="Q26" s="72">
        <f t="shared" si="6"/>
        <v>0</v>
      </c>
      <c r="R26" s="72">
        <f t="shared" si="6"/>
        <v>0</v>
      </c>
      <c r="S26" s="72">
        <f>+S$23*$C$51/2</f>
        <v>5749.9400000000005</v>
      </c>
      <c r="T26" s="72">
        <f t="shared" si="7"/>
        <v>3150</v>
      </c>
      <c r="U26" s="72">
        <f t="shared" si="7"/>
        <v>3450.0200000000004</v>
      </c>
      <c r="V26" s="72">
        <f t="shared" si="7"/>
        <v>3825.0099999999998</v>
      </c>
      <c r="W26" s="72">
        <f t="shared" si="7"/>
        <v>4200</v>
      </c>
      <c r="X26" s="72">
        <f t="shared" si="7"/>
        <v>0</v>
      </c>
      <c r="Y26" s="72">
        <f t="shared" si="7"/>
        <v>0</v>
      </c>
      <c r="Z26" s="72">
        <f t="shared" si="7"/>
        <v>0</v>
      </c>
    </row>
    <row r="27" spans="1:26">
      <c r="A27" s="162" t="s">
        <v>4</v>
      </c>
      <c r="B27" s="22"/>
      <c r="D27" s="72">
        <f t="shared" si="6"/>
        <v>0</v>
      </c>
      <c r="E27" s="72">
        <f t="shared" si="6"/>
        <v>0</v>
      </c>
      <c r="F27" s="72">
        <f t="shared" si="6"/>
        <v>0</v>
      </c>
      <c r="G27" s="72">
        <f t="shared" si="6"/>
        <v>0</v>
      </c>
      <c r="H27" s="72">
        <f t="shared" si="6"/>
        <v>0</v>
      </c>
      <c r="I27" s="72">
        <f t="shared" si="6"/>
        <v>0</v>
      </c>
      <c r="J27" s="72">
        <f t="shared" si="6"/>
        <v>0</v>
      </c>
      <c r="K27" s="72">
        <f t="shared" si="6"/>
        <v>0</v>
      </c>
      <c r="L27" s="72">
        <f t="shared" si="6"/>
        <v>0</v>
      </c>
      <c r="M27" s="72">
        <f t="shared" si="6"/>
        <v>0</v>
      </c>
      <c r="N27" s="72">
        <f t="shared" si="6"/>
        <v>0</v>
      </c>
      <c r="O27" s="72">
        <f t="shared" si="6"/>
        <v>0</v>
      </c>
      <c r="P27" s="72">
        <f t="shared" si="6"/>
        <v>0</v>
      </c>
      <c r="Q27" s="72">
        <f t="shared" si="6"/>
        <v>0</v>
      </c>
      <c r="R27" s="72">
        <f t="shared" si="6"/>
        <v>0</v>
      </c>
      <c r="S27" s="72">
        <f>+S$23*$C$51/2</f>
        <v>5749.9400000000005</v>
      </c>
      <c r="T27" s="72">
        <f t="shared" si="7"/>
        <v>3150</v>
      </c>
      <c r="U27" s="72">
        <f t="shared" si="7"/>
        <v>3450.0200000000004</v>
      </c>
      <c r="V27" s="72">
        <f t="shared" si="7"/>
        <v>3825.0099999999998</v>
      </c>
      <c r="W27" s="72">
        <f t="shared" si="7"/>
        <v>4200</v>
      </c>
      <c r="X27" s="72">
        <f t="shared" si="7"/>
        <v>0</v>
      </c>
      <c r="Y27" s="72">
        <f t="shared" si="7"/>
        <v>0</v>
      </c>
      <c r="Z27" s="72">
        <f t="shared" si="7"/>
        <v>0</v>
      </c>
    </row>
    <row r="28" spans="1:26">
      <c r="A28" s="162"/>
      <c r="B28" s="2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>
      <c r="A29" s="162" t="s">
        <v>5</v>
      </c>
      <c r="B29" s="22"/>
      <c r="D29" s="72">
        <f>+$C$51</f>
        <v>70000</v>
      </c>
      <c r="E29" s="72">
        <f t="shared" ref="E29:Z29" si="8">+D32-D27</f>
        <v>70000</v>
      </c>
      <c r="F29" s="72">
        <f t="shared" si="8"/>
        <v>70000</v>
      </c>
      <c r="G29" s="72">
        <f t="shared" si="8"/>
        <v>70000</v>
      </c>
      <c r="H29" s="72">
        <f t="shared" si="8"/>
        <v>70000</v>
      </c>
      <c r="I29" s="72">
        <f t="shared" si="8"/>
        <v>70000</v>
      </c>
      <c r="J29" s="72">
        <f t="shared" si="8"/>
        <v>70000</v>
      </c>
      <c r="K29" s="72">
        <f t="shared" si="8"/>
        <v>70000</v>
      </c>
      <c r="L29" s="72">
        <f t="shared" si="8"/>
        <v>70000</v>
      </c>
      <c r="M29" s="72">
        <f t="shared" si="8"/>
        <v>70000</v>
      </c>
      <c r="N29" s="72">
        <f t="shared" si="8"/>
        <v>70000</v>
      </c>
      <c r="O29" s="72">
        <f t="shared" si="8"/>
        <v>70000</v>
      </c>
      <c r="P29" s="72">
        <f t="shared" si="8"/>
        <v>70000</v>
      </c>
      <c r="Q29" s="72">
        <f t="shared" si="8"/>
        <v>70000</v>
      </c>
      <c r="R29" s="72">
        <f t="shared" si="8"/>
        <v>70000</v>
      </c>
      <c r="S29" s="72">
        <f t="shared" si="8"/>
        <v>70000</v>
      </c>
      <c r="T29" s="72">
        <f t="shared" si="8"/>
        <v>58500.119999999995</v>
      </c>
      <c r="U29" s="72">
        <f t="shared" si="8"/>
        <v>45900.119999999995</v>
      </c>
      <c r="V29" s="72">
        <f t="shared" si="8"/>
        <v>32100.039999999983</v>
      </c>
      <c r="W29" s="72">
        <f t="shared" si="8"/>
        <v>16799.999999999989</v>
      </c>
      <c r="X29" s="72">
        <f t="shared" si="8"/>
        <v>-1.0913936421275139E-11</v>
      </c>
      <c r="Y29" s="72">
        <f t="shared" si="8"/>
        <v>-1.0913936421275139E-11</v>
      </c>
      <c r="Z29" s="72">
        <f t="shared" si="8"/>
        <v>-1.0913936421275139E-11</v>
      </c>
    </row>
    <row r="30" spans="1:26">
      <c r="A30" s="162" t="s">
        <v>6</v>
      </c>
      <c r="B30" s="22"/>
      <c r="D30" s="72">
        <f t="shared" ref="D30:M32" si="9">+D29-D24</f>
        <v>70000</v>
      </c>
      <c r="E30" s="72">
        <f t="shared" si="9"/>
        <v>70000</v>
      </c>
      <c r="F30" s="72">
        <f t="shared" si="9"/>
        <v>70000</v>
      </c>
      <c r="G30" s="72">
        <f t="shared" si="9"/>
        <v>70000</v>
      </c>
      <c r="H30" s="72">
        <f t="shared" si="9"/>
        <v>70000</v>
      </c>
      <c r="I30" s="72">
        <f t="shared" si="9"/>
        <v>70000</v>
      </c>
      <c r="J30" s="72">
        <f t="shared" si="9"/>
        <v>70000</v>
      </c>
      <c r="K30" s="72">
        <f t="shared" si="9"/>
        <v>70000</v>
      </c>
      <c r="L30" s="72">
        <f t="shared" si="9"/>
        <v>70000</v>
      </c>
      <c r="M30" s="72">
        <f t="shared" si="9"/>
        <v>70000</v>
      </c>
      <c r="N30" s="72">
        <f t="shared" ref="N30:W32" si="10">+N29-N24</f>
        <v>70000</v>
      </c>
      <c r="O30" s="72">
        <f t="shared" si="10"/>
        <v>70000</v>
      </c>
      <c r="P30" s="72">
        <f t="shared" si="10"/>
        <v>70000</v>
      </c>
      <c r="Q30" s="72">
        <f t="shared" si="10"/>
        <v>70000</v>
      </c>
      <c r="R30" s="72">
        <f t="shared" si="10"/>
        <v>70000</v>
      </c>
      <c r="S30" s="72">
        <f t="shared" si="10"/>
        <v>70000</v>
      </c>
      <c r="T30" s="72">
        <f t="shared" si="10"/>
        <v>55350.119999999995</v>
      </c>
      <c r="U30" s="72">
        <f t="shared" si="10"/>
        <v>42450.099999999991</v>
      </c>
      <c r="V30" s="72">
        <f t="shared" si="10"/>
        <v>28275.029999999984</v>
      </c>
      <c r="W30" s="72">
        <f t="shared" si="10"/>
        <v>12599.999999999989</v>
      </c>
      <c r="X30" s="72">
        <f t="shared" ref="X30:Z32" si="11">+X29-X24</f>
        <v>-1.0913936421275139E-11</v>
      </c>
      <c r="Y30" s="72">
        <f t="shared" si="11"/>
        <v>-1.0913936421275139E-11</v>
      </c>
      <c r="Z30" s="72">
        <f t="shared" si="11"/>
        <v>-1.0913936421275139E-11</v>
      </c>
    </row>
    <row r="31" spans="1:26">
      <c r="A31" s="162" t="s">
        <v>7</v>
      </c>
      <c r="B31" s="22"/>
      <c r="D31" s="72">
        <f t="shared" si="9"/>
        <v>70000</v>
      </c>
      <c r="E31" s="72">
        <f t="shared" si="9"/>
        <v>70000</v>
      </c>
      <c r="F31" s="72">
        <f t="shared" si="9"/>
        <v>70000</v>
      </c>
      <c r="G31" s="72">
        <f t="shared" si="9"/>
        <v>70000</v>
      </c>
      <c r="H31" s="72">
        <f t="shared" si="9"/>
        <v>70000</v>
      </c>
      <c r="I31" s="72">
        <f t="shared" si="9"/>
        <v>70000</v>
      </c>
      <c r="J31" s="72">
        <f t="shared" si="9"/>
        <v>70000</v>
      </c>
      <c r="K31" s="72">
        <f t="shared" si="9"/>
        <v>70000</v>
      </c>
      <c r="L31" s="72">
        <f t="shared" si="9"/>
        <v>70000</v>
      </c>
      <c r="M31" s="72">
        <f t="shared" si="9"/>
        <v>70000</v>
      </c>
      <c r="N31" s="72">
        <f t="shared" si="10"/>
        <v>70000</v>
      </c>
      <c r="O31" s="72">
        <f t="shared" si="10"/>
        <v>70000</v>
      </c>
      <c r="P31" s="72">
        <f t="shared" si="10"/>
        <v>70000</v>
      </c>
      <c r="Q31" s="72">
        <f t="shared" si="10"/>
        <v>70000</v>
      </c>
      <c r="R31" s="72">
        <f t="shared" si="10"/>
        <v>70000</v>
      </c>
      <c r="S31" s="72">
        <f t="shared" si="10"/>
        <v>70000</v>
      </c>
      <c r="T31" s="72">
        <f t="shared" si="10"/>
        <v>52200.119999999995</v>
      </c>
      <c r="U31" s="72">
        <f t="shared" si="10"/>
        <v>39000.079999999987</v>
      </c>
      <c r="V31" s="72">
        <f t="shared" si="10"/>
        <v>24450.019999999986</v>
      </c>
      <c r="W31" s="72">
        <f t="shared" si="10"/>
        <v>8399.9999999999891</v>
      </c>
      <c r="X31" s="72">
        <f t="shared" si="11"/>
        <v>-1.0913936421275139E-11</v>
      </c>
      <c r="Y31" s="72">
        <f t="shared" si="11"/>
        <v>-1.0913936421275139E-11</v>
      </c>
      <c r="Z31" s="72">
        <f t="shared" si="11"/>
        <v>-1.0913936421275139E-11</v>
      </c>
    </row>
    <row r="32" spans="1:26">
      <c r="A32" s="162" t="s">
        <v>8</v>
      </c>
      <c r="B32" s="22"/>
      <c r="D32" s="72">
        <f t="shared" si="9"/>
        <v>70000</v>
      </c>
      <c r="E32" s="72">
        <f t="shared" si="9"/>
        <v>70000</v>
      </c>
      <c r="F32" s="72">
        <f t="shared" si="9"/>
        <v>70000</v>
      </c>
      <c r="G32" s="72">
        <f t="shared" si="9"/>
        <v>70000</v>
      </c>
      <c r="H32" s="72">
        <f t="shared" si="9"/>
        <v>70000</v>
      </c>
      <c r="I32" s="72">
        <f t="shared" si="9"/>
        <v>70000</v>
      </c>
      <c r="J32" s="72">
        <f t="shared" si="9"/>
        <v>70000</v>
      </c>
      <c r="K32" s="72">
        <f t="shared" si="9"/>
        <v>70000</v>
      </c>
      <c r="L32" s="72">
        <f t="shared" si="9"/>
        <v>70000</v>
      </c>
      <c r="M32" s="72">
        <f t="shared" si="9"/>
        <v>70000</v>
      </c>
      <c r="N32" s="72">
        <f t="shared" si="10"/>
        <v>70000</v>
      </c>
      <c r="O32" s="72">
        <f t="shared" si="10"/>
        <v>70000</v>
      </c>
      <c r="P32" s="72">
        <f t="shared" si="10"/>
        <v>70000</v>
      </c>
      <c r="Q32" s="72">
        <f t="shared" si="10"/>
        <v>70000</v>
      </c>
      <c r="R32" s="72">
        <f t="shared" si="10"/>
        <v>70000</v>
      </c>
      <c r="S32" s="72">
        <f t="shared" si="10"/>
        <v>64250.06</v>
      </c>
      <c r="T32" s="72">
        <f t="shared" si="10"/>
        <v>49050.119999999995</v>
      </c>
      <c r="U32" s="72">
        <f t="shared" si="10"/>
        <v>35550.059999999983</v>
      </c>
      <c r="V32" s="72">
        <f t="shared" si="10"/>
        <v>20625.009999999987</v>
      </c>
      <c r="W32" s="72">
        <f t="shared" si="10"/>
        <v>4199.9999999999891</v>
      </c>
      <c r="X32" s="72">
        <f t="shared" si="11"/>
        <v>-1.0913936421275139E-11</v>
      </c>
      <c r="Y32" s="72">
        <f t="shared" si="11"/>
        <v>-1.0913936421275139E-11</v>
      </c>
      <c r="Z32" s="72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103</v>
      </c>
      <c r="C35" s="74">
        <v>90</v>
      </c>
      <c r="D35" s="72">
        <f t="shared" ref="D35:Z35" si="12">+D29+D17</f>
        <v>162000</v>
      </c>
      <c r="E35" s="72">
        <f t="shared" si="12"/>
        <v>161310</v>
      </c>
      <c r="F35" s="72">
        <f t="shared" si="12"/>
        <v>160160</v>
      </c>
      <c r="G35" s="72">
        <f t="shared" si="12"/>
        <v>158550</v>
      </c>
      <c r="H35" s="72">
        <f t="shared" si="12"/>
        <v>156480</v>
      </c>
      <c r="I35" s="72">
        <f t="shared" si="12"/>
        <v>153950</v>
      </c>
      <c r="J35" s="72">
        <f t="shared" si="12"/>
        <v>151420</v>
      </c>
      <c r="K35" s="72">
        <f t="shared" si="12"/>
        <v>148430</v>
      </c>
      <c r="L35" s="72">
        <f t="shared" si="12"/>
        <v>144980</v>
      </c>
      <c r="M35" s="72">
        <f t="shared" si="12"/>
        <v>141070</v>
      </c>
      <c r="N35" s="72">
        <f t="shared" si="12"/>
        <v>136700</v>
      </c>
      <c r="O35" s="72">
        <f t="shared" si="12"/>
        <v>126846.79999999999</v>
      </c>
      <c r="P35" s="72">
        <f t="shared" si="12"/>
        <v>115319.19999999998</v>
      </c>
      <c r="Q35" s="72">
        <f t="shared" si="12"/>
        <v>104582.79999999999</v>
      </c>
      <c r="R35" s="72">
        <f t="shared" si="12"/>
        <v>92263.999999999985</v>
      </c>
      <c r="S35" s="72">
        <f t="shared" si="12"/>
        <v>77957.999999999985</v>
      </c>
      <c r="T35" s="72">
        <f t="shared" si="12"/>
        <v>58500.119999999981</v>
      </c>
      <c r="U35" s="72">
        <f t="shared" si="12"/>
        <v>45900.119999999981</v>
      </c>
      <c r="V35" s="72">
        <f t="shared" si="12"/>
        <v>32100.039999999968</v>
      </c>
      <c r="W35" s="72">
        <f t="shared" si="12"/>
        <v>16799.999999999975</v>
      </c>
      <c r="X35" s="72">
        <f t="shared" si="12"/>
        <v>-2.6375346351414919E-11</v>
      </c>
      <c r="Y35" s="72">
        <f t="shared" si="12"/>
        <v>-2.6375346351414919E-11</v>
      </c>
      <c r="Z35" s="72">
        <f t="shared" si="12"/>
        <v>-2.6375346351414919E-11</v>
      </c>
    </row>
    <row r="36" spans="1:26">
      <c r="A36" s="162" t="s">
        <v>6</v>
      </c>
      <c r="B36" s="22"/>
      <c r="C36" s="74">
        <v>91</v>
      </c>
      <c r="D36" s="72">
        <f t="shared" ref="D36:Z36" si="13">+D30+D18</f>
        <v>162000</v>
      </c>
      <c r="E36" s="72">
        <f t="shared" si="13"/>
        <v>161022.5</v>
      </c>
      <c r="F36" s="72">
        <f t="shared" si="13"/>
        <v>159757.5</v>
      </c>
      <c r="G36" s="72">
        <f t="shared" si="13"/>
        <v>158032.5</v>
      </c>
      <c r="H36" s="72">
        <f t="shared" si="13"/>
        <v>155847.5</v>
      </c>
      <c r="I36" s="72">
        <f t="shared" si="13"/>
        <v>153317.5</v>
      </c>
      <c r="J36" s="72">
        <f t="shared" si="13"/>
        <v>150672.5</v>
      </c>
      <c r="K36" s="72">
        <f t="shared" si="13"/>
        <v>147567.5</v>
      </c>
      <c r="L36" s="72">
        <f t="shared" si="13"/>
        <v>144002.5</v>
      </c>
      <c r="M36" s="72">
        <f t="shared" si="13"/>
        <v>139977.5</v>
      </c>
      <c r="N36" s="72">
        <f t="shared" si="13"/>
        <v>134236.70000000001</v>
      </c>
      <c r="O36" s="72">
        <f t="shared" si="13"/>
        <v>123964.9</v>
      </c>
      <c r="P36" s="72">
        <f t="shared" si="13"/>
        <v>112635.09999999998</v>
      </c>
      <c r="Q36" s="72">
        <f t="shared" si="13"/>
        <v>101503.09999999999</v>
      </c>
      <c r="R36" s="72">
        <f t="shared" si="13"/>
        <v>88687.499999999985</v>
      </c>
      <c r="S36" s="72">
        <f t="shared" si="13"/>
        <v>73978.999999999985</v>
      </c>
      <c r="T36" s="72">
        <f t="shared" si="13"/>
        <v>55350.119999999981</v>
      </c>
      <c r="U36" s="72">
        <f t="shared" si="13"/>
        <v>42450.099999999977</v>
      </c>
      <c r="V36" s="72">
        <f t="shared" si="13"/>
        <v>28275.02999999997</v>
      </c>
      <c r="W36" s="72">
        <f t="shared" si="13"/>
        <v>12599.999999999975</v>
      </c>
      <c r="X36" s="72">
        <f t="shared" si="13"/>
        <v>-2.6375346351414919E-11</v>
      </c>
      <c r="Y36" s="72">
        <f t="shared" si="13"/>
        <v>-2.6375346351414919E-11</v>
      </c>
      <c r="Z36" s="72">
        <f t="shared" si="13"/>
        <v>-2.6375346351414919E-11</v>
      </c>
    </row>
    <row r="37" spans="1:26">
      <c r="A37" s="162" t="s">
        <v>7</v>
      </c>
      <c r="B37" s="22"/>
      <c r="C37" s="74">
        <v>92</v>
      </c>
      <c r="D37" s="72">
        <f t="shared" ref="D37:Z37" si="14">+D31+D19</f>
        <v>162000</v>
      </c>
      <c r="E37" s="72">
        <f t="shared" si="14"/>
        <v>160735</v>
      </c>
      <c r="F37" s="72">
        <f t="shared" si="14"/>
        <v>159355</v>
      </c>
      <c r="G37" s="72">
        <f t="shared" si="14"/>
        <v>157515</v>
      </c>
      <c r="H37" s="72">
        <f t="shared" si="14"/>
        <v>155215</v>
      </c>
      <c r="I37" s="72">
        <f t="shared" si="14"/>
        <v>152685</v>
      </c>
      <c r="J37" s="72">
        <f t="shared" si="14"/>
        <v>149925</v>
      </c>
      <c r="K37" s="72">
        <f t="shared" si="14"/>
        <v>146705</v>
      </c>
      <c r="L37" s="72">
        <f t="shared" si="14"/>
        <v>143025</v>
      </c>
      <c r="M37" s="72">
        <f t="shared" si="14"/>
        <v>138885</v>
      </c>
      <c r="N37" s="72">
        <f t="shared" si="14"/>
        <v>131773.4</v>
      </c>
      <c r="O37" s="72">
        <f t="shared" si="14"/>
        <v>121082.99999999999</v>
      </c>
      <c r="P37" s="72">
        <f t="shared" si="14"/>
        <v>109950.99999999999</v>
      </c>
      <c r="Q37" s="72">
        <f t="shared" si="14"/>
        <v>98423.4</v>
      </c>
      <c r="R37" s="72">
        <f t="shared" si="14"/>
        <v>85110.999999999985</v>
      </c>
      <c r="S37" s="72">
        <f t="shared" si="14"/>
        <v>69999.999999999985</v>
      </c>
      <c r="T37" s="72">
        <f t="shared" si="14"/>
        <v>52200.119999999981</v>
      </c>
      <c r="U37" s="72">
        <f t="shared" si="14"/>
        <v>39000.079999999973</v>
      </c>
      <c r="V37" s="72">
        <f t="shared" si="14"/>
        <v>24450.019999999971</v>
      </c>
      <c r="W37" s="72">
        <f t="shared" si="14"/>
        <v>8399.9999999999745</v>
      </c>
      <c r="X37" s="72">
        <f t="shared" si="14"/>
        <v>-2.6375346351414919E-11</v>
      </c>
      <c r="Y37" s="72">
        <f t="shared" si="14"/>
        <v>-2.6375346351414919E-11</v>
      </c>
      <c r="Z37" s="72">
        <f t="shared" si="14"/>
        <v>-2.6375346351414919E-11</v>
      </c>
    </row>
    <row r="38" spans="1:26">
      <c r="A38" s="162" t="s">
        <v>8</v>
      </c>
      <c r="B38" s="22"/>
      <c r="C38" s="75">
        <v>92</v>
      </c>
      <c r="D38" s="72">
        <f t="shared" ref="D38:Z38" si="15">+D32+D20</f>
        <v>161655</v>
      </c>
      <c r="E38" s="72">
        <f t="shared" si="15"/>
        <v>160447.5</v>
      </c>
      <c r="F38" s="72">
        <f t="shared" si="15"/>
        <v>158952.5</v>
      </c>
      <c r="G38" s="72">
        <f t="shared" si="15"/>
        <v>156997.5</v>
      </c>
      <c r="H38" s="72">
        <f t="shared" si="15"/>
        <v>154582.5</v>
      </c>
      <c r="I38" s="72">
        <f t="shared" si="15"/>
        <v>152052.5</v>
      </c>
      <c r="J38" s="72">
        <f t="shared" si="15"/>
        <v>149177.5</v>
      </c>
      <c r="K38" s="72">
        <f t="shared" si="15"/>
        <v>145842.5</v>
      </c>
      <c r="L38" s="72">
        <f t="shared" si="15"/>
        <v>142047.5</v>
      </c>
      <c r="M38" s="72">
        <f t="shared" si="15"/>
        <v>137792.5</v>
      </c>
      <c r="N38" s="72">
        <f t="shared" si="15"/>
        <v>129310.09999999999</v>
      </c>
      <c r="O38" s="72">
        <f t="shared" si="15"/>
        <v>118201.09999999998</v>
      </c>
      <c r="P38" s="72">
        <f t="shared" si="15"/>
        <v>107266.9</v>
      </c>
      <c r="Q38" s="72">
        <f t="shared" si="15"/>
        <v>95343.699999999983</v>
      </c>
      <c r="R38" s="72">
        <f t="shared" si="15"/>
        <v>81534.499999999985</v>
      </c>
      <c r="S38" s="72">
        <f t="shared" si="15"/>
        <v>64250.059999999983</v>
      </c>
      <c r="T38" s="72">
        <f t="shared" si="15"/>
        <v>49050.119999999981</v>
      </c>
      <c r="U38" s="72">
        <f t="shared" si="15"/>
        <v>35550.059999999969</v>
      </c>
      <c r="V38" s="72">
        <f t="shared" si="15"/>
        <v>20625.009999999973</v>
      </c>
      <c r="W38" s="72">
        <f t="shared" si="15"/>
        <v>4199.9999999999736</v>
      </c>
      <c r="X38" s="72">
        <f t="shared" si="15"/>
        <v>-2.6375346351414919E-11</v>
      </c>
      <c r="Y38" s="72">
        <f t="shared" si="15"/>
        <v>-2.6375346351414919E-11</v>
      </c>
      <c r="Z38" s="72">
        <f t="shared" si="15"/>
        <v>-2.6375346351414919E-11</v>
      </c>
    </row>
    <row r="39" spans="1:26">
      <c r="A39" s="162"/>
      <c r="B39" s="22"/>
      <c r="C39" s="74">
        <f>SUM(C35:C38)</f>
        <v>365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>
      <c r="A40" s="162"/>
      <c r="B40" s="2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>
      <c r="A41" s="163" t="s">
        <v>69</v>
      </c>
      <c r="B41" s="77"/>
      <c r="D41" s="72">
        <f t="shared" ref="D41:Z41" si="16">+SUMPRODUCT($C$35:$C$38,D35:D38)/$C$39</f>
        <v>161913.04109589042</v>
      </c>
      <c r="E41" s="72">
        <f t="shared" si="16"/>
        <v>160875.99315068492</v>
      </c>
      <c r="F41" s="72">
        <f t="shared" si="16"/>
        <v>159552.39041095891</v>
      </c>
      <c r="G41" s="72">
        <f t="shared" si="16"/>
        <v>157768.78767123289</v>
      </c>
      <c r="H41" s="72">
        <f t="shared" si="16"/>
        <v>155525.18493150684</v>
      </c>
      <c r="I41" s="72">
        <f t="shared" si="16"/>
        <v>152995.18493150684</v>
      </c>
      <c r="J41" s="72">
        <f t="shared" si="16"/>
        <v>150291.58219178082</v>
      </c>
      <c r="K41" s="72">
        <f t="shared" si="16"/>
        <v>147127.9794520548</v>
      </c>
      <c r="L41" s="72">
        <f t="shared" si="16"/>
        <v>143504.37671232875</v>
      </c>
      <c r="M41" s="72">
        <f t="shared" si="16"/>
        <v>139420.77397260274</v>
      </c>
      <c r="N41" s="72">
        <f t="shared" si="16"/>
        <v>132981.4293150685</v>
      </c>
      <c r="O41" s="72">
        <f t="shared" si="16"/>
        <v>122496.31534246574</v>
      </c>
      <c r="P41" s="72">
        <f t="shared" si="16"/>
        <v>111267.3120547945</v>
      </c>
      <c r="Q41" s="72">
        <f t="shared" si="16"/>
        <v>99933.71863013698</v>
      </c>
      <c r="R41" s="72">
        <f t="shared" si="16"/>
        <v>86864.954794520541</v>
      </c>
      <c r="S41" s="72">
        <f t="shared" si="16"/>
        <v>71504.971287671215</v>
      </c>
      <c r="T41" s="72">
        <f t="shared" si="16"/>
        <v>53744.914520547929</v>
      </c>
      <c r="U41" s="72">
        <f t="shared" si="16"/>
        <v>40692.007616438335</v>
      </c>
      <c r="V41" s="72">
        <f t="shared" si="16"/>
        <v>26325.846821917781</v>
      </c>
      <c r="W41" s="72">
        <f t="shared" si="16"/>
        <v>10459.726027397235</v>
      </c>
      <c r="X41" s="72">
        <f t="shared" si="16"/>
        <v>-2.6375346351414919E-11</v>
      </c>
      <c r="Y41" s="72">
        <f t="shared" si="16"/>
        <v>-2.6375346351414919E-11</v>
      </c>
      <c r="Z41" s="72">
        <f t="shared" si="16"/>
        <v>-2.6375346351414919E-11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68</v>
      </c>
      <c r="B44" s="77"/>
      <c r="C44" s="13" t="s">
        <v>25</v>
      </c>
      <c r="D44" s="18">
        <f t="shared" ref="D44:Z44" si="17">+D41/$C$54*$C$55*($C$52-$C$53)</f>
        <v>1.1960763712899549</v>
      </c>
      <c r="E44" s="18">
        <f t="shared" si="17"/>
        <v>1.1884155396808413</v>
      </c>
      <c r="F44" s="18">
        <f t="shared" si="17"/>
        <v>1.1786378840253999</v>
      </c>
      <c r="G44" s="18">
        <f t="shared" si="17"/>
        <v>1.165462138092181</v>
      </c>
      <c r="H44" s="18">
        <f t="shared" si="17"/>
        <v>1.1488883018811837</v>
      </c>
      <c r="I44" s="18">
        <f t="shared" si="17"/>
        <v>1.1301988053534062</v>
      </c>
      <c r="J44" s="18">
        <f t="shared" si="17"/>
        <v>1.1102268788646312</v>
      </c>
      <c r="K44" s="18">
        <f t="shared" si="17"/>
        <v>1.086856862098079</v>
      </c>
      <c r="L44" s="18">
        <f t="shared" si="17"/>
        <v>1.0600887550537486</v>
      </c>
      <c r="M44" s="18">
        <f t="shared" si="17"/>
        <v>1.0299225577316404</v>
      </c>
      <c r="N44" s="18">
        <f t="shared" si="17"/>
        <v>0.98235413495766777</v>
      </c>
      <c r="O44" s="18">
        <f t="shared" si="17"/>
        <v>0.90489899614963876</v>
      </c>
      <c r="P44" s="18">
        <f t="shared" si="17"/>
        <v>0.82194863332144241</v>
      </c>
      <c r="Q44" s="18">
        <f t="shared" si="17"/>
        <v>0.73822564717227956</v>
      </c>
      <c r="R44" s="18">
        <f t="shared" si="17"/>
        <v>0.64168469210188384</v>
      </c>
      <c r="S44" s="18">
        <f t="shared" si="17"/>
        <v>0.52821814727264094</v>
      </c>
      <c r="T44" s="18">
        <f t="shared" si="17"/>
        <v>0.39702189459189502</v>
      </c>
      <c r="U44" s="18">
        <f t="shared" si="17"/>
        <v>0.3005980770971271</v>
      </c>
      <c r="V44" s="18">
        <f t="shared" si="17"/>
        <v>0.19447305247788232</v>
      </c>
      <c r="W44" s="18">
        <f t="shared" si="17"/>
        <v>7.7267594178082044E-2</v>
      </c>
      <c r="X44" s="18">
        <f t="shared" si="17"/>
        <v>-1.9483871306470579E-16</v>
      </c>
      <c r="Y44" s="18">
        <f t="shared" si="17"/>
        <v>-1.9483871306470579E-16</v>
      </c>
      <c r="Z44" s="18">
        <f t="shared" si="17"/>
        <v>-1.9483871306470579E-16</v>
      </c>
    </row>
    <row r="45" spans="1:26" s="13" customFormat="1">
      <c r="A45" s="163" t="s">
        <v>104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-3.9236287100450351E-3</v>
      </c>
      <c r="E46" s="18">
        <f t="shared" si="18"/>
        <v>-1.5844603191585982E-3</v>
      </c>
      <c r="F46" s="18">
        <f t="shared" si="18"/>
        <v>-1.3621159746000089E-3</v>
      </c>
      <c r="G46" s="18">
        <f t="shared" si="18"/>
        <v>-4.5378619078189075E-3</v>
      </c>
      <c r="H46" s="18">
        <f t="shared" si="18"/>
        <v>-1.1116981188161734E-3</v>
      </c>
      <c r="I46" s="18">
        <f t="shared" si="18"/>
        <v>1.9880535340632832E-4</v>
      </c>
      <c r="J46" s="18">
        <f t="shared" si="18"/>
        <v>2.2687886463113038E-4</v>
      </c>
      <c r="K46" s="18">
        <f t="shared" si="18"/>
        <v>-3.1431379019211114E-3</v>
      </c>
      <c r="L46" s="18">
        <f t="shared" si="18"/>
        <v>8.8755053748501567E-5</v>
      </c>
      <c r="M46" s="18">
        <f t="shared" si="18"/>
        <v>-7.7442268359595445E-5</v>
      </c>
      <c r="N46" s="18">
        <f t="shared" si="18"/>
        <v>2.3541349576677861E-3</v>
      </c>
      <c r="O46" s="18">
        <f t="shared" si="18"/>
        <v>4.8989961496387346E-3</v>
      </c>
      <c r="P46" s="18">
        <f t="shared" si="18"/>
        <v>1.9486333214424612E-3</v>
      </c>
      <c r="Q46" s="18">
        <f t="shared" si="18"/>
        <v>-1.7743528277204268E-3</v>
      </c>
      <c r="R46" s="18">
        <f t="shared" si="18"/>
        <v>1.6846921018838223E-3</v>
      </c>
      <c r="S46" s="18">
        <f t="shared" si="18"/>
        <v>-1.7818527273590901E-3</v>
      </c>
      <c r="T46" s="18">
        <f t="shared" si="18"/>
        <v>-2.9781054081050029E-3</v>
      </c>
      <c r="U46" s="18">
        <f t="shared" si="18"/>
        <v>5.9807709712711432E-4</v>
      </c>
      <c r="V46" s="18">
        <f t="shared" si="18"/>
        <v>4.4730524778823222E-3</v>
      </c>
      <c r="W46" s="18">
        <f t="shared" si="18"/>
        <v>-2.7324058219179576E-3</v>
      </c>
      <c r="X46" s="18">
        <f t="shared" si="18"/>
        <v>-1.9483871306470579E-16</v>
      </c>
      <c r="Y46" s="18">
        <f t="shared" si="18"/>
        <v>-1.9483871306470579E-16</v>
      </c>
      <c r="Z46" s="18">
        <f t="shared" si="18"/>
        <v>-1.9483871306470579E-16</v>
      </c>
    </row>
    <row r="47" spans="1:26">
      <c r="A47" s="22"/>
      <c r="B47" s="22"/>
    </row>
    <row r="48" spans="1:26" ht="13.5" thickBot="1">
      <c r="A48" s="22"/>
      <c r="B48" s="22"/>
    </row>
    <row r="49" spans="1:16" s="9" customFormat="1" ht="13.5" thickBot="1">
      <c r="A49" s="259" t="s">
        <v>70</v>
      </c>
      <c r="B49" s="260"/>
      <c r="C49" s="261"/>
      <c r="E49"/>
      <c r="F49"/>
      <c r="G49"/>
      <c r="H49"/>
      <c r="I49"/>
      <c r="J49"/>
      <c r="K49"/>
      <c r="L49"/>
      <c r="M49"/>
      <c r="N49"/>
      <c r="O49"/>
      <c r="P49"/>
    </row>
    <row r="50" spans="1:16" s="9" customFormat="1">
      <c r="A50" s="92" t="s">
        <v>14</v>
      </c>
      <c r="B50" s="131"/>
      <c r="C50" s="132">
        <v>92000</v>
      </c>
      <c r="E50"/>
      <c r="F50"/>
      <c r="G50"/>
      <c r="H50"/>
      <c r="I50"/>
      <c r="J50"/>
      <c r="K50"/>
      <c r="L50"/>
      <c r="M50"/>
      <c r="N50"/>
      <c r="O50"/>
      <c r="P50"/>
    </row>
    <row r="51" spans="1:16" s="9" customFormat="1">
      <c r="A51" s="94" t="s">
        <v>15</v>
      </c>
      <c r="B51" s="133"/>
      <c r="C51" s="134">
        <v>70000</v>
      </c>
      <c r="E51"/>
      <c r="F51"/>
      <c r="G51"/>
      <c r="H51"/>
      <c r="I51"/>
      <c r="J51"/>
      <c r="K51"/>
      <c r="L51"/>
      <c r="M51"/>
      <c r="N51"/>
      <c r="O51"/>
      <c r="P51"/>
    </row>
    <row r="52" spans="1:16" s="9" customFormat="1">
      <c r="A52" s="94" t="s">
        <v>12</v>
      </c>
      <c r="B52" s="133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  <c r="P52"/>
    </row>
    <row r="53" spans="1:16" s="9" customFormat="1">
      <c r="A53" s="94" t="s">
        <v>11</v>
      </c>
      <c r="B53" s="133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  <c r="P53"/>
    </row>
    <row r="54" spans="1:16" s="9" customFormat="1">
      <c r="A54" s="94" t="s">
        <v>80</v>
      </c>
      <c r="B54" s="119">
        <v>240</v>
      </c>
      <c r="C54" s="97">
        <f>+B54*12</f>
        <v>2880</v>
      </c>
      <c r="E54"/>
      <c r="F54"/>
      <c r="G54"/>
      <c r="H54"/>
      <c r="I54"/>
      <c r="J54"/>
      <c r="K54"/>
      <c r="L54"/>
      <c r="M54"/>
      <c r="N54"/>
      <c r="O54"/>
      <c r="P54"/>
    </row>
    <row r="55" spans="1:16" s="9" customFormat="1" ht="13.5" thickBot="1">
      <c r="A55" s="95" t="s">
        <v>79</v>
      </c>
      <c r="B55" s="136"/>
      <c r="C55" s="137">
        <v>1.25</v>
      </c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 s="22"/>
      <c r="B56" s="22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sqref="A1:Z5"/>
    </sheetView>
  </sheetViews>
  <sheetFormatPr defaultRowHeight="12.75"/>
  <cols>
    <col min="1" max="1" width="29.5703125" customWidth="1"/>
    <col min="2" max="3" width="11.28515625" customWidth="1"/>
    <col min="4" max="26" width="9.7109375" customWidth="1"/>
  </cols>
  <sheetData>
    <row r="1" spans="1:26" ht="22.5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6.5" customHeight="1">
      <c r="A2" s="248" t="s">
        <v>96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spans="1:26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spans="1:26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130">
        <v>0</v>
      </c>
      <c r="E12" s="130">
        <f t="shared" ref="E12:R15" si="0">+E$11*$C$50/4</f>
        <v>250.9375</v>
      </c>
      <c r="F12" s="130">
        <f t="shared" si="0"/>
        <v>351.31250000000006</v>
      </c>
      <c r="G12" s="130">
        <f t="shared" si="0"/>
        <v>451.6875</v>
      </c>
      <c r="H12" s="130">
        <f t="shared" si="0"/>
        <v>552.0625</v>
      </c>
      <c r="I12" s="130">
        <f t="shared" si="0"/>
        <v>552.0625</v>
      </c>
      <c r="J12" s="130">
        <f t="shared" si="0"/>
        <v>652.4375</v>
      </c>
      <c r="K12" s="130">
        <f t="shared" si="0"/>
        <v>752.8125</v>
      </c>
      <c r="L12" s="130">
        <f t="shared" si="0"/>
        <v>853.18750000000011</v>
      </c>
      <c r="M12" s="130">
        <f t="shared" si="0"/>
        <v>953.5625</v>
      </c>
      <c r="N12" s="130">
        <f t="shared" si="0"/>
        <v>2150.0324999999998</v>
      </c>
      <c r="O12" s="130">
        <f t="shared" si="0"/>
        <v>2515.3975</v>
      </c>
      <c r="P12" s="130">
        <f t="shared" si="0"/>
        <v>2342.7525000000001</v>
      </c>
      <c r="Q12" s="130">
        <f t="shared" si="0"/>
        <v>2688.0425</v>
      </c>
      <c r="R12" s="130">
        <f t="shared" si="0"/>
        <v>3121.6624999999999</v>
      </c>
      <c r="S12" s="130">
        <f>+S$11*$C$50/2</f>
        <v>3472.9750000000004</v>
      </c>
      <c r="T12" s="130">
        <f t="shared" ref="T12:Z15" si="1">+T$11*$C$50/4</f>
        <v>0</v>
      </c>
      <c r="U12" s="130">
        <f t="shared" si="1"/>
        <v>0</v>
      </c>
      <c r="V12" s="130">
        <f t="shared" si="1"/>
        <v>0</v>
      </c>
      <c r="W12" s="130">
        <f t="shared" si="1"/>
        <v>0</v>
      </c>
      <c r="X12" s="130">
        <f t="shared" si="1"/>
        <v>0</v>
      </c>
      <c r="Y12" s="130">
        <f t="shared" si="1"/>
        <v>0</v>
      </c>
      <c r="Z12" s="130">
        <f t="shared" si="1"/>
        <v>0</v>
      </c>
    </row>
    <row r="13" spans="1:26">
      <c r="A13" s="162" t="s">
        <v>2</v>
      </c>
      <c r="B13" s="22"/>
      <c r="D13" s="130">
        <v>0</v>
      </c>
      <c r="E13" s="130">
        <f t="shared" si="0"/>
        <v>250.9375</v>
      </c>
      <c r="F13" s="130">
        <f t="shared" si="0"/>
        <v>351.31250000000006</v>
      </c>
      <c r="G13" s="130">
        <f t="shared" si="0"/>
        <v>451.6875</v>
      </c>
      <c r="H13" s="130">
        <f t="shared" si="0"/>
        <v>552.0625</v>
      </c>
      <c r="I13" s="130">
        <f t="shared" si="0"/>
        <v>552.0625</v>
      </c>
      <c r="J13" s="130">
        <f t="shared" si="0"/>
        <v>652.4375</v>
      </c>
      <c r="K13" s="130">
        <f t="shared" si="0"/>
        <v>752.8125</v>
      </c>
      <c r="L13" s="130">
        <f t="shared" si="0"/>
        <v>853.18750000000011</v>
      </c>
      <c r="M13" s="130">
        <f t="shared" si="0"/>
        <v>953.5625</v>
      </c>
      <c r="N13" s="130">
        <f t="shared" si="0"/>
        <v>2150.0324999999998</v>
      </c>
      <c r="O13" s="130">
        <f t="shared" si="0"/>
        <v>2515.3975</v>
      </c>
      <c r="P13" s="130">
        <f t="shared" si="0"/>
        <v>2342.7525000000001</v>
      </c>
      <c r="Q13" s="130">
        <f t="shared" si="0"/>
        <v>2688.0425</v>
      </c>
      <c r="R13" s="130">
        <f t="shared" si="0"/>
        <v>3121.6624999999999</v>
      </c>
      <c r="S13" s="130">
        <f>+S$11*$C$50/2</f>
        <v>3472.9750000000004</v>
      </c>
      <c r="T13" s="130">
        <f t="shared" si="1"/>
        <v>0</v>
      </c>
      <c r="U13" s="130">
        <f t="shared" si="1"/>
        <v>0</v>
      </c>
      <c r="V13" s="130">
        <f t="shared" si="1"/>
        <v>0</v>
      </c>
      <c r="W13" s="130">
        <f t="shared" si="1"/>
        <v>0</v>
      </c>
      <c r="X13" s="130">
        <f t="shared" si="1"/>
        <v>0</v>
      </c>
      <c r="Y13" s="130">
        <f t="shared" si="1"/>
        <v>0</v>
      </c>
      <c r="Z13" s="130">
        <f t="shared" si="1"/>
        <v>0</v>
      </c>
    </row>
    <row r="14" spans="1:26">
      <c r="A14" s="162" t="s">
        <v>3</v>
      </c>
      <c r="B14" s="22"/>
      <c r="D14" s="130">
        <f>+D$11*$C$50/2</f>
        <v>301.125</v>
      </c>
      <c r="E14" s="130">
        <f t="shared" si="0"/>
        <v>250.9375</v>
      </c>
      <c r="F14" s="130">
        <f t="shared" si="0"/>
        <v>351.31250000000006</v>
      </c>
      <c r="G14" s="130">
        <f t="shared" si="0"/>
        <v>451.6875</v>
      </c>
      <c r="H14" s="130">
        <f t="shared" si="0"/>
        <v>552.0625</v>
      </c>
      <c r="I14" s="130">
        <f t="shared" si="0"/>
        <v>552.0625</v>
      </c>
      <c r="J14" s="130">
        <f t="shared" si="0"/>
        <v>652.4375</v>
      </c>
      <c r="K14" s="130">
        <f t="shared" si="0"/>
        <v>752.8125</v>
      </c>
      <c r="L14" s="130">
        <f t="shared" si="0"/>
        <v>853.18750000000011</v>
      </c>
      <c r="M14" s="130">
        <f t="shared" si="0"/>
        <v>953.5625</v>
      </c>
      <c r="N14" s="130">
        <f t="shared" si="0"/>
        <v>2150.0324999999998</v>
      </c>
      <c r="O14" s="130">
        <f t="shared" si="0"/>
        <v>2515.3975</v>
      </c>
      <c r="P14" s="130">
        <f t="shared" si="0"/>
        <v>2342.7525000000001</v>
      </c>
      <c r="Q14" s="130">
        <f t="shared" si="0"/>
        <v>2688.0425</v>
      </c>
      <c r="R14" s="130">
        <f t="shared" si="0"/>
        <v>3121.6624999999999</v>
      </c>
      <c r="S14" s="130">
        <v>0</v>
      </c>
      <c r="T14" s="130">
        <f t="shared" si="1"/>
        <v>0</v>
      </c>
      <c r="U14" s="130">
        <f t="shared" si="1"/>
        <v>0</v>
      </c>
      <c r="V14" s="130">
        <f t="shared" si="1"/>
        <v>0</v>
      </c>
      <c r="W14" s="130">
        <f t="shared" si="1"/>
        <v>0</v>
      </c>
      <c r="X14" s="130">
        <f t="shared" si="1"/>
        <v>0</v>
      </c>
      <c r="Y14" s="130">
        <f t="shared" si="1"/>
        <v>0</v>
      </c>
      <c r="Z14" s="130">
        <f t="shared" si="1"/>
        <v>0</v>
      </c>
    </row>
    <row r="15" spans="1:26">
      <c r="A15" s="162" t="s">
        <v>4</v>
      </c>
      <c r="B15" s="22"/>
      <c r="D15" s="130">
        <f>+D$11*$C$50/2</f>
        <v>301.125</v>
      </c>
      <c r="E15" s="130">
        <f t="shared" si="0"/>
        <v>250.9375</v>
      </c>
      <c r="F15" s="130">
        <f t="shared" si="0"/>
        <v>351.31250000000006</v>
      </c>
      <c r="G15" s="130">
        <f t="shared" si="0"/>
        <v>451.6875</v>
      </c>
      <c r="H15" s="130">
        <f t="shared" si="0"/>
        <v>552.0625</v>
      </c>
      <c r="I15" s="130">
        <f t="shared" si="0"/>
        <v>552.0625</v>
      </c>
      <c r="J15" s="130">
        <f t="shared" si="0"/>
        <v>652.4375</v>
      </c>
      <c r="K15" s="130">
        <f t="shared" si="0"/>
        <v>752.8125</v>
      </c>
      <c r="L15" s="130">
        <f t="shared" si="0"/>
        <v>853.18750000000011</v>
      </c>
      <c r="M15" s="130">
        <f t="shared" si="0"/>
        <v>953.5625</v>
      </c>
      <c r="N15" s="130">
        <f t="shared" si="0"/>
        <v>2150.0324999999998</v>
      </c>
      <c r="O15" s="130">
        <f t="shared" si="0"/>
        <v>2515.3975</v>
      </c>
      <c r="P15" s="130">
        <f t="shared" si="0"/>
        <v>2342.7525000000001</v>
      </c>
      <c r="Q15" s="130">
        <f t="shared" si="0"/>
        <v>2688.0425</v>
      </c>
      <c r="R15" s="130">
        <f t="shared" si="0"/>
        <v>3121.6624999999999</v>
      </c>
      <c r="S15" s="130">
        <v>0</v>
      </c>
      <c r="T15" s="130">
        <f t="shared" si="1"/>
        <v>0</v>
      </c>
      <c r="U15" s="130">
        <f t="shared" si="1"/>
        <v>0</v>
      </c>
      <c r="V15" s="130">
        <f t="shared" si="1"/>
        <v>0</v>
      </c>
      <c r="W15" s="130">
        <f t="shared" si="1"/>
        <v>0</v>
      </c>
      <c r="X15" s="130">
        <f t="shared" si="1"/>
        <v>0</v>
      </c>
      <c r="Y15" s="130">
        <f t="shared" si="1"/>
        <v>0</v>
      </c>
      <c r="Z15" s="130">
        <f t="shared" si="1"/>
        <v>0</v>
      </c>
    </row>
    <row r="16" spans="1:26">
      <c r="A16" s="162"/>
      <c r="B16" s="22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>
      <c r="A17" s="162" t="s">
        <v>5</v>
      </c>
      <c r="B17" s="22"/>
      <c r="D17" s="130">
        <f>+C50</f>
        <v>80300</v>
      </c>
      <c r="E17" s="130">
        <f t="shared" ref="E17:Z17" si="2">+D20-D15</f>
        <v>79697.75</v>
      </c>
      <c r="F17" s="130">
        <f t="shared" si="2"/>
        <v>78694</v>
      </c>
      <c r="G17" s="130">
        <f t="shared" si="2"/>
        <v>77288.75</v>
      </c>
      <c r="H17" s="130">
        <f t="shared" si="2"/>
        <v>75482</v>
      </c>
      <c r="I17" s="130">
        <f t="shared" si="2"/>
        <v>73273.75</v>
      </c>
      <c r="J17" s="130">
        <f t="shared" si="2"/>
        <v>71065.5</v>
      </c>
      <c r="K17" s="130">
        <f t="shared" si="2"/>
        <v>68455.75</v>
      </c>
      <c r="L17" s="130">
        <f t="shared" si="2"/>
        <v>65444.5</v>
      </c>
      <c r="M17" s="130">
        <f t="shared" si="2"/>
        <v>62031.75</v>
      </c>
      <c r="N17" s="130">
        <f t="shared" si="2"/>
        <v>58217.5</v>
      </c>
      <c r="O17" s="130">
        <f t="shared" si="2"/>
        <v>49617.369999999995</v>
      </c>
      <c r="P17" s="130">
        <f t="shared" si="2"/>
        <v>39555.78</v>
      </c>
      <c r="Q17" s="130">
        <f t="shared" si="2"/>
        <v>30184.769999999997</v>
      </c>
      <c r="R17" s="130">
        <f t="shared" si="2"/>
        <v>19432.599999999999</v>
      </c>
      <c r="S17" s="130">
        <f t="shared" si="2"/>
        <v>6945.9499999999971</v>
      </c>
      <c r="T17" s="130">
        <f t="shared" si="2"/>
        <v>-3.637978807091713E-12</v>
      </c>
      <c r="U17" s="130">
        <f t="shared" si="2"/>
        <v>-3.637978807091713E-12</v>
      </c>
      <c r="V17" s="130">
        <f t="shared" si="2"/>
        <v>-3.637978807091713E-12</v>
      </c>
      <c r="W17" s="130">
        <f t="shared" si="2"/>
        <v>-3.637978807091713E-12</v>
      </c>
      <c r="X17" s="130">
        <f t="shared" si="2"/>
        <v>-3.637978807091713E-12</v>
      </c>
      <c r="Y17" s="130">
        <f t="shared" si="2"/>
        <v>-3.637978807091713E-12</v>
      </c>
      <c r="Z17" s="130">
        <f t="shared" si="2"/>
        <v>-3.637978807091713E-12</v>
      </c>
    </row>
    <row r="18" spans="1:26">
      <c r="A18" s="162" t="s">
        <v>6</v>
      </c>
      <c r="B18" s="22"/>
      <c r="D18" s="130">
        <f t="shared" ref="D18:M20" si="3">+D17-D12</f>
        <v>80300</v>
      </c>
      <c r="E18" s="130">
        <f t="shared" si="3"/>
        <v>79446.8125</v>
      </c>
      <c r="F18" s="130">
        <f t="shared" si="3"/>
        <v>78342.6875</v>
      </c>
      <c r="G18" s="130">
        <f t="shared" si="3"/>
        <v>76837.0625</v>
      </c>
      <c r="H18" s="130">
        <f t="shared" si="3"/>
        <v>74929.9375</v>
      </c>
      <c r="I18" s="130">
        <f t="shared" si="3"/>
        <v>72721.6875</v>
      </c>
      <c r="J18" s="130">
        <f t="shared" si="3"/>
        <v>70413.0625</v>
      </c>
      <c r="K18" s="130">
        <f t="shared" si="3"/>
        <v>67702.9375</v>
      </c>
      <c r="L18" s="130">
        <f t="shared" si="3"/>
        <v>64591.3125</v>
      </c>
      <c r="M18" s="130">
        <f t="shared" si="3"/>
        <v>61078.1875</v>
      </c>
      <c r="N18" s="130">
        <f t="shared" ref="N18:W20" si="4">+N17-N12</f>
        <v>56067.467499999999</v>
      </c>
      <c r="O18" s="130">
        <f t="shared" si="4"/>
        <v>47101.972499999996</v>
      </c>
      <c r="P18" s="130">
        <f t="shared" si="4"/>
        <v>37213.027499999997</v>
      </c>
      <c r="Q18" s="130">
        <f t="shared" si="4"/>
        <v>27496.727499999997</v>
      </c>
      <c r="R18" s="130">
        <f t="shared" si="4"/>
        <v>16310.937499999998</v>
      </c>
      <c r="S18" s="130">
        <f t="shared" si="4"/>
        <v>3472.9749999999967</v>
      </c>
      <c r="T18" s="130">
        <f t="shared" si="4"/>
        <v>-3.637978807091713E-12</v>
      </c>
      <c r="U18" s="130">
        <f t="shared" si="4"/>
        <v>-3.637978807091713E-12</v>
      </c>
      <c r="V18" s="130">
        <f t="shared" si="4"/>
        <v>-3.637978807091713E-12</v>
      </c>
      <c r="W18" s="130">
        <f t="shared" si="4"/>
        <v>-3.637978807091713E-12</v>
      </c>
      <c r="X18" s="130">
        <f t="shared" ref="X18:Z20" si="5">+X17-X12</f>
        <v>-3.637978807091713E-12</v>
      </c>
      <c r="Y18" s="130">
        <f t="shared" si="5"/>
        <v>-3.637978807091713E-12</v>
      </c>
      <c r="Z18" s="130">
        <f t="shared" si="5"/>
        <v>-3.637978807091713E-12</v>
      </c>
    </row>
    <row r="19" spans="1:26">
      <c r="A19" s="162" t="s">
        <v>7</v>
      </c>
      <c r="B19" s="22"/>
      <c r="D19" s="130">
        <f t="shared" si="3"/>
        <v>80300</v>
      </c>
      <c r="E19" s="130">
        <f t="shared" si="3"/>
        <v>79195.875</v>
      </c>
      <c r="F19" s="130">
        <f t="shared" si="3"/>
        <v>77991.375</v>
      </c>
      <c r="G19" s="130">
        <f t="shared" si="3"/>
        <v>76385.375</v>
      </c>
      <c r="H19" s="130">
        <f t="shared" si="3"/>
        <v>74377.875</v>
      </c>
      <c r="I19" s="130">
        <f t="shared" si="3"/>
        <v>72169.625</v>
      </c>
      <c r="J19" s="130">
        <f t="shared" si="3"/>
        <v>69760.625</v>
      </c>
      <c r="K19" s="130">
        <f t="shared" si="3"/>
        <v>66950.125</v>
      </c>
      <c r="L19" s="130">
        <f t="shared" si="3"/>
        <v>63738.125</v>
      </c>
      <c r="M19" s="130">
        <f t="shared" si="3"/>
        <v>60124.625</v>
      </c>
      <c r="N19" s="130">
        <f t="shared" si="4"/>
        <v>53917.434999999998</v>
      </c>
      <c r="O19" s="130">
        <f t="shared" si="4"/>
        <v>44586.574999999997</v>
      </c>
      <c r="P19" s="130">
        <f t="shared" si="4"/>
        <v>34870.274999999994</v>
      </c>
      <c r="Q19" s="130">
        <f t="shared" si="4"/>
        <v>24808.684999999998</v>
      </c>
      <c r="R19" s="130">
        <f t="shared" si="4"/>
        <v>13189.274999999998</v>
      </c>
      <c r="S19" s="130">
        <f t="shared" si="4"/>
        <v>-3.637978807091713E-12</v>
      </c>
      <c r="T19" s="130">
        <f t="shared" si="4"/>
        <v>-3.637978807091713E-12</v>
      </c>
      <c r="U19" s="130">
        <f t="shared" si="4"/>
        <v>-3.637978807091713E-12</v>
      </c>
      <c r="V19" s="130">
        <f t="shared" si="4"/>
        <v>-3.637978807091713E-12</v>
      </c>
      <c r="W19" s="130">
        <f t="shared" si="4"/>
        <v>-3.637978807091713E-12</v>
      </c>
      <c r="X19" s="130">
        <f t="shared" si="5"/>
        <v>-3.637978807091713E-12</v>
      </c>
      <c r="Y19" s="130">
        <f t="shared" si="5"/>
        <v>-3.637978807091713E-12</v>
      </c>
      <c r="Z19" s="130">
        <f t="shared" si="5"/>
        <v>-3.637978807091713E-12</v>
      </c>
    </row>
    <row r="20" spans="1:26">
      <c r="A20" s="162" t="s">
        <v>8</v>
      </c>
      <c r="B20" s="22"/>
      <c r="D20" s="130">
        <f t="shared" si="3"/>
        <v>79998.875</v>
      </c>
      <c r="E20" s="130">
        <f t="shared" si="3"/>
        <v>78944.9375</v>
      </c>
      <c r="F20" s="130">
        <f t="shared" si="3"/>
        <v>77640.0625</v>
      </c>
      <c r="G20" s="130">
        <f t="shared" si="3"/>
        <v>75933.6875</v>
      </c>
      <c r="H20" s="130">
        <f t="shared" si="3"/>
        <v>73825.8125</v>
      </c>
      <c r="I20" s="130">
        <f t="shared" si="3"/>
        <v>71617.5625</v>
      </c>
      <c r="J20" s="130">
        <f t="shared" si="3"/>
        <v>69108.1875</v>
      </c>
      <c r="K20" s="130">
        <f t="shared" si="3"/>
        <v>66197.3125</v>
      </c>
      <c r="L20" s="130">
        <f t="shared" si="3"/>
        <v>62884.9375</v>
      </c>
      <c r="M20" s="130">
        <f t="shared" si="3"/>
        <v>59171.0625</v>
      </c>
      <c r="N20" s="130">
        <f t="shared" si="4"/>
        <v>51767.402499999997</v>
      </c>
      <c r="O20" s="130">
        <f t="shared" si="4"/>
        <v>42071.177499999998</v>
      </c>
      <c r="P20" s="130">
        <f t="shared" si="4"/>
        <v>32527.522499999995</v>
      </c>
      <c r="Q20" s="130">
        <f t="shared" si="4"/>
        <v>22120.642499999998</v>
      </c>
      <c r="R20" s="130">
        <f t="shared" si="4"/>
        <v>10067.612499999997</v>
      </c>
      <c r="S20" s="130">
        <f t="shared" si="4"/>
        <v>-3.637978807091713E-12</v>
      </c>
      <c r="T20" s="130">
        <f t="shared" si="4"/>
        <v>-3.637978807091713E-12</v>
      </c>
      <c r="U20" s="130">
        <f t="shared" si="4"/>
        <v>-3.637978807091713E-12</v>
      </c>
      <c r="V20" s="130">
        <f t="shared" si="4"/>
        <v>-3.637978807091713E-12</v>
      </c>
      <c r="W20" s="130">
        <f t="shared" si="4"/>
        <v>-3.637978807091713E-12</v>
      </c>
      <c r="X20" s="130">
        <f t="shared" si="5"/>
        <v>-3.637978807091713E-12</v>
      </c>
      <c r="Y20" s="130">
        <f t="shared" si="5"/>
        <v>-3.637978807091713E-12</v>
      </c>
      <c r="Z20" s="130">
        <f t="shared" si="5"/>
        <v>-3.637978807091713E-12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130">
        <f t="shared" ref="D24:R27" si="6">+D$23*$C$51/4</f>
        <v>0</v>
      </c>
      <c r="E24" s="130">
        <f t="shared" si="6"/>
        <v>0</v>
      </c>
      <c r="F24" s="130">
        <f t="shared" si="6"/>
        <v>0</v>
      </c>
      <c r="G24" s="130">
        <f t="shared" si="6"/>
        <v>0</v>
      </c>
      <c r="H24" s="130">
        <f t="shared" si="6"/>
        <v>0</v>
      </c>
      <c r="I24" s="130">
        <f t="shared" si="6"/>
        <v>0</v>
      </c>
      <c r="J24" s="130">
        <f t="shared" si="6"/>
        <v>0</v>
      </c>
      <c r="K24" s="130">
        <f t="shared" si="6"/>
        <v>0</v>
      </c>
      <c r="L24" s="130">
        <f t="shared" si="6"/>
        <v>0</v>
      </c>
      <c r="M24" s="130">
        <f t="shared" si="6"/>
        <v>0</v>
      </c>
      <c r="N24" s="130">
        <f t="shared" si="6"/>
        <v>0</v>
      </c>
      <c r="O24" s="130">
        <f t="shared" si="6"/>
        <v>0</v>
      </c>
      <c r="P24" s="130">
        <f t="shared" si="6"/>
        <v>0</v>
      </c>
      <c r="Q24" s="130">
        <f t="shared" si="6"/>
        <v>0</v>
      </c>
      <c r="R24" s="130">
        <f t="shared" si="6"/>
        <v>0</v>
      </c>
      <c r="S24" s="130">
        <v>0</v>
      </c>
      <c r="T24" s="130">
        <f t="shared" ref="T24:Z27" si="7">+T$23*$C$51/4</f>
        <v>3150</v>
      </c>
      <c r="U24" s="130">
        <f t="shared" si="7"/>
        <v>3450.0200000000004</v>
      </c>
      <c r="V24" s="130">
        <f t="shared" si="7"/>
        <v>3825.0099999999998</v>
      </c>
      <c r="W24" s="130">
        <f t="shared" si="7"/>
        <v>4200</v>
      </c>
      <c r="X24" s="130">
        <f t="shared" si="7"/>
        <v>0</v>
      </c>
      <c r="Y24" s="130">
        <f t="shared" si="7"/>
        <v>0</v>
      </c>
      <c r="Z24" s="130">
        <f t="shared" si="7"/>
        <v>0</v>
      </c>
    </row>
    <row r="25" spans="1:26">
      <c r="A25" s="162" t="s">
        <v>2</v>
      </c>
      <c r="B25" s="22"/>
      <c r="D25" s="130">
        <f t="shared" si="6"/>
        <v>0</v>
      </c>
      <c r="E25" s="130">
        <f t="shared" si="6"/>
        <v>0</v>
      </c>
      <c r="F25" s="130">
        <f t="shared" si="6"/>
        <v>0</v>
      </c>
      <c r="G25" s="130">
        <f t="shared" si="6"/>
        <v>0</v>
      </c>
      <c r="H25" s="130">
        <f t="shared" si="6"/>
        <v>0</v>
      </c>
      <c r="I25" s="130">
        <f t="shared" si="6"/>
        <v>0</v>
      </c>
      <c r="J25" s="130">
        <f t="shared" si="6"/>
        <v>0</v>
      </c>
      <c r="K25" s="130">
        <f t="shared" si="6"/>
        <v>0</v>
      </c>
      <c r="L25" s="130">
        <f t="shared" si="6"/>
        <v>0</v>
      </c>
      <c r="M25" s="130">
        <f t="shared" si="6"/>
        <v>0</v>
      </c>
      <c r="N25" s="130">
        <f t="shared" si="6"/>
        <v>0</v>
      </c>
      <c r="O25" s="130">
        <f t="shared" si="6"/>
        <v>0</v>
      </c>
      <c r="P25" s="130">
        <f t="shared" si="6"/>
        <v>0</v>
      </c>
      <c r="Q25" s="130">
        <f t="shared" si="6"/>
        <v>0</v>
      </c>
      <c r="R25" s="130">
        <f t="shared" si="6"/>
        <v>0</v>
      </c>
      <c r="S25" s="130">
        <v>0</v>
      </c>
      <c r="T25" s="130">
        <f t="shared" si="7"/>
        <v>3150</v>
      </c>
      <c r="U25" s="130">
        <f t="shared" si="7"/>
        <v>3450.0200000000004</v>
      </c>
      <c r="V25" s="130">
        <f t="shared" si="7"/>
        <v>3825.0099999999998</v>
      </c>
      <c r="W25" s="130">
        <f t="shared" si="7"/>
        <v>4200</v>
      </c>
      <c r="X25" s="130">
        <f t="shared" si="7"/>
        <v>0</v>
      </c>
      <c r="Y25" s="130">
        <f t="shared" si="7"/>
        <v>0</v>
      </c>
      <c r="Z25" s="130">
        <f t="shared" si="7"/>
        <v>0</v>
      </c>
    </row>
    <row r="26" spans="1:26">
      <c r="A26" s="162" t="s">
        <v>3</v>
      </c>
      <c r="B26" s="22"/>
      <c r="D26" s="130">
        <f t="shared" si="6"/>
        <v>0</v>
      </c>
      <c r="E26" s="130">
        <f t="shared" si="6"/>
        <v>0</v>
      </c>
      <c r="F26" s="130">
        <f t="shared" si="6"/>
        <v>0</v>
      </c>
      <c r="G26" s="130">
        <f t="shared" si="6"/>
        <v>0</v>
      </c>
      <c r="H26" s="130">
        <f t="shared" si="6"/>
        <v>0</v>
      </c>
      <c r="I26" s="130">
        <f t="shared" si="6"/>
        <v>0</v>
      </c>
      <c r="J26" s="130">
        <f t="shared" si="6"/>
        <v>0</v>
      </c>
      <c r="K26" s="130">
        <f t="shared" si="6"/>
        <v>0</v>
      </c>
      <c r="L26" s="130">
        <f t="shared" si="6"/>
        <v>0</v>
      </c>
      <c r="M26" s="130">
        <f t="shared" si="6"/>
        <v>0</v>
      </c>
      <c r="N26" s="130">
        <f t="shared" si="6"/>
        <v>0</v>
      </c>
      <c r="O26" s="130">
        <f t="shared" si="6"/>
        <v>0</v>
      </c>
      <c r="P26" s="130">
        <f t="shared" si="6"/>
        <v>0</v>
      </c>
      <c r="Q26" s="130">
        <f t="shared" si="6"/>
        <v>0</v>
      </c>
      <c r="R26" s="130">
        <f t="shared" si="6"/>
        <v>0</v>
      </c>
      <c r="S26" s="130">
        <f>+S$23*$C$51/2</f>
        <v>5749.9400000000005</v>
      </c>
      <c r="T26" s="130">
        <f t="shared" si="7"/>
        <v>3150</v>
      </c>
      <c r="U26" s="130">
        <f t="shared" si="7"/>
        <v>3450.0200000000004</v>
      </c>
      <c r="V26" s="130">
        <f t="shared" si="7"/>
        <v>3825.0099999999998</v>
      </c>
      <c r="W26" s="130">
        <f t="shared" si="7"/>
        <v>4200</v>
      </c>
      <c r="X26" s="130">
        <f t="shared" si="7"/>
        <v>0</v>
      </c>
      <c r="Y26" s="130">
        <f t="shared" si="7"/>
        <v>0</v>
      </c>
      <c r="Z26" s="130">
        <f t="shared" si="7"/>
        <v>0</v>
      </c>
    </row>
    <row r="27" spans="1:26">
      <c r="A27" s="162" t="s">
        <v>4</v>
      </c>
      <c r="B27" s="22"/>
      <c r="D27" s="130">
        <f t="shared" si="6"/>
        <v>0</v>
      </c>
      <c r="E27" s="130">
        <f t="shared" si="6"/>
        <v>0</v>
      </c>
      <c r="F27" s="130">
        <f t="shared" si="6"/>
        <v>0</v>
      </c>
      <c r="G27" s="130">
        <f t="shared" si="6"/>
        <v>0</v>
      </c>
      <c r="H27" s="130">
        <f t="shared" si="6"/>
        <v>0</v>
      </c>
      <c r="I27" s="130">
        <f t="shared" si="6"/>
        <v>0</v>
      </c>
      <c r="J27" s="130">
        <f t="shared" si="6"/>
        <v>0</v>
      </c>
      <c r="K27" s="130">
        <f t="shared" si="6"/>
        <v>0</v>
      </c>
      <c r="L27" s="130">
        <f t="shared" si="6"/>
        <v>0</v>
      </c>
      <c r="M27" s="130">
        <f t="shared" si="6"/>
        <v>0</v>
      </c>
      <c r="N27" s="130">
        <f t="shared" si="6"/>
        <v>0</v>
      </c>
      <c r="O27" s="130">
        <f t="shared" si="6"/>
        <v>0</v>
      </c>
      <c r="P27" s="130">
        <f t="shared" si="6"/>
        <v>0</v>
      </c>
      <c r="Q27" s="130">
        <f t="shared" si="6"/>
        <v>0</v>
      </c>
      <c r="R27" s="130">
        <f t="shared" si="6"/>
        <v>0</v>
      </c>
      <c r="S27" s="130">
        <f>+S$23*$C$51/2</f>
        <v>5749.9400000000005</v>
      </c>
      <c r="T27" s="130">
        <f t="shared" si="7"/>
        <v>3150</v>
      </c>
      <c r="U27" s="130">
        <f t="shared" si="7"/>
        <v>3450.0200000000004</v>
      </c>
      <c r="V27" s="130">
        <f t="shared" si="7"/>
        <v>3825.0099999999998</v>
      </c>
      <c r="W27" s="130">
        <f t="shared" si="7"/>
        <v>4200</v>
      </c>
      <c r="X27" s="130">
        <f t="shared" si="7"/>
        <v>0</v>
      </c>
      <c r="Y27" s="130">
        <f t="shared" si="7"/>
        <v>0</v>
      </c>
      <c r="Z27" s="130">
        <f t="shared" si="7"/>
        <v>0</v>
      </c>
    </row>
    <row r="28" spans="1:26">
      <c r="A28" s="162"/>
      <c r="B28" s="22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>
      <c r="A29" s="162" t="s">
        <v>5</v>
      </c>
      <c r="B29" s="22"/>
      <c r="D29" s="130">
        <f>+$C$51</f>
        <v>70000</v>
      </c>
      <c r="E29" s="130">
        <f t="shared" ref="E29:Z29" si="8">+D32-D27</f>
        <v>70000</v>
      </c>
      <c r="F29" s="130">
        <f t="shared" si="8"/>
        <v>70000</v>
      </c>
      <c r="G29" s="130">
        <f t="shared" si="8"/>
        <v>70000</v>
      </c>
      <c r="H29" s="130">
        <f t="shared" si="8"/>
        <v>70000</v>
      </c>
      <c r="I29" s="130">
        <f t="shared" si="8"/>
        <v>70000</v>
      </c>
      <c r="J29" s="130">
        <f t="shared" si="8"/>
        <v>70000</v>
      </c>
      <c r="K29" s="130">
        <f t="shared" si="8"/>
        <v>70000</v>
      </c>
      <c r="L29" s="130">
        <f t="shared" si="8"/>
        <v>70000</v>
      </c>
      <c r="M29" s="130">
        <f t="shared" si="8"/>
        <v>70000</v>
      </c>
      <c r="N29" s="130">
        <f t="shared" si="8"/>
        <v>70000</v>
      </c>
      <c r="O29" s="130">
        <f t="shared" si="8"/>
        <v>70000</v>
      </c>
      <c r="P29" s="130">
        <f t="shared" si="8"/>
        <v>70000</v>
      </c>
      <c r="Q29" s="130">
        <f t="shared" si="8"/>
        <v>70000</v>
      </c>
      <c r="R29" s="130">
        <f t="shared" si="8"/>
        <v>70000</v>
      </c>
      <c r="S29" s="130">
        <f t="shared" si="8"/>
        <v>70000</v>
      </c>
      <c r="T29" s="130">
        <f t="shared" si="8"/>
        <v>58500.119999999995</v>
      </c>
      <c r="U29" s="130">
        <f t="shared" si="8"/>
        <v>45900.119999999995</v>
      </c>
      <c r="V29" s="130">
        <f t="shared" si="8"/>
        <v>32100.039999999983</v>
      </c>
      <c r="W29" s="130">
        <f t="shared" si="8"/>
        <v>16799.999999999989</v>
      </c>
      <c r="X29" s="130">
        <f t="shared" si="8"/>
        <v>-1.0913936421275139E-11</v>
      </c>
      <c r="Y29" s="130">
        <f t="shared" si="8"/>
        <v>-1.0913936421275139E-11</v>
      </c>
      <c r="Z29" s="130">
        <f t="shared" si="8"/>
        <v>-1.0913936421275139E-11</v>
      </c>
    </row>
    <row r="30" spans="1:26">
      <c r="A30" s="162" t="s">
        <v>6</v>
      </c>
      <c r="B30" s="22"/>
      <c r="D30" s="130">
        <f t="shared" ref="D30:M32" si="9">+D29-D24</f>
        <v>70000</v>
      </c>
      <c r="E30" s="130">
        <f t="shared" si="9"/>
        <v>70000</v>
      </c>
      <c r="F30" s="130">
        <f t="shared" si="9"/>
        <v>70000</v>
      </c>
      <c r="G30" s="130">
        <f t="shared" si="9"/>
        <v>70000</v>
      </c>
      <c r="H30" s="130">
        <f t="shared" si="9"/>
        <v>70000</v>
      </c>
      <c r="I30" s="130">
        <f t="shared" si="9"/>
        <v>70000</v>
      </c>
      <c r="J30" s="130">
        <f t="shared" si="9"/>
        <v>70000</v>
      </c>
      <c r="K30" s="130">
        <f t="shared" si="9"/>
        <v>70000</v>
      </c>
      <c r="L30" s="130">
        <f t="shared" si="9"/>
        <v>70000</v>
      </c>
      <c r="M30" s="130">
        <f t="shared" si="9"/>
        <v>70000</v>
      </c>
      <c r="N30" s="130">
        <f t="shared" ref="N30:W32" si="10">+N29-N24</f>
        <v>70000</v>
      </c>
      <c r="O30" s="130">
        <f t="shared" si="10"/>
        <v>70000</v>
      </c>
      <c r="P30" s="130">
        <f t="shared" si="10"/>
        <v>70000</v>
      </c>
      <c r="Q30" s="130">
        <f t="shared" si="10"/>
        <v>70000</v>
      </c>
      <c r="R30" s="130">
        <f t="shared" si="10"/>
        <v>70000</v>
      </c>
      <c r="S30" s="130">
        <f t="shared" si="10"/>
        <v>70000</v>
      </c>
      <c r="T30" s="130">
        <f t="shared" si="10"/>
        <v>55350.119999999995</v>
      </c>
      <c r="U30" s="130">
        <f t="shared" si="10"/>
        <v>42450.099999999991</v>
      </c>
      <c r="V30" s="130">
        <f t="shared" si="10"/>
        <v>28275.029999999984</v>
      </c>
      <c r="W30" s="130">
        <f t="shared" si="10"/>
        <v>12599.999999999989</v>
      </c>
      <c r="X30" s="130">
        <f t="shared" ref="X30:Z32" si="11">+X29-X24</f>
        <v>-1.0913936421275139E-11</v>
      </c>
      <c r="Y30" s="130">
        <f t="shared" si="11"/>
        <v>-1.0913936421275139E-11</v>
      </c>
      <c r="Z30" s="130">
        <f t="shared" si="11"/>
        <v>-1.0913936421275139E-11</v>
      </c>
    </row>
    <row r="31" spans="1:26">
      <c r="A31" s="162" t="s">
        <v>7</v>
      </c>
      <c r="B31" s="22"/>
      <c r="D31" s="130">
        <f t="shared" si="9"/>
        <v>70000</v>
      </c>
      <c r="E31" s="130">
        <f t="shared" si="9"/>
        <v>70000</v>
      </c>
      <c r="F31" s="130">
        <f t="shared" si="9"/>
        <v>70000</v>
      </c>
      <c r="G31" s="130">
        <f t="shared" si="9"/>
        <v>70000</v>
      </c>
      <c r="H31" s="130">
        <f t="shared" si="9"/>
        <v>70000</v>
      </c>
      <c r="I31" s="130">
        <f t="shared" si="9"/>
        <v>70000</v>
      </c>
      <c r="J31" s="130">
        <f t="shared" si="9"/>
        <v>70000</v>
      </c>
      <c r="K31" s="130">
        <f t="shared" si="9"/>
        <v>70000</v>
      </c>
      <c r="L31" s="130">
        <f t="shared" si="9"/>
        <v>70000</v>
      </c>
      <c r="M31" s="130">
        <f t="shared" si="9"/>
        <v>70000</v>
      </c>
      <c r="N31" s="130">
        <f t="shared" si="10"/>
        <v>70000</v>
      </c>
      <c r="O31" s="130">
        <f t="shared" si="10"/>
        <v>70000</v>
      </c>
      <c r="P31" s="130">
        <f t="shared" si="10"/>
        <v>70000</v>
      </c>
      <c r="Q31" s="130">
        <f t="shared" si="10"/>
        <v>70000</v>
      </c>
      <c r="R31" s="130">
        <f t="shared" si="10"/>
        <v>70000</v>
      </c>
      <c r="S31" s="130">
        <f t="shared" si="10"/>
        <v>70000</v>
      </c>
      <c r="T31" s="130">
        <f t="shared" si="10"/>
        <v>52200.119999999995</v>
      </c>
      <c r="U31" s="130">
        <f t="shared" si="10"/>
        <v>39000.079999999987</v>
      </c>
      <c r="V31" s="130">
        <f t="shared" si="10"/>
        <v>24450.019999999986</v>
      </c>
      <c r="W31" s="130">
        <f t="shared" si="10"/>
        <v>8399.9999999999891</v>
      </c>
      <c r="X31" s="130">
        <f t="shared" si="11"/>
        <v>-1.0913936421275139E-11</v>
      </c>
      <c r="Y31" s="130">
        <f t="shared" si="11"/>
        <v>-1.0913936421275139E-11</v>
      </c>
      <c r="Z31" s="130">
        <f t="shared" si="11"/>
        <v>-1.0913936421275139E-11</v>
      </c>
    </row>
    <row r="32" spans="1:26">
      <c r="A32" s="162" t="s">
        <v>8</v>
      </c>
      <c r="B32" s="22"/>
      <c r="D32" s="130">
        <f t="shared" si="9"/>
        <v>70000</v>
      </c>
      <c r="E32" s="130">
        <f t="shared" si="9"/>
        <v>70000</v>
      </c>
      <c r="F32" s="130">
        <f t="shared" si="9"/>
        <v>70000</v>
      </c>
      <c r="G32" s="130">
        <f t="shared" si="9"/>
        <v>70000</v>
      </c>
      <c r="H32" s="130">
        <f t="shared" si="9"/>
        <v>70000</v>
      </c>
      <c r="I32" s="130">
        <f t="shared" si="9"/>
        <v>70000</v>
      </c>
      <c r="J32" s="130">
        <f t="shared" si="9"/>
        <v>70000</v>
      </c>
      <c r="K32" s="130">
        <f t="shared" si="9"/>
        <v>70000</v>
      </c>
      <c r="L32" s="130">
        <f t="shared" si="9"/>
        <v>70000</v>
      </c>
      <c r="M32" s="130">
        <f t="shared" si="9"/>
        <v>70000</v>
      </c>
      <c r="N32" s="130">
        <f t="shared" si="10"/>
        <v>70000</v>
      </c>
      <c r="O32" s="130">
        <f t="shared" si="10"/>
        <v>70000</v>
      </c>
      <c r="P32" s="130">
        <f t="shared" si="10"/>
        <v>70000</v>
      </c>
      <c r="Q32" s="130">
        <f t="shared" si="10"/>
        <v>70000</v>
      </c>
      <c r="R32" s="130">
        <f t="shared" si="10"/>
        <v>70000</v>
      </c>
      <c r="S32" s="130">
        <f t="shared" si="10"/>
        <v>64250.06</v>
      </c>
      <c r="T32" s="130">
        <f t="shared" si="10"/>
        <v>49050.119999999995</v>
      </c>
      <c r="U32" s="130">
        <f t="shared" si="10"/>
        <v>35550.059999999983</v>
      </c>
      <c r="V32" s="130">
        <f t="shared" si="10"/>
        <v>20625.009999999987</v>
      </c>
      <c r="W32" s="130">
        <f t="shared" si="10"/>
        <v>4199.9999999999891</v>
      </c>
      <c r="X32" s="130">
        <f t="shared" si="11"/>
        <v>-1.0913936421275139E-11</v>
      </c>
      <c r="Y32" s="130">
        <f t="shared" si="11"/>
        <v>-1.0913936421275139E-11</v>
      </c>
      <c r="Z32" s="130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103</v>
      </c>
      <c r="C35" s="74">
        <v>90</v>
      </c>
      <c r="D35" s="130">
        <f t="shared" ref="D35:Z35" si="12">+D29+D17</f>
        <v>150300</v>
      </c>
      <c r="E35" s="130">
        <f t="shared" si="12"/>
        <v>149697.75</v>
      </c>
      <c r="F35" s="130">
        <f t="shared" si="12"/>
        <v>148694</v>
      </c>
      <c r="G35" s="130">
        <f t="shared" si="12"/>
        <v>147288.75</v>
      </c>
      <c r="H35" s="130">
        <f t="shared" si="12"/>
        <v>145482</v>
      </c>
      <c r="I35" s="130">
        <f t="shared" si="12"/>
        <v>143273.75</v>
      </c>
      <c r="J35" s="130">
        <f t="shared" si="12"/>
        <v>141065.5</v>
      </c>
      <c r="K35" s="130">
        <f t="shared" si="12"/>
        <v>138455.75</v>
      </c>
      <c r="L35" s="130">
        <f t="shared" si="12"/>
        <v>135444.5</v>
      </c>
      <c r="M35" s="130">
        <f t="shared" si="12"/>
        <v>132031.75</v>
      </c>
      <c r="N35" s="130">
        <f t="shared" si="12"/>
        <v>128217.5</v>
      </c>
      <c r="O35" s="130">
        <f t="shared" si="12"/>
        <v>119617.37</v>
      </c>
      <c r="P35" s="130">
        <f t="shared" si="12"/>
        <v>109555.78</v>
      </c>
      <c r="Q35" s="130">
        <f t="shared" si="12"/>
        <v>100184.76999999999</v>
      </c>
      <c r="R35" s="130">
        <f t="shared" si="12"/>
        <v>89432.6</v>
      </c>
      <c r="S35" s="130">
        <f t="shared" si="12"/>
        <v>76945.95</v>
      </c>
      <c r="T35" s="130">
        <f t="shared" si="12"/>
        <v>58500.119999999995</v>
      </c>
      <c r="U35" s="130">
        <f t="shared" si="12"/>
        <v>45900.119999999995</v>
      </c>
      <c r="V35" s="130">
        <f t="shared" si="12"/>
        <v>32100.039999999979</v>
      </c>
      <c r="W35" s="130">
        <f t="shared" si="12"/>
        <v>16799.999999999985</v>
      </c>
      <c r="X35" s="130">
        <f t="shared" si="12"/>
        <v>-1.4551915228366852E-11</v>
      </c>
      <c r="Y35" s="130">
        <f t="shared" si="12"/>
        <v>-1.4551915228366852E-11</v>
      </c>
      <c r="Z35" s="130">
        <f t="shared" si="12"/>
        <v>-1.4551915228366852E-11</v>
      </c>
    </row>
    <row r="36" spans="1:26">
      <c r="A36" s="162" t="s">
        <v>6</v>
      </c>
      <c r="B36" s="22"/>
      <c r="C36" s="74">
        <v>91</v>
      </c>
      <c r="D36" s="130">
        <f t="shared" ref="D36:Z36" si="13">+D30+D18</f>
        <v>150300</v>
      </c>
      <c r="E36" s="130">
        <f t="shared" si="13"/>
        <v>149446.8125</v>
      </c>
      <c r="F36" s="130">
        <f t="shared" si="13"/>
        <v>148342.6875</v>
      </c>
      <c r="G36" s="130">
        <f t="shared" si="13"/>
        <v>146837.0625</v>
      </c>
      <c r="H36" s="130">
        <f t="shared" si="13"/>
        <v>144929.9375</v>
      </c>
      <c r="I36" s="130">
        <f t="shared" si="13"/>
        <v>142721.6875</v>
      </c>
      <c r="J36" s="130">
        <f t="shared" si="13"/>
        <v>140413.0625</v>
      </c>
      <c r="K36" s="130">
        <f t="shared" si="13"/>
        <v>137702.9375</v>
      </c>
      <c r="L36" s="130">
        <f t="shared" si="13"/>
        <v>134591.3125</v>
      </c>
      <c r="M36" s="130">
        <f t="shared" si="13"/>
        <v>131078.1875</v>
      </c>
      <c r="N36" s="130">
        <f t="shared" si="13"/>
        <v>126067.4675</v>
      </c>
      <c r="O36" s="130">
        <f t="shared" si="13"/>
        <v>117101.9725</v>
      </c>
      <c r="P36" s="130">
        <f t="shared" si="13"/>
        <v>107213.0275</v>
      </c>
      <c r="Q36" s="130">
        <f t="shared" si="13"/>
        <v>97496.727499999994</v>
      </c>
      <c r="R36" s="130">
        <f t="shared" si="13"/>
        <v>86310.9375</v>
      </c>
      <c r="S36" s="130">
        <f t="shared" si="13"/>
        <v>73472.974999999991</v>
      </c>
      <c r="T36" s="130">
        <f t="shared" si="13"/>
        <v>55350.119999999995</v>
      </c>
      <c r="U36" s="130">
        <f t="shared" si="13"/>
        <v>42450.099999999991</v>
      </c>
      <c r="V36" s="130">
        <f t="shared" si="13"/>
        <v>28275.029999999981</v>
      </c>
      <c r="W36" s="130">
        <f t="shared" si="13"/>
        <v>12599.999999999985</v>
      </c>
      <c r="X36" s="130">
        <f t="shared" si="13"/>
        <v>-1.4551915228366852E-11</v>
      </c>
      <c r="Y36" s="130">
        <f t="shared" si="13"/>
        <v>-1.4551915228366852E-11</v>
      </c>
      <c r="Z36" s="130">
        <f t="shared" si="13"/>
        <v>-1.4551915228366852E-11</v>
      </c>
    </row>
    <row r="37" spans="1:26">
      <c r="A37" s="162" t="s">
        <v>7</v>
      </c>
      <c r="B37" s="22"/>
      <c r="C37" s="74">
        <v>92</v>
      </c>
      <c r="D37" s="130">
        <f t="shared" ref="D37:Z37" si="14">+D31+D19</f>
        <v>150300</v>
      </c>
      <c r="E37" s="130">
        <f t="shared" si="14"/>
        <v>149195.875</v>
      </c>
      <c r="F37" s="130">
        <f t="shared" si="14"/>
        <v>147991.375</v>
      </c>
      <c r="G37" s="130">
        <f t="shared" si="14"/>
        <v>146385.375</v>
      </c>
      <c r="H37" s="130">
        <f t="shared" si="14"/>
        <v>144377.875</v>
      </c>
      <c r="I37" s="130">
        <f t="shared" si="14"/>
        <v>142169.625</v>
      </c>
      <c r="J37" s="130">
        <f t="shared" si="14"/>
        <v>139760.625</v>
      </c>
      <c r="K37" s="130">
        <f t="shared" si="14"/>
        <v>136950.125</v>
      </c>
      <c r="L37" s="130">
        <f t="shared" si="14"/>
        <v>133738.125</v>
      </c>
      <c r="M37" s="130">
        <f t="shared" si="14"/>
        <v>130124.625</v>
      </c>
      <c r="N37" s="130">
        <f t="shared" si="14"/>
        <v>123917.435</v>
      </c>
      <c r="O37" s="130">
        <f t="shared" si="14"/>
        <v>114586.575</v>
      </c>
      <c r="P37" s="130">
        <f t="shared" si="14"/>
        <v>104870.27499999999</v>
      </c>
      <c r="Q37" s="130">
        <f t="shared" si="14"/>
        <v>94808.684999999998</v>
      </c>
      <c r="R37" s="130">
        <f t="shared" si="14"/>
        <v>83189.274999999994</v>
      </c>
      <c r="S37" s="130">
        <f t="shared" si="14"/>
        <v>70000</v>
      </c>
      <c r="T37" s="130">
        <f t="shared" si="14"/>
        <v>52200.119999999995</v>
      </c>
      <c r="U37" s="130">
        <f t="shared" si="14"/>
        <v>39000.079999999987</v>
      </c>
      <c r="V37" s="130">
        <f t="shared" si="14"/>
        <v>24450.019999999982</v>
      </c>
      <c r="W37" s="130">
        <f t="shared" si="14"/>
        <v>8399.9999999999854</v>
      </c>
      <c r="X37" s="130">
        <f t="shared" si="14"/>
        <v>-1.4551915228366852E-11</v>
      </c>
      <c r="Y37" s="130">
        <f t="shared" si="14"/>
        <v>-1.4551915228366852E-11</v>
      </c>
      <c r="Z37" s="130">
        <f t="shared" si="14"/>
        <v>-1.4551915228366852E-11</v>
      </c>
    </row>
    <row r="38" spans="1:26">
      <c r="A38" s="162" t="s">
        <v>8</v>
      </c>
      <c r="B38" s="22"/>
      <c r="C38" s="75">
        <v>92</v>
      </c>
      <c r="D38" s="130">
        <f t="shared" ref="D38:Z38" si="15">+D32+D20</f>
        <v>149998.875</v>
      </c>
      <c r="E38" s="130">
        <f t="shared" si="15"/>
        <v>148944.9375</v>
      </c>
      <c r="F38" s="130">
        <f t="shared" si="15"/>
        <v>147640.0625</v>
      </c>
      <c r="G38" s="130">
        <f t="shared" si="15"/>
        <v>145933.6875</v>
      </c>
      <c r="H38" s="130">
        <f t="shared" si="15"/>
        <v>143825.8125</v>
      </c>
      <c r="I38" s="130">
        <f t="shared" si="15"/>
        <v>141617.5625</v>
      </c>
      <c r="J38" s="130">
        <f t="shared" si="15"/>
        <v>139108.1875</v>
      </c>
      <c r="K38" s="130">
        <f t="shared" si="15"/>
        <v>136197.3125</v>
      </c>
      <c r="L38" s="130">
        <f t="shared" si="15"/>
        <v>132884.9375</v>
      </c>
      <c r="M38" s="130">
        <f t="shared" si="15"/>
        <v>129171.0625</v>
      </c>
      <c r="N38" s="130">
        <f t="shared" si="15"/>
        <v>121767.4025</v>
      </c>
      <c r="O38" s="130">
        <f t="shared" si="15"/>
        <v>112071.17749999999</v>
      </c>
      <c r="P38" s="130">
        <f t="shared" si="15"/>
        <v>102527.52249999999</v>
      </c>
      <c r="Q38" s="130">
        <f t="shared" si="15"/>
        <v>92120.642500000002</v>
      </c>
      <c r="R38" s="130">
        <f t="shared" si="15"/>
        <v>80067.612500000003</v>
      </c>
      <c r="S38" s="130">
        <f t="shared" si="15"/>
        <v>64250.06</v>
      </c>
      <c r="T38" s="130">
        <f t="shared" si="15"/>
        <v>49050.119999999995</v>
      </c>
      <c r="U38" s="130">
        <f t="shared" si="15"/>
        <v>35550.059999999983</v>
      </c>
      <c r="V38" s="130">
        <f t="shared" si="15"/>
        <v>20625.009999999984</v>
      </c>
      <c r="W38" s="130">
        <f t="shared" si="15"/>
        <v>4199.9999999999854</v>
      </c>
      <c r="X38" s="130">
        <f t="shared" si="15"/>
        <v>-1.4551915228366852E-11</v>
      </c>
      <c r="Y38" s="130">
        <f t="shared" si="15"/>
        <v>-1.4551915228366852E-11</v>
      </c>
      <c r="Z38" s="130">
        <f t="shared" si="15"/>
        <v>-1.4551915228366852E-11</v>
      </c>
    </row>
    <row r="39" spans="1:26">
      <c r="A39" s="162"/>
      <c r="B39" s="22"/>
      <c r="C39" s="74">
        <f>SUM(C35:C38)</f>
        <v>365</v>
      </c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>
      <c r="A40" s="162"/>
      <c r="B40" s="22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>
      <c r="A41" s="163" t="s">
        <v>69</v>
      </c>
      <c r="B41" s="77"/>
      <c r="D41" s="130">
        <f t="shared" ref="D41:Z41" si="16">+SUMPRODUCT($C$35:$C$38,D35:D38)/$C$39</f>
        <v>150224.1</v>
      </c>
      <c r="E41" s="130">
        <f t="shared" si="16"/>
        <v>149318.9375</v>
      </c>
      <c r="F41" s="130">
        <f t="shared" si="16"/>
        <v>148163.66250000001</v>
      </c>
      <c r="G41" s="130">
        <f t="shared" si="16"/>
        <v>146606.88750000001</v>
      </c>
      <c r="H41" s="130">
        <f t="shared" si="16"/>
        <v>144648.61249999999</v>
      </c>
      <c r="I41" s="130">
        <f t="shared" si="16"/>
        <v>142440.36249999999</v>
      </c>
      <c r="J41" s="130">
        <f t="shared" si="16"/>
        <v>140080.58749999999</v>
      </c>
      <c r="K41" s="130">
        <f t="shared" si="16"/>
        <v>137319.3125</v>
      </c>
      <c r="L41" s="130">
        <f t="shared" si="16"/>
        <v>134156.53750000001</v>
      </c>
      <c r="M41" s="130">
        <f t="shared" si="16"/>
        <v>130592.2625</v>
      </c>
      <c r="N41" s="130">
        <f t="shared" si="16"/>
        <v>124971.8345</v>
      </c>
      <c r="O41" s="130">
        <f t="shared" si="16"/>
        <v>115820.15349999999</v>
      </c>
      <c r="P41" s="130">
        <f t="shared" si="16"/>
        <v>106019.1865</v>
      </c>
      <c r="Q41" s="130">
        <f t="shared" si="16"/>
        <v>96126.930499999988</v>
      </c>
      <c r="R41" s="130">
        <f t="shared" si="16"/>
        <v>84720.172500000001</v>
      </c>
      <c r="S41" s="130">
        <f t="shared" si="16"/>
        <v>71129.265054794523</v>
      </c>
      <c r="T41" s="130">
        <f t="shared" si="16"/>
        <v>53744.914520547936</v>
      </c>
      <c r="U41" s="130">
        <f t="shared" si="16"/>
        <v>40692.00761643835</v>
      </c>
      <c r="V41" s="130">
        <f t="shared" si="16"/>
        <v>26325.846821917788</v>
      </c>
      <c r="W41" s="130">
        <f t="shared" si="16"/>
        <v>10459.726027397244</v>
      </c>
      <c r="X41" s="130">
        <f t="shared" si="16"/>
        <v>-1.4551915228366852E-11</v>
      </c>
      <c r="Y41" s="130">
        <f t="shared" si="16"/>
        <v>-1.4551915228366852E-11</v>
      </c>
      <c r="Z41" s="130">
        <f t="shared" si="16"/>
        <v>-1.4551915228366852E-11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68</v>
      </c>
      <c r="B44" s="77"/>
      <c r="C44" s="13" t="s">
        <v>25</v>
      </c>
      <c r="D44" s="18">
        <f t="shared" ref="D44:Z44" si="17">+D41/$C$54*$C$55*($C$52-$C$53)</f>
        <v>0.81014391064638824</v>
      </c>
      <c r="E44" s="18">
        <f t="shared" si="17"/>
        <v>0.80526245762040594</v>
      </c>
      <c r="F44" s="18">
        <f t="shared" si="17"/>
        <v>0.79903217229087486</v>
      </c>
      <c r="G44" s="18">
        <f t="shared" si="17"/>
        <v>0.79063663664448713</v>
      </c>
      <c r="H44" s="18">
        <f t="shared" si="17"/>
        <v>0.7800758506812423</v>
      </c>
      <c r="I44" s="18">
        <f t="shared" si="17"/>
        <v>0.76816697393853006</v>
      </c>
      <c r="J44" s="18">
        <f t="shared" si="17"/>
        <v>0.75544093765842868</v>
      </c>
      <c r="K44" s="18">
        <f t="shared" si="17"/>
        <v>0.74054965106147053</v>
      </c>
      <c r="L44" s="18">
        <f t="shared" si="17"/>
        <v>0.7234931141476556</v>
      </c>
      <c r="M44" s="18">
        <f t="shared" si="17"/>
        <v>0.7042713269169838</v>
      </c>
      <c r="N44" s="18">
        <f t="shared" si="17"/>
        <v>0.67396090722116631</v>
      </c>
      <c r="O44" s="18">
        <f t="shared" si="17"/>
        <v>0.62460678471799769</v>
      </c>
      <c r="P44" s="18">
        <f t="shared" si="17"/>
        <v>0.57175112618187607</v>
      </c>
      <c r="Q44" s="18">
        <f t="shared" si="17"/>
        <v>0.51840315497782019</v>
      </c>
      <c r="R44" s="18">
        <f t="shared" si="17"/>
        <v>0.45688762229087471</v>
      </c>
      <c r="S44" s="18">
        <f t="shared" si="17"/>
        <v>0.38359318480120513</v>
      </c>
      <c r="T44" s="18">
        <f t="shared" si="17"/>
        <v>0.2898410789416116</v>
      </c>
      <c r="U44" s="18">
        <f t="shared" si="17"/>
        <v>0.21944802586558335</v>
      </c>
      <c r="V44" s="18">
        <f t="shared" si="17"/>
        <v>0.14197272272149589</v>
      </c>
      <c r="W44" s="18">
        <f t="shared" si="17"/>
        <v>5.6408281681337512E-2</v>
      </c>
      <c r="X44" s="18">
        <f t="shared" si="17"/>
        <v>-7.847705867769452E-17</v>
      </c>
      <c r="Y44" s="18">
        <f t="shared" si="17"/>
        <v>-7.847705867769452E-17</v>
      </c>
      <c r="Z44" s="18">
        <f t="shared" si="17"/>
        <v>-7.847705867769452E-17</v>
      </c>
    </row>
    <row r="45" spans="1:26" s="13" customFormat="1">
      <c r="A45" s="163" t="s">
        <v>67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-0.38985608935361171</v>
      </c>
      <c r="E46" s="18">
        <f t="shared" si="18"/>
        <v>-0.38473754237959401</v>
      </c>
      <c r="F46" s="18">
        <f t="shared" si="18"/>
        <v>-0.38096782770912507</v>
      </c>
      <c r="G46" s="18">
        <f t="shared" si="18"/>
        <v>-0.37936336335551279</v>
      </c>
      <c r="H46" s="18">
        <f t="shared" si="18"/>
        <v>-0.36992414931875761</v>
      </c>
      <c r="I46" s="18">
        <f t="shared" si="18"/>
        <v>-0.36183302606146983</v>
      </c>
      <c r="J46" s="18">
        <f t="shared" si="18"/>
        <v>-0.35455906234157142</v>
      </c>
      <c r="K46" s="18">
        <f t="shared" si="18"/>
        <v>-0.34945034893852955</v>
      </c>
      <c r="L46" s="18">
        <f t="shared" si="18"/>
        <v>-0.33650688585234445</v>
      </c>
      <c r="M46" s="18">
        <f t="shared" si="18"/>
        <v>-0.32572867308301623</v>
      </c>
      <c r="N46" s="18">
        <f t="shared" si="18"/>
        <v>-0.30603909277883368</v>
      </c>
      <c r="O46" s="18">
        <f t="shared" si="18"/>
        <v>-0.27539321528200233</v>
      </c>
      <c r="P46" s="18">
        <f t="shared" si="18"/>
        <v>-0.24824887381812388</v>
      </c>
      <c r="Q46" s="18">
        <f t="shared" si="18"/>
        <v>-0.2215968450221798</v>
      </c>
      <c r="R46" s="18">
        <f t="shared" si="18"/>
        <v>-0.18311237770912531</v>
      </c>
      <c r="S46" s="18">
        <f t="shared" si="18"/>
        <v>-0.14640681519879489</v>
      </c>
      <c r="T46" s="18">
        <f t="shared" si="18"/>
        <v>-0.11015892105838843</v>
      </c>
      <c r="U46" s="18">
        <f t="shared" si="18"/>
        <v>-8.0551974134416643E-2</v>
      </c>
      <c r="V46" s="18">
        <f t="shared" si="18"/>
        <v>-4.8027277278504116E-2</v>
      </c>
      <c r="W46" s="18">
        <f t="shared" si="18"/>
        <v>-2.359171831866249E-2</v>
      </c>
      <c r="X46" s="18">
        <f t="shared" si="18"/>
        <v>-7.847705867769452E-17</v>
      </c>
      <c r="Y46" s="18">
        <f t="shared" si="18"/>
        <v>-7.847705867769452E-17</v>
      </c>
      <c r="Z46" s="18">
        <f t="shared" si="18"/>
        <v>-7.847705867769452E-17</v>
      </c>
    </row>
    <row r="47" spans="1:26">
      <c r="A47" s="129"/>
      <c r="B47" s="129"/>
    </row>
    <row r="48" spans="1:26" ht="13.5" thickBot="1">
      <c r="A48" s="129"/>
      <c r="B48" s="129"/>
    </row>
    <row r="49" spans="1:15" s="9" customFormat="1" ht="13.5" thickBot="1">
      <c r="A49" s="259" t="s">
        <v>70</v>
      </c>
      <c r="B49" s="260"/>
      <c r="C49" s="261"/>
      <c r="E49"/>
      <c r="F49"/>
      <c r="G49"/>
      <c r="H49"/>
      <c r="I49"/>
      <c r="J49"/>
      <c r="K49"/>
      <c r="L49"/>
      <c r="M49"/>
      <c r="N49"/>
      <c r="O49"/>
    </row>
    <row r="50" spans="1:15" s="9" customFormat="1">
      <c r="A50" s="92" t="s">
        <v>14</v>
      </c>
      <c r="B50" s="93"/>
      <c r="C50" s="132">
        <v>80300</v>
      </c>
      <c r="E50"/>
      <c r="F50"/>
      <c r="G50"/>
      <c r="H50"/>
      <c r="I50"/>
      <c r="J50"/>
      <c r="K50"/>
      <c r="L50"/>
      <c r="M50"/>
      <c r="N50"/>
      <c r="O50"/>
    </row>
    <row r="51" spans="1:15" s="9" customFormat="1">
      <c r="A51" s="94" t="s">
        <v>15</v>
      </c>
      <c r="B51" s="45"/>
      <c r="C51" s="134">
        <v>70000</v>
      </c>
      <c r="E51"/>
      <c r="F51"/>
      <c r="G51"/>
      <c r="H51"/>
      <c r="I51"/>
      <c r="J51"/>
      <c r="K51"/>
      <c r="L51"/>
      <c r="M51"/>
      <c r="N51"/>
      <c r="O51"/>
    </row>
    <row r="52" spans="1:15" s="9" customFormat="1">
      <c r="A52" s="94" t="s">
        <v>12</v>
      </c>
      <c r="B52" s="45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</row>
    <row r="53" spans="1:15" s="9" customFormat="1">
      <c r="A53" s="94" t="s">
        <v>11</v>
      </c>
      <c r="B53" s="45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</row>
    <row r="54" spans="1:15" s="9" customFormat="1">
      <c r="A54" s="94" t="s">
        <v>80</v>
      </c>
      <c r="B54" s="98">
        <f>'Damage Calculations'!F8/1000</f>
        <v>263</v>
      </c>
      <c r="C54" s="97">
        <f>+B54*12</f>
        <v>3156</v>
      </c>
      <c r="E54"/>
      <c r="F54"/>
      <c r="G54"/>
      <c r="H54"/>
      <c r="I54"/>
      <c r="J54"/>
      <c r="K54"/>
      <c r="L54"/>
      <c r="M54"/>
      <c r="N54"/>
      <c r="O54"/>
    </row>
    <row r="55" spans="1:15" s="9" customFormat="1" ht="13.5" thickBot="1">
      <c r="A55" s="95" t="s">
        <v>79</v>
      </c>
      <c r="B55" s="96"/>
      <c r="C55" s="137">
        <v>1</v>
      </c>
      <c r="E55"/>
      <c r="F55"/>
      <c r="G55"/>
      <c r="H55"/>
      <c r="I55"/>
      <c r="J55"/>
      <c r="K55"/>
      <c r="L55"/>
      <c r="M55"/>
      <c r="N55"/>
      <c r="O55"/>
    </row>
    <row r="56" spans="1:15">
      <c r="A56" s="129"/>
      <c r="B56" s="129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showGridLines="0" zoomScale="75" workbookViewId="0">
      <selection sqref="A1:K43"/>
    </sheetView>
  </sheetViews>
  <sheetFormatPr defaultRowHeight="12.75"/>
  <cols>
    <col min="1" max="1" width="2.85546875" style="202" customWidth="1"/>
    <col min="2" max="2" width="5.7109375" style="202" customWidth="1"/>
    <col min="3" max="3" width="9" style="202" customWidth="1"/>
    <col min="4" max="4" width="37" style="202" customWidth="1"/>
    <col min="5" max="5" width="10.7109375" style="202" customWidth="1"/>
    <col min="6" max="6" width="20.42578125" style="202" customWidth="1"/>
    <col min="7" max="7" width="9.42578125" style="202" customWidth="1"/>
    <col min="8" max="8" width="20.42578125" style="202" customWidth="1"/>
    <col min="9" max="9" width="9.42578125" style="202" customWidth="1"/>
    <col min="10" max="10" width="20.28515625" style="202" customWidth="1"/>
    <col min="11" max="11" width="5" style="202" customWidth="1"/>
    <col min="12" max="16384" width="9.140625" style="202"/>
  </cols>
  <sheetData>
    <row r="1" spans="1:11" ht="22.5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</row>
    <row r="2" spans="1:11" ht="15">
      <c r="A2" s="248" t="s">
        <v>143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</row>
    <row r="3" spans="1:11" ht="15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</row>
    <row r="4" spans="1:11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1" ht="15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</row>
    <row r="6" spans="1:11" ht="18">
      <c r="A6" s="203"/>
      <c r="B6" s="203"/>
      <c r="C6" s="203"/>
      <c r="D6" s="203"/>
      <c r="E6" s="203"/>
      <c r="F6" s="203"/>
      <c r="G6" s="203"/>
      <c r="H6" s="203"/>
      <c r="J6" s="203"/>
    </row>
    <row r="7" spans="1:11" ht="15">
      <c r="A7" s="262" t="s">
        <v>121</v>
      </c>
      <c r="B7" s="262"/>
      <c r="C7" s="262"/>
      <c r="D7" s="262"/>
      <c r="E7" s="262"/>
      <c r="F7" s="262"/>
      <c r="G7" s="262"/>
      <c r="H7" s="262"/>
      <c r="I7" s="262"/>
      <c r="J7" s="262"/>
      <c r="K7" s="262"/>
    </row>
    <row r="8" spans="1:11" ht="15">
      <c r="A8" s="204"/>
    </row>
    <row r="9" spans="1:11" ht="16.5" thickBot="1">
      <c r="A9" s="204"/>
      <c r="B9" s="205" t="s">
        <v>122</v>
      </c>
    </row>
    <row r="10" spans="1:11" ht="16.5" thickBot="1">
      <c r="B10" s="205"/>
      <c r="C10" s="202" t="str">
        <f>+[5]Valuation!B90</f>
        <v>DSCR Reserve</v>
      </c>
      <c r="F10" s="237">
        <v>7723.8554842664298</v>
      </c>
      <c r="H10" s="202" t="s">
        <v>29</v>
      </c>
      <c r="J10" s="229">
        <v>6.25E-2</v>
      </c>
    </row>
    <row r="11" spans="1:11" ht="15.75">
      <c r="B11" s="205"/>
      <c r="C11" s="202" t="str">
        <f>+[5]Valuation!B91</f>
        <v>Overhaul Reserve</v>
      </c>
      <c r="F11" s="238">
        <v>4110</v>
      </c>
      <c r="H11" s="202" t="s">
        <v>141</v>
      </c>
      <c r="J11" s="230">
        <f>1/(1+$J$10)^1</f>
        <v>0.94117647058823528</v>
      </c>
    </row>
    <row r="12" spans="1:11" ht="15.75">
      <c r="B12" s="205"/>
      <c r="C12" s="202" t="s">
        <v>123</v>
      </c>
      <c r="F12" s="206">
        <f>SUM(F10:F11)</f>
        <v>11833.855484266431</v>
      </c>
      <c r="H12" s="202" t="s">
        <v>142</v>
      </c>
      <c r="J12" s="230">
        <f>1/(1+$J$10)^0.5</f>
        <v>0.97014250014533188</v>
      </c>
    </row>
    <row r="13" spans="1:11" ht="17.25">
      <c r="B13" s="205"/>
      <c r="C13" s="202" t="str">
        <f>+[5]Valuation!B92</f>
        <v>COBANK Stock - Book Value</v>
      </c>
      <c r="F13" s="238">
        <v>1544</v>
      </c>
      <c r="H13" s="207"/>
      <c r="J13" s="207"/>
    </row>
    <row r="14" spans="1:11" ht="18" thickBot="1">
      <c r="B14" s="205"/>
      <c r="C14" s="202" t="s">
        <v>124</v>
      </c>
      <c r="F14" s="208">
        <f>SUM(F12:F13)</f>
        <v>13377.855484266431</v>
      </c>
      <c r="H14" s="207"/>
      <c r="J14" s="207"/>
    </row>
    <row r="15" spans="1:11" ht="16.5" thickTop="1">
      <c r="B15" s="205"/>
      <c r="F15" s="209"/>
      <c r="H15" s="209"/>
      <c r="J15" s="210"/>
    </row>
    <row r="16" spans="1:11" ht="15">
      <c r="A16" s="262" t="s">
        <v>125</v>
      </c>
      <c r="B16" s="262"/>
      <c r="C16" s="262"/>
      <c r="D16" s="262"/>
      <c r="E16" s="262"/>
      <c r="F16" s="262"/>
      <c r="G16" s="262"/>
      <c r="H16" s="262"/>
      <c r="I16" s="262"/>
      <c r="J16" s="262"/>
      <c r="K16" s="262"/>
    </row>
    <row r="17" spans="1:10" ht="15.75">
      <c r="B17" s="205"/>
      <c r="F17" s="209"/>
      <c r="H17" s="209"/>
      <c r="J17" s="210"/>
    </row>
    <row r="18" spans="1:10" ht="15.75">
      <c r="B18" s="205"/>
      <c r="F18" s="210" t="s">
        <v>144</v>
      </c>
      <c r="H18" s="210" t="s">
        <v>126</v>
      </c>
      <c r="J18" s="210" t="s">
        <v>127</v>
      </c>
    </row>
    <row r="19" spans="1:10" ht="15.75">
      <c r="B19" s="205" t="str">
        <f>"NPV "&amp;J10*100&amp;"%"</f>
        <v>NPV 6.25%</v>
      </c>
      <c r="F19" s="211">
        <v>36739</v>
      </c>
      <c r="H19" s="212">
        <v>36658</v>
      </c>
      <c r="J19" s="212">
        <v>36677</v>
      </c>
    </row>
    <row r="20" spans="1:10" ht="15.75">
      <c r="F20" s="213"/>
      <c r="H20" s="213"/>
      <c r="J20" s="213"/>
    </row>
    <row r="21" spans="1:10">
      <c r="C21" s="214" t="s">
        <v>128</v>
      </c>
      <c r="F21" s="215">
        <v>36892</v>
      </c>
      <c r="H21" s="215">
        <v>37257</v>
      </c>
      <c r="J21" s="215">
        <v>36892</v>
      </c>
    </row>
    <row r="22" spans="1:10" ht="13.5" thickBot="1"/>
    <row r="23" spans="1:10" s="214" customFormat="1" ht="13.5" thickBot="1">
      <c r="A23" s="216"/>
      <c r="C23" s="216" t="s">
        <v>129</v>
      </c>
      <c r="F23" s="217">
        <v>259618</v>
      </c>
      <c r="G23" s="234"/>
      <c r="H23" s="217">
        <v>164705.88235294117</v>
      </c>
      <c r="I23" s="234"/>
      <c r="J23" s="217">
        <v>189000</v>
      </c>
    </row>
    <row r="24" spans="1:10" s="214" customFormat="1">
      <c r="A24" s="216"/>
      <c r="C24" s="216"/>
      <c r="F24" s="235"/>
      <c r="G24" s="234"/>
      <c r="H24" s="218"/>
      <c r="I24" s="234"/>
      <c r="J24" s="218"/>
    </row>
    <row r="25" spans="1:10" s="219" customFormat="1">
      <c r="C25" s="220" t="s">
        <v>130</v>
      </c>
      <c r="F25" s="221">
        <v>0</v>
      </c>
      <c r="G25" s="233"/>
      <c r="H25" s="222">
        <v>14117.64705882353</v>
      </c>
      <c r="I25" s="233"/>
      <c r="J25" s="222">
        <v>15000</v>
      </c>
    </row>
    <row r="26" spans="1:10">
      <c r="A26" s="223"/>
      <c r="C26" s="220"/>
      <c r="F26" s="221"/>
      <c r="G26" s="233"/>
      <c r="H26" s="221"/>
      <c r="I26" s="233"/>
      <c r="J26" s="221"/>
    </row>
    <row r="27" spans="1:10">
      <c r="A27" s="223"/>
      <c r="C27" s="220" t="s">
        <v>131</v>
      </c>
      <c r="F27" s="222" t="s">
        <v>132</v>
      </c>
      <c r="G27" s="233"/>
      <c r="H27" s="221">
        <v>1443.4098876172457</v>
      </c>
      <c r="I27" s="233"/>
      <c r="J27" s="221">
        <v>531.38569166666673</v>
      </c>
    </row>
    <row r="28" spans="1:10">
      <c r="A28" s="223"/>
      <c r="C28" s="220" t="s">
        <v>133</v>
      </c>
      <c r="F28" s="222" t="s">
        <v>132</v>
      </c>
      <c r="G28" s="233"/>
      <c r="H28" s="236">
        <v>10502.593565609553</v>
      </c>
      <c r="I28" s="233"/>
      <c r="J28" s="222" t="s">
        <v>132</v>
      </c>
    </row>
    <row r="29" spans="1:10">
      <c r="A29" s="223"/>
      <c r="C29" s="220" t="s">
        <v>134</v>
      </c>
      <c r="F29" s="222" t="s">
        <v>132</v>
      </c>
      <c r="G29" s="233"/>
      <c r="H29" s="221">
        <v>14613.85674322052</v>
      </c>
      <c r="I29" s="233"/>
      <c r="J29" s="222" t="s">
        <v>132</v>
      </c>
    </row>
    <row r="30" spans="1:10">
      <c r="A30" s="223"/>
      <c r="C30" s="220" t="s">
        <v>135</v>
      </c>
      <c r="F30" s="221">
        <v>0</v>
      </c>
      <c r="G30" s="233"/>
      <c r="H30" s="221">
        <v>11137.746338133111</v>
      </c>
      <c r="I30" s="221"/>
      <c r="J30" s="221">
        <v>11833.855484266431</v>
      </c>
    </row>
    <row r="31" spans="1:10">
      <c r="A31" s="223"/>
      <c r="F31" s="233"/>
      <c r="G31" s="233"/>
      <c r="H31" s="233"/>
      <c r="I31" s="233"/>
      <c r="J31" s="233"/>
    </row>
    <row r="32" spans="1:10">
      <c r="C32" s="220" t="s">
        <v>136</v>
      </c>
      <c r="F32" s="221">
        <v>-14979.233650628297</v>
      </c>
      <c r="G32" s="233"/>
      <c r="H32" s="221">
        <v>-12360.366802565886</v>
      </c>
      <c r="I32" s="233"/>
      <c r="J32" s="221">
        <v>-8867.6955154360803</v>
      </c>
    </row>
    <row r="33" spans="3:10" s="219" customFormat="1">
      <c r="C33" s="220" t="str">
        <f>+C14</f>
        <v>Value of Assets NOT Included In Offer</v>
      </c>
      <c r="F33" s="221">
        <v>-13377.855484266431</v>
      </c>
      <c r="G33" s="233"/>
      <c r="H33" s="221">
        <v>0</v>
      </c>
      <c r="I33" s="233"/>
      <c r="J33" s="221">
        <v>0</v>
      </c>
    </row>
    <row r="34" spans="3:10" s="219" customFormat="1">
      <c r="C34" s="220"/>
      <c r="F34" s="221"/>
      <c r="G34" s="233"/>
      <c r="H34" s="221"/>
      <c r="I34" s="233"/>
      <c r="J34" s="221"/>
    </row>
    <row r="35" spans="3:10" s="219" customFormat="1">
      <c r="C35" s="220" t="s">
        <v>137</v>
      </c>
      <c r="F35" s="221">
        <v>-12510.932011515881</v>
      </c>
      <c r="G35" s="233"/>
      <c r="H35" s="221">
        <v>-12510.932011515881</v>
      </c>
      <c r="I35" s="233"/>
      <c r="J35" s="221">
        <v>-12510.932011515881</v>
      </c>
    </row>
    <row r="36" spans="3:10" s="219" customFormat="1">
      <c r="C36" s="220" t="s">
        <v>138</v>
      </c>
      <c r="F36" s="221">
        <v>-6888</v>
      </c>
      <c r="G36" s="233"/>
      <c r="H36" s="221">
        <v>-6888</v>
      </c>
      <c r="I36" s="233"/>
      <c r="J36" s="221">
        <v>-6888</v>
      </c>
    </row>
    <row r="37" spans="3:10">
      <c r="F37" s="232"/>
      <c r="G37" s="231"/>
      <c r="H37" s="232"/>
      <c r="I37" s="231"/>
      <c r="J37" s="232"/>
    </row>
    <row r="38" spans="3:10" s="214" customFormat="1" ht="13.5" thickBot="1">
      <c r="C38" s="214" t="s">
        <v>139</v>
      </c>
      <c r="F38" s="225">
        <f>SUM(F23:F36)</f>
        <v>211861.97885358939</v>
      </c>
      <c r="H38" s="225">
        <f>SUM(H23:H36)</f>
        <v>184761.83713226338</v>
      </c>
      <c r="J38" s="225">
        <f>SUM(J23:J36)</f>
        <v>188098.61364898112</v>
      </c>
    </row>
    <row r="39" spans="3:10" ht="13.5" thickTop="1">
      <c r="F39" s="224"/>
      <c r="H39" s="224"/>
      <c r="J39" s="224"/>
    </row>
    <row r="40" spans="3:10" s="214" customFormat="1">
      <c r="C40" s="214" t="s">
        <v>65</v>
      </c>
      <c r="F40" s="226"/>
      <c r="H40" s="227">
        <f>+H38-$F$38</f>
        <v>-27100.141721326014</v>
      </c>
      <c r="J40" s="227">
        <f>+J38-$F$38</f>
        <v>-23763.365204608272</v>
      </c>
    </row>
    <row r="41" spans="3:10" s="214" customFormat="1">
      <c r="F41" s="226"/>
      <c r="H41" s="226"/>
      <c r="J41" s="226"/>
    </row>
    <row r="42" spans="3:10" s="214" customFormat="1">
      <c r="C42" s="214" t="s">
        <v>140</v>
      </c>
      <c r="F42" s="226"/>
      <c r="H42" s="228">
        <f>-H40/$F$38</f>
        <v>0.1279141347964752</v>
      </c>
      <c r="J42" s="228">
        <f>-J40/$F$38</f>
        <v>0.11216436914822893</v>
      </c>
    </row>
  </sheetData>
  <mergeCells count="6">
    <mergeCell ref="A7:K7"/>
    <mergeCell ref="A16:K16"/>
    <mergeCell ref="A1:K1"/>
    <mergeCell ref="A2:K2"/>
    <mergeCell ref="A3:K3"/>
    <mergeCell ref="A5:K5"/>
  </mergeCells>
  <printOptions horizontalCentered="1"/>
  <pageMargins left="0.25" right="0.25" top="0.25" bottom="0.25" header="0.25" footer="0.25"/>
  <pageSetup scale="85" orientation="landscape" r:id="rId1"/>
  <headerFooter alignWithMargins="0">
    <oddFooter>&amp;L&amp;F, &amp;A&amp;R&amp;D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zoomScale="75" workbookViewId="0">
      <selection activeCell="F4" sqref="F4"/>
    </sheetView>
  </sheetViews>
  <sheetFormatPr defaultRowHeight="12.75"/>
  <cols>
    <col min="1" max="1" width="10.7109375" style="9" customWidth="1"/>
    <col min="2" max="2" width="8.85546875" style="9" customWidth="1"/>
    <col min="3" max="3" width="7.7109375" style="9" customWidth="1"/>
    <col min="4" max="4" width="12.28515625" style="9" customWidth="1"/>
    <col min="5" max="5" width="7.7109375" style="9" customWidth="1"/>
    <col min="6" max="7" width="12.28515625" style="9" customWidth="1"/>
    <col min="8" max="8" width="7.7109375" style="9" customWidth="1"/>
    <col min="9" max="9" width="12.28515625" style="9" customWidth="1"/>
    <col min="10" max="10" width="11.28515625" style="9" customWidth="1"/>
    <col min="11" max="16384" width="9.140625" style="9"/>
  </cols>
  <sheetData>
    <row r="1" spans="1:10" ht="22.5">
      <c r="A1" s="247" t="s">
        <v>106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0">
      <c r="A2" s="263" t="s">
        <v>107</v>
      </c>
      <c r="B2" s="263"/>
      <c r="C2" s="263"/>
      <c r="D2" s="263"/>
      <c r="E2" s="263"/>
      <c r="F2" s="263"/>
      <c r="G2" s="263"/>
      <c r="H2" s="263"/>
      <c r="I2" s="263"/>
      <c r="J2" s="263"/>
    </row>
    <row r="4" spans="1:10" ht="13.5" thickBot="1"/>
    <row r="5" spans="1:10">
      <c r="C5" s="189"/>
      <c r="D5" s="93"/>
      <c r="E5" s="93"/>
      <c r="F5" s="93"/>
      <c r="G5" s="93"/>
      <c r="H5" s="190"/>
    </row>
    <row r="6" spans="1:10">
      <c r="C6" s="191"/>
      <c r="D6" s="192" t="s">
        <v>29</v>
      </c>
      <c r="E6" s="45"/>
      <c r="F6" s="45"/>
      <c r="G6" s="171">
        <v>9.1254701185139772E-2</v>
      </c>
      <c r="H6" s="193"/>
    </row>
    <row r="7" spans="1:10">
      <c r="C7" s="191"/>
      <c r="D7" s="194"/>
      <c r="E7" s="45"/>
      <c r="F7" s="45"/>
      <c r="G7" s="45"/>
      <c r="H7" s="193"/>
    </row>
    <row r="8" spans="1:10" ht="15">
      <c r="C8" s="191"/>
      <c r="D8" s="45"/>
      <c r="E8" s="45"/>
      <c r="F8" s="45"/>
      <c r="G8" s="123" t="s">
        <v>108</v>
      </c>
      <c r="H8" s="193"/>
    </row>
    <row r="9" spans="1:10">
      <c r="C9" s="191"/>
      <c r="D9" s="192"/>
      <c r="E9" s="45"/>
      <c r="F9" s="45"/>
      <c r="G9" s="195"/>
      <c r="H9" s="193"/>
    </row>
    <row r="10" spans="1:10">
      <c r="C10" s="191"/>
      <c r="D10" s="192" t="s">
        <v>109</v>
      </c>
      <c r="E10" s="45"/>
      <c r="F10" s="45"/>
      <c r="G10" s="195">
        <f>NPV($G$6,D24:D37)</f>
        <v>534342514.47604048</v>
      </c>
      <c r="H10" s="193"/>
    </row>
    <row r="11" spans="1:10">
      <c r="C11" s="191"/>
      <c r="D11" s="192" t="s">
        <v>110</v>
      </c>
      <c r="E11" s="45"/>
      <c r="F11" s="45"/>
      <c r="G11" s="196">
        <f>NPV($G$6,F24:F37)</f>
        <v>179481356.53734419</v>
      </c>
      <c r="H11" s="193"/>
    </row>
    <row r="12" spans="1:10">
      <c r="C12" s="191"/>
      <c r="D12" s="192" t="s">
        <v>111</v>
      </c>
      <c r="E12" s="45"/>
      <c r="F12" s="45"/>
      <c r="G12" s="195">
        <f>+G10-G11</f>
        <v>354861157.93869627</v>
      </c>
      <c r="H12" s="193"/>
    </row>
    <row r="13" spans="1:10">
      <c r="C13" s="191"/>
      <c r="D13" s="192"/>
      <c r="E13" s="45"/>
      <c r="F13" s="45"/>
      <c r="G13" s="195"/>
      <c r="H13" s="193"/>
    </row>
    <row r="14" spans="1:10">
      <c r="C14" s="191"/>
      <c r="D14" s="192" t="s">
        <v>109</v>
      </c>
      <c r="E14" s="45"/>
      <c r="F14" s="45"/>
      <c r="G14" s="195">
        <f>+G10</f>
        <v>534342514.47604048</v>
      </c>
      <c r="H14" s="193"/>
    </row>
    <row r="15" spans="1:10">
      <c r="C15" s="191"/>
      <c r="D15" s="192" t="s">
        <v>112</v>
      </c>
      <c r="E15" s="45"/>
      <c r="F15" s="45"/>
      <c r="G15" s="196">
        <f>NPV($G$6,I24:I37)</f>
        <v>494342514.475425</v>
      </c>
      <c r="H15" s="193"/>
    </row>
    <row r="16" spans="1:10">
      <c r="C16" s="191"/>
      <c r="D16" s="192" t="s">
        <v>113</v>
      </c>
      <c r="E16" s="45"/>
      <c r="F16" s="45"/>
      <c r="G16" s="195">
        <f>+G14-G15</f>
        <v>40000000.000615478</v>
      </c>
      <c r="H16" s="193"/>
    </row>
    <row r="17" spans="1:10">
      <c r="C17" s="191"/>
      <c r="D17" s="192"/>
      <c r="E17" s="45"/>
      <c r="F17" s="45"/>
      <c r="G17" s="195"/>
      <c r="H17" s="193"/>
    </row>
    <row r="18" spans="1:10">
      <c r="C18" s="191"/>
      <c r="D18" s="192" t="s">
        <v>114</v>
      </c>
      <c r="E18" s="45"/>
      <c r="F18" s="45"/>
      <c r="G18" s="197">
        <f>+G16/G10</f>
        <v>7.4858351931510123E-2</v>
      </c>
      <c r="H18" s="193"/>
    </row>
    <row r="19" spans="1:10">
      <c r="C19" s="191"/>
      <c r="D19" s="192" t="s">
        <v>115</v>
      </c>
      <c r="E19" s="45"/>
      <c r="F19" s="45"/>
      <c r="G19" s="197">
        <f>+G16/G12</f>
        <v>0.11272014168292165</v>
      </c>
      <c r="H19" s="193"/>
    </row>
    <row r="20" spans="1:10" ht="13.5" thickBot="1">
      <c r="C20" s="198"/>
      <c r="D20" s="199"/>
      <c r="E20" s="96"/>
      <c r="F20" s="96"/>
      <c r="G20" s="200"/>
      <c r="H20" s="201"/>
    </row>
    <row r="21" spans="1:10">
      <c r="D21" s="144"/>
      <c r="G21" s="172"/>
    </row>
    <row r="22" spans="1:10">
      <c r="G22" s="172"/>
    </row>
    <row r="23" spans="1:10">
      <c r="A23" s="30" t="s">
        <v>116</v>
      </c>
      <c r="B23" s="30" t="s">
        <v>117</v>
      </c>
      <c r="C23" s="239" t="s">
        <v>109</v>
      </c>
      <c r="D23" s="241"/>
      <c r="E23" s="239" t="s">
        <v>110</v>
      </c>
      <c r="F23" s="241"/>
      <c r="G23" s="30" t="s">
        <v>118</v>
      </c>
      <c r="H23" s="239" t="s">
        <v>112</v>
      </c>
      <c r="I23" s="241"/>
      <c r="J23" s="30" t="s">
        <v>119</v>
      </c>
    </row>
    <row r="24" spans="1:10">
      <c r="A24" s="173">
        <v>2000</v>
      </c>
      <c r="B24" s="174">
        <v>788954</v>
      </c>
      <c r="C24" s="175">
        <v>76.48</v>
      </c>
      <c r="D24" s="176">
        <f>+B24*C24</f>
        <v>60339201.920000002</v>
      </c>
      <c r="E24" s="175">
        <v>23.03</v>
      </c>
      <c r="F24" s="176">
        <f t="shared" ref="F24:F37" si="0">+B24*E24</f>
        <v>18169610.620000001</v>
      </c>
      <c r="G24" s="177">
        <f t="shared" ref="G24:G37" si="1">+D24-F24</f>
        <v>42169591.299999997</v>
      </c>
      <c r="H24" s="175">
        <v>70.739999999999995</v>
      </c>
      <c r="I24" s="176">
        <f t="shared" ref="I24:I37" si="2">+B24*H24</f>
        <v>55810605.959999993</v>
      </c>
      <c r="J24" s="178">
        <f t="shared" ref="J24:J37" si="3">+D24-I24</f>
        <v>4528595.9600000083</v>
      </c>
    </row>
    <row r="25" spans="1:10">
      <c r="A25" s="160">
        <f>+A24+1</f>
        <v>2001</v>
      </c>
      <c r="B25" s="179">
        <v>788954</v>
      </c>
      <c r="C25" s="180">
        <v>78.03</v>
      </c>
      <c r="D25" s="181">
        <f t="shared" ref="D25:D37" si="4">+B25*C25</f>
        <v>61562080.619999997</v>
      </c>
      <c r="E25" s="180">
        <v>29.71</v>
      </c>
      <c r="F25" s="181">
        <f t="shared" si="0"/>
        <v>23439823.34</v>
      </c>
      <c r="G25" s="182">
        <f t="shared" si="1"/>
        <v>38122257.280000001</v>
      </c>
      <c r="H25" s="180">
        <v>72.17</v>
      </c>
      <c r="I25" s="181">
        <f t="shared" si="2"/>
        <v>56938810.18</v>
      </c>
      <c r="J25" s="158">
        <f t="shared" si="3"/>
        <v>4623270.4399999976</v>
      </c>
    </row>
    <row r="26" spans="1:10">
      <c r="A26" s="160">
        <f t="shared" ref="A26:A37" si="5">+A25+1</f>
        <v>2002</v>
      </c>
      <c r="B26" s="179">
        <v>788954</v>
      </c>
      <c r="C26" s="180">
        <v>79.5</v>
      </c>
      <c r="D26" s="181">
        <f t="shared" si="4"/>
        <v>62721843</v>
      </c>
      <c r="E26" s="180">
        <v>29.7</v>
      </c>
      <c r="F26" s="181">
        <f t="shared" si="0"/>
        <v>23431933.800000001</v>
      </c>
      <c r="G26" s="182">
        <f t="shared" si="1"/>
        <v>39289909.200000003</v>
      </c>
      <c r="H26" s="180">
        <v>73.53</v>
      </c>
      <c r="I26" s="181">
        <f t="shared" si="2"/>
        <v>58011787.619999997</v>
      </c>
      <c r="J26" s="158">
        <f t="shared" si="3"/>
        <v>4710055.3800000027</v>
      </c>
    </row>
    <row r="27" spans="1:10">
      <c r="A27" s="160">
        <f t="shared" si="5"/>
        <v>2003</v>
      </c>
      <c r="B27" s="179">
        <v>811229</v>
      </c>
      <c r="C27" s="180">
        <v>80.69</v>
      </c>
      <c r="D27" s="181">
        <f t="shared" si="4"/>
        <v>65458068.009999998</v>
      </c>
      <c r="E27" s="180">
        <v>28.56</v>
      </c>
      <c r="F27" s="181">
        <f t="shared" si="0"/>
        <v>23168700.239999998</v>
      </c>
      <c r="G27" s="182">
        <f t="shared" si="1"/>
        <v>42289367.769999996</v>
      </c>
      <c r="H27" s="180">
        <v>74.64</v>
      </c>
      <c r="I27" s="181">
        <f t="shared" si="2"/>
        <v>60550132.560000002</v>
      </c>
      <c r="J27" s="158">
        <f t="shared" si="3"/>
        <v>4907935.4499999955</v>
      </c>
    </row>
    <row r="28" spans="1:10">
      <c r="A28" s="160">
        <f t="shared" si="5"/>
        <v>2004</v>
      </c>
      <c r="B28" s="179">
        <v>855779</v>
      </c>
      <c r="C28" s="180">
        <v>81.56</v>
      </c>
      <c r="D28" s="181">
        <f t="shared" si="4"/>
        <v>69797335.239999995</v>
      </c>
      <c r="E28" s="180">
        <v>27.94</v>
      </c>
      <c r="F28" s="181">
        <f t="shared" si="0"/>
        <v>23910465.260000002</v>
      </c>
      <c r="G28" s="182">
        <f t="shared" si="1"/>
        <v>45886869.979999989</v>
      </c>
      <c r="H28" s="180">
        <v>75.44</v>
      </c>
      <c r="I28" s="181">
        <f t="shared" si="2"/>
        <v>64559967.759999998</v>
      </c>
      <c r="J28" s="158">
        <f t="shared" si="3"/>
        <v>5237367.4799999967</v>
      </c>
    </row>
    <row r="29" spans="1:10">
      <c r="A29" s="160">
        <f t="shared" si="5"/>
        <v>2005</v>
      </c>
      <c r="B29" s="179">
        <v>855779</v>
      </c>
      <c r="C29" s="180">
        <v>83.2</v>
      </c>
      <c r="D29" s="181">
        <f t="shared" si="4"/>
        <v>71200812.799999997</v>
      </c>
      <c r="E29" s="180">
        <v>28.07</v>
      </c>
      <c r="F29" s="181">
        <f t="shared" si="0"/>
        <v>24021716.530000001</v>
      </c>
      <c r="G29" s="182">
        <f t="shared" si="1"/>
        <v>47179096.269999996</v>
      </c>
      <c r="H29" s="180">
        <v>76.959999999999994</v>
      </c>
      <c r="I29" s="181">
        <f t="shared" si="2"/>
        <v>65860751.839999996</v>
      </c>
      <c r="J29" s="158">
        <f t="shared" si="3"/>
        <v>5340060.9600000009</v>
      </c>
    </row>
    <row r="30" spans="1:10">
      <c r="A30" s="160">
        <f t="shared" si="5"/>
        <v>2006</v>
      </c>
      <c r="B30" s="179">
        <v>855779</v>
      </c>
      <c r="C30" s="180">
        <v>85.13</v>
      </c>
      <c r="D30" s="181">
        <f t="shared" si="4"/>
        <v>72852466.269999996</v>
      </c>
      <c r="E30" s="180">
        <v>28.26</v>
      </c>
      <c r="F30" s="181">
        <f t="shared" si="0"/>
        <v>24184314.540000003</v>
      </c>
      <c r="G30" s="182">
        <f t="shared" si="1"/>
        <v>48668151.729999989</v>
      </c>
      <c r="H30" s="180">
        <v>78.739999999999995</v>
      </c>
      <c r="I30" s="181">
        <f t="shared" si="2"/>
        <v>67384038.459999993</v>
      </c>
      <c r="J30" s="158">
        <f t="shared" si="3"/>
        <v>5468427.8100000024</v>
      </c>
    </row>
    <row r="31" spans="1:10">
      <c r="A31" s="160">
        <f t="shared" si="5"/>
        <v>2007</v>
      </c>
      <c r="B31" s="179">
        <v>855779</v>
      </c>
      <c r="C31" s="180">
        <v>86.86</v>
      </c>
      <c r="D31" s="181">
        <f t="shared" si="4"/>
        <v>74332963.939999998</v>
      </c>
      <c r="E31" s="180">
        <v>28.26</v>
      </c>
      <c r="F31" s="181">
        <f t="shared" si="0"/>
        <v>24184314.540000003</v>
      </c>
      <c r="G31" s="182">
        <f t="shared" si="1"/>
        <v>50148649.399999991</v>
      </c>
      <c r="H31" s="180">
        <v>80.34</v>
      </c>
      <c r="I31" s="181">
        <f t="shared" si="2"/>
        <v>68753284.859999999</v>
      </c>
      <c r="J31" s="158">
        <f t="shared" si="3"/>
        <v>5579679.0799999982</v>
      </c>
    </row>
    <row r="32" spans="1:10">
      <c r="A32" s="160">
        <f t="shared" si="5"/>
        <v>2008</v>
      </c>
      <c r="B32" s="179">
        <v>855779</v>
      </c>
      <c r="C32" s="180">
        <v>88.79</v>
      </c>
      <c r="D32" s="181">
        <f t="shared" si="4"/>
        <v>75984617.410000011</v>
      </c>
      <c r="E32" s="180">
        <v>28.8</v>
      </c>
      <c r="F32" s="181">
        <f t="shared" si="0"/>
        <v>24646435.199999999</v>
      </c>
      <c r="G32" s="182">
        <f t="shared" si="1"/>
        <v>51338182.210000008</v>
      </c>
      <c r="H32" s="180">
        <v>82.13</v>
      </c>
      <c r="I32" s="181">
        <f t="shared" si="2"/>
        <v>70285129.269999996</v>
      </c>
      <c r="J32" s="158">
        <f t="shared" si="3"/>
        <v>5699488.1400000155</v>
      </c>
    </row>
    <row r="33" spans="1:10">
      <c r="A33" s="160">
        <f t="shared" si="5"/>
        <v>2009</v>
      </c>
      <c r="B33" s="179">
        <v>855779</v>
      </c>
      <c r="C33" s="180">
        <v>90.69</v>
      </c>
      <c r="D33" s="181">
        <f t="shared" si="4"/>
        <v>77610597.510000005</v>
      </c>
      <c r="E33" s="180">
        <v>29.08</v>
      </c>
      <c r="F33" s="181">
        <f t="shared" si="0"/>
        <v>24886053.32</v>
      </c>
      <c r="G33" s="182">
        <f t="shared" si="1"/>
        <v>52724544.190000005</v>
      </c>
      <c r="H33" s="180">
        <v>83.88</v>
      </c>
      <c r="I33" s="181">
        <f t="shared" si="2"/>
        <v>71782742.519999996</v>
      </c>
      <c r="J33" s="158">
        <f t="shared" si="3"/>
        <v>5827854.9900000095</v>
      </c>
    </row>
    <row r="34" spans="1:10">
      <c r="A34" s="160">
        <f t="shared" si="5"/>
        <v>2010</v>
      </c>
      <c r="B34" s="179">
        <v>855779</v>
      </c>
      <c r="C34" s="180">
        <v>92.71</v>
      </c>
      <c r="D34" s="181">
        <f t="shared" si="4"/>
        <v>79339271.089999989</v>
      </c>
      <c r="E34" s="180">
        <v>29.36</v>
      </c>
      <c r="F34" s="181">
        <f t="shared" si="0"/>
        <v>25125671.440000001</v>
      </c>
      <c r="G34" s="182">
        <f t="shared" si="1"/>
        <v>54213599.649999991</v>
      </c>
      <c r="H34" s="180">
        <v>85.76</v>
      </c>
      <c r="I34" s="181">
        <f t="shared" si="2"/>
        <v>73391607.040000007</v>
      </c>
      <c r="J34" s="158">
        <f t="shared" si="3"/>
        <v>5947664.0499999821</v>
      </c>
    </row>
    <row r="35" spans="1:10">
      <c r="A35" s="160">
        <f t="shared" si="5"/>
        <v>2011</v>
      </c>
      <c r="B35" s="179">
        <v>855779</v>
      </c>
      <c r="C35" s="180">
        <v>94.78</v>
      </c>
      <c r="D35" s="181">
        <f t="shared" si="4"/>
        <v>81110733.620000005</v>
      </c>
      <c r="E35" s="180">
        <v>29.64</v>
      </c>
      <c r="F35" s="181">
        <f t="shared" si="0"/>
        <v>25365289.559999999</v>
      </c>
      <c r="G35" s="182">
        <f t="shared" si="1"/>
        <v>55745444.060000002</v>
      </c>
      <c r="H35" s="180">
        <v>87.67</v>
      </c>
      <c r="I35" s="181">
        <f t="shared" si="2"/>
        <v>75026144.930000007</v>
      </c>
      <c r="J35" s="158">
        <f t="shared" si="3"/>
        <v>6084588.6899999976</v>
      </c>
    </row>
    <row r="36" spans="1:10">
      <c r="A36" s="160">
        <f t="shared" si="5"/>
        <v>2012</v>
      </c>
      <c r="B36" s="179">
        <v>855779</v>
      </c>
      <c r="C36" s="180">
        <v>96.9</v>
      </c>
      <c r="D36" s="181">
        <f t="shared" si="4"/>
        <v>82924985.100000009</v>
      </c>
      <c r="E36" s="180">
        <v>29.64</v>
      </c>
      <c r="F36" s="181">
        <f t="shared" si="0"/>
        <v>25365289.559999999</v>
      </c>
      <c r="G36" s="182">
        <f t="shared" si="1"/>
        <v>57559695.540000007</v>
      </c>
      <c r="H36" s="180">
        <v>89.63</v>
      </c>
      <c r="I36" s="181">
        <f t="shared" si="2"/>
        <v>76703471.769999996</v>
      </c>
      <c r="J36" s="158">
        <f t="shared" si="3"/>
        <v>6221513.3300000131</v>
      </c>
    </row>
    <row r="37" spans="1:10">
      <c r="A37" s="183">
        <f t="shared" si="5"/>
        <v>2013</v>
      </c>
      <c r="B37" s="184">
        <v>570519</v>
      </c>
      <c r="C37" s="185">
        <v>99.3</v>
      </c>
      <c r="D37" s="186">
        <f t="shared" si="4"/>
        <v>56652536.699999996</v>
      </c>
      <c r="E37" s="185">
        <v>33.75</v>
      </c>
      <c r="F37" s="186">
        <f t="shared" si="0"/>
        <v>19255016.25</v>
      </c>
      <c r="G37" s="187">
        <f t="shared" si="1"/>
        <v>37397520.449999996</v>
      </c>
      <c r="H37" s="185">
        <v>92.43</v>
      </c>
      <c r="I37" s="186">
        <f t="shared" si="2"/>
        <v>52733071.170000002</v>
      </c>
      <c r="J37" s="188">
        <f t="shared" si="3"/>
        <v>3919465.5299999937</v>
      </c>
    </row>
    <row r="42" spans="1:10">
      <c r="A42" s="9" t="s">
        <v>120</v>
      </c>
    </row>
  </sheetData>
  <mergeCells count="5">
    <mergeCell ref="A1:J1"/>
    <mergeCell ref="A2:J2"/>
    <mergeCell ref="E23:F23"/>
    <mergeCell ref="C23:D23"/>
    <mergeCell ref="H23:I23"/>
  </mergeCells>
  <printOptions horizontalCentered="1"/>
  <pageMargins left="0.25" right="0.2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Damage Calculations</vt:lpstr>
      <vt:lpstr>Tenaska's i Adjustment</vt:lpstr>
      <vt:lpstr>Brazos' i Adjustment</vt:lpstr>
      <vt:lpstr>Offer Comparison</vt:lpstr>
      <vt:lpstr>Cedar Brakes</vt:lpstr>
      <vt:lpstr>PPE-ENA Offer</vt:lpstr>
      <vt:lpstr>'Brazos'' i Adjustment'!Print_Area</vt:lpstr>
      <vt:lpstr>'Cedar Brakes'!Print_Area</vt:lpstr>
      <vt:lpstr>'Damage Calculations'!Print_Area</vt:lpstr>
      <vt:lpstr>'Offer Comparison'!Print_Area</vt:lpstr>
      <vt:lpstr>Summary!Print_Area</vt:lpstr>
      <vt:lpstr>'Tenaska''s i Adjustment'!Print_Area</vt:lpstr>
      <vt:lpstr>'Offer Comparison'!Print_Titles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clandry</dc:creator>
  <cp:lastModifiedBy>Jan Havlíček</cp:lastModifiedBy>
  <cp:lastPrinted>2000-11-15T01:55:02Z</cp:lastPrinted>
  <dcterms:created xsi:type="dcterms:W3CDTF">2000-06-02T22:33:54Z</dcterms:created>
  <dcterms:modified xsi:type="dcterms:W3CDTF">2023-09-11T23:45:09Z</dcterms:modified>
</cp:coreProperties>
</file>