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754CDB-50DD-4BCC-8235-C50790BFED77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YTD Mgmt Summary" sheetId="6" state="hidden" r:id="rId1"/>
    <sheet name="QTD Mgmt Summary" sheetId="12" r:id="rId2"/>
    <sheet name="GM-WklyChnge" sheetId="7" state="hidden" r:id="rId3"/>
    <sheet name="GrossMargin" sheetId="15" r:id="rId4"/>
    <sheet name="WeeklyExpChange" sheetId="10" state="hidden" r:id="rId5"/>
    <sheet name="Expenses" sheetId="17" r:id="rId6"/>
    <sheet name="Cap Charge" sheetId="18" r:id="rId7"/>
    <sheet name="YTD Mgmt Summ" sheetId="20" r:id="rId8"/>
    <sheet name="YTD GrossMargin" sheetId="19" r:id="rId9"/>
  </sheets>
  <externalReferences>
    <externalReference r:id="rId10"/>
    <externalReference r:id="rId11"/>
    <externalReference r:id="rId12"/>
  </externalReferences>
  <definedNames>
    <definedName name="_xlnm.Print_Area" localSheetId="6">'Cap Charge'!$A$1:$K$88</definedName>
    <definedName name="_xlnm.Print_Area" localSheetId="5">Expenses!$A$1:$K$91</definedName>
    <definedName name="_xlnm.Print_Area" localSheetId="2">'GM-WklyChnge'!$A$1:$K$68</definedName>
    <definedName name="_xlnm.Print_Area" localSheetId="3">GrossMargin!$A$1:$K$89</definedName>
    <definedName name="_xlnm.Print_Area" localSheetId="1">'QTD Mgmt Summary'!$A$1:$Q$91</definedName>
    <definedName name="_xlnm.Print_Area" localSheetId="4">WeeklyExpChange!$A$1:$J$87</definedName>
    <definedName name="_xlnm.Print_Area" localSheetId="8">'YTD GrossMargin'!$A$1:$K$91</definedName>
    <definedName name="_xlnm.Print_Area" localSheetId="7">'YTD Mgmt Summ'!$A$1:$Q$93</definedName>
    <definedName name="_xlnm.Print_Area" localSheetId="0">'YTD Mgmt Summary'!$A$1:$Q$90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8" l="1"/>
  <c r="A9" i="18"/>
  <c r="E9" i="18"/>
  <c r="A10" i="18"/>
  <c r="E10" i="18"/>
  <c r="A11" i="18"/>
  <c r="E11" i="18"/>
  <c r="A12" i="18"/>
  <c r="E12" i="18"/>
  <c r="A13" i="18"/>
  <c r="E13" i="18"/>
  <c r="A14" i="18"/>
  <c r="E14" i="18"/>
  <c r="A15" i="18"/>
  <c r="E15" i="18"/>
  <c r="A16" i="18"/>
  <c r="E16" i="18"/>
  <c r="A17" i="18"/>
  <c r="E17" i="18"/>
  <c r="A18" i="18"/>
  <c r="E18" i="18"/>
  <c r="A19" i="18"/>
  <c r="E19" i="18"/>
  <c r="A20" i="18"/>
  <c r="E20" i="18"/>
  <c r="A21" i="18"/>
  <c r="E21" i="18"/>
  <c r="A22" i="18"/>
  <c r="E22" i="18"/>
  <c r="C23" i="18"/>
  <c r="D23" i="18"/>
  <c r="E23" i="18"/>
  <c r="A24" i="18"/>
  <c r="E24" i="18"/>
  <c r="A25" i="18"/>
  <c r="E25" i="18"/>
  <c r="A26" i="18"/>
  <c r="E26" i="18"/>
  <c r="A27" i="18"/>
  <c r="E27" i="18"/>
  <c r="A28" i="18"/>
  <c r="E28" i="18"/>
  <c r="A29" i="18"/>
  <c r="E29" i="18"/>
  <c r="A30" i="18"/>
  <c r="E30" i="18"/>
  <c r="C31" i="18"/>
  <c r="D31" i="18"/>
  <c r="E31" i="18"/>
  <c r="A32" i="18"/>
  <c r="E32" i="18"/>
  <c r="A33" i="18"/>
  <c r="E33" i="18"/>
  <c r="A34" i="18"/>
  <c r="E34" i="18"/>
  <c r="A35" i="18"/>
  <c r="E35" i="18"/>
  <c r="A36" i="18"/>
  <c r="E36" i="18"/>
  <c r="A37" i="18"/>
  <c r="E37" i="18"/>
  <c r="A38" i="18"/>
  <c r="E38" i="18"/>
  <c r="A39" i="18"/>
  <c r="E39" i="18"/>
  <c r="A40" i="18"/>
  <c r="E40" i="18"/>
  <c r="A41" i="18"/>
  <c r="E41" i="18"/>
  <c r="A42" i="18"/>
  <c r="E42" i="18"/>
  <c r="A43" i="18"/>
  <c r="E43" i="18"/>
  <c r="A44" i="18"/>
  <c r="E44" i="18"/>
  <c r="C45" i="18"/>
  <c r="D45" i="18"/>
  <c r="E45" i="18"/>
  <c r="A46" i="18"/>
  <c r="E46" i="18"/>
  <c r="A47" i="18"/>
  <c r="E47" i="18"/>
  <c r="A48" i="18"/>
  <c r="E48" i="18"/>
  <c r="A49" i="18"/>
  <c r="E49" i="18"/>
  <c r="A50" i="18"/>
  <c r="E50" i="18"/>
  <c r="A51" i="18"/>
  <c r="E51" i="18"/>
  <c r="C52" i="18"/>
  <c r="D52" i="18"/>
  <c r="E52" i="18"/>
  <c r="A53" i="18"/>
  <c r="E53" i="18"/>
  <c r="A54" i="18"/>
  <c r="E54" i="18"/>
  <c r="A55" i="18"/>
  <c r="E55" i="18"/>
  <c r="A56" i="18"/>
  <c r="E56" i="18"/>
  <c r="A57" i="18"/>
  <c r="E57" i="18"/>
  <c r="A58" i="18"/>
  <c r="E58" i="18"/>
  <c r="A59" i="18"/>
  <c r="E59" i="18"/>
  <c r="A60" i="18"/>
  <c r="E60" i="18"/>
  <c r="A61" i="18"/>
  <c r="E61" i="18"/>
  <c r="A62" i="18"/>
  <c r="E62" i="18"/>
  <c r="A63" i="18"/>
  <c r="E63" i="18"/>
  <c r="A64" i="18"/>
  <c r="E64" i="18"/>
  <c r="C65" i="18"/>
  <c r="D65" i="18"/>
  <c r="E65" i="18"/>
  <c r="C67" i="18"/>
  <c r="E67" i="18"/>
  <c r="C68" i="18"/>
  <c r="E68" i="18"/>
  <c r="C69" i="18"/>
  <c r="E69" i="18"/>
  <c r="C70" i="18"/>
  <c r="E70" i="18"/>
  <c r="C71" i="18"/>
  <c r="E71" i="18"/>
  <c r="C72" i="18"/>
  <c r="E72" i="18"/>
  <c r="C73" i="18"/>
  <c r="E73" i="18"/>
  <c r="C74" i="18"/>
  <c r="E74" i="18"/>
  <c r="C75" i="18"/>
  <c r="E75" i="18"/>
  <c r="C76" i="18"/>
  <c r="E76" i="18"/>
  <c r="C77" i="18"/>
  <c r="E77" i="18"/>
  <c r="C78" i="18"/>
  <c r="E78" i="18"/>
  <c r="C79" i="18"/>
  <c r="E79" i="18"/>
  <c r="E80" i="18"/>
  <c r="C81" i="18"/>
  <c r="D81" i="18"/>
  <c r="E81" i="18"/>
  <c r="A82" i="18"/>
  <c r="E82" i="18"/>
  <c r="A83" i="18"/>
  <c r="E83" i="18"/>
  <c r="A84" i="18"/>
  <c r="E84" i="18"/>
  <c r="A85" i="18"/>
  <c r="C85" i="18"/>
  <c r="D85" i="18"/>
  <c r="E85" i="18"/>
  <c r="C86" i="18"/>
  <c r="D86" i="18"/>
  <c r="E86" i="18"/>
  <c r="A4" i="17"/>
  <c r="A9" i="17"/>
  <c r="C9" i="17"/>
  <c r="E9" i="17"/>
  <c r="H9" i="17"/>
  <c r="A10" i="17"/>
  <c r="C10" i="17"/>
  <c r="E10" i="17"/>
  <c r="H10" i="17"/>
  <c r="A11" i="17"/>
  <c r="C11" i="17"/>
  <c r="E11" i="17"/>
  <c r="H11" i="17"/>
  <c r="A12" i="17"/>
  <c r="C12" i="17"/>
  <c r="E12" i="17"/>
  <c r="H12" i="17"/>
  <c r="A13" i="17"/>
  <c r="C13" i="17"/>
  <c r="E13" i="17"/>
  <c r="A14" i="17"/>
  <c r="C14" i="17"/>
  <c r="E14" i="17"/>
  <c r="H14" i="17"/>
  <c r="A15" i="17"/>
  <c r="C15" i="17"/>
  <c r="E15" i="17"/>
  <c r="H15" i="17"/>
  <c r="A16" i="17"/>
  <c r="C16" i="17"/>
  <c r="E16" i="17"/>
  <c r="H16" i="17"/>
  <c r="A17" i="17"/>
  <c r="E17" i="17"/>
  <c r="H17" i="17"/>
  <c r="A18" i="17"/>
  <c r="C18" i="17"/>
  <c r="E18" i="17"/>
  <c r="H18" i="17"/>
  <c r="A19" i="17"/>
  <c r="E19" i="17"/>
  <c r="H19" i="17"/>
  <c r="A20" i="17"/>
  <c r="C20" i="17"/>
  <c r="E20" i="17"/>
  <c r="H20" i="17"/>
  <c r="A21" i="17"/>
  <c r="C21" i="17"/>
  <c r="E21" i="17"/>
  <c r="H21" i="17"/>
  <c r="A22" i="17"/>
  <c r="C22" i="17"/>
  <c r="E22" i="17"/>
  <c r="H22" i="17"/>
  <c r="C23" i="17"/>
  <c r="D23" i="17"/>
  <c r="E23" i="17"/>
  <c r="F23" i="17"/>
  <c r="G23" i="17"/>
  <c r="H23" i="17"/>
  <c r="A24" i="17"/>
  <c r="C24" i="17"/>
  <c r="E24" i="17"/>
  <c r="H24" i="17"/>
  <c r="A25" i="17"/>
  <c r="C25" i="17"/>
  <c r="E25" i="17"/>
  <c r="H25" i="17"/>
  <c r="A26" i="17"/>
  <c r="C26" i="17"/>
  <c r="E26" i="17"/>
  <c r="H26" i="17"/>
  <c r="A27" i="17"/>
  <c r="C27" i="17"/>
  <c r="E27" i="17"/>
  <c r="H27" i="17"/>
  <c r="A28" i="17"/>
  <c r="C28" i="17"/>
  <c r="E28" i="17"/>
  <c r="H28" i="17"/>
  <c r="A29" i="17"/>
  <c r="C29" i="17"/>
  <c r="E29" i="17"/>
  <c r="H29" i="17"/>
  <c r="A30" i="17"/>
  <c r="C30" i="17"/>
  <c r="E30" i="17"/>
  <c r="H30" i="17"/>
  <c r="C31" i="17"/>
  <c r="D31" i="17"/>
  <c r="E31" i="17"/>
  <c r="F31" i="17"/>
  <c r="G31" i="17"/>
  <c r="H31" i="17"/>
  <c r="A32" i="17"/>
  <c r="E32" i="17"/>
  <c r="H32" i="17"/>
  <c r="A33" i="17"/>
  <c r="E33" i="17"/>
  <c r="H33" i="17"/>
  <c r="A34" i="17"/>
  <c r="E34" i="17"/>
  <c r="H34" i="17"/>
  <c r="A35" i="17"/>
  <c r="E35" i="17"/>
  <c r="H35" i="17"/>
  <c r="A36" i="17"/>
  <c r="E36" i="17"/>
  <c r="H36" i="17"/>
  <c r="A37" i="17"/>
  <c r="E37" i="17"/>
  <c r="H37" i="17"/>
  <c r="A38" i="17"/>
  <c r="E38" i="17"/>
  <c r="H38" i="17"/>
  <c r="A39" i="17"/>
  <c r="E39" i="17"/>
  <c r="H39" i="17"/>
  <c r="A40" i="17"/>
  <c r="E40" i="17"/>
  <c r="H40" i="17"/>
  <c r="A41" i="17"/>
  <c r="E41" i="17"/>
  <c r="H41" i="17"/>
  <c r="A42" i="17"/>
  <c r="E42" i="17"/>
  <c r="H42" i="17"/>
  <c r="A43" i="17"/>
  <c r="E43" i="17"/>
  <c r="H43" i="17"/>
  <c r="A44" i="17"/>
  <c r="E44" i="17"/>
  <c r="H44" i="17"/>
  <c r="C45" i="17"/>
  <c r="D45" i="17"/>
  <c r="E45" i="17"/>
  <c r="F45" i="17"/>
  <c r="G45" i="17"/>
  <c r="H45" i="17"/>
  <c r="A46" i="17"/>
  <c r="E46" i="17"/>
  <c r="H46" i="17"/>
  <c r="A47" i="17"/>
  <c r="E47" i="17"/>
  <c r="H47" i="17"/>
  <c r="A48" i="17"/>
  <c r="E48" i="17"/>
  <c r="H48" i="17"/>
  <c r="A49" i="17"/>
  <c r="E49" i="17"/>
  <c r="H49" i="17"/>
  <c r="A50" i="17"/>
  <c r="E50" i="17"/>
  <c r="H50" i="17"/>
  <c r="A51" i="17"/>
  <c r="E51" i="17"/>
  <c r="H51" i="17"/>
  <c r="C52" i="17"/>
  <c r="D52" i="17"/>
  <c r="E52" i="17"/>
  <c r="F52" i="17"/>
  <c r="G52" i="17"/>
  <c r="H52" i="17"/>
  <c r="A53" i="17"/>
  <c r="E53" i="17"/>
  <c r="H53" i="17"/>
  <c r="A54" i="17"/>
  <c r="E54" i="17"/>
  <c r="H54" i="17"/>
  <c r="A55" i="17"/>
  <c r="E55" i="17"/>
  <c r="H55" i="17"/>
  <c r="A56" i="17"/>
  <c r="E56" i="17"/>
  <c r="H56" i="17"/>
  <c r="A57" i="17"/>
  <c r="C57" i="17"/>
  <c r="E57" i="17"/>
  <c r="H57" i="17"/>
  <c r="A58" i="17"/>
  <c r="E58" i="17"/>
  <c r="H58" i="17"/>
  <c r="A59" i="17"/>
  <c r="E59" i="17"/>
  <c r="H59" i="17"/>
  <c r="A60" i="17"/>
  <c r="E60" i="17"/>
  <c r="H60" i="17"/>
  <c r="A61" i="17"/>
  <c r="E61" i="17"/>
  <c r="H61" i="17"/>
  <c r="A62" i="17"/>
  <c r="E62" i="17"/>
  <c r="H62" i="17"/>
  <c r="A63" i="17"/>
  <c r="E63" i="17"/>
  <c r="H63" i="17"/>
  <c r="A64" i="17"/>
  <c r="E64" i="17"/>
  <c r="H64" i="17"/>
  <c r="C65" i="17"/>
  <c r="D65" i="17"/>
  <c r="E65" i="17"/>
  <c r="F65" i="17"/>
  <c r="G65" i="17"/>
  <c r="H65" i="17"/>
  <c r="C67" i="17"/>
  <c r="E67" i="17"/>
  <c r="H67" i="17"/>
  <c r="C68" i="17"/>
  <c r="E68" i="17"/>
  <c r="H68" i="17"/>
  <c r="C69" i="17"/>
  <c r="E69" i="17"/>
  <c r="H69" i="17"/>
  <c r="C70" i="17"/>
  <c r="E70" i="17"/>
  <c r="H70" i="17"/>
  <c r="C71" i="17"/>
  <c r="E71" i="17"/>
  <c r="H71" i="17"/>
  <c r="C72" i="17"/>
  <c r="E72" i="17"/>
  <c r="H72" i="17"/>
  <c r="C73" i="17"/>
  <c r="E73" i="17"/>
  <c r="H73" i="17"/>
  <c r="C74" i="17"/>
  <c r="E74" i="17"/>
  <c r="H74" i="17"/>
  <c r="C75" i="17"/>
  <c r="E75" i="17"/>
  <c r="H75" i="17"/>
  <c r="C76" i="17"/>
  <c r="E76" i="17"/>
  <c r="H76" i="17"/>
  <c r="C77" i="17"/>
  <c r="E77" i="17"/>
  <c r="H77" i="17"/>
  <c r="C78" i="17"/>
  <c r="E78" i="17"/>
  <c r="H78" i="17"/>
  <c r="C79" i="17"/>
  <c r="E79" i="17"/>
  <c r="H79" i="17"/>
  <c r="C80" i="17"/>
  <c r="E80" i="17"/>
  <c r="H80" i="17"/>
  <c r="C81" i="17"/>
  <c r="D81" i="17"/>
  <c r="E81" i="17"/>
  <c r="F81" i="17"/>
  <c r="G81" i="17"/>
  <c r="H81" i="17"/>
  <c r="A82" i="17"/>
  <c r="E82" i="17"/>
  <c r="H82" i="17"/>
  <c r="A83" i="17"/>
  <c r="E83" i="17"/>
  <c r="H83" i="17"/>
  <c r="A84" i="17"/>
  <c r="E84" i="17"/>
  <c r="H84" i="17"/>
  <c r="A85" i="17"/>
  <c r="E85" i="17"/>
  <c r="H85" i="17"/>
  <c r="C86" i="17"/>
  <c r="D86" i="17"/>
  <c r="E86" i="17"/>
  <c r="F86" i="17"/>
  <c r="G86" i="17"/>
  <c r="H86" i="17"/>
  <c r="E87" i="17"/>
  <c r="H87" i="17"/>
  <c r="C88" i="17"/>
  <c r="D88" i="17"/>
  <c r="E88" i="17"/>
  <c r="F88" i="17"/>
  <c r="G88" i="17"/>
  <c r="H88" i="17"/>
  <c r="H9" i="7"/>
  <c r="K9" i="7"/>
  <c r="D10" i="7"/>
  <c r="E10" i="7"/>
  <c r="F10" i="7"/>
  <c r="G10" i="7"/>
  <c r="H10" i="7"/>
  <c r="K10" i="7"/>
  <c r="H11" i="7"/>
  <c r="J11" i="7"/>
  <c r="K11" i="7"/>
  <c r="H12" i="7"/>
  <c r="K12" i="7"/>
  <c r="H13" i="7"/>
  <c r="K13" i="7"/>
  <c r="H14" i="7"/>
  <c r="K14" i="7"/>
  <c r="H15" i="7"/>
  <c r="K15" i="7"/>
  <c r="H16" i="7"/>
  <c r="K16" i="7"/>
  <c r="C18" i="7"/>
  <c r="D18" i="7"/>
  <c r="E18" i="7"/>
  <c r="F18" i="7"/>
  <c r="G18" i="7"/>
  <c r="H18" i="7"/>
  <c r="I18" i="7"/>
  <c r="J18" i="7"/>
  <c r="K18" i="7"/>
  <c r="H20" i="7"/>
  <c r="K20" i="7"/>
  <c r="H21" i="7"/>
  <c r="K21" i="7"/>
  <c r="H22" i="7"/>
  <c r="K22" i="7"/>
  <c r="H23" i="7"/>
  <c r="K23" i="7"/>
  <c r="H24" i="7"/>
  <c r="K24" i="7"/>
  <c r="H25" i="7"/>
  <c r="K25" i="7"/>
  <c r="C26" i="7"/>
  <c r="D26" i="7"/>
  <c r="E26" i="7"/>
  <c r="F26" i="7"/>
  <c r="G26" i="7"/>
  <c r="H26" i="7"/>
  <c r="I26" i="7"/>
  <c r="J26" i="7"/>
  <c r="K26" i="7"/>
  <c r="H28" i="7"/>
  <c r="K28" i="7"/>
  <c r="H29" i="7"/>
  <c r="K29" i="7"/>
  <c r="H30" i="7"/>
  <c r="K30" i="7"/>
  <c r="H31" i="7"/>
  <c r="K31" i="7"/>
  <c r="H32" i="7"/>
  <c r="K32" i="7"/>
  <c r="H33" i="7"/>
  <c r="K33" i="7"/>
  <c r="H34" i="7"/>
  <c r="K34" i="7"/>
  <c r="H35" i="7"/>
  <c r="K35" i="7"/>
  <c r="H36" i="7"/>
  <c r="K36" i="7"/>
  <c r="C37" i="7"/>
  <c r="D37" i="7"/>
  <c r="E37" i="7"/>
  <c r="F37" i="7"/>
  <c r="G37" i="7"/>
  <c r="H37" i="7"/>
  <c r="I37" i="7"/>
  <c r="J37" i="7"/>
  <c r="K37" i="7"/>
  <c r="H39" i="7"/>
  <c r="K39" i="7"/>
  <c r="H40" i="7"/>
  <c r="K40" i="7"/>
  <c r="H41" i="7"/>
  <c r="K41" i="7"/>
  <c r="H42" i="7"/>
  <c r="K42" i="7"/>
  <c r="H43" i="7"/>
  <c r="K43" i="7"/>
  <c r="H44" i="7"/>
  <c r="K44" i="7"/>
  <c r="C45" i="7"/>
  <c r="D45" i="7"/>
  <c r="E45" i="7"/>
  <c r="F45" i="7"/>
  <c r="G45" i="7"/>
  <c r="H45" i="7"/>
  <c r="I45" i="7"/>
  <c r="J45" i="7"/>
  <c r="K45" i="7"/>
  <c r="H47" i="7"/>
  <c r="K47" i="7"/>
  <c r="H48" i="7"/>
  <c r="K48" i="7"/>
  <c r="H49" i="7"/>
  <c r="K49" i="7"/>
  <c r="H50" i="7"/>
  <c r="K50" i="7"/>
  <c r="H51" i="7"/>
  <c r="K51" i="7"/>
  <c r="H52" i="7"/>
  <c r="K52" i="7"/>
  <c r="H53" i="7"/>
  <c r="K53" i="7"/>
  <c r="H54" i="7"/>
  <c r="K54" i="7"/>
  <c r="H55" i="7"/>
  <c r="K55" i="7"/>
  <c r="H56" i="7"/>
  <c r="K56" i="7"/>
  <c r="H57" i="7"/>
  <c r="K57" i="7"/>
  <c r="H58" i="7"/>
  <c r="K58" i="7"/>
  <c r="H59" i="7"/>
  <c r="K59" i="7"/>
  <c r="H60" i="7"/>
  <c r="K60" i="7"/>
  <c r="H61" i="7"/>
  <c r="K61" i="7"/>
  <c r="H62" i="7"/>
  <c r="K62" i="7"/>
  <c r="H63" i="7"/>
  <c r="K63" i="7"/>
  <c r="H64" i="7"/>
  <c r="K64" i="7"/>
  <c r="H65" i="7"/>
  <c r="K65" i="7"/>
  <c r="C66" i="7"/>
  <c r="D66" i="7"/>
  <c r="E66" i="7"/>
  <c r="F66" i="7"/>
  <c r="G66" i="7"/>
  <c r="H66" i="7"/>
  <c r="I66" i="7"/>
  <c r="J66" i="7"/>
  <c r="K66" i="7"/>
  <c r="A4" i="15"/>
  <c r="A9" i="15"/>
  <c r="I9" i="15"/>
  <c r="K9" i="15"/>
  <c r="A10" i="15"/>
  <c r="I10" i="15"/>
  <c r="K10" i="15"/>
  <c r="A11" i="15"/>
  <c r="I11" i="15"/>
  <c r="K11" i="15"/>
  <c r="A12" i="15"/>
  <c r="I12" i="15"/>
  <c r="K12" i="15"/>
  <c r="A13" i="15"/>
  <c r="I13" i="15"/>
  <c r="K13" i="15"/>
  <c r="A14" i="15"/>
  <c r="I14" i="15"/>
  <c r="K14" i="15"/>
  <c r="A15" i="15"/>
  <c r="I15" i="15"/>
  <c r="K15" i="15"/>
  <c r="A16" i="15"/>
  <c r="I16" i="15"/>
  <c r="K16" i="15"/>
  <c r="A17" i="15"/>
  <c r="I17" i="15"/>
  <c r="K17" i="15"/>
  <c r="A18" i="15"/>
  <c r="I18" i="15"/>
  <c r="K18" i="15"/>
  <c r="A19" i="15"/>
  <c r="I19" i="15"/>
  <c r="K19" i="15"/>
  <c r="A20" i="15"/>
  <c r="I20" i="15"/>
  <c r="K20" i="15"/>
  <c r="A21" i="15"/>
  <c r="I21" i="15"/>
  <c r="K21" i="15"/>
  <c r="A22" i="15"/>
  <c r="I22" i="15"/>
  <c r="K22" i="15"/>
  <c r="C23" i="15"/>
  <c r="D23" i="15"/>
  <c r="E23" i="15"/>
  <c r="F23" i="15"/>
  <c r="G23" i="15"/>
  <c r="H23" i="15"/>
  <c r="I23" i="15"/>
  <c r="J23" i="15"/>
  <c r="K23" i="15"/>
  <c r="A24" i="15"/>
  <c r="I24" i="15"/>
  <c r="K24" i="15"/>
  <c r="A25" i="15"/>
  <c r="I25" i="15"/>
  <c r="K25" i="15"/>
  <c r="A26" i="15"/>
  <c r="I26" i="15"/>
  <c r="K26" i="15"/>
  <c r="A27" i="15"/>
  <c r="I27" i="15"/>
  <c r="K27" i="15"/>
  <c r="A28" i="15"/>
  <c r="I28" i="15"/>
  <c r="K28" i="15"/>
  <c r="A29" i="15"/>
  <c r="I29" i="15"/>
  <c r="K29" i="15"/>
  <c r="A30" i="15"/>
  <c r="I30" i="15"/>
  <c r="K30" i="15"/>
  <c r="C31" i="15"/>
  <c r="D31" i="15"/>
  <c r="E31" i="15"/>
  <c r="F31" i="15"/>
  <c r="G31" i="15"/>
  <c r="H31" i="15"/>
  <c r="I31" i="15"/>
  <c r="J31" i="15"/>
  <c r="K31" i="15"/>
  <c r="A32" i="15"/>
  <c r="I32" i="15"/>
  <c r="K32" i="15"/>
  <c r="A33" i="15"/>
  <c r="I33" i="15"/>
  <c r="K33" i="15"/>
  <c r="A34" i="15"/>
  <c r="I34" i="15"/>
  <c r="K34" i="15"/>
  <c r="A35" i="15"/>
  <c r="I35" i="15"/>
  <c r="K35" i="15"/>
  <c r="A36" i="15"/>
  <c r="I36" i="15"/>
  <c r="K36" i="15"/>
  <c r="A37" i="15"/>
  <c r="I37" i="15"/>
  <c r="K37" i="15"/>
  <c r="A38" i="15"/>
  <c r="I38" i="15"/>
  <c r="K38" i="15"/>
  <c r="A39" i="15"/>
  <c r="I39" i="15"/>
  <c r="K39" i="15"/>
  <c r="A40" i="15"/>
  <c r="I40" i="15"/>
  <c r="K40" i="15"/>
  <c r="A41" i="15"/>
  <c r="I41" i="15"/>
  <c r="K41" i="15"/>
  <c r="A42" i="15"/>
  <c r="I42" i="15"/>
  <c r="K42" i="15"/>
  <c r="A43" i="15"/>
  <c r="I43" i="15"/>
  <c r="K43" i="15"/>
  <c r="A44" i="15"/>
  <c r="I44" i="15"/>
  <c r="K44" i="15"/>
  <c r="C45" i="15"/>
  <c r="D45" i="15"/>
  <c r="E45" i="15"/>
  <c r="F45" i="15"/>
  <c r="G45" i="15"/>
  <c r="H45" i="15"/>
  <c r="I45" i="15"/>
  <c r="J45" i="15"/>
  <c r="K45" i="15"/>
  <c r="A46" i="15"/>
  <c r="I46" i="15"/>
  <c r="K46" i="15"/>
  <c r="A47" i="15"/>
  <c r="I47" i="15"/>
  <c r="K47" i="15"/>
  <c r="A48" i="15"/>
  <c r="I48" i="15"/>
  <c r="K48" i="15"/>
  <c r="A49" i="15"/>
  <c r="I49" i="15"/>
  <c r="K49" i="15"/>
  <c r="A50" i="15"/>
  <c r="I50" i="15"/>
  <c r="K50" i="15"/>
  <c r="A51" i="15"/>
  <c r="E51" i="15"/>
  <c r="I51" i="15"/>
  <c r="K51" i="15"/>
  <c r="C52" i="15"/>
  <c r="D52" i="15"/>
  <c r="E52" i="15"/>
  <c r="F52" i="15"/>
  <c r="G52" i="15"/>
  <c r="H52" i="15"/>
  <c r="I52" i="15"/>
  <c r="J52" i="15"/>
  <c r="K52" i="15"/>
  <c r="A53" i="15"/>
  <c r="I53" i="15"/>
  <c r="J53" i="15"/>
  <c r="K53" i="15"/>
  <c r="A54" i="15"/>
  <c r="I54" i="15"/>
  <c r="K54" i="15"/>
  <c r="A55" i="15"/>
  <c r="I55" i="15"/>
  <c r="K55" i="15"/>
  <c r="A56" i="15"/>
  <c r="I56" i="15"/>
  <c r="K56" i="15"/>
  <c r="A57" i="15"/>
  <c r="I57" i="15"/>
  <c r="J57" i="15"/>
  <c r="K57" i="15"/>
  <c r="A58" i="15"/>
  <c r="I58" i="15"/>
  <c r="K58" i="15"/>
  <c r="A59" i="15"/>
  <c r="I59" i="15"/>
  <c r="K59" i="15"/>
  <c r="A60" i="15"/>
  <c r="I60" i="15"/>
  <c r="K60" i="15"/>
  <c r="A61" i="15"/>
  <c r="I61" i="15"/>
  <c r="K61" i="15"/>
  <c r="A62" i="15"/>
  <c r="I62" i="15"/>
  <c r="K62" i="15"/>
  <c r="A63" i="15"/>
  <c r="I63" i="15"/>
  <c r="K63" i="15"/>
  <c r="A64" i="15"/>
  <c r="I64" i="15"/>
  <c r="K64" i="15"/>
  <c r="C65" i="15"/>
  <c r="D65" i="15"/>
  <c r="E65" i="15"/>
  <c r="F65" i="15"/>
  <c r="G65" i="15"/>
  <c r="H65" i="15"/>
  <c r="I65" i="15"/>
  <c r="J65" i="15"/>
  <c r="K65" i="15"/>
  <c r="I67" i="15"/>
  <c r="K67" i="15"/>
  <c r="I68" i="15"/>
  <c r="K68" i="15"/>
  <c r="I69" i="15"/>
  <c r="K69" i="15"/>
  <c r="I70" i="15"/>
  <c r="K70" i="15"/>
  <c r="I71" i="15"/>
  <c r="K71" i="15"/>
  <c r="I72" i="15"/>
  <c r="K72" i="15"/>
  <c r="I73" i="15"/>
  <c r="K73" i="15"/>
  <c r="I74" i="15"/>
  <c r="K74" i="15"/>
  <c r="I75" i="15"/>
  <c r="K75" i="15"/>
  <c r="I76" i="15"/>
  <c r="K76" i="15"/>
  <c r="I77" i="15"/>
  <c r="K77" i="15"/>
  <c r="I78" i="15"/>
  <c r="K78" i="15"/>
  <c r="I79" i="15"/>
  <c r="K79" i="15"/>
  <c r="I80" i="15"/>
  <c r="K80" i="15"/>
  <c r="C81" i="15"/>
  <c r="D81" i="15"/>
  <c r="E81" i="15"/>
  <c r="F81" i="15"/>
  <c r="G81" i="15"/>
  <c r="H81" i="15"/>
  <c r="I81" i="15"/>
  <c r="J81" i="15"/>
  <c r="K81" i="15"/>
  <c r="A82" i="15"/>
  <c r="I82" i="15"/>
  <c r="K82" i="15"/>
  <c r="A83" i="15"/>
  <c r="I83" i="15"/>
  <c r="K83" i="15"/>
  <c r="A84" i="15"/>
  <c r="I84" i="15"/>
  <c r="K84" i="15"/>
  <c r="A85" i="15"/>
  <c r="I85" i="15"/>
  <c r="K85" i="15"/>
  <c r="C86" i="15"/>
  <c r="D86" i="15"/>
  <c r="E86" i="15"/>
  <c r="F86" i="15"/>
  <c r="G86" i="15"/>
  <c r="H86" i="15"/>
  <c r="I86" i="15"/>
  <c r="J86" i="15"/>
  <c r="K86" i="15"/>
  <c r="C9" i="12"/>
  <c r="D9" i="12"/>
  <c r="E9" i="12"/>
  <c r="G9" i="12"/>
  <c r="H9" i="12"/>
  <c r="I9" i="12"/>
  <c r="K9" i="12"/>
  <c r="L9" i="12"/>
  <c r="M9" i="12"/>
  <c r="O9" i="12"/>
  <c r="P9" i="12"/>
  <c r="Q9" i="12"/>
  <c r="C10" i="12"/>
  <c r="D10" i="12"/>
  <c r="E10" i="12"/>
  <c r="G10" i="12"/>
  <c r="H10" i="12"/>
  <c r="I10" i="12"/>
  <c r="K10" i="12"/>
  <c r="L10" i="12"/>
  <c r="M10" i="12"/>
  <c r="O10" i="12"/>
  <c r="P10" i="12"/>
  <c r="Q10" i="12"/>
  <c r="C11" i="12"/>
  <c r="D11" i="12"/>
  <c r="E11" i="12"/>
  <c r="G11" i="12"/>
  <c r="H11" i="12"/>
  <c r="I11" i="12"/>
  <c r="K11" i="12"/>
  <c r="L11" i="12"/>
  <c r="M11" i="12"/>
  <c r="O11" i="12"/>
  <c r="P11" i="12"/>
  <c r="Q11" i="12"/>
  <c r="C12" i="12"/>
  <c r="D12" i="12"/>
  <c r="E12" i="12"/>
  <c r="G12" i="12"/>
  <c r="H12" i="12"/>
  <c r="I12" i="12"/>
  <c r="K12" i="12"/>
  <c r="L12" i="12"/>
  <c r="M12" i="12"/>
  <c r="O12" i="12"/>
  <c r="P12" i="12"/>
  <c r="Q12" i="12"/>
  <c r="C13" i="12"/>
  <c r="D13" i="12"/>
  <c r="E13" i="12"/>
  <c r="G13" i="12"/>
  <c r="H13" i="12"/>
  <c r="I13" i="12"/>
  <c r="K13" i="12"/>
  <c r="L13" i="12"/>
  <c r="M13" i="12"/>
  <c r="O13" i="12"/>
  <c r="P13" i="12"/>
  <c r="Q13" i="12"/>
  <c r="C14" i="12"/>
  <c r="D14" i="12"/>
  <c r="E14" i="12"/>
  <c r="G14" i="12"/>
  <c r="H14" i="12"/>
  <c r="I14" i="12"/>
  <c r="K14" i="12"/>
  <c r="L14" i="12"/>
  <c r="M14" i="12"/>
  <c r="O14" i="12"/>
  <c r="P14" i="12"/>
  <c r="Q14" i="12"/>
  <c r="C15" i="12"/>
  <c r="D15" i="12"/>
  <c r="E15" i="12"/>
  <c r="G15" i="12"/>
  <c r="H15" i="12"/>
  <c r="I15" i="12"/>
  <c r="K15" i="12"/>
  <c r="L15" i="12"/>
  <c r="M15" i="12"/>
  <c r="O15" i="12"/>
  <c r="P15" i="12"/>
  <c r="Q15" i="12"/>
  <c r="C16" i="12"/>
  <c r="D16" i="12"/>
  <c r="E16" i="12"/>
  <c r="G16" i="12"/>
  <c r="H16" i="12"/>
  <c r="I16" i="12"/>
  <c r="K16" i="12"/>
  <c r="L16" i="12"/>
  <c r="M16" i="12"/>
  <c r="O16" i="12"/>
  <c r="P16" i="12"/>
  <c r="Q16" i="12"/>
  <c r="C17" i="12"/>
  <c r="D17" i="12"/>
  <c r="E17" i="12"/>
  <c r="G17" i="12"/>
  <c r="H17" i="12"/>
  <c r="I17" i="12"/>
  <c r="K17" i="12"/>
  <c r="L17" i="12"/>
  <c r="M17" i="12"/>
  <c r="O17" i="12"/>
  <c r="P17" i="12"/>
  <c r="Q17" i="12"/>
  <c r="C18" i="12"/>
  <c r="D18" i="12"/>
  <c r="E18" i="12"/>
  <c r="G18" i="12"/>
  <c r="H18" i="12"/>
  <c r="I18" i="12"/>
  <c r="K18" i="12"/>
  <c r="L18" i="12"/>
  <c r="M18" i="12"/>
  <c r="O18" i="12"/>
  <c r="P18" i="12"/>
  <c r="Q18" i="12"/>
  <c r="C19" i="12"/>
  <c r="D19" i="12"/>
  <c r="E19" i="12"/>
  <c r="G19" i="12"/>
  <c r="H19" i="12"/>
  <c r="I19" i="12"/>
  <c r="K19" i="12"/>
  <c r="L19" i="12"/>
  <c r="M19" i="12"/>
  <c r="O19" i="12"/>
  <c r="P19" i="12"/>
  <c r="Q19" i="12"/>
  <c r="C20" i="12"/>
  <c r="D20" i="12"/>
  <c r="E20" i="12"/>
  <c r="G20" i="12"/>
  <c r="H20" i="12"/>
  <c r="I20" i="12"/>
  <c r="K20" i="12"/>
  <c r="L20" i="12"/>
  <c r="M20" i="12"/>
  <c r="O20" i="12"/>
  <c r="P20" i="12"/>
  <c r="Q20" i="12"/>
  <c r="C21" i="12"/>
  <c r="D21" i="12"/>
  <c r="E21" i="12"/>
  <c r="G21" i="12"/>
  <c r="H21" i="12"/>
  <c r="I21" i="12"/>
  <c r="K21" i="12"/>
  <c r="L21" i="12"/>
  <c r="M21" i="12"/>
  <c r="O21" i="12"/>
  <c r="P21" i="12"/>
  <c r="Q21" i="12"/>
  <c r="C22" i="12"/>
  <c r="D22" i="12"/>
  <c r="E22" i="12"/>
  <c r="G22" i="12"/>
  <c r="H22" i="12"/>
  <c r="I22" i="12"/>
  <c r="K22" i="12"/>
  <c r="L22" i="12"/>
  <c r="M22" i="12"/>
  <c r="O22" i="12"/>
  <c r="P22" i="12"/>
  <c r="Q22" i="12"/>
  <c r="C23" i="12"/>
  <c r="D23" i="12"/>
  <c r="E23" i="12"/>
  <c r="G23" i="12"/>
  <c r="H23" i="12"/>
  <c r="I23" i="12"/>
  <c r="K23" i="12"/>
  <c r="L23" i="12"/>
  <c r="M23" i="12"/>
  <c r="O23" i="12"/>
  <c r="P23" i="12"/>
  <c r="Q23" i="12"/>
  <c r="C24" i="12"/>
  <c r="D24" i="12"/>
  <c r="E24" i="12"/>
  <c r="G24" i="12"/>
  <c r="H24" i="12"/>
  <c r="I24" i="12"/>
  <c r="K24" i="12"/>
  <c r="L24" i="12"/>
  <c r="M24" i="12"/>
  <c r="O24" i="12"/>
  <c r="P24" i="12"/>
  <c r="Q24" i="12"/>
  <c r="C25" i="12"/>
  <c r="D25" i="12"/>
  <c r="E25" i="12"/>
  <c r="G25" i="12"/>
  <c r="H25" i="12"/>
  <c r="I25" i="12"/>
  <c r="K25" i="12"/>
  <c r="L25" i="12"/>
  <c r="M25" i="12"/>
  <c r="O25" i="12"/>
  <c r="P25" i="12"/>
  <c r="Q25" i="12"/>
  <c r="C26" i="12"/>
  <c r="D26" i="12"/>
  <c r="E26" i="12"/>
  <c r="G26" i="12"/>
  <c r="H26" i="12"/>
  <c r="I26" i="12"/>
  <c r="K26" i="12"/>
  <c r="L26" i="12"/>
  <c r="M26" i="12"/>
  <c r="O26" i="12"/>
  <c r="P26" i="12"/>
  <c r="Q26" i="12"/>
  <c r="C27" i="12"/>
  <c r="D27" i="12"/>
  <c r="E27" i="12"/>
  <c r="G27" i="12"/>
  <c r="H27" i="12"/>
  <c r="I27" i="12"/>
  <c r="K27" i="12"/>
  <c r="L27" i="12"/>
  <c r="M27" i="12"/>
  <c r="O27" i="12"/>
  <c r="P27" i="12"/>
  <c r="Q27" i="12"/>
  <c r="C28" i="12"/>
  <c r="D28" i="12"/>
  <c r="E28" i="12"/>
  <c r="G28" i="12"/>
  <c r="H28" i="12"/>
  <c r="I28" i="12"/>
  <c r="K28" i="12"/>
  <c r="L28" i="12"/>
  <c r="M28" i="12"/>
  <c r="O28" i="12"/>
  <c r="P28" i="12"/>
  <c r="Q28" i="12"/>
  <c r="C29" i="12"/>
  <c r="D29" i="12"/>
  <c r="E29" i="12"/>
  <c r="G29" i="12"/>
  <c r="H29" i="12"/>
  <c r="I29" i="12"/>
  <c r="K29" i="12"/>
  <c r="L29" i="12"/>
  <c r="M29" i="12"/>
  <c r="O29" i="12"/>
  <c r="P29" i="12"/>
  <c r="Q29" i="12"/>
  <c r="C30" i="12"/>
  <c r="D30" i="12"/>
  <c r="E30" i="12"/>
  <c r="G30" i="12"/>
  <c r="H30" i="12"/>
  <c r="I30" i="12"/>
  <c r="K30" i="12"/>
  <c r="L30" i="12"/>
  <c r="M30" i="12"/>
  <c r="O30" i="12"/>
  <c r="P30" i="12"/>
  <c r="Q30" i="12"/>
  <c r="C31" i="12"/>
  <c r="D31" i="12"/>
  <c r="E31" i="12"/>
  <c r="G31" i="12"/>
  <c r="H31" i="12"/>
  <c r="I31" i="12"/>
  <c r="K31" i="12"/>
  <c r="L31" i="12"/>
  <c r="M31" i="12"/>
  <c r="O31" i="12"/>
  <c r="P31" i="12"/>
  <c r="Q31" i="12"/>
  <c r="C32" i="12"/>
  <c r="D32" i="12"/>
  <c r="E32" i="12"/>
  <c r="G32" i="12"/>
  <c r="H32" i="12"/>
  <c r="I32" i="12"/>
  <c r="K32" i="12"/>
  <c r="L32" i="12"/>
  <c r="M32" i="12"/>
  <c r="O32" i="12"/>
  <c r="P32" i="12"/>
  <c r="Q32" i="12"/>
  <c r="C33" i="12"/>
  <c r="D33" i="12"/>
  <c r="E33" i="12"/>
  <c r="G33" i="12"/>
  <c r="H33" i="12"/>
  <c r="I33" i="12"/>
  <c r="K33" i="12"/>
  <c r="L33" i="12"/>
  <c r="M33" i="12"/>
  <c r="O33" i="12"/>
  <c r="P33" i="12"/>
  <c r="Q33" i="12"/>
  <c r="C34" i="12"/>
  <c r="D34" i="12"/>
  <c r="E34" i="12"/>
  <c r="G34" i="12"/>
  <c r="H34" i="12"/>
  <c r="I34" i="12"/>
  <c r="K34" i="12"/>
  <c r="L34" i="12"/>
  <c r="M34" i="12"/>
  <c r="O34" i="12"/>
  <c r="P34" i="12"/>
  <c r="Q34" i="12"/>
  <c r="C35" i="12"/>
  <c r="D35" i="12"/>
  <c r="E35" i="12"/>
  <c r="G35" i="12"/>
  <c r="H35" i="12"/>
  <c r="I35" i="12"/>
  <c r="K35" i="12"/>
  <c r="L35" i="12"/>
  <c r="M35" i="12"/>
  <c r="O35" i="12"/>
  <c r="P35" i="12"/>
  <c r="Q35" i="12"/>
  <c r="C36" i="12"/>
  <c r="D36" i="12"/>
  <c r="E36" i="12"/>
  <c r="G36" i="12"/>
  <c r="H36" i="12"/>
  <c r="I36" i="12"/>
  <c r="K36" i="12"/>
  <c r="L36" i="12"/>
  <c r="M36" i="12"/>
  <c r="O36" i="12"/>
  <c r="P36" i="12"/>
  <c r="Q36" i="12"/>
  <c r="C37" i="12"/>
  <c r="D37" i="12"/>
  <c r="E37" i="12"/>
  <c r="G37" i="12"/>
  <c r="H37" i="12"/>
  <c r="I37" i="12"/>
  <c r="K37" i="12"/>
  <c r="L37" i="12"/>
  <c r="M37" i="12"/>
  <c r="O37" i="12"/>
  <c r="P37" i="12"/>
  <c r="Q37" i="12"/>
  <c r="C38" i="12"/>
  <c r="D38" i="12"/>
  <c r="E38" i="12"/>
  <c r="G38" i="12"/>
  <c r="H38" i="12"/>
  <c r="I38" i="12"/>
  <c r="K38" i="12"/>
  <c r="L38" i="12"/>
  <c r="M38" i="12"/>
  <c r="O38" i="12"/>
  <c r="P38" i="12"/>
  <c r="Q38" i="12"/>
  <c r="C39" i="12"/>
  <c r="D39" i="12"/>
  <c r="E39" i="12"/>
  <c r="G39" i="12"/>
  <c r="H39" i="12"/>
  <c r="I39" i="12"/>
  <c r="K39" i="12"/>
  <c r="L39" i="12"/>
  <c r="M39" i="12"/>
  <c r="O39" i="12"/>
  <c r="P39" i="12"/>
  <c r="Q39" i="12"/>
  <c r="C40" i="12"/>
  <c r="D40" i="12"/>
  <c r="E40" i="12"/>
  <c r="G40" i="12"/>
  <c r="H40" i="12"/>
  <c r="I40" i="12"/>
  <c r="K40" i="12"/>
  <c r="L40" i="12"/>
  <c r="M40" i="12"/>
  <c r="O40" i="12"/>
  <c r="P40" i="12"/>
  <c r="Q40" i="12"/>
  <c r="C41" i="12"/>
  <c r="D41" i="12"/>
  <c r="E41" i="12"/>
  <c r="G41" i="12"/>
  <c r="H41" i="12"/>
  <c r="I41" i="12"/>
  <c r="K41" i="12"/>
  <c r="L41" i="12"/>
  <c r="M41" i="12"/>
  <c r="O41" i="12"/>
  <c r="P41" i="12"/>
  <c r="Q41" i="12"/>
  <c r="C42" i="12"/>
  <c r="D42" i="12"/>
  <c r="E42" i="12"/>
  <c r="G42" i="12"/>
  <c r="H42" i="12"/>
  <c r="I42" i="12"/>
  <c r="K42" i="12"/>
  <c r="L42" i="12"/>
  <c r="M42" i="12"/>
  <c r="O42" i="12"/>
  <c r="P42" i="12"/>
  <c r="Q42" i="12"/>
  <c r="C43" i="12"/>
  <c r="D43" i="12"/>
  <c r="E43" i="12"/>
  <c r="G43" i="12"/>
  <c r="H43" i="12"/>
  <c r="I43" i="12"/>
  <c r="K43" i="12"/>
  <c r="L43" i="12"/>
  <c r="M43" i="12"/>
  <c r="O43" i="12"/>
  <c r="P43" i="12"/>
  <c r="Q43" i="12"/>
  <c r="C44" i="12"/>
  <c r="D44" i="12"/>
  <c r="E44" i="12"/>
  <c r="G44" i="12"/>
  <c r="H44" i="12"/>
  <c r="I44" i="12"/>
  <c r="K44" i="12"/>
  <c r="L44" i="12"/>
  <c r="M44" i="12"/>
  <c r="O44" i="12"/>
  <c r="P44" i="12"/>
  <c r="Q44" i="12"/>
  <c r="C45" i="12"/>
  <c r="D45" i="12"/>
  <c r="E45" i="12"/>
  <c r="G45" i="12"/>
  <c r="H45" i="12"/>
  <c r="I45" i="12"/>
  <c r="K45" i="12"/>
  <c r="L45" i="12"/>
  <c r="M45" i="12"/>
  <c r="O45" i="12"/>
  <c r="P45" i="12"/>
  <c r="Q45" i="12"/>
  <c r="C46" i="12"/>
  <c r="D46" i="12"/>
  <c r="E46" i="12"/>
  <c r="G46" i="12"/>
  <c r="H46" i="12"/>
  <c r="I46" i="12"/>
  <c r="K46" i="12"/>
  <c r="L46" i="12"/>
  <c r="M46" i="12"/>
  <c r="O46" i="12"/>
  <c r="P46" i="12"/>
  <c r="Q46" i="12"/>
  <c r="C47" i="12"/>
  <c r="D47" i="12"/>
  <c r="E47" i="12"/>
  <c r="G47" i="12"/>
  <c r="H47" i="12"/>
  <c r="I47" i="12"/>
  <c r="K47" i="12"/>
  <c r="L47" i="12"/>
  <c r="M47" i="12"/>
  <c r="O47" i="12"/>
  <c r="P47" i="12"/>
  <c r="Q47" i="12"/>
  <c r="C48" i="12"/>
  <c r="D48" i="12"/>
  <c r="E48" i="12"/>
  <c r="G48" i="12"/>
  <c r="H48" i="12"/>
  <c r="I48" i="12"/>
  <c r="K48" i="12"/>
  <c r="L48" i="12"/>
  <c r="M48" i="12"/>
  <c r="O48" i="12"/>
  <c r="P48" i="12"/>
  <c r="Q48" i="12"/>
  <c r="C49" i="12"/>
  <c r="D49" i="12"/>
  <c r="E49" i="12"/>
  <c r="G49" i="12"/>
  <c r="H49" i="12"/>
  <c r="I49" i="12"/>
  <c r="K49" i="12"/>
  <c r="L49" i="12"/>
  <c r="M49" i="12"/>
  <c r="O49" i="12"/>
  <c r="P49" i="12"/>
  <c r="Q49" i="12"/>
  <c r="C50" i="12"/>
  <c r="D50" i="12"/>
  <c r="E50" i="12"/>
  <c r="G50" i="12"/>
  <c r="H50" i="12"/>
  <c r="I50" i="12"/>
  <c r="K50" i="12"/>
  <c r="L50" i="12"/>
  <c r="M50" i="12"/>
  <c r="O50" i="12"/>
  <c r="P50" i="12"/>
  <c r="Q50" i="12"/>
  <c r="C51" i="12"/>
  <c r="D51" i="12"/>
  <c r="E51" i="12"/>
  <c r="G51" i="12"/>
  <c r="H51" i="12"/>
  <c r="I51" i="12"/>
  <c r="K51" i="12"/>
  <c r="L51" i="12"/>
  <c r="M51" i="12"/>
  <c r="O51" i="12"/>
  <c r="P51" i="12"/>
  <c r="Q51" i="12"/>
  <c r="C52" i="12"/>
  <c r="D52" i="12"/>
  <c r="E52" i="12"/>
  <c r="G52" i="12"/>
  <c r="H52" i="12"/>
  <c r="I52" i="12"/>
  <c r="K52" i="12"/>
  <c r="L52" i="12"/>
  <c r="M52" i="12"/>
  <c r="O52" i="12"/>
  <c r="P52" i="12"/>
  <c r="Q52" i="12"/>
  <c r="C53" i="12"/>
  <c r="D53" i="12"/>
  <c r="E53" i="12"/>
  <c r="G53" i="12"/>
  <c r="H53" i="12"/>
  <c r="I53" i="12"/>
  <c r="K53" i="12"/>
  <c r="L53" i="12"/>
  <c r="M53" i="12"/>
  <c r="O53" i="12"/>
  <c r="P53" i="12"/>
  <c r="Q53" i="12"/>
  <c r="C54" i="12"/>
  <c r="D54" i="12"/>
  <c r="E54" i="12"/>
  <c r="G54" i="12"/>
  <c r="H54" i="12"/>
  <c r="I54" i="12"/>
  <c r="K54" i="12"/>
  <c r="L54" i="12"/>
  <c r="M54" i="12"/>
  <c r="O54" i="12"/>
  <c r="P54" i="12"/>
  <c r="Q54" i="12"/>
  <c r="C55" i="12"/>
  <c r="D55" i="12"/>
  <c r="E55" i="12"/>
  <c r="G55" i="12"/>
  <c r="H55" i="12"/>
  <c r="I55" i="12"/>
  <c r="K55" i="12"/>
  <c r="L55" i="12"/>
  <c r="M55" i="12"/>
  <c r="O55" i="12"/>
  <c r="P55" i="12"/>
  <c r="Q55" i="12"/>
  <c r="C56" i="12"/>
  <c r="D56" i="12"/>
  <c r="E56" i="12"/>
  <c r="G56" i="12"/>
  <c r="H56" i="12"/>
  <c r="I56" i="12"/>
  <c r="K56" i="12"/>
  <c r="L56" i="12"/>
  <c r="M56" i="12"/>
  <c r="O56" i="12"/>
  <c r="P56" i="12"/>
  <c r="Q56" i="12"/>
  <c r="C57" i="12"/>
  <c r="D57" i="12"/>
  <c r="E57" i="12"/>
  <c r="G57" i="12"/>
  <c r="H57" i="12"/>
  <c r="I57" i="12"/>
  <c r="K57" i="12"/>
  <c r="L57" i="12"/>
  <c r="M57" i="12"/>
  <c r="O57" i="12"/>
  <c r="P57" i="12"/>
  <c r="Q57" i="12"/>
  <c r="C58" i="12"/>
  <c r="D58" i="12"/>
  <c r="E58" i="12"/>
  <c r="G58" i="12"/>
  <c r="H58" i="12"/>
  <c r="I58" i="12"/>
  <c r="K58" i="12"/>
  <c r="L58" i="12"/>
  <c r="M58" i="12"/>
  <c r="O58" i="12"/>
  <c r="P58" i="12"/>
  <c r="Q58" i="12"/>
  <c r="C59" i="12"/>
  <c r="D59" i="12"/>
  <c r="E59" i="12"/>
  <c r="G59" i="12"/>
  <c r="H59" i="12"/>
  <c r="I59" i="12"/>
  <c r="K59" i="12"/>
  <c r="L59" i="12"/>
  <c r="M59" i="12"/>
  <c r="O59" i="12"/>
  <c r="P59" i="12"/>
  <c r="Q59" i="12"/>
  <c r="C60" i="12"/>
  <c r="D60" i="12"/>
  <c r="E60" i="12"/>
  <c r="G60" i="12"/>
  <c r="H60" i="12"/>
  <c r="I60" i="12"/>
  <c r="K60" i="12"/>
  <c r="L60" i="12"/>
  <c r="M60" i="12"/>
  <c r="O60" i="12"/>
  <c r="P60" i="12"/>
  <c r="Q60" i="12"/>
  <c r="C61" i="12"/>
  <c r="D61" i="12"/>
  <c r="E61" i="12"/>
  <c r="G61" i="12"/>
  <c r="H61" i="12"/>
  <c r="I61" i="12"/>
  <c r="K61" i="12"/>
  <c r="L61" i="12"/>
  <c r="M61" i="12"/>
  <c r="O61" i="12"/>
  <c r="P61" i="12"/>
  <c r="Q61" i="12"/>
  <c r="C62" i="12"/>
  <c r="D62" i="12"/>
  <c r="E62" i="12"/>
  <c r="G62" i="12"/>
  <c r="H62" i="12"/>
  <c r="I62" i="12"/>
  <c r="K62" i="12"/>
  <c r="L62" i="12"/>
  <c r="M62" i="12"/>
  <c r="O62" i="12"/>
  <c r="P62" i="12"/>
  <c r="Q62" i="12"/>
  <c r="C63" i="12"/>
  <c r="E63" i="12"/>
  <c r="G63" i="12"/>
  <c r="H63" i="12"/>
  <c r="I63" i="12"/>
  <c r="K63" i="12"/>
  <c r="L63" i="12"/>
  <c r="M63" i="12"/>
  <c r="O63" i="12"/>
  <c r="P63" i="12"/>
  <c r="Q63" i="12"/>
  <c r="C64" i="12"/>
  <c r="D64" i="12"/>
  <c r="E64" i="12"/>
  <c r="G64" i="12"/>
  <c r="H64" i="12"/>
  <c r="I64" i="12"/>
  <c r="K64" i="12"/>
  <c r="L64" i="12"/>
  <c r="M64" i="12"/>
  <c r="O64" i="12"/>
  <c r="P64" i="12"/>
  <c r="Q64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E67" i="12"/>
  <c r="G67" i="12"/>
  <c r="H67" i="12"/>
  <c r="I67" i="12"/>
  <c r="M67" i="12"/>
  <c r="O67" i="12"/>
  <c r="P67" i="12"/>
  <c r="Q67" i="12"/>
  <c r="E68" i="12"/>
  <c r="G68" i="12"/>
  <c r="H68" i="12"/>
  <c r="I68" i="12"/>
  <c r="M68" i="12"/>
  <c r="O68" i="12"/>
  <c r="P68" i="12"/>
  <c r="Q68" i="12"/>
  <c r="E69" i="12"/>
  <c r="G69" i="12"/>
  <c r="H69" i="12"/>
  <c r="I69" i="12"/>
  <c r="M69" i="12"/>
  <c r="O69" i="12"/>
  <c r="P69" i="12"/>
  <c r="Q69" i="12"/>
  <c r="E70" i="12"/>
  <c r="G70" i="12"/>
  <c r="H70" i="12"/>
  <c r="I70" i="12"/>
  <c r="M70" i="12"/>
  <c r="O70" i="12"/>
  <c r="P70" i="12"/>
  <c r="Q70" i="12"/>
  <c r="E71" i="12"/>
  <c r="G71" i="12"/>
  <c r="H71" i="12"/>
  <c r="I71" i="12"/>
  <c r="M71" i="12"/>
  <c r="O71" i="12"/>
  <c r="P71" i="12"/>
  <c r="Q71" i="12"/>
  <c r="E72" i="12"/>
  <c r="G72" i="12"/>
  <c r="H72" i="12"/>
  <c r="I72" i="12"/>
  <c r="M72" i="12"/>
  <c r="O72" i="12"/>
  <c r="P72" i="12"/>
  <c r="Q72" i="12"/>
  <c r="E73" i="12"/>
  <c r="G73" i="12"/>
  <c r="H73" i="12"/>
  <c r="I73" i="12"/>
  <c r="M73" i="12"/>
  <c r="O73" i="12"/>
  <c r="P73" i="12"/>
  <c r="Q73" i="12"/>
  <c r="E74" i="12"/>
  <c r="G74" i="12"/>
  <c r="H74" i="12"/>
  <c r="I74" i="12"/>
  <c r="M74" i="12"/>
  <c r="O74" i="12"/>
  <c r="P74" i="12"/>
  <c r="Q74" i="12"/>
  <c r="E75" i="12"/>
  <c r="G75" i="12"/>
  <c r="H75" i="12"/>
  <c r="I75" i="12"/>
  <c r="M75" i="12"/>
  <c r="O75" i="12"/>
  <c r="P75" i="12"/>
  <c r="Q75" i="12"/>
  <c r="E76" i="12"/>
  <c r="G76" i="12"/>
  <c r="H76" i="12"/>
  <c r="I76" i="12"/>
  <c r="M76" i="12"/>
  <c r="O76" i="12"/>
  <c r="P76" i="12"/>
  <c r="Q76" i="12"/>
  <c r="E77" i="12"/>
  <c r="G77" i="12"/>
  <c r="H77" i="12"/>
  <c r="I77" i="12"/>
  <c r="M77" i="12"/>
  <c r="O77" i="12"/>
  <c r="P77" i="12"/>
  <c r="Q77" i="12"/>
  <c r="E78" i="12"/>
  <c r="G78" i="12"/>
  <c r="H78" i="12"/>
  <c r="I78" i="12"/>
  <c r="M78" i="12"/>
  <c r="O78" i="12"/>
  <c r="P78" i="12"/>
  <c r="Q78" i="12"/>
  <c r="E79" i="12"/>
  <c r="G79" i="12"/>
  <c r="H79" i="12"/>
  <c r="I79" i="12"/>
  <c r="M79" i="12"/>
  <c r="O79" i="12"/>
  <c r="P79" i="12"/>
  <c r="Q79" i="12"/>
  <c r="E80" i="12"/>
  <c r="G80" i="12"/>
  <c r="H80" i="12"/>
  <c r="I80" i="12"/>
  <c r="M80" i="12"/>
  <c r="O80" i="12"/>
  <c r="P80" i="12"/>
  <c r="Q80" i="12"/>
  <c r="C81" i="12"/>
  <c r="D81" i="12"/>
  <c r="E81" i="12"/>
  <c r="G81" i="12"/>
  <c r="H81" i="12"/>
  <c r="I81" i="12"/>
  <c r="K81" i="12"/>
  <c r="L81" i="12"/>
  <c r="M81" i="12"/>
  <c r="O81" i="12"/>
  <c r="P81" i="12"/>
  <c r="Q81" i="12"/>
  <c r="C82" i="12"/>
  <c r="D82" i="12"/>
  <c r="E82" i="12"/>
  <c r="G82" i="12"/>
  <c r="H82" i="12"/>
  <c r="I82" i="12"/>
  <c r="K82" i="12"/>
  <c r="L82" i="12"/>
  <c r="M82" i="12"/>
  <c r="O82" i="12"/>
  <c r="P82" i="12"/>
  <c r="Q82" i="12"/>
  <c r="C83" i="12"/>
  <c r="D83" i="12"/>
  <c r="E83" i="12"/>
  <c r="G83" i="12"/>
  <c r="H83" i="12"/>
  <c r="I83" i="12"/>
  <c r="K83" i="12"/>
  <c r="L83" i="12"/>
  <c r="M83" i="12"/>
  <c r="O83" i="12"/>
  <c r="P83" i="12"/>
  <c r="Q83" i="12"/>
  <c r="C84" i="12"/>
  <c r="D84" i="12"/>
  <c r="E84" i="12"/>
  <c r="G84" i="12"/>
  <c r="H84" i="12"/>
  <c r="I84" i="12"/>
  <c r="K84" i="12"/>
  <c r="L84" i="12"/>
  <c r="M84" i="12"/>
  <c r="O84" i="12"/>
  <c r="P84" i="12"/>
  <c r="Q84" i="12"/>
  <c r="C85" i="12"/>
  <c r="D85" i="12"/>
  <c r="E85" i="12"/>
  <c r="G85" i="12"/>
  <c r="H85" i="12"/>
  <c r="I85" i="12"/>
  <c r="K85" i="12"/>
  <c r="L85" i="12"/>
  <c r="M85" i="12"/>
  <c r="O85" i="12"/>
  <c r="P85" i="12"/>
  <c r="Q85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E87" i="12"/>
  <c r="G87" i="12"/>
  <c r="H87" i="12"/>
  <c r="I87" i="12"/>
  <c r="O87" i="12"/>
  <c r="P87" i="12"/>
  <c r="Q87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A3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C17" i="10"/>
  <c r="D17" i="10"/>
  <c r="E17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C25" i="10"/>
  <c r="D25" i="10"/>
  <c r="E25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C36" i="10"/>
  <c r="D36" i="10"/>
  <c r="E36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C44" i="10"/>
  <c r="D44" i="10"/>
  <c r="E44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C65" i="10"/>
  <c r="D65" i="10"/>
  <c r="E65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C81" i="10"/>
  <c r="D81" i="10"/>
  <c r="E81" i="10"/>
  <c r="D82" i="10"/>
  <c r="E82" i="10"/>
  <c r="D83" i="10"/>
  <c r="E83" i="10"/>
  <c r="C84" i="10"/>
  <c r="D84" i="10"/>
  <c r="E84" i="10"/>
  <c r="D85" i="10"/>
  <c r="E85" i="10"/>
  <c r="C86" i="10"/>
  <c r="D86" i="10"/>
  <c r="E86" i="10"/>
  <c r="A4" i="19"/>
  <c r="A9" i="19"/>
  <c r="C9" i="19"/>
  <c r="D9" i="19"/>
  <c r="E9" i="19"/>
  <c r="F9" i="19"/>
  <c r="G9" i="19"/>
  <c r="H9" i="19"/>
  <c r="I9" i="19"/>
  <c r="K9" i="19"/>
  <c r="A10" i="19"/>
  <c r="C10" i="19"/>
  <c r="D10" i="19"/>
  <c r="E10" i="19"/>
  <c r="F10" i="19"/>
  <c r="G10" i="19"/>
  <c r="H10" i="19"/>
  <c r="I10" i="19"/>
  <c r="K10" i="19"/>
  <c r="A11" i="19"/>
  <c r="C11" i="19"/>
  <c r="D11" i="19"/>
  <c r="E11" i="19"/>
  <c r="F11" i="19"/>
  <c r="G11" i="19"/>
  <c r="H11" i="19"/>
  <c r="I11" i="19"/>
  <c r="K11" i="19"/>
  <c r="A12" i="19"/>
  <c r="C12" i="19"/>
  <c r="D12" i="19"/>
  <c r="E12" i="19"/>
  <c r="F12" i="19"/>
  <c r="G12" i="19"/>
  <c r="H12" i="19"/>
  <c r="I12" i="19"/>
  <c r="K12" i="19"/>
  <c r="A13" i="19"/>
  <c r="C13" i="19"/>
  <c r="D13" i="19"/>
  <c r="E13" i="19"/>
  <c r="F13" i="19"/>
  <c r="G13" i="19"/>
  <c r="H13" i="19"/>
  <c r="I13" i="19"/>
  <c r="K13" i="19"/>
  <c r="A14" i="19"/>
  <c r="C14" i="19"/>
  <c r="D14" i="19"/>
  <c r="E14" i="19"/>
  <c r="F14" i="19"/>
  <c r="G14" i="19"/>
  <c r="H14" i="19"/>
  <c r="I14" i="19"/>
  <c r="K14" i="19"/>
  <c r="A15" i="19"/>
  <c r="C15" i="19"/>
  <c r="D15" i="19"/>
  <c r="E15" i="19"/>
  <c r="F15" i="19"/>
  <c r="G15" i="19"/>
  <c r="H15" i="19"/>
  <c r="I15" i="19"/>
  <c r="K15" i="19"/>
  <c r="A16" i="19"/>
  <c r="C16" i="19"/>
  <c r="D16" i="19"/>
  <c r="E16" i="19"/>
  <c r="F16" i="19"/>
  <c r="G16" i="19"/>
  <c r="H16" i="19"/>
  <c r="I16" i="19"/>
  <c r="K16" i="19"/>
  <c r="A17" i="19"/>
  <c r="C17" i="19"/>
  <c r="D17" i="19"/>
  <c r="E17" i="19"/>
  <c r="F17" i="19"/>
  <c r="G17" i="19"/>
  <c r="H17" i="19"/>
  <c r="I17" i="19"/>
  <c r="K17" i="19"/>
  <c r="A18" i="19"/>
  <c r="C18" i="19"/>
  <c r="D18" i="19"/>
  <c r="E18" i="19"/>
  <c r="F18" i="19"/>
  <c r="G18" i="19"/>
  <c r="H18" i="19"/>
  <c r="I18" i="19"/>
  <c r="K18" i="19"/>
  <c r="A19" i="19"/>
  <c r="C19" i="19"/>
  <c r="D19" i="19"/>
  <c r="E19" i="19"/>
  <c r="F19" i="19"/>
  <c r="G19" i="19"/>
  <c r="H19" i="19"/>
  <c r="I19" i="19"/>
  <c r="K19" i="19"/>
  <c r="A20" i="19"/>
  <c r="C20" i="19"/>
  <c r="D20" i="19"/>
  <c r="E20" i="19"/>
  <c r="F20" i="19"/>
  <c r="G20" i="19"/>
  <c r="H20" i="19"/>
  <c r="I20" i="19"/>
  <c r="K20" i="19"/>
  <c r="A21" i="19"/>
  <c r="C21" i="19"/>
  <c r="D21" i="19"/>
  <c r="E21" i="19"/>
  <c r="F21" i="19"/>
  <c r="G21" i="19"/>
  <c r="H21" i="19"/>
  <c r="I21" i="19"/>
  <c r="K21" i="19"/>
  <c r="A22" i="19"/>
  <c r="C22" i="19"/>
  <c r="D22" i="19"/>
  <c r="E22" i="19"/>
  <c r="F22" i="19"/>
  <c r="G22" i="19"/>
  <c r="H22" i="19"/>
  <c r="I22" i="19"/>
  <c r="K22" i="19"/>
  <c r="C23" i="19"/>
  <c r="D23" i="19"/>
  <c r="E23" i="19"/>
  <c r="F23" i="19"/>
  <c r="G23" i="19"/>
  <c r="H23" i="19"/>
  <c r="I23" i="19"/>
  <c r="J23" i="19"/>
  <c r="K23" i="19"/>
  <c r="A24" i="19"/>
  <c r="C24" i="19"/>
  <c r="D24" i="19"/>
  <c r="E24" i="19"/>
  <c r="F24" i="19"/>
  <c r="G24" i="19"/>
  <c r="H24" i="19"/>
  <c r="I24" i="19"/>
  <c r="K24" i="19"/>
  <c r="A25" i="19"/>
  <c r="C25" i="19"/>
  <c r="D25" i="19"/>
  <c r="E25" i="19"/>
  <c r="F25" i="19"/>
  <c r="G25" i="19"/>
  <c r="H25" i="19"/>
  <c r="I25" i="19"/>
  <c r="K25" i="19"/>
  <c r="A26" i="19"/>
  <c r="C26" i="19"/>
  <c r="D26" i="19"/>
  <c r="E26" i="19"/>
  <c r="F26" i="19"/>
  <c r="G26" i="19"/>
  <c r="H26" i="19"/>
  <c r="I26" i="19"/>
  <c r="K26" i="19"/>
  <c r="A27" i="19"/>
  <c r="C27" i="19"/>
  <c r="D27" i="19"/>
  <c r="E27" i="19"/>
  <c r="G27" i="19"/>
  <c r="H27" i="19"/>
  <c r="I27" i="19"/>
  <c r="K27" i="19"/>
  <c r="A28" i="19"/>
  <c r="C28" i="19"/>
  <c r="D28" i="19"/>
  <c r="E28" i="19"/>
  <c r="F28" i="19"/>
  <c r="G28" i="19"/>
  <c r="H28" i="19"/>
  <c r="I28" i="19"/>
  <c r="K28" i="19"/>
  <c r="A29" i="19"/>
  <c r="C29" i="19"/>
  <c r="D29" i="19"/>
  <c r="E29" i="19"/>
  <c r="F29" i="19"/>
  <c r="G29" i="19"/>
  <c r="H29" i="19"/>
  <c r="I29" i="19"/>
  <c r="K29" i="19"/>
  <c r="A30" i="19"/>
  <c r="C30" i="19"/>
  <c r="D30" i="19"/>
  <c r="E30" i="19"/>
  <c r="F30" i="19"/>
  <c r="G30" i="19"/>
  <c r="H30" i="19"/>
  <c r="I30" i="19"/>
  <c r="K30" i="19"/>
  <c r="C31" i="19"/>
  <c r="D31" i="19"/>
  <c r="E31" i="19"/>
  <c r="F31" i="19"/>
  <c r="G31" i="19"/>
  <c r="H31" i="19"/>
  <c r="I31" i="19"/>
  <c r="J31" i="19"/>
  <c r="K31" i="19"/>
  <c r="A32" i="19"/>
  <c r="C32" i="19"/>
  <c r="D32" i="19"/>
  <c r="E32" i="19"/>
  <c r="F32" i="19"/>
  <c r="G32" i="19"/>
  <c r="H32" i="19"/>
  <c r="I32" i="19"/>
  <c r="K32" i="19"/>
  <c r="A33" i="19"/>
  <c r="C33" i="19"/>
  <c r="D33" i="19"/>
  <c r="E33" i="19"/>
  <c r="F33" i="19"/>
  <c r="G33" i="19"/>
  <c r="I33" i="19"/>
  <c r="K33" i="19"/>
  <c r="A34" i="19"/>
  <c r="C34" i="19"/>
  <c r="D34" i="19"/>
  <c r="E34" i="19"/>
  <c r="F34" i="19"/>
  <c r="G34" i="19"/>
  <c r="H34" i="19"/>
  <c r="I34" i="19"/>
  <c r="K34" i="19"/>
  <c r="A35" i="19"/>
  <c r="C35" i="19"/>
  <c r="D35" i="19"/>
  <c r="E35" i="19"/>
  <c r="F35" i="19"/>
  <c r="G35" i="19"/>
  <c r="I35" i="19"/>
  <c r="K35" i="19"/>
  <c r="A36" i="19"/>
  <c r="C36" i="19"/>
  <c r="D36" i="19"/>
  <c r="E36" i="19"/>
  <c r="F36" i="19"/>
  <c r="G36" i="19"/>
  <c r="H36" i="19"/>
  <c r="I36" i="19"/>
  <c r="K36" i="19"/>
  <c r="A37" i="19"/>
  <c r="D37" i="19"/>
  <c r="E37" i="19"/>
  <c r="F37" i="19"/>
  <c r="G37" i="19"/>
  <c r="H37" i="19"/>
  <c r="I37" i="19"/>
  <c r="K37" i="19"/>
  <c r="A38" i="19"/>
  <c r="C38" i="19"/>
  <c r="D38" i="19"/>
  <c r="E38" i="19"/>
  <c r="F38" i="19"/>
  <c r="G38" i="19"/>
  <c r="H38" i="19"/>
  <c r="I38" i="19"/>
  <c r="K38" i="19"/>
  <c r="A39" i="19"/>
  <c r="C39" i="19"/>
  <c r="D39" i="19"/>
  <c r="E39" i="19"/>
  <c r="F39" i="19"/>
  <c r="G39" i="19"/>
  <c r="H39" i="19"/>
  <c r="I39" i="19"/>
  <c r="K39" i="19"/>
  <c r="A40" i="19"/>
  <c r="C40" i="19"/>
  <c r="D40" i="19"/>
  <c r="E40" i="19"/>
  <c r="F40" i="19"/>
  <c r="G40" i="19"/>
  <c r="H40" i="19"/>
  <c r="I40" i="19"/>
  <c r="K40" i="19"/>
  <c r="A41" i="19"/>
  <c r="C41" i="19"/>
  <c r="D41" i="19"/>
  <c r="E41" i="19"/>
  <c r="F41" i="19"/>
  <c r="G41" i="19"/>
  <c r="H41" i="19"/>
  <c r="I41" i="19"/>
  <c r="K41" i="19"/>
  <c r="A42" i="19"/>
  <c r="C42" i="19"/>
  <c r="D42" i="19"/>
  <c r="E42" i="19"/>
  <c r="F42" i="19"/>
  <c r="G42" i="19"/>
  <c r="H42" i="19"/>
  <c r="I42" i="19"/>
  <c r="K42" i="19"/>
  <c r="A43" i="19"/>
  <c r="C43" i="19"/>
  <c r="D43" i="19"/>
  <c r="E43" i="19"/>
  <c r="F43" i="19"/>
  <c r="G43" i="19"/>
  <c r="H43" i="19"/>
  <c r="I43" i="19"/>
  <c r="K43" i="19"/>
  <c r="A44" i="19"/>
  <c r="C44" i="19"/>
  <c r="D44" i="19"/>
  <c r="E44" i="19"/>
  <c r="F44" i="19"/>
  <c r="G44" i="19"/>
  <c r="H44" i="19"/>
  <c r="I44" i="19"/>
  <c r="K44" i="19"/>
  <c r="C45" i="19"/>
  <c r="D45" i="19"/>
  <c r="E45" i="19"/>
  <c r="F45" i="19"/>
  <c r="G45" i="19"/>
  <c r="H45" i="19"/>
  <c r="I45" i="19"/>
  <c r="J45" i="19"/>
  <c r="K45" i="19"/>
  <c r="A46" i="19"/>
  <c r="C46" i="19"/>
  <c r="D46" i="19"/>
  <c r="E46" i="19"/>
  <c r="F46" i="19"/>
  <c r="G46" i="19"/>
  <c r="H46" i="19"/>
  <c r="I46" i="19"/>
  <c r="K46" i="19"/>
  <c r="A47" i="19"/>
  <c r="C47" i="19"/>
  <c r="D47" i="19"/>
  <c r="E47" i="19"/>
  <c r="F47" i="19"/>
  <c r="G47" i="19"/>
  <c r="H47" i="19"/>
  <c r="I47" i="19"/>
  <c r="K47" i="19"/>
  <c r="A48" i="19"/>
  <c r="C48" i="19"/>
  <c r="D48" i="19"/>
  <c r="E48" i="19"/>
  <c r="F48" i="19"/>
  <c r="G48" i="19"/>
  <c r="H48" i="19"/>
  <c r="I48" i="19"/>
  <c r="K48" i="19"/>
  <c r="A49" i="19"/>
  <c r="C49" i="19"/>
  <c r="D49" i="19"/>
  <c r="E49" i="19"/>
  <c r="F49" i="19"/>
  <c r="G49" i="19"/>
  <c r="H49" i="19"/>
  <c r="I49" i="19"/>
  <c r="K49" i="19"/>
  <c r="A50" i="19"/>
  <c r="C50" i="19"/>
  <c r="D50" i="19"/>
  <c r="E50" i="19"/>
  <c r="F50" i="19"/>
  <c r="G50" i="19"/>
  <c r="H50" i="19"/>
  <c r="I50" i="19"/>
  <c r="K50" i="19"/>
  <c r="A51" i="19"/>
  <c r="C51" i="19"/>
  <c r="D51" i="19"/>
  <c r="E51" i="19"/>
  <c r="F51" i="19"/>
  <c r="G51" i="19"/>
  <c r="H51" i="19"/>
  <c r="I51" i="19"/>
  <c r="K51" i="19"/>
  <c r="C52" i="19"/>
  <c r="D52" i="19"/>
  <c r="E52" i="19"/>
  <c r="F52" i="19"/>
  <c r="G52" i="19"/>
  <c r="H52" i="19"/>
  <c r="I52" i="19"/>
  <c r="J52" i="19"/>
  <c r="K52" i="19"/>
  <c r="A53" i="19"/>
  <c r="C53" i="19"/>
  <c r="D53" i="19"/>
  <c r="E53" i="19"/>
  <c r="F53" i="19"/>
  <c r="G53" i="19"/>
  <c r="H53" i="19"/>
  <c r="I53" i="19"/>
  <c r="K53" i="19"/>
  <c r="A54" i="19"/>
  <c r="C54" i="19"/>
  <c r="D54" i="19"/>
  <c r="E54" i="19"/>
  <c r="F54" i="19"/>
  <c r="G54" i="19"/>
  <c r="H54" i="19"/>
  <c r="I54" i="19"/>
  <c r="K54" i="19"/>
  <c r="A55" i="19"/>
  <c r="C55" i="19"/>
  <c r="D55" i="19"/>
  <c r="E55" i="19"/>
  <c r="F55" i="19"/>
  <c r="G55" i="19"/>
  <c r="H55" i="19"/>
  <c r="I55" i="19"/>
  <c r="K55" i="19"/>
  <c r="A56" i="19"/>
  <c r="C56" i="19"/>
  <c r="D56" i="19"/>
  <c r="E56" i="19"/>
  <c r="F56" i="19"/>
  <c r="G56" i="19"/>
  <c r="H56" i="19"/>
  <c r="I56" i="19"/>
  <c r="K56" i="19"/>
  <c r="A57" i="19"/>
  <c r="C57" i="19"/>
  <c r="D57" i="19"/>
  <c r="E57" i="19"/>
  <c r="F57" i="19"/>
  <c r="G57" i="19"/>
  <c r="H57" i="19"/>
  <c r="I57" i="19"/>
  <c r="K57" i="19"/>
  <c r="A58" i="19"/>
  <c r="C58" i="19"/>
  <c r="D58" i="19"/>
  <c r="E58" i="19"/>
  <c r="F58" i="19"/>
  <c r="G58" i="19"/>
  <c r="H58" i="19"/>
  <c r="I58" i="19"/>
  <c r="K58" i="19"/>
  <c r="A59" i="19"/>
  <c r="C59" i="19"/>
  <c r="D59" i="19"/>
  <c r="E59" i="19"/>
  <c r="F59" i="19"/>
  <c r="G59" i="19"/>
  <c r="H59" i="19"/>
  <c r="I59" i="19"/>
  <c r="K59" i="19"/>
  <c r="I60" i="19"/>
  <c r="K60" i="19"/>
  <c r="I61" i="19"/>
  <c r="K61" i="19"/>
  <c r="A62" i="19"/>
  <c r="C62" i="19"/>
  <c r="D62" i="19"/>
  <c r="E62" i="19"/>
  <c r="F62" i="19"/>
  <c r="G62" i="19"/>
  <c r="H62" i="19"/>
  <c r="I62" i="19"/>
  <c r="K62" i="19"/>
  <c r="A63" i="19"/>
  <c r="C63" i="19"/>
  <c r="D63" i="19"/>
  <c r="E63" i="19"/>
  <c r="F63" i="19"/>
  <c r="G63" i="19"/>
  <c r="H63" i="19"/>
  <c r="I63" i="19"/>
  <c r="K63" i="19"/>
  <c r="A64" i="19"/>
  <c r="C64" i="19"/>
  <c r="D64" i="19"/>
  <c r="E64" i="19"/>
  <c r="F64" i="19"/>
  <c r="G64" i="19"/>
  <c r="H64" i="19"/>
  <c r="I64" i="19"/>
  <c r="K64" i="19"/>
  <c r="A65" i="19"/>
  <c r="C65" i="19"/>
  <c r="D65" i="19"/>
  <c r="E65" i="19"/>
  <c r="F65" i="19"/>
  <c r="G65" i="19"/>
  <c r="H65" i="19"/>
  <c r="I65" i="19"/>
  <c r="K65" i="19"/>
  <c r="A66" i="19"/>
  <c r="C66" i="19"/>
  <c r="D66" i="19"/>
  <c r="E66" i="19"/>
  <c r="F66" i="19"/>
  <c r="G66" i="19"/>
  <c r="H66" i="19"/>
  <c r="I66" i="19"/>
  <c r="K66" i="19"/>
  <c r="C67" i="19"/>
  <c r="D67" i="19"/>
  <c r="E67" i="19"/>
  <c r="F67" i="19"/>
  <c r="G67" i="19"/>
  <c r="H67" i="19"/>
  <c r="I67" i="19"/>
  <c r="J67" i="19"/>
  <c r="K67" i="19"/>
  <c r="I69" i="19"/>
  <c r="K69" i="19"/>
  <c r="I70" i="19"/>
  <c r="K70" i="19"/>
  <c r="I71" i="19"/>
  <c r="K71" i="19"/>
  <c r="I72" i="19"/>
  <c r="K72" i="19"/>
  <c r="I73" i="19"/>
  <c r="K73" i="19"/>
  <c r="I74" i="19"/>
  <c r="K74" i="19"/>
  <c r="I75" i="19"/>
  <c r="K75" i="19"/>
  <c r="I76" i="19"/>
  <c r="K76" i="19"/>
  <c r="I77" i="19"/>
  <c r="K77" i="19"/>
  <c r="I78" i="19"/>
  <c r="K78" i="19"/>
  <c r="I79" i="19"/>
  <c r="K79" i="19"/>
  <c r="I80" i="19"/>
  <c r="K80" i="19"/>
  <c r="I81" i="19"/>
  <c r="K81" i="19"/>
  <c r="I82" i="19"/>
  <c r="K82" i="19"/>
  <c r="C83" i="19"/>
  <c r="D83" i="19"/>
  <c r="E83" i="19"/>
  <c r="F83" i="19"/>
  <c r="G83" i="19"/>
  <c r="H83" i="19"/>
  <c r="I83" i="19"/>
  <c r="J83" i="19"/>
  <c r="K83" i="19"/>
  <c r="A84" i="19"/>
  <c r="C84" i="19"/>
  <c r="D84" i="19"/>
  <c r="E84" i="19"/>
  <c r="F84" i="19"/>
  <c r="G84" i="19"/>
  <c r="H84" i="19"/>
  <c r="I84" i="19"/>
  <c r="K84" i="19"/>
  <c r="A85" i="19"/>
  <c r="C85" i="19"/>
  <c r="D85" i="19"/>
  <c r="E85" i="19"/>
  <c r="F85" i="19"/>
  <c r="G85" i="19"/>
  <c r="H85" i="19"/>
  <c r="I85" i="19"/>
  <c r="K85" i="19"/>
  <c r="A86" i="19"/>
  <c r="C86" i="19"/>
  <c r="D86" i="19"/>
  <c r="E86" i="19"/>
  <c r="F86" i="19"/>
  <c r="G86" i="19"/>
  <c r="H86" i="19"/>
  <c r="I86" i="19"/>
  <c r="K86" i="19"/>
  <c r="A87" i="19"/>
  <c r="C87" i="19"/>
  <c r="D87" i="19"/>
  <c r="E87" i="19"/>
  <c r="F87" i="19"/>
  <c r="G87" i="19"/>
  <c r="H87" i="19"/>
  <c r="I87" i="19"/>
  <c r="K87" i="19"/>
  <c r="C88" i="19"/>
  <c r="D88" i="19"/>
  <c r="E88" i="19"/>
  <c r="F88" i="19"/>
  <c r="G88" i="19"/>
  <c r="H88" i="19"/>
  <c r="I88" i="19"/>
  <c r="J88" i="19"/>
  <c r="K88" i="19"/>
  <c r="Q3" i="20"/>
  <c r="A9" i="20"/>
  <c r="C9" i="20"/>
  <c r="D9" i="20"/>
  <c r="E9" i="20"/>
  <c r="G9" i="20"/>
  <c r="I9" i="20"/>
  <c r="K9" i="20"/>
  <c r="L9" i="20"/>
  <c r="M9" i="20"/>
  <c r="O9" i="20"/>
  <c r="P9" i="20"/>
  <c r="Q9" i="20"/>
  <c r="A10" i="20"/>
  <c r="C10" i="20"/>
  <c r="D10" i="20"/>
  <c r="E10" i="20"/>
  <c r="G10" i="20"/>
  <c r="I10" i="20"/>
  <c r="K10" i="20"/>
  <c r="L10" i="20"/>
  <c r="M10" i="20"/>
  <c r="O10" i="20"/>
  <c r="P10" i="20"/>
  <c r="Q10" i="20"/>
  <c r="A11" i="20"/>
  <c r="C11" i="20"/>
  <c r="D11" i="20"/>
  <c r="E11" i="20"/>
  <c r="G11" i="20"/>
  <c r="H11" i="20"/>
  <c r="I11" i="20"/>
  <c r="K11" i="20"/>
  <c r="L11" i="20"/>
  <c r="M11" i="20"/>
  <c r="O11" i="20"/>
  <c r="P11" i="20"/>
  <c r="Q11" i="20"/>
  <c r="A12" i="20"/>
  <c r="C12" i="20"/>
  <c r="D12" i="20"/>
  <c r="E12" i="20"/>
  <c r="G12" i="20"/>
  <c r="H12" i="20"/>
  <c r="I12" i="20"/>
  <c r="K12" i="20"/>
  <c r="L12" i="20"/>
  <c r="M12" i="20"/>
  <c r="O12" i="20"/>
  <c r="P12" i="20"/>
  <c r="Q12" i="20"/>
  <c r="A13" i="20"/>
  <c r="C13" i="20"/>
  <c r="D13" i="20"/>
  <c r="E13" i="20"/>
  <c r="G13" i="20"/>
  <c r="H13" i="20"/>
  <c r="I13" i="20"/>
  <c r="K13" i="20"/>
  <c r="L13" i="20"/>
  <c r="M13" i="20"/>
  <c r="O13" i="20"/>
  <c r="P13" i="20"/>
  <c r="Q13" i="20"/>
  <c r="A14" i="20"/>
  <c r="C14" i="20"/>
  <c r="D14" i="20"/>
  <c r="E14" i="20"/>
  <c r="G14" i="20"/>
  <c r="H14" i="20"/>
  <c r="I14" i="20"/>
  <c r="K14" i="20"/>
  <c r="L14" i="20"/>
  <c r="M14" i="20"/>
  <c r="O14" i="20"/>
  <c r="P14" i="20"/>
  <c r="Q14" i="20"/>
  <c r="A15" i="20"/>
  <c r="C15" i="20"/>
  <c r="D15" i="20"/>
  <c r="E15" i="20"/>
  <c r="G15" i="20"/>
  <c r="H15" i="20"/>
  <c r="I15" i="20"/>
  <c r="K15" i="20"/>
  <c r="L15" i="20"/>
  <c r="M15" i="20"/>
  <c r="O15" i="20"/>
  <c r="P15" i="20"/>
  <c r="Q15" i="20"/>
  <c r="A16" i="20"/>
  <c r="C16" i="20"/>
  <c r="D16" i="20"/>
  <c r="E16" i="20"/>
  <c r="G16" i="20"/>
  <c r="H16" i="20"/>
  <c r="I16" i="20"/>
  <c r="K16" i="20"/>
  <c r="L16" i="20"/>
  <c r="M16" i="20"/>
  <c r="O16" i="20"/>
  <c r="P16" i="20"/>
  <c r="Q16" i="20"/>
  <c r="A17" i="20"/>
  <c r="C17" i="20"/>
  <c r="D17" i="20"/>
  <c r="E17" i="20"/>
  <c r="G17" i="20"/>
  <c r="H17" i="20"/>
  <c r="I17" i="20"/>
  <c r="K17" i="20"/>
  <c r="L17" i="20"/>
  <c r="M17" i="20"/>
  <c r="O17" i="20"/>
  <c r="P17" i="20"/>
  <c r="Q17" i="20"/>
  <c r="A18" i="20"/>
  <c r="C18" i="20"/>
  <c r="D18" i="20"/>
  <c r="E18" i="20"/>
  <c r="G18" i="20"/>
  <c r="I18" i="20"/>
  <c r="K18" i="20"/>
  <c r="L18" i="20"/>
  <c r="M18" i="20"/>
  <c r="O18" i="20"/>
  <c r="P18" i="20"/>
  <c r="Q18" i="20"/>
  <c r="A19" i="20"/>
  <c r="C19" i="20"/>
  <c r="D19" i="20"/>
  <c r="E19" i="20"/>
  <c r="G19" i="20"/>
  <c r="H19" i="20"/>
  <c r="I19" i="20"/>
  <c r="K19" i="20"/>
  <c r="L19" i="20"/>
  <c r="M19" i="20"/>
  <c r="O19" i="20"/>
  <c r="P19" i="20"/>
  <c r="Q19" i="20"/>
  <c r="A20" i="20"/>
  <c r="C20" i="20"/>
  <c r="D20" i="20"/>
  <c r="E20" i="20"/>
  <c r="G20" i="20"/>
  <c r="I20" i="20"/>
  <c r="K20" i="20"/>
  <c r="M20" i="20"/>
  <c r="O20" i="20"/>
  <c r="P20" i="20"/>
  <c r="Q20" i="20"/>
  <c r="A21" i="20"/>
  <c r="C21" i="20"/>
  <c r="D21" i="20"/>
  <c r="E21" i="20"/>
  <c r="G21" i="20"/>
  <c r="I21" i="20"/>
  <c r="K21" i="20"/>
  <c r="M21" i="20"/>
  <c r="O21" i="20"/>
  <c r="P21" i="20"/>
  <c r="Q21" i="20"/>
  <c r="A22" i="20"/>
  <c r="C22" i="20"/>
  <c r="D22" i="20"/>
  <c r="E22" i="20"/>
  <c r="G22" i="20"/>
  <c r="I22" i="20"/>
  <c r="K22" i="20"/>
  <c r="L22" i="20"/>
  <c r="M22" i="20"/>
  <c r="O22" i="20"/>
  <c r="P22" i="20"/>
  <c r="Q22" i="20"/>
  <c r="C23" i="20"/>
  <c r="D23" i="20"/>
  <c r="E23" i="20"/>
  <c r="G23" i="20"/>
  <c r="H23" i="20"/>
  <c r="I23" i="20"/>
  <c r="K23" i="20"/>
  <c r="L23" i="20"/>
  <c r="M23" i="20"/>
  <c r="O23" i="20"/>
  <c r="P23" i="20"/>
  <c r="Q23" i="20"/>
  <c r="C24" i="20"/>
  <c r="D24" i="20"/>
  <c r="E24" i="20"/>
  <c r="G24" i="20"/>
  <c r="I24" i="20"/>
  <c r="K24" i="20"/>
  <c r="L24" i="20"/>
  <c r="M24" i="20"/>
  <c r="O24" i="20"/>
  <c r="P24" i="20"/>
  <c r="Q24" i="20"/>
  <c r="C25" i="20"/>
  <c r="D25" i="20"/>
  <c r="E25" i="20"/>
  <c r="G25" i="20"/>
  <c r="I25" i="20"/>
  <c r="K25" i="20"/>
  <c r="L25" i="20"/>
  <c r="M25" i="20"/>
  <c r="O25" i="20"/>
  <c r="P25" i="20"/>
  <c r="Q25" i="20"/>
  <c r="C26" i="20"/>
  <c r="D26" i="20"/>
  <c r="E26" i="20"/>
  <c r="G26" i="20"/>
  <c r="I26" i="20"/>
  <c r="K26" i="20"/>
  <c r="L26" i="20"/>
  <c r="M26" i="20"/>
  <c r="O26" i="20"/>
  <c r="P26" i="20"/>
  <c r="Q26" i="20"/>
  <c r="C27" i="20"/>
  <c r="D27" i="20"/>
  <c r="E27" i="20"/>
  <c r="G27" i="20"/>
  <c r="I27" i="20"/>
  <c r="K27" i="20"/>
  <c r="M27" i="20"/>
  <c r="O27" i="20"/>
  <c r="P27" i="20"/>
  <c r="Q27" i="20"/>
  <c r="C28" i="20"/>
  <c r="D28" i="20"/>
  <c r="E28" i="20"/>
  <c r="G28" i="20"/>
  <c r="I28" i="20"/>
  <c r="K28" i="20"/>
  <c r="L28" i="20"/>
  <c r="M28" i="20"/>
  <c r="O28" i="20"/>
  <c r="P28" i="20"/>
  <c r="Q28" i="20"/>
  <c r="C29" i="20"/>
  <c r="D29" i="20"/>
  <c r="E29" i="20"/>
  <c r="G29" i="20"/>
  <c r="I29" i="20"/>
  <c r="K29" i="20"/>
  <c r="M29" i="20"/>
  <c r="O29" i="20"/>
  <c r="P29" i="20"/>
  <c r="Q29" i="20"/>
  <c r="C30" i="20"/>
  <c r="D30" i="20"/>
  <c r="E30" i="20"/>
  <c r="G30" i="20"/>
  <c r="I30" i="20"/>
  <c r="K30" i="20"/>
  <c r="L30" i="20"/>
  <c r="M30" i="20"/>
  <c r="O30" i="20"/>
  <c r="P30" i="20"/>
  <c r="Q30" i="20"/>
  <c r="C31" i="20"/>
  <c r="D31" i="20"/>
  <c r="E31" i="20"/>
  <c r="G31" i="20"/>
  <c r="H31" i="20"/>
  <c r="I31" i="20"/>
  <c r="K31" i="20"/>
  <c r="L31" i="20"/>
  <c r="M31" i="20"/>
  <c r="O31" i="20"/>
  <c r="P31" i="20"/>
  <c r="Q31" i="20"/>
  <c r="A32" i="20"/>
  <c r="C32" i="20"/>
  <c r="D32" i="20"/>
  <c r="E32" i="20"/>
  <c r="G32" i="20"/>
  <c r="I32" i="20"/>
  <c r="K32" i="20"/>
  <c r="M32" i="20"/>
  <c r="O32" i="20"/>
  <c r="P32" i="20"/>
  <c r="Q32" i="20"/>
  <c r="A33" i="20"/>
  <c r="C33" i="20"/>
  <c r="D33" i="20"/>
  <c r="E33" i="20"/>
  <c r="G33" i="20"/>
  <c r="I33" i="20"/>
  <c r="K33" i="20"/>
  <c r="L33" i="20"/>
  <c r="M33" i="20"/>
  <c r="O33" i="20"/>
  <c r="P33" i="20"/>
  <c r="Q33" i="20"/>
  <c r="A34" i="20"/>
  <c r="C34" i="20"/>
  <c r="D34" i="20"/>
  <c r="E34" i="20"/>
  <c r="G34" i="20"/>
  <c r="I34" i="20"/>
  <c r="K34" i="20"/>
  <c r="M34" i="20"/>
  <c r="O34" i="20"/>
  <c r="P34" i="20"/>
  <c r="Q34" i="20"/>
  <c r="A35" i="20"/>
  <c r="C35" i="20"/>
  <c r="D35" i="20"/>
  <c r="E35" i="20"/>
  <c r="G35" i="20"/>
  <c r="I35" i="20"/>
  <c r="K35" i="20"/>
  <c r="L35" i="20"/>
  <c r="M35" i="20"/>
  <c r="O35" i="20"/>
  <c r="P35" i="20"/>
  <c r="Q35" i="20"/>
  <c r="A36" i="20"/>
  <c r="C36" i="20"/>
  <c r="D36" i="20"/>
  <c r="E36" i="20"/>
  <c r="G36" i="20"/>
  <c r="I36" i="20"/>
  <c r="K36" i="20"/>
  <c r="L36" i="20"/>
  <c r="M36" i="20"/>
  <c r="O36" i="20"/>
  <c r="P36" i="20"/>
  <c r="Q36" i="20"/>
  <c r="A37" i="20"/>
  <c r="C37" i="20"/>
  <c r="D37" i="20"/>
  <c r="E37" i="20"/>
  <c r="G37" i="20"/>
  <c r="H37" i="20"/>
  <c r="I37" i="20"/>
  <c r="K37" i="20"/>
  <c r="L37" i="20"/>
  <c r="M37" i="20"/>
  <c r="O37" i="20"/>
  <c r="P37" i="20"/>
  <c r="Q37" i="20"/>
  <c r="A38" i="20"/>
  <c r="C38" i="20"/>
  <c r="D38" i="20"/>
  <c r="E38" i="20"/>
  <c r="G38" i="20"/>
  <c r="I38" i="20"/>
  <c r="K38" i="20"/>
  <c r="L38" i="20"/>
  <c r="M38" i="20"/>
  <c r="O38" i="20"/>
  <c r="P38" i="20"/>
  <c r="Q38" i="20"/>
  <c r="A39" i="20"/>
  <c r="C39" i="20"/>
  <c r="D39" i="20"/>
  <c r="E39" i="20"/>
  <c r="G39" i="20"/>
  <c r="I39" i="20"/>
  <c r="K39" i="20"/>
  <c r="L39" i="20"/>
  <c r="M39" i="20"/>
  <c r="O39" i="20"/>
  <c r="P39" i="20"/>
  <c r="Q39" i="20"/>
  <c r="A40" i="20"/>
  <c r="C40" i="20"/>
  <c r="D40" i="20"/>
  <c r="E40" i="20"/>
  <c r="G40" i="20"/>
  <c r="I40" i="20"/>
  <c r="K40" i="20"/>
  <c r="L40" i="20"/>
  <c r="M40" i="20"/>
  <c r="O40" i="20"/>
  <c r="P40" i="20"/>
  <c r="Q40" i="20"/>
  <c r="A41" i="20"/>
  <c r="C41" i="20"/>
  <c r="D41" i="20"/>
  <c r="E41" i="20"/>
  <c r="G41" i="20"/>
  <c r="I41" i="20"/>
  <c r="K41" i="20"/>
  <c r="L41" i="20"/>
  <c r="M41" i="20"/>
  <c r="O41" i="20"/>
  <c r="P41" i="20"/>
  <c r="Q41" i="20"/>
  <c r="A42" i="20"/>
  <c r="C42" i="20"/>
  <c r="D42" i="20"/>
  <c r="E42" i="20"/>
  <c r="G42" i="20"/>
  <c r="I42" i="20"/>
  <c r="K42" i="20"/>
  <c r="L42" i="20"/>
  <c r="M42" i="20"/>
  <c r="O42" i="20"/>
  <c r="P42" i="20"/>
  <c r="Q42" i="20"/>
  <c r="A43" i="20"/>
  <c r="C43" i="20"/>
  <c r="D43" i="20"/>
  <c r="E43" i="20"/>
  <c r="G43" i="20"/>
  <c r="I43" i="20"/>
  <c r="K43" i="20"/>
  <c r="L43" i="20"/>
  <c r="M43" i="20"/>
  <c r="O43" i="20"/>
  <c r="P43" i="20"/>
  <c r="Q43" i="20"/>
  <c r="A44" i="20"/>
  <c r="C44" i="20"/>
  <c r="D44" i="20"/>
  <c r="E44" i="20"/>
  <c r="G44" i="20"/>
  <c r="H44" i="20"/>
  <c r="I44" i="20"/>
  <c r="K44" i="20"/>
  <c r="L44" i="20"/>
  <c r="M44" i="20"/>
  <c r="O44" i="20"/>
  <c r="P44" i="20"/>
  <c r="Q44" i="20"/>
  <c r="C45" i="20"/>
  <c r="D45" i="20"/>
  <c r="E45" i="20"/>
  <c r="G45" i="20"/>
  <c r="H45" i="20"/>
  <c r="I45" i="20"/>
  <c r="K45" i="20"/>
  <c r="L45" i="20"/>
  <c r="M45" i="20"/>
  <c r="O45" i="20"/>
  <c r="P45" i="20"/>
  <c r="Q45" i="20"/>
  <c r="A46" i="20"/>
  <c r="C46" i="20"/>
  <c r="D46" i="20"/>
  <c r="E46" i="20"/>
  <c r="G46" i="20"/>
  <c r="I46" i="20"/>
  <c r="K46" i="20"/>
  <c r="M46" i="20"/>
  <c r="O46" i="20"/>
  <c r="P46" i="20"/>
  <c r="Q46" i="20"/>
  <c r="A47" i="20"/>
  <c r="C47" i="20"/>
  <c r="D47" i="20"/>
  <c r="E47" i="20"/>
  <c r="G47" i="20"/>
  <c r="I47" i="20"/>
  <c r="K47" i="20"/>
  <c r="L47" i="20"/>
  <c r="M47" i="20"/>
  <c r="O47" i="20"/>
  <c r="P47" i="20"/>
  <c r="Q47" i="20"/>
  <c r="A48" i="20"/>
  <c r="C48" i="20"/>
  <c r="D48" i="20"/>
  <c r="E48" i="20"/>
  <c r="G48" i="20"/>
  <c r="I48" i="20"/>
  <c r="K48" i="20"/>
  <c r="M48" i="20"/>
  <c r="O48" i="20"/>
  <c r="P48" i="20"/>
  <c r="Q48" i="20"/>
  <c r="A49" i="20"/>
  <c r="C49" i="20"/>
  <c r="D49" i="20"/>
  <c r="E49" i="20"/>
  <c r="G49" i="20"/>
  <c r="I49" i="20"/>
  <c r="K49" i="20"/>
  <c r="L49" i="20"/>
  <c r="M49" i="20"/>
  <c r="O49" i="20"/>
  <c r="P49" i="20"/>
  <c r="Q49" i="20"/>
  <c r="A50" i="20"/>
  <c r="C50" i="20"/>
  <c r="D50" i="20"/>
  <c r="E50" i="20"/>
  <c r="G50" i="20"/>
  <c r="I50" i="20"/>
  <c r="K50" i="20"/>
  <c r="M50" i="20"/>
  <c r="O50" i="20"/>
  <c r="P50" i="20"/>
  <c r="Q50" i="20"/>
  <c r="A51" i="20"/>
  <c r="C51" i="20"/>
  <c r="D51" i="20"/>
  <c r="E51" i="20"/>
  <c r="G51" i="20"/>
  <c r="I51" i="20"/>
  <c r="K51" i="20"/>
  <c r="L51" i="20"/>
  <c r="M51" i="20"/>
  <c r="O51" i="20"/>
  <c r="P51" i="20"/>
  <c r="Q51" i="20"/>
  <c r="C52" i="20"/>
  <c r="D52" i="20"/>
  <c r="E52" i="20"/>
  <c r="G52" i="20"/>
  <c r="H52" i="20"/>
  <c r="I52" i="20"/>
  <c r="K52" i="20"/>
  <c r="L52" i="20"/>
  <c r="M52" i="20"/>
  <c r="O52" i="20"/>
  <c r="P52" i="20"/>
  <c r="Q52" i="20"/>
  <c r="C53" i="20"/>
  <c r="D53" i="20"/>
  <c r="E53" i="20"/>
  <c r="G53" i="20"/>
  <c r="I53" i="20"/>
  <c r="K53" i="20"/>
  <c r="M53" i="20"/>
  <c r="O53" i="20"/>
  <c r="P53" i="20"/>
  <c r="Q53" i="20"/>
  <c r="C54" i="20"/>
  <c r="D54" i="20"/>
  <c r="E54" i="20"/>
  <c r="G54" i="20"/>
  <c r="H54" i="20"/>
  <c r="I54" i="20"/>
  <c r="K54" i="20"/>
  <c r="M54" i="20"/>
  <c r="O54" i="20"/>
  <c r="P54" i="20"/>
  <c r="Q54" i="20"/>
  <c r="C55" i="20"/>
  <c r="D55" i="20"/>
  <c r="E55" i="20"/>
  <c r="G55" i="20"/>
  <c r="I55" i="20"/>
  <c r="K55" i="20"/>
  <c r="L55" i="20"/>
  <c r="M55" i="20"/>
  <c r="O55" i="20"/>
  <c r="P55" i="20"/>
  <c r="Q55" i="20"/>
  <c r="C56" i="20"/>
  <c r="D56" i="20"/>
  <c r="E56" i="20"/>
  <c r="G56" i="20"/>
  <c r="I56" i="20"/>
  <c r="K56" i="20"/>
  <c r="L56" i="20"/>
  <c r="M56" i="20"/>
  <c r="O56" i="20"/>
  <c r="P56" i="20"/>
  <c r="Q56" i="20"/>
  <c r="C57" i="20"/>
  <c r="D57" i="20"/>
  <c r="E57" i="20"/>
  <c r="G57" i="20"/>
  <c r="I57" i="20"/>
  <c r="K57" i="20"/>
  <c r="L57" i="20"/>
  <c r="M57" i="20"/>
  <c r="O57" i="20"/>
  <c r="P57" i="20"/>
  <c r="Q57" i="20"/>
  <c r="C58" i="20"/>
  <c r="D58" i="20"/>
  <c r="E58" i="20"/>
  <c r="G58" i="20"/>
  <c r="H58" i="20"/>
  <c r="I58" i="20"/>
  <c r="K58" i="20"/>
  <c r="M58" i="20"/>
  <c r="O58" i="20"/>
  <c r="P58" i="20"/>
  <c r="Q58" i="20"/>
  <c r="C59" i="20"/>
  <c r="D59" i="20"/>
  <c r="E59" i="20"/>
  <c r="G59" i="20"/>
  <c r="I59" i="20"/>
  <c r="K59" i="20"/>
  <c r="L59" i="20"/>
  <c r="M59" i="20"/>
  <c r="O59" i="20"/>
  <c r="P59" i="20"/>
  <c r="Q59" i="20"/>
  <c r="C60" i="20"/>
  <c r="D60" i="20"/>
  <c r="E60" i="20"/>
  <c r="I60" i="20"/>
  <c r="M60" i="20"/>
  <c r="O60" i="20"/>
  <c r="P60" i="20"/>
  <c r="Q60" i="20"/>
  <c r="C61" i="20"/>
  <c r="D61" i="20"/>
  <c r="E61" i="20"/>
  <c r="I61" i="20"/>
  <c r="M61" i="20"/>
  <c r="O61" i="20"/>
  <c r="P61" i="20"/>
  <c r="Q61" i="20"/>
  <c r="C62" i="20"/>
  <c r="D62" i="20"/>
  <c r="E62" i="20"/>
  <c r="G62" i="20"/>
  <c r="I62" i="20"/>
  <c r="M62" i="20"/>
  <c r="O62" i="20"/>
  <c r="P62" i="20"/>
  <c r="Q62" i="20"/>
  <c r="C63" i="20"/>
  <c r="D63" i="20"/>
  <c r="E63" i="20"/>
  <c r="G63" i="20"/>
  <c r="H63" i="20"/>
  <c r="I63" i="20"/>
  <c r="K63" i="20"/>
  <c r="L63" i="20"/>
  <c r="M63" i="20"/>
  <c r="O63" i="20"/>
  <c r="P63" i="20"/>
  <c r="Q63" i="20"/>
  <c r="C64" i="20"/>
  <c r="D64" i="20"/>
  <c r="E64" i="20"/>
  <c r="G64" i="20"/>
  <c r="I64" i="20"/>
  <c r="K64" i="20"/>
  <c r="L64" i="20"/>
  <c r="M64" i="20"/>
  <c r="O64" i="20"/>
  <c r="P64" i="20"/>
  <c r="Q64" i="20"/>
  <c r="C65" i="20"/>
  <c r="D65" i="20"/>
  <c r="G65" i="20"/>
  <c r="H65" i="20"/>
  <c r="I65" i="20"/>
  <c r="K65" i="20"/>
  <c r="L65" i="20"/>
  <c r="M65" i="20"/>
  <c r="O65" i="20"/>
  <c r="P65" i="20"/>
  <c r="Q65" i="20"/>
  <c r="C66" i="20"/>
  <c r="D66" i="20"/>
  <c r="E66" i="20"/>
  <c r="G66" i="20"/>
  <c r="I66" i="20"/>
  <c r="K66" i="20"/>
  <c r="M66" i="20"/>
  <c r="O66" i="20"/>
  <c r="P66" i="20"/>
  <c r="Q66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E69" i="20"/>
  <c r="G69" i="20"/>
  <c r="I69" i="20"/>
  <c r="M69" i="20"/>
  <c r="O69" i="20"/>
  <c r="P69" i="20"/>
  <c r="Q69" i="20"/>
  <c r="E70" i="20"/>
  <c r="G70" i="20"/>
  <c r="I70" i="20"/>
  <c r="M70" i="20"/>
  <c r="O70" i="20"/>
  <c r="P70" i="20"/>
  <c r="Q70" i="20"/>
  <c r="E71" i="20"/>
  <c r="G71" i="20"/>
  <c r="I71" i="20"/>
  <c r="M71" i="20"/>
  <c r="O71" i="20"/>
  <c r="P71" i="20"/>
  <c r="Q71" i="20"/>
  <c r="E72" i="20"/>
  <c r="G72" i="20"/>
  <c r="I72" i="20"/>
  <c r="M72" i="20"/>
  <c r="O72" i="20"/>
  <c r="P72" i="20"/>
  <c r="Q72" i="20"/>
  <c r="E73" i="20"/>
  <c r="G73" i="20"/>
  <c r="I73" i="20"/>
  <c r="M73" i="20"/>
  <c r="O73" i="20"/>
  <c r="P73" i="20"/>
  <c r="Q73" i="20"/>
  <c r="E74" i="20"/>
  <c r="G74" i="20"/>
  <c r="I74" i="20"/>
  <c r="M74" i="20"/>
  <c r="O74" i="20"/>
  <c r="P74" i="20"/>
  <c r="Q74" i="20"/>
  <c r="E75" i="20"/>
  <c r="G75" i="20"/>
  <c r="I75" i="20"/>
  <c r="M75" i="20"/>
  <c r="O75" i="20"/>
  <c r="P75" i="20"/>
  <c r="Q75" i="20"/>
  <c r="E76" i="20"/>
  <c r="G76" i="20"/>
  <c r="I76" i="20"/>
  <c r="M76" i="20"/>
  <c r="O76" i="20"/>
  <c r="P76" i="20"/>
  <c r="Q76" i="20"/>
  <c r="E77" i="20"/>
  <c r="G77" i="20"/>
  <c r="I77" i="20"/>
  <c r="M77" i="20"/>
  <c r="O77" i="20"/>
  <c r="P77" i="20"/>
  <c r="Q77" i="20"/>
  <c r="E78" i="20"/>
  <c r="G78" i="20"/>
  <c r="I78" i="20"/>
  <c r="M78" i="20"/>
  <c r="O78" i="20"/>
  <c r="P78" i="20"/>
  <c r="Q78" i="20"/>
  <c r="E79" i="20"/>
  <c r="G79" i="20"/>
  <c r="I79" i="20"/>
  <c r="M79" i="20"/>
  <c r="O79" i="20"/>
  <c r="P79" i="20"/>
  <c r="Q79" i="20"/>
  <c r="E80" i="20"/>
  <c r="G80" i="20"/>
  <c r="I80" i="20"/>
  <c r="M80" i="20"/>
  <c r="O80" i="20"/>
  <c r="P80" i="20"/>
  <c r="Q80" i="20"/>
  <c r="E81" i="20"/>
  <c r="G81" i="20"/>
  <c r="I81" i="20"/>
  <c r="M81" i="20"/>
  <c r="O81" i="20"/>
  <c r="P81" i="20"/>
  <c r="Q81" i="20"/>
  <c r="E82" i="20"/>
  <c r="G82" i="20"/>
  <c r="I82" i="20"/>
  <c r="M82" i="20"/>
  <c r="O82" i="20"/>
  <c r="P82" i="20"/>
  <c r="Q82" i="20"/>
  <c r="C83" i="20"/>
  <c r="D83" i="20"/>
  <c r="E83" i="20"/>
  <c r="G83" i="20"/>
  <c r="H83" i="20"/>
  <c r="I83" i="20"/>
  <c r="K83" i="20"/>
  <c r="L83" i="20"/>
  <c r="M83" i="20"/>
  <c r="O83" i="20"/>
  <c r="P83" i="20"/>
  <c r="Q83" i="20"/>
  <c r="C84" i="20"/>
  <c r="D84" i="20"/>
  <c r="E84" i="20"/>
  <c r="G84" i="20"/>
  <c r="I84" i="20"/>
  <c r="K84" i="20"/>
  <c r="L84" i="20"/>
  <c r="M84" i="20"/>
  <c r="O84" i="20"/>
  <c r="P84" i="20"/>
  <c r="Q84" i="20"/>
  <c r="C85" i="20"/>
  <c r="D85" i="20"/>
  <c r="E85" i="20"/>
  <c r="G85" i="20"/>
  <c r="I85" i="20"/>
  <c r="K85" i="20"/>
  <c r="L85" i="20"/>
  <c r="M85" i="20"/>
  <c r="O85" i="20"/>
  <c r="P85" i="20"/>
  <c r="Q85" i="20"/>
  <c r="C86" i="20"/>
  <c r="D86" i="20"/>
  <c r="E86" i="20"/>
  <c r="G86" i="20"/>
  <c r="H86" i="20"/>
  <c r="I86" i="20"/>
  <c r="K86" i="20"/>
  <c r="L86" i="20"/>
  <c r="M86" i="20"/>
  <c r="O86" i="20"/>
  <c r="P86" i="20"/>
  <c r="Q86" i="20"/>
  <c r="C87" i="20"/>
  <c r="D87" i="20"/>
  <c r="E87" i="20"/>
  <c r="G87" i="20"/>
  <c r="H87" i="20"/>
  <c r="I87" i="20"/>
  <c r="K87" i="20"/>
  <c r="L87" i="20"/>
  <c r="M87" i="20"/>
  <c r="O87" i="20"/>
  <c r="P87" i="20"/>
  <c r="Q87" i="20"/>
  <c r="C88" i="20"/>
  <c r="D88" i="20"/>
  <c r="E88" i="20"/>
  <c r="F88" i="20"/>
  <c r="G88" i="20"/>
  <c r="H88" i="20"/>
  <c r="I88" i="20"/>
  <c r="J88" i="20"/>
  <c r="K88" i="20"/>
  <c r="L88" i="20"/>
  <c r="M88" i="20"/>
  <c r="N88" i="20"/>
  <c r="O88" i="20"/>
  <c r="P88" i="20"/>
  <c r="Q88" i="20"/>
  <c r="E89" i="20"/>
  <c r="I89" i="20"/>
  <c r="M89" i="20"/>
  <c r="O89" i="20"/>
  <c r="P89" i="20"/>
  <c r="Q89" i="20"/>
  <c r="C90" i="20"/>
  <c r="D90" i="20"/>
  <c r="E90" i="20"/>
  <c r="F90" i="20"/>
  <c r="G90" i="20"/>
  <c r="H90" i="20"/>
  <c r="I90" i="20"/>
  <c r="J90" i="20"/>
  <c r="K90" i="20"/>
  <c r="L90" i="20"/>
  <c r="M90" i="20"/>
  <c r="N90" i="20"/>
  <c r="O90" i="20"/>
  <c r="P90" i="20"/>
  <c r="Q90" i="20"/>
  <c r="P94" i="20"/>
  <c r="P96" i="20"/>
  <c r="C9" i="6"/>
  <c r="D9" i="6"/>
  <c r="E9" i="6"/>
  <c r="G9" i="6"/>
  <c r="H9" i="6"/>
  <c r="I9" i="6"/>
  <c r="K9" i="6"/>
  <c r="L9" i="6"/>
  <c r="M9" i="6"/>
  <c r="O9" i="6"/>
  <c r="P9" i="6"/>
  <c r="Q9" i="6"/>
  <c r="C10" i="6"/>
  <c r="D10" i="6"/>
  <c r="E10" i="6"/>
  <c r="G10" i="6"/>
  <c r="H10" i="6"/>
  <c r="I10" i="6"/>
  <c r="K10" i="6"/>
  <c r="L10" i="6"/>
  <c r="M10" i="6"/>
  <c r="O10" i="6"/>
  <c r="P10" i="6"/>
  <c r="Q10" i="6"/>
  <c r="C11" i="6"/>
  <c r="D11" i="6"/>
  <c r="E11" i="6"/>
  <c r="G11" i="6"/>
  <c r="H11" i="6"/>
  <c r="I11" i="6"/>
  <c r="K11" i="6"/>
  <c r="L11" i="6"/>
  <c r="M11" i="6"/>
  <c r="O11" i="6"/>
  <c r="P11" i="6"/>
  <c r="Q11" i="6"/>
  <c r="C12" i="6"/>
  <c r="D12" i="6"/>
  <c r="E12" i="6"/>
  <c r="G12" i="6"/>
  <c r="H12" i="6"/>
  <c r="I12" i="6"/>
  <c r="K12" i="6"/>
  <c r="L12" i="6"/>
  <c r="M12" i="6"/>
  <c r="O12" i="6"/>
  <c r="P12" i="6"/>
  <c r="Q12" i="6"/>
  <c r="C13" i="6"/>
  <c r="D13" i="6"/>
  <c r="E13" i="6"/>
  <c r="G13" i="6"/>
  <c r="H13" i="6"/>
  <c r="I13" i="6"/>
  <c r="K13" i="6"/>
  <c r="L13" i="6"/>
  <c r="M13" i="6"/>
  <c r="O13" i="6"/>
  <c r="P13" i="6"/>
  <c r="Q13" i="6"/>
  <c r="C14" i="6"/>
  <c r="D14" i="6"/>
  <c r="E14" i="6"/>
  <c r="G14" i="6"/>
  <c r="H14" i="6"/>
  <c r="I14" i="6"/>
  <c r="K14" i="6"/>
  <c r="L14" i="6"/>
  <c r="M14" i="6"/>
  <c r="O14" i="6"/>
  <c r="P14" i="6"/>
  <c r="Q14" i="6"/>
  <c r="C15" i="6"/>
  <c r="D15" i="6"/>
  <c r="E15" i="6"/>
  <c r="G15" i="6"/>
  <c r="H15" i="6"/>
  <c r="I15" i="6"/>
  <c r="K15" i="6"/>
  <c r="L15" i="6"/>
  <c r="M15" i="6"/>
  <c r="O15" i="6"/>
  <c r="P15" i="6"/>
  <c r="Q15" i="6"/>
  <c r="C16" i="6"/>
  <c r="D16" i="6"/>
  <c r="E16" i="6"/>
  <c r="G16" i="6"/>
  <c r="H16" i="6"/>
  <c r="I16" i="6"/>
  <c r="K16" i="6"/>
  <c r="L16" i="6"/>
  <c r="M16" i="6"/>
  <c r="O16" i="6"/>
  <c r="P16" i="6"/>
  <c r="Q16" i="6"/>
  <c r="C17" i="6"/>
  <c r="D17" i="6"/>
  <c r="E17" i="6"/>
  <c r="G17" i="6"/>
  <c r="H17" i="6"/>
  <c r="I17" i="6"/>
  <c r="K17" i="6"/>
  <c r="L17" i="6"/>
  <c r="M17" i="6"/>
  <c r="O17" i="6"/>
  <c r="P17" i="6"/>
  <c r="Q17" i="6"/>
  <c r="C18" i="6"/>
  <c r="D18" i="6"/>
  <c r="E18" i="6"/>
  <c r="G18" i="6"/>
  <c r="H18" i="6"/>
  <c r="I18" i="6"/>
  <c r="K18" i="6"/>
  <c r="L18" i="6"/>
  <c r="M18" i="6"/>
  <c r="O18" i="6"/>
  <c r="P18" i="6"/>
  <c r="Q18" i="6"/>
  <c r="C20" i="6"/>
  <c r="D20" i="6"/>
  <c r="E20" i="6"/>
  <c r="G20" i="6"/>
  <c r="H20" i="6"/>
  <c r="I20" i="6"/>
  <c r="K20" i="6"/>
  <c r="L20" i="6"/>
  <c r="M20" i="6"/>
  <c r="O20" i="6"/>
  <c r="P20" i="6"/>
  <c r="Q20" i="6"/>
  <c r="C21" i="6"/>
  <c r="D21" i="6"/>
  <c r="E21" i="6"/>
  <c r="G21" i="6"/>
  <c r="H21" i="6"/>
  <c r="I21" i="6"/>
  <c r="K21" i="6"/>
  <c r="L21" i="6"/>
  <c r="M21" i="6"/>
  <c r="O21" i="6"/>
  <c r="P21" i="6"/>
  <c r="Q21" i="6"/>
  <c r="C22" i="6"/>
  <c r="D22" i="6"/>
  <c r="E22" i="6"/>
  <c r="G22" i="6"/>
  <c r="H22" i="6"/>
  <c r="I22" i="6"/>
  <c r="K22" i="6"/>
  <c r="L22" i="6"/>
  <c r="M22" i="6"/>
  <c r="O22" i="6"/>
  <c r="P22" i="6"/>
  <c r="Q22" i="6"/>
  <c r="C23" i="6"/>
  <c r="D23" i="6"/>
  <c r="E23" i="6"/>
  <c r="G23" i="6"/>
  <c r="H23" i="6"/>
  <c r="I23" i="6"/>
  <c r="K23" i="6"/>
  <c r="L23" i="6"/>
  <c r="M23" i="6"/>
  <c r="O23" i="6"/>
  <c r="P23" i="6"/>
  <c r="Q23" i="6"/>
  <c r="C24" i="6"/>
  <c r="D24" i="6"/>
  <c r="E24" i="6"/>
  <c r="G24" i="6"/>
  <c r="H24" i="6"/>
  <c r="I24" i="6"/>
  <c r="K24" i="6"/>
  <c r="L24" i="6"/>
  <c r="M24" i="6"/>
  <c r="O24" i="6"/>
  <c r="P24" i="6"/>
  <c r="Q24" i="6"/>
  <c r="C25" i="6"/>
  <c r="D25" i="6"/>
  <c r="E25" i="6"/>
  <c r="G25" i="6"/>
  <c r="H25" i="6"/>
  <c r="I25" i="6"/>
  <c r="K25" i="6"/>
  <c r="L25" i="6"/>
  <c r="M25" i="6"/>
  <c r="O25" i="6"/>
  <c r="P25" i="6"/>
  <c r="Q25" i="6"/>
  <c r="C26" i="6"/>
  <c r="D26" i="6"/>
  <c r="E26" i="6"/>
  <c r="G26" i="6"/>
  <c r="H26" i="6"/>
  <c r="I26" i="6"/>
  <c r="K26" i="6"/>
  <c r="L26" i="6"/>
  <c r="M26" i="6"/>
  <c r="O26" i="6"/>
  <c r="P26" i="6"/>
  <c r="Q26" i="6"/>
  <c r="C28" i="6"/>
  <c r="D28" i="6"/>
  <c r="E28" i="6"/>
  <c r="G28" i="6"/>
  <c r="H28" i="6"/>
  <c r="I28" i="6"/>
  <c r="K28" i="6"/>
  <c r="L28" i="6"/>
  <c r="M28" i="6"/>
  <c r="O28" i="6"/>
  <c r="P28" i="6"/>
  <c r="Q28" i="6"/>
  <c r="C29" i="6"/>
  <c r="D29" i="6"/>
  <c r="E29" i="6"/>
  <c r="G29" i="6"/>
  <c r="H29" i="6"/>
  <c r="I29" i="6"/>
  <c r="K29" i="6"/>
  <c r="L29" i="6"/>
  <c r="M29" i="6"/>
  <c r="O29" i="6"/>
  <c r="P29" i="6"/>
  <c r="Q29" i="6"/>
  <c r="C30" i="6"/>
  <c r="D30" i="6"/>
  <c r="E30" i="6"/>
  <c r="G30" i="6"/>
  <c r="H30" i="6"/>
  <c r="I30" i="6"/>
  <c r="K30" i="6"/>
  <c r="L30" i="6"/>
  <c r="M30" i="6"/>
  <c r="O30" i="6"/>
  <c r="P30" i="6"/>
  <c r="Q30" i="6"/>
  <c r="C31" i="6"/>
  <c r="D31" i="6"/>
  <c r="E31" i="6"/>
  <c r="G31" i="6"/>
  <c r="H31" i="6"/>
  <c r="I31" i="6"/>
  <c r="K31" i="6"/>
  <c r="L31" i="6"/>
  <c r="M31" i="6"/>
  <c r="O31" i="6"/>
  <c r="P31" i="6"/>
  <c r="Q31" i="6"/>
  <c r="C32" i="6"/>
  <c r="D32" i="6"/>
  <c r="E32" i="6"/>
  <c r="G32" i="6"/>
  <c r="H32" i="6"/>
  <c r="I32" i="6"/>
  <c r="K32" i="6"/>
  <c r="L32" i="6"/>
  <c r="M32" i="6"/>
  <c r="O32" i="6"/>
  <c r="P32" i="6"/>
  <c r="Q32" i="6"/>
  <c r="C33" i="6"/>
  <c r="D33" i="6"/>
  <c r="E33" i="6"/>
  <c r="G33" i="6"/>
  <c r="H33" i="6"/>
  <c r="I33" i="6"/>
  <c r="K33" i="6"/>
  <c r="L33" i="6"/>
  <c r="M33" i="6"/>
  <c r="O33" i="6"/>
  <c r="P33" i="6"/>
  <c r="Q33" i="6"/>
  <c r="C34" i="6"/>
  <c r="D34" i="6"/>
  <c r="E34" i="6"/>
  <c r="G34" i="6"/>
  <c r="H34" i="6"/>
  <c r="I34" i="6"/>
  <c r="K34" i="6"/>
  <c r="L34" i="6"/>
  <c r="M34" i="6"/>
  <c r="O34" i="6"/>
  <c r="P34" i="6"/>
  <c r="Q34" i="6"/>
  <c r="C35" i="6"/>
  <c r="D35" i="6"/>
  <c r="E35" i="6"/>
  <c r="G35" i="6"/>
  <c r="H35" i="6"/>
  <c r="I35" i="6"/>
  <c r="K35" i="6"/>
  <c r="L35" i="6"/>
  <c r="M35" i="6"/>
  <c r="O35" i="6"/>
  <c r="P35" i="6"/>
  <c r="Q35" i="6"/>
  <c r="C36" i="6"/>
  <c r="D36" i="6"/>
  <c r="E36" i="6"/>
  <c r="G36" i="6"/>
  <c r="H36" i="6"/>
  <c r="I36" i="6"/>
  <c r="K36" i="6"/>
  <c r="L36" i="6"/>
  <c r="M36" i="6"/>
  <c r="O36" i="6"/>
  <c r="P36" i="6"/>
  <c r="Q36" i="6"/>
  <c r="C37" i="6"/>
  <c r="D37" i="6"/>
  <c r="E37" i="6"/>
  <c r="G37" i="6"/>
  <c r="H37" i="6"/>
  <c r="I37" i="6"/>
  <c r="K37" i="6"/>
  <c r="L37" i="6"/>
  <c r="M37" i="6"/>
  <c r="O37" i="6"/>
  <c r="P37" i="6"/>
  <c r="Q37" i="6"/>
  <c r="C39" i="6"/>
  <c r="D39" i="6"/>
  <c r="E39" i="6"/>
  <c r="G39" i="6"/>
  <c r="H39" i="6"/>
  <c r="I39" i="6"/>
  <c r="K39" i="6"/>
  <c r="L39" i="6"/>
  <c r="M39" i="6"/>
  <c r="O39" i="6"/>
  <c r="P39" i="6"/>
  <c r="Q39" i="6"/>
  <c r="C40" i="6"/>
  <c r="D40" i="6"/>
  <c r="E40" i="6"/>
  <c r="G40" i="6"/>
  <c r="H40" i="6"/>
  <c r="I40" i="6"/>
  <c r="K40" i="6"/>
  <c r="L40" i="6"/>
  <c r="M40" i="6"/>
  <c r="O40" i="6"/>
  <c r="P40" i="6"/>
  <c r="Q40" i="6"/>
  <c r="C41" i="6"/>
  <c r="D41" i="6"/>
  <c r="E41" i="6"/>
  <c r="G41" i="6"/>
  <c r="H41" i="6"/>
  <c r="I41" i="6"/>
  <c r="K41" i="6"/>
  <c r="L41" i="6"/>
  <c r="M41" i="6"/>
  <c r="O41" i="6"/>
  <c r="P41" i="6"/>
  <c r="Q41" i="6"/>
  <c r="C42" i="6"/>
  <c r="D42" i="6"/>
  <c r="E42" i="6"/>
  <c r="G42" i="6"/>
  <c r="H42" i="6"/>
  <c r="I42" i="6"/>
  <c r="K42" i="6"/>
  <c r="L42" i="6"/>
  <c r="M42" i="6"/>
  <c r="O42" i="6"/>
  <c r="P42" i="6"/>
  <c r="Q42" i="6"/>
  <c r="C43" i="6"/>
  <c r="D43" i="6"/>
  <c r="E43" i="6"/>
  <c r="G43" i="6"/>
  <c r="H43" i="6"/>
  <c r="I43" i="6"/>
  <c r="K43" i="6"/>
  <c r="L43" i="6"/>
  <c r="M43" i="6"/>
  <c r="O43" i="6"/>
  <c r="P43" i="6"/>
  <c r="Q43" i="6"/>
  <c r="C44" i="6"/>
  <c r="D44" i="6"/>
  <c r="E44" i="6"/>
  <c r="G44" i="6"/>
  <c r="H44" i="6"/>
  <c r="I44" i="6"/>
  <c r="K44" i="6"/>
  <c r="L44" i="6"/>
  <c r="M44" i="6"/>
  <c r="O44" i="6"/>
  <c r="P44" i="6"/>
  <c r="Q44" i="6"/>
  <c r="C45" i="6"/>
  <c r="D45" i="6"/>
  <c r="E45" i="6"/>
  <c r="G45" i="6"/>
  <c r="H45" i="6"/>
  <c r="I45" i="6"/>
  <c r="K45" i="6"/>
  <c r="L45" i="6"/>
  <c r="M45" i="6"/>
  <c r="O45" i="6"/>
  <c r="P45" i="6"/>
  <c r="Q45" i="6"/>
  <c r="C47" i="6"/>
  <c r="D47" i="6"/>
  <c r="E47" i="6"/>
  <c r="G47" i="6"/>
  <c r="H47" i="6"/>
  <c r="I47" i="6"/>
  <c r="K47" i="6"/>
  <c r="L47" i="6"/>
  <c r="M47" i="6"/>
  <c r="O47" i="6"/>
  <c r="P47" i="6"/>
  <c r="Q47" i="6"/>
  <c r="C48" i="6"/>
  <c r="D48" i="6"/>
  <c r="E48" i="6"/>
  <c r="G48" i="6"/>
  <c r="H48" i="6"/>
  <c r="I48" i="6"/>
  <c r="K48" i="6"/>
  <c r="L48" i="6"/>
  <c r="M48" i="6"/>
  <c r="O48" i="6"/>
  <c r="P48" i="6"/>
  <c r="Q48" i="6"/>
  <c r="C49" i="6"/>
  <c r="D49" i="6"/>
  <c r="E49" i="6"/>
  <c r="G49" i="6"/>
  <c r="H49" i="6"/>
  <c r="I49" i="6"/>
  <c r="K49" i="6"/>
  <c r="L49" i="6"/>
  <c r="M49" i="6"/>
  <c r="O49" i="6"/>
  <c r="P49" i="6"/>
  <c r="Q49" i="6"/>
  <c r="C50" i="6"/>
  <c r="D50" i="6"/>
  <c r="E50" i="6"/>
  <c r="G50" i="6"/>
  <c r="H50" i="6"/>
  <c r="I50" i="6"/>
  <c r="K50" i="6"/>
  <c r="L50" i="6"/>
  <c r="M50" i="6"/>
  <c r="O50" i="6"/>
  <c r="P50" i="6"/>
  <c r="Q50" i="6"/>
  <c r="C51" i="6"/>
  <c r="D51" i="6"/>
  <c r="E51" i="6"/>
  <c r="G51" i="6"/>
  <c r="H51" i="6"/>
  <c r="I51" i="6"/>
  <c r="K51" i="6"/>
  <c r="L51" i="6"/>
  <c r="M51" i="6"/>
  <c r="O51" i="6"/>
  <c r="P51" i="6"/>
  <c r="Q51" i="6"/>
  <c r="C52" i="6"/>
  <c r="D52" i="6"/>
  <c r="E52" i="6"/>
  <c r="G52" i="6"/>
  <c r="H52" i="6"/>
  <c r="I52" i="6"/>
  <c r="K52" i="6"/>
  <c r="L52" i="6"/>
  <c r="M52" i="6"/>
  <c r="O52" i="6"/>
  <c r="P52" i="6"/>
  <c r="Q52" i="6"/>
  <c r="C53" i="6"/>
  <c r="D53" i="6"/>
  <c r="E53" i="6"/>
  <c r="G53" i="6"/>
  <c r="H53" i="6"/>
  <c r="I53" i="6"/>
  <c r="K53" i="6"/>
  <c r="L53" i="6"/>
  <c r="M53" i="6"/>
  <c r="O53" i="6"/>
  <c r="P53" i="6"/>
  <c r="Q53" i="6"/>
  <c r="C54" i="6"/>
  <c r="D54" i="6"/>
  <c r="E54" i="6"/>
  <c r="G54" i="6"/>
  <c r="H54" i="6"/>
  <c r="I54" i="6"/>
  <c r="K54" i="6"/>
  <c r="L54" i="6"/>
  <c r="M54" i="6"/>
  <c r="O54" i="6"/>
  <c r="P54" i="6"/>
  <c r="Q54" i="6"/>
  <c r="C55" i="6"/>
  <c r="D55" i="6"/>
  <c r="E55" i="6"/>
  <c r="G55" i="6"/>
  <c r="H55" i="6"/>
  <c r="I55" i="6"/>
  <c r="K55" i="6"/>
  <c r="L55" i="6"/>
  <c r="M55" i="6"/>
  <c r="O55" i="6"/>
  <c r="P55" i="6"/>
  <c r="Q55" i="6"/>
  <c r="C56" i="6"/>
  <c r="D56" i="6"/>
  <c r="E56" i="6"/>
  <c r="G56" i="6"/>
  <c r="H56" i="6"/>
  <c r="I56" i="6"/>
  <c r="K56" i="6"/>
  <c r="L56" i="6"/>
  <c r="M56" i="6"/>
  <c r="O56" i="6"/>
  <c r="P56" i="6"/>
  <c r="Q56" i="6"/>
  <c r="C57" i="6"/>
  <c r="D57" i="6"/>
  <c r="E57" i="6"/>
  <c r="G57" i="6"/>
  <c r="H57" i="6"/>
  <c r="I57" i="6"/>
  <c r="K57" i="6"/>
  <c r="L57" i="6"/>
  <c r="M57" i="6"/>
  <c r="O57" i="6"/>
  <c r="P57" i="6"/>
  <c r="Q57" i="6"/>
  <c r="C58" i="6"/>
  <c r="D58" i="6"/>
  <c r="E58" i="6"/>
  <c r="G58" i="6"/>
  <c r="H58" i="6"/>
  <c r="I58" i="6"/>
  <c r="K58" i="6"/>
  <c r="L58" i="6"/>
  <c r="M58" i="6"/>
  <c r="O58" i="6"/>
  <c r="P58" i="6"/>
  <c r="Q58" i="6"/>
  <c r="C59" i="6"/>
  <c r="D59" i="6"/>
  <c r="E59" i="6"/>
  <c r="G59" i="6"/>
  <c r="H59" i="6"/>
  <c r="I59" i="6"/>
  <c r="K59" i="6"/>
  <c r="L59" i="6"/>
  <c r="M59" i="6"/>
  <c r="O59" i="6"/>
  <c r="P59" i="6"/>
  <c r="Q59" i="6"/>
  <c r="C60" i="6"/>
  <c r="D60" i="6"/>
  <c r="E60" i="6"/>
  <c r="G60" i="6"/>
  <c r="H60" i="6"/>
  <c r="I60" i="6"/>
  <c r="K60" i="6"/>
  <c r="L60" i="6"/>
  <c r="M60" i="6"/>
  <c r="O60" i="6"/>
  <c r="P60" i="6"/>
  <c r="Q60" i="6"/>
  <c r="C61" i="6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D63" i="6"/>
  <c r="E63" i="6"/>
  <c r="G63" i="6"/>
  <c r="H63" i="6"/>
  <c r="I63" i="6"/>
  <c r="K63" i="6"/>
  <c r="L63" i="6"/>
  <c r="M63" i="6"/>
  <c r="O63" i="6"/>
  <c r="P63" i="6"/>
  <c r="Q63" i="6"/>
  <c r="C64" i="6"/>
  <c r="D64" i="6"/>
  <c r="E64" i="6"/>
  <c r="G64" i="6"/>
  <c r="H64" i="6"/>
  <c r="I64" i="6"/>
  <c r="K64" i="6"/>
  <c r="L64" i="6"/>
  <c r="M64" i="6"/>
  <c r="O64" i="6"/>
  <c r="P64" i="6"/>
  <c r="Q64" i="6"/>
  <c r="C65" i="6"/>
  <c r="D65" i="6"/>
  <c r="E65" i="6"/>
  <c r="G65" i="6"/>
  <c r="H65" i="6"/>
  <c r="I65" i="6"/>
  <c r="K65" i="6"/>
  <c r="L65" i="6"/>
  <c r="M65" i="6"/>
  <c r="O65" i="6"/>
  <c r="P65" i="6"/>
  <c r="Q65" i="6"/>
  <c r="C66" i="6"/>
  <c r="D66" i="6"/>
  <c r="E66" i="6"/>
  <c r="G66" i="6"/>
  <c r="H66" i="6"/>
  <c r="I66" i="6"/>
  <c r="K66" i="6"/>
  <c r="L66" i="6"/>
  <c r="M66" i="6"/>
  <c r="O66" i="6"/>
  <c r="P66" i="6"/>
  <c r="Q66" i="6"/>
  <c r="C67" i="6"/>
  <c r="D67" i="6"/>
  <c r="E67" i="6"/>
  <c r="G67" i="6"/>
  <c r="H67" i="6"/>
  <c r="I67" i="6"/>
  <c r="K67" i="6"/>
  <c r="L67" i="6"/>
  <c r="M67" i="6"/>
  <c r="O67" i="6"/>
  <c r="P67" i="6"/>
  <c r="Q67" i="6"/>
  <c r="E69" i="6"/>
  <c r="G69" i="6"/>
  <c r="H69" i="6"/>
  <c r="I69" i="6"/>
  <c r="M69" i="6"/>
  <c r="O69" i="6"/>
  <c r="P69" i="6"/>
  <c r="Q69" i="6"/>
  <c r="E70" i="6"/>
  <c r="G70" i="6"/>
  <c r="H70" i="6"/>
  <c r="I70" i="6"/>
  <c r="M70" i="6"/>
  <c r="O70" i="6"/>
  <c r="P70" i="6"/>
  <c r="Q70" i="6"/>
  <c r="E71" i="6"/>
  <c r="G71" i="6"/>
  <c r="H71" i="6"/>
  <c r="I71" i="6"/>
  <c r="M71" i="6"/>
  <c r="O71" i="6"/>
  <c r="P71" i="6"/>
  <c r="Q71" i="6"/>
  <c r="E72" i="6"/>
  <c r="G72" i="6"/>
  <c r="H72" i="6"/>
  <c r="I72" i="6"/>
  <c r="M72" i="6"/>
  <c r="O72" i="6"/>
  <c r="P72" i="6"/>
  <c r="Q72" i="6"/>
  <c r="E73" i="6"/>
  <c r="G73" i="6"/>
  <c r="H73" i="6"/>
  <c r="I73" i="6"/>
  <c r="M73" i="6"/>
  <c r="O73" i="6"/>
  <c r="P73" i="6"/>
  <c r="Q73" i="6"/>
  <c r="E74" i="6"/>
  <c r="G74" i="6"/>
  <c r="H74" i="6"/>
  <c r="I74" i="6"/>
  <c r="M74" i="6"/>
  <c r="O74" i="6"/>
  <c r="P74" i="6"/>
  <c r="Q74" i="6"/>
  <c r="E75" i="6"/>
  <c r="G75" i="6"/>
  <c r="H75" i="6"/>
  <c r="I75" i="6"/>
  <c r="M75" i="6"/>
  <c r="O75" i="6"/>
  <c r="P75" i="6"/>
  <c r="Q75" i="6"/>
  <c r="E76" i="6"/>
  <c r="G76" i="6"/>
  <c r="H76" i="6"/>
  <c r="I76" i="6"/>
  <c r="M76" i="6"/>
  <c r="O76" i="6"/>
  <c r="P76" i="6"/>
  <c r="Q76" i="6"/>
  <c r="E77" i="6"/>
  <c r="G77" i="6"/>
  <c r="H77" i="6"/>
  <c r="I77" i="6"/>
  <c r="M77" i="6"/>
  <c r="O77" i="6"/>
  <c r="P77" i="6"/>
  <c r="Q77" i="6"/>
  <c r="E78" i="6"/>
  <c r="G78" i="6"/>
  <c r="H78" i="6"/>
  <c r="I78" i="6"/>
  <c r="M78" i="6"/>
  <c r="O78" i="6"/>
  <c r="P78" i="6"/>
  <c r="Q78" i="6"/>
  <c r="E79" i="6"/>
  <c r="G79" i="6"/>
  <c r="H79" i="6"/>
  <c r="I79" i="6"/>
  <c r="M79" i="6"/>
  <c r="O79" i="6"/>
  <c r="P79" i="6"/>
  <c r="Q79" i="6"/>
  <c r="E80" i="6"/>
  <c r="G80" i="6"/>
  <c r="H80" i="6"/>
  <c r="I80" i="6"/>
  <c r="M80" i="6"/>
  <c r="O80" i="6"/>
  <c r="P80" i="6"/>
  <c r="Q80" i="6"/>
  <c r="E81" i="6"/>
  <c r="G81" i="6"/>
  <c r="H81" i="6"/>
  <c r="I81" i="6"/>
  <c r="M81" i="6"/>
  <c r="O81" i="6"/>
  <c r="P81" i="6"/>
  <c r="Q81" i="6"/>
  <c r="E82" i="6"/>
  <c r="G82" i="6"/>
  <c r="H82" i="6"/>
  <c r="I82" i="6"/>
  <c r="M82" i="6"/>
  <c r="O82" i="6"/>
  <c r="P82" i="6"/>
  <c r="Q82" i="6"/>
  <c r="C83" i="6"/>
  <c r="D83" i="6"/>
  <c r="E83" i="6"/>
  <c r="G83" i="6"/>
  <c r="H83" i="6"/>
  <c r="I83" i="6"/>
  <c r="K83" i="6"/>
  <c r="L83" i="6"/>
  <c r="M83" i="6"/>
  <c r="O83" i="6"/>
  <c r="P83" i="6"/>
  <c r="Q83" i="6"/>
  <c r="E84" i="6"/>
  <c r="G84" i="6"/>
  <c r="H84" i="6"/>
  <c r="I84" i="6"/>
  <c r="K84" i="6"/>
  <c r="L84" i="6"/>
  <c r="M84" i="6"/>
  <c r="O84" i="6"/>
  <c r="P84" i="6"/>
  <c r="Q84" i="6"/>
  <c r="G85" i="6"/>
  <c r="H85" i="6"/>
  <c r="I85" i="6"/>
  <c r="K85" i="6"/>
  <c r="M85" i="6"/>
  <c r="O85" i="6"/>
  <c r="P85" i="6"/>
  <c r="G86" i="6"/>
  <c r="H86" i="6"/>
  <c r="I86" i="6"/>
  <c r="K86" i="6"/>
  <c r="M86" i="6"/>
  <c r="O86" i="6"/>
  <c r="P86" i="6"/>
  <c r="E87" i="6"/>
  <c r="G87" i="6"/>
  <c r="H87" i="6"/>
  <c r="I87" i="6"/>
  <c r="K87" i="6"/>
  <c r="L87" i="6"/>
  <c r="M87" i="6"/>
  <c r="O87" i="6"/>
  <c r="P87" i="6"/>
  <c r="Q87" i="6"/>
  <c r="C88" i="6"/>
  <c r="D88" i="6"/>
  <c r="E88" i="6"/>
  <c r="G88" i="6"/>
  <c r="H88" i="6"/>
  <c r="I88" i="6"/>
  <c r="K88" i="6"/>
  <c r="L88" i="6"/>
  <c r="M88" i="6"/>
  <c r="O88" i="6"/>
  <c r="P88" i="6"/>
  <c r="Q88" i="6"/>
  <c r="E89" i="6"/>
  <c r="L89" i="6"/>
  <c r="M89" i="6"/>
  <c r="O89" i="6"/>
  <c r="P89" i="6"/>
  <c r="Q89" i="6"/>
  <c r="C90" i="6"/>
  <c r="D90" i="6"/>
  <c r="E90" i="6"/>
  <c r="G90" i="6"/>
  <c r="H90" i="6"/>
  <c r="I90" i="6"/>
  <c r="K90" i="6"/>
  <c r="L90" i="6"/>
  <c r="M90" i="6"/>
  <c r="O90" i="6"/>
  <c r="P90" i="6"/>
  <c r="Q90" i="6"/>
  <c r="E100" i="6"/>
  <c r="M100" i="6"/>
  <c r="E106" i="6"/>
  <c r="M106" i="6"/>
</calcChain>
</file>

<file path=xl/sharedStrings.xml><?xml version="1.0" encoding="utf-8"?>
<sst xmlns="http://schemas.openxmlformats.org/spreadsheetml/2006/main" count="604" uniqueCount="213">
  <si>
    <t>Margin</t>
  </si>
  <si>
    <t>EBIT</t>
  </si>
  <si>
    <t>Business Team</t>
  </si>
  <si>
    <t>Actual</t>
  </si>
  <si>
    <t>Plan</t>
  </si>
  <si>
    <t>Variance</t>
  </si>
  <si>
    <t>Forecast</t>
  </si>
  <si>
    <t xml:space="preserve">  Total East Power</t>
  </si>
  <si>
    <t xml:space="preserve">  Total West Power</t>
  </si>
  <si>
    <t xml:space="preserve">  Total Natural Gas</t>
  </si>
  <si>
    <t xml:space="preserve">  Total Canada </t>
  </si>
  <si>
    <t xml:space="preserve">    Overview</t>
  </si>
  <si>
    <t>Total Commercial</t>
  </si>
  <si>
    <t>Total Group</t>
  </si>
  <si>
    <t>ENA EBIT</t>
  </si>
  <si>
    <t>Interest Expense/(Income)</t>
  </si>
  <si>
    <t>ENA Pre-tax Income</t>
  </si>
  <si>
    <t xml:space="preserve">    Corp Charges and Non-Allocable</t>
  </si>
  <si>
    <t xml:space="preserve">    Capital Charge Offset/Facility Costs</t>
  </si>
  <si>
    <t xml:space="preserve">    Other Interest Related</t>
  </si>
  <si>
    <t xml:space="preserve">    ERCOT (Smith/Sukaly)</t>
  </si>
  <si>
    <t xml:space="preserve">    Southeast (Herndon/Pagan)</t>
  </si>
  <si>
    <t xml:space="preserve">    Midwest (Sturm/Baughman)</t>
  </si>
  <si>
    <t xml:space="preserve">    Northeast (Davis/Ader)</t>
  </si>
  <si>
    <t xml:space="preserve">    Management Book (Presto)</t>
  </si>
  <si>
    <t xml:space="preserve">    Originations (Calger)</t>
  </si>
  <si>
    <t xml:space="preserve">    QF (Calger)</t>
  </si>
  <si>
    <t xml:space="preserve">    Development (Jacoby)</t>
  </si>
  <si>
    <t xml:space="preserve">    Structuring (Aucoin)</t>
  </si>
  <si>
    <t xml:space="preserve">    Fundamentals (Will)</t>
  </si>
  <si>
    <t xml:space="preserve">    Trading (Belden)</t>
  </si>
  <si>
    <t xml:space="preserve">    Middle Market/Services (Foster/Wolfe)</t>
  </si>
  <si>
    <t xml:space="preserve">    Development (Parquet)</t>
  </si>
  <si>
    <t xml:space="preserve">    Fundamentals (Heisenreiker)</t>
  </si>
  <si>
    <t xml:space="preserve">    West (Allen/Tycholiz)</t>
  </si>
  <si>
    <t xml:space="preserve">    Midwest (Shively/Luce)</t>
  </si>
  <si>
    <t xml:space="preserve">    East (Neal/Vickers)</t>
  </si>
  <si>
    <t xml:space="preserve">   Texas (Martin)</t>
  </si>
  <si>
    <t xml:space="preserve">   Financial (Arnold)</t>
  </si>
  <si>
    <t xml:space="preserve">   Derivatives (Lagrasta)</t>
  </si>
  <si>
    <t xml:space="preserve">   NG Structuring (McMicheal)</t>
  </si>
  <si>
    <t xml:space="preserve">   NG Fundamentals (Gaskill)</t>
  </si>
  <si>
    <t xml:space="preserve">    Natural Gas (McKay/LeDain)</t>
  </si>
  <si>
    <t xml:space="preserve">    Finance (Kitagawa)</t>
  </si>
  <si>
    <t xml:space="preserve">    Retail (Pope)</t>
  </si>
  <si>
    <t xml:space="preserve">    Executive (Milnthorp)</t>
  </si>
  <si>
    <t xml:space="preserve">    Mexico (Yzaguirre)</t>
  </si>
  <si>
    <t xml:space="preserve">    Generation Investments (Duran)</t>
  </si>
  <si>
    <t xml:space="preserve">    Principal Investing (Miller)</t>
  </si>
  <si>
    <t xml:space="preserve">    Corporate Development (Detmering)</t>
  </si>
  <si>
    <t xml:space="preserve">    Restructuring (Redmond)</t>
  </si>
  <si>
    <t xml:space="preserve">    Business Analysis &amp; Reptg (Colwell)</t>
  </si>
  <si>
    <t xml:space="preserve">    Transaction Support (Colwell)</t>
  </si>
  <si>
    <t xml:space="preserve">    Energy Operations (Beck)</t>
  </si>
  <si>
    <t xml:space="preserve">    Human Resources (Oxley)</t>
  </si>
  <si>
    <t xml:space="preserve">    Legal (Haedicke)</t>
  </si>
  <si>
    <t xml:space="preserve">    Public Relations (Thoede)</t>
  </si>
  <si>
    <t xml:space="preserve">    Tax (Douglas)</t>
  </si>
  <si>
    <t xml:space="preserve">    Information Technology (Bibi)</t>
  </si>
  <si>
    <t xml:space="preserve">    Research (Kaminski)</t>
  </si>
  <si>
    <t xml:space="preserve">    Competitive Analysis (Tholan)</t>
  </si>
  <si>
    <t xml:space="preserve">    Treasury (Deffner)</t>
  </si>
  <si>
    <t xml:space="preserve">    Technical Services (Redmond))</t>
  </si>
  <si>
    <t xml:space="preserve">    Energy Capital Svcs (Thompson/Josey)</t>
  </si>
  <si>
    <t xml:space="preserve">    New Albany (Presto)   </t>
  </si>
  <si>
    <t xml:space="preserve">    Alberta Power (Zufferli/Davies)</t>
  </si>
  <si>
    <t xml:space="preserve">    Ontario Power (Devries)</t>
  </si>
  <si>
    <t xml:space="preserve">    LT Fundamentals/Transport (Gomez)</t>
  </si>
  <si>
    <t xml:space="preserve">    HPL (Redmond)</t>
  </si>
  <si>
    <t xml:space="preserve">    Bridgeline (Mrha)</t>
  </si>
  <si>
    <t>Enron North America</t>
  </si>
  <si>
    <t xml:space="preserve">    Sold Peakers</t>
  </si>
  <si>
    <t xml:space="preserve">    Office of the Chairman (Delainey/Lavorato)</t>
  </si>
  <si>
    <t xml:space="preserve">    Cross Commodity (Lavorato)</t>
  </si>
  <si>
    <t xml:space="preserve">    Upstream Executive (Mrha)</t>
  </si>
  <si>
    <t>ENRON NORTH AMERICA</t>
  </si>
  <si>
    <t xml:space="preserve">DAILY CHANGE </t>
  </si>
  <si>
    <t>Deals</t>
  </si>
  <si>
    <t>Total</t>
  </si>
  <si>
    <t>MPR</t>
  </si>
  <si>
    <t>Accruals</t>
  </si>
  <si>
    <t>Other</t>
  </si>
  <si>
    <t>FTA</t>
  </si>
  <si>
    <t>Identified</t>
  </si>
  <si>
    <t>(1) Excludes Cap. Charge &amp; Operating Costs</t>
  </si>
  <si>
    <t xml:space="preserve"> </t>
  </si>
  <si>
    <r>
      <t>DPR</t>
    </r>
    <r>
      <rPr>
        <b/>
        <vertAlign val="superscript"/>
        <sz val="8"/>
        <rFont val="Arial Narrow"/>
        <family val="2"/>
      </rPr>
      <t>(1)</t>
    </r>
  </si>
  <si>
    <t>DPR Change</t>
  </si>
  <si>
    <t>Operating Expense</t>
  </si>
  <si>
    <t>MPR Change</t>
  </si>
  <si>
    <t>Commercial Expense</t>
  </si>
  <si>
    <t>Other Margin Changes</t>
  </si>
  <si>
    <t>Total Change</t>
  </si>
  <si>
    <t>Prior Day:</t>
  </si>
  <si>
    <t>Current Day:</t>
  </si>
  <si>
    <t>Change:</t>
  </si>
  <si>
    <t>Direct Expenses</t>
  </si>
  <si>
    <t>Variance Explanation</t>
  </si>
  <si>
    <t>TOTAL</t>
  </si>
  <si>
    <t>Capital Charge</t>
  </si>
  <si>
    <t xml:space="preserve">   Management</t>
  </si>
  <si>
    <t xml:space="preserve">      Compression Services (Hilgert)</t>
  </si>
  <si>
    <t xml:space="preserve">      Offshore (Byargeon)</t>
  </si>
  <si>
    <t xml:space="preserve">      Storage (Bieniawski)</t>
  </si>
  <si>
    <t xml:space="preserve">      Producer E-Commerce (Grass)</t>
  </si>
  <si>
    <t xml:space="preserve">      Wellhead Desk (Mrha)</t>
  </si>
  <si>
    <t xml:space="preserve">    Canada Support (Milnthorp)</t>
  </si>
  <si>
    <t>1st QTR 2001 EARNINGS ESTIMATE</t>
  </si>
  <si>
    <t>1st QUARTER 2001 DETAIL OF GROSS MARGIN</t>
  </si>
  <si>
    <t>1st QUARTER 2001 EXPENSES - WEEKLY CHANGE</t>
  </si>
  <si>
    <t>Margin change from: 12/31/00</t>
  </si>
  <si>
    <t>Expense changes from: 12/31/00</t>
  </si>
  <si>
    <t>Operating Expenses</t>
  </si>
  <si>
    <t xml:space="preserve">    Capital Charge Offset</t>
  </si>
  <si>
    <t xml:space="preserve">    Facility Costs</t>
  </si>
  <si>
    <t xml:space="preserve">    Prepay Expenses</t>
  </si>
  <si>
    <t xml:space="preserve">    U.S. Drift</t>
  </si>
  <si>
    <t xml:space="preserve">Direct &amp; </t>
  </si>
  <si>
    <t>Capital</t>
  </si>
  <si>
    <t>Charge</t>
  </si>
  <si>
    <t xml:space="preserve">    TVA Settlement</t>
  </si>
  <si>
    <t>Origination</t>
  </si>
  <si>
    <t>Trading</t>
  </si>
  <si>
    <t>Mid Mkt</t>
  </si>
  <si>
    <t>North America EBIT</t>
  </si>
  <si>
    <t>North America Pre-tax Income</t>
  </si>
  <si>
    <t>YTD 2001 EARNINGS ESTIMATE</t>
  </si>
  <si>
    <t>3rd QTR 2001 EARNINGS ESTIMATE</t>
  </si>
  <si>
    <t>Management  Book (Presto)</t>
  </si>
  <si>
    <t>Services (Will)</t>
  </si>
  <si>
    <t>Development (Jacoby)</t>
  </si>
  <si>
    <t>Generation Investments (Duran)</t>
  </si>
  <si>
    <t>Structuring/Fundamentals (Meyn/Will)</t>
  </si>
  <si>
    <t>Trading (Belden)</t>
  </si>
  <si>
    <t>Middle Market Originations</t>
  </si>
  <si>
    <t>Orginations (Thomas/McDonald)</t>
  </si>
  <si>
    <t>Services (Foster/Wolfe)</t>
  </si>
  <si>
    <t>Executive (Calger)</t>
  </si>
  <si>
    <t>Generation (Parquet)</t>
  </si>
  <si>
    <t>Fundamentals (Heizenreiker)</t>
  </si>
  <si>
    <t>Financial Gas (Arnold)</t>
  </si>
  <si>
    <t>Derivative (Lagrasta)</t>
  </si>
  <si>
    <t>NG Structuring (McMichael)</t>
  </si>
  <si>
    <t>NG Fundamentals (Gaskill)</t>
  </si>
  <si>
    <t>Management</t>
  </si>
  <si>
    <t>Upstream Executive (Mrha)</t>
  </si>
  <si>
    <t>Bridgeline (Mrha)</t>
  </si>
  <si>
    <t>HPL (Redmond)</t>
  </si>
  <si>
    <t>Mexico (Irvin/Williams)</t>
  </si>
  <si>
    <t>Energy Capital Svcs (Thompson/Josey)</t>
  </si>
  <si>
    <t>Mariner</t>
  </si>
  <si>
    <t>Asset Marketing (Miller)</t>
  </si>
  <si>
    <t>Sold Peakers</t>
  </si>
  <si>
    <t>Cross Commodity (Lavorato)</t>
  </si>
  <si>
    <t>Office of the Chairman (Lavorato/Kitchen)</t>
  </si>
  <si>
    <t>Margin Detail</t>
  </si>
  <si>
    <t>3rd Quarter 2001 Detail of Gross Margin</t>
  </si>
  <si>
    <t>Alberta Power (Zufferli/Davies)</t>
  </si>
  <si>
    <t>Ontario Power (Devries)</t>
  </si>
  <si>
    <t>Executive (Milnthorp)</t>
  </si>
  <si>
    <t>Prepay Expenses</t>
  </si>
  <si>
    <t>U.S. Drift</t>
  </si>
  <si>
    <t>Facility Costs</t>
  </si>
  <si>
    <t>Capital Charge Offset</t>
  </si>
  <si>
    <t>Variance Explanations</t>
  </si>
  <si>
    <t>3rd Quarter 2001 Detail of Expenses</t>
  </si>
  <si>
    <t>Finance (Kitagawa)</t>
  </si>
  <si>
    <t>TVA Settlement</t>
  </si>
  <si>
    <t>Capaital Charge</t>
  </si>
  <si>
    <t>3rd Quarter 2001 Detail of Capital Charge</t>
  </si>
  <si>
    <t>Upstream Products (Mrha)</t>
  </si>
  <si>
    <t>Principal Investing (Miller)</t>
  </si>
  <si>
    <t>Corporate Development (Detmering)</t>
  </si>
  <si>
    <t>North America Margin</t>
  </si>
  <si>
    <t>North America Expenses</t>
  </si>
  <si>
    <t>North America Cap Charge</t>
  </si>
  <si>
    <t>YTD 2001 Detail of Gross Margin</t>
  </si>
  <si>
    <t>AIG and 50% Tex Mex capital charge</t>
  </si>
  <si>
    <t>Fixed capital charge allocation per Chris Calger</t>
  </si>
  <si>
    <t>Higher Las Vegas Cogen Equity &amp; Commodity balance than planned</t>
  </si>
  <si>
    <t>Gas inventory higher than planned</t>
  </si>
  <si>
    <t>Gas inventory lower than planned</t>
  </si>
  <si>
    <t>2 ABB 11n1 turbines not planned</t>
  </si>
  <si>
    <t>TexMex</t>
  </si>
  <si>
    <t>June true up adjustment</t>
  </si>
  <si>
    <t>Plan assumes new deals that have not materialized thus far</t>
  </si>
  <si>
    <t>Plan assuemes 3Q Marnier monetization</t>
  </si>
  <si>
    <t>Bridgeline (Redmond)</t>
  </si>
  <si>
    <t>Norteast Trading (Davis)</t>
  </si>
  <si>
    <t xml:space="preserve">Southeast Trading (Herndon/Kroll) </t>
  </si>
  <si>
    <t xml:space="preserve">Southeast Orig (Herndon/Kroll) </t>
  </si>
  <si>
    <t>Texas Trading (Martin)</t>
  </si>
  <si>
    <t>Texas Origination (Redmond)</t>
  </si>
  <si>
    <t>East Trading (Neal)</t>
  </si>
  <si>
    <t>East Origination (Vickors)</t>
  </si>
  <si>
    <t>Central Trading (Shively)</t>
  </si>
  <si>
    <t>Central Origination (Luce)</t>
  </si>
  <si>
    <t>West Trading (Allen)</t>
  </si>
  <si>
    <t>West Origination (Tycholiz)</t>
  </si>
  <si>
    <t>Natural Gas Trading (Zufferli)</t>
  </si>
  <si>
    <t>Natural Gas Origination (LeDain)</t>
  </si>
  <si>
    <t>Other *</t>
  </si>
  <si>
    <t>* LT Fundamentals, Special Assets</t>
  </si>
  <si>
    <t>Results based on activity through Aug 3, 2001</t>
  </si>
  <si>
    <t>MEGS reclassed to Energy Capital Services</t>
  </si>
  <si>
    <t>Northeast Origination (Llodia)</t>
  </si>
  <si>
    <t>Midwest Origination (Sturm/Baughman)</t>
  </si>
  <si>
    <t>Midwest Trading (Sturm/Baughman)</t>
  </si>
  <si>
    <t>Options (Arora)</t>
  </si>
  <si>
    <t>ERCOT Trading (Smith/Corry)</t>
  </si>
  <si>
    <t>ERCOT Orig (Smith/Corry)</t>
  </si>
  <si>
    <t>Middle Market Originations (Foster)</t>
  </si>
  <si>
    <t>Asset Marketing (D. Miller)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</si>
</sst>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75" formatCode="mm/dd/yy"/>
  </numFmts>
  <fonts count="31" x14ac:knownFonts="1">
    <font>
      <sz val="10"/>
      <name val="Arial"/>
    </font>
    <font>
      <sz val="10"/>
      <name val="Arial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sz val="10"/>
      <color indexed="12"/>
      <name val="Arial Narrow"/>
      <family val="2"/>
    </font>
    <font>
      <b/>
      <sz val="8"/>
      <color indexed="12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9"/>
      <color indexed="12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vertAlign val="superscript"/>
      <sz val="8"/>
      <name val="Arial Narrow"/>
      <family val="2"/>
    </font>
    <font>
      <b/>
      <sz val="9"/>
      <name val="Arial Narrow"/>
      <family val="2"/>
    </font>
    <font>
      <i/>
      <sz val="8"/>
      <name val="Arial Narrow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8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Alignment="1"/>
    <xf numFmtId="0" fontId="3" fillId="0" borderId="0" xfId="0" applyFont="1" applyFill="1" applyAlignment="1"/>
    <xf numFmtId="0" fontId="6" fillId="0" borderId="0" xfId="0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9" fillId="0" borderId="0" xfId="0" applyFont="1" applyAlignment="1">
      <alignment vertical="center"/>
    </xf>
    <xf numFmtId="0" fontId="10" fillId="2" borderId="1" xfId="0" applyFont="1" applyFill="1" applyBorder="1"/>
    <xf numFmtId="0" fontId="10" fillId="0" borderId="0" xfId="0" applyFont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2" borderId="0" xfId="0" applyFont="1" applyFill="1" applyBorder="1"/>
    <xf numFmtId="0" fontId="10" fillId="2" borderId="0" xfId="0" applyFont="1" applyFill="1"/>
    <xf numFmtId="0" fontId="13" fillId="2" borderId="1" xfId="0" applyFont="1" applyFill="1" applyBorder="1"/>
    <xf numFmtId="0" fontId="13" fillId="0" borderId="0" xfId="0" applyFont="1"/>
    <xf numFmtId="0" fontId="13" fillId="2" borderId="5" xfId="0" applyFont="1" applyFill="1" applyBorder="1"/>
    <xf numFmtId="0" fontId="10" fillId="2" borderId="5" xfId="0" applyFont="1" applyFill="1" applyBorder="1"/>
    <xf numFmtId="166" fontId="10" fillId="0" borderId="2" xfId="1" applyNumberFormat="1" applyFont="1" applyBorder="1"/>
    <xf numFmtId="166" fontId="10" fillId="0" borderId="3" xfId="1" applyNumberFormat="1" applyFont="1" applyBorder="1"/>
    <xf numFmtId="166" fontId="10" fillId="2" borderId="0" xfId="1" applyNumberFormat="1" applyFont="1" applyFill="1" applyBorder="1"/>
    <xf numFmtId="166" fontId="14" fillId="0" borderId="4" xfId="1" applyNumberFormat="1" applyFont="1" applyBorder="1"/>
    <xf numFmtId="0" fontId="15" fillId="3" borderId="6" xfId="0" applyFont="1" applyFill="1" applyBorder="1" applyAlignment="1">
      <alignment horizontal="left" vertical="center" indent="1"/>
    </xf>
    <xf numFmtId="166" fontId="15" fillId="3" borderId="7" xfId="1" applyNumberFormat="1" applyFont="1" applyFill="1" applyBorder="1" applyAlignment="1">
      <alignment vertical="center"/>
    </xf>
    <xf numFmtId="166" fontId="15" fillId="3" borderId="8" xfId="1" applyNumberFormat="1" applyFont="1" applyFill="1" applyBorder="1" applyAlignment="1">
      <alignment vertical="center"/>
    </xf>
    <xf numFmtId="166" fontId="15" fillId="3" borderId="9" xfId="1" applyNumberFormat="1" applyFont="1" applyFill="1" applyBorder="1" applyAlignment="1">
      <alignment vertical="center"/>
    </xf>
    <xf numFmtId="0" fontId="10" fillId="0" borderId="1" xfId="0" applyFont="1" applyFill="1" applyBorder="1"/>
    <xf numFmtId="166" fontId="10" fillId="0" borderId="2" xfId="1" applyNumberFormat="1" applyFont="1" applyFill="1" applyBorder="1"/>
    <xf numFmtId="166" fontId="10" fillId="0" borderId="3" xfId="1" applyNumberFormat="1" applyFont="1" applyFill="1" applyBorder="1"/>
    <xf numFmtId="166" fontId="14" fillId="0" borderId="4" xfId="1" applyNumberFormat="1" applyFont="1" applyFill="1" applyBorder="1"/>
    <xf numFmtId="0" fontId="16" fillId="0" borderId="0" xfId="0" applyFont="1" applyAlignment="1">
      <alignment vertical="center"/>
    </xf>
    <xf numFmtId="166" fontId="14" fillId="2" borderId="0" xfId="1" applyNumberFormat="1" applyFont="1" applyFill="1" applyBorder="1"/>
    <xf numFmtId="0" fontId="15" fillId="3" borderId="10" xfId="0" applyFont="1" applyFill="1" applyBorder="1" applyAlignment="1">
      <alignment horizontal="left" vertical="center" indent="1"/>
    </xf>
    <xf numFmtId="165" fontId="15" fillId="3" borderId="11" xfId="2" applyNumberFormat="1" applyFont="1" applyFill="1" applyBorder="1" applyAlignment="1">
      <alignment vertical="center"/>
    </xf>
    <xf numFmtId="165" fontId="15" fillId="3" borderId="12" xfId="2" applyNumberFormat="1" applyFont="1" applyFill="1" applyBorder="1" applyAlignment="1">
      <alignment vertical="center"/>
    </xf>
    <xf numFmtId="0" fontId="17" fillId="0" borderId="0" xfId="0" applyFont="1" applyAlignment="1">
      <alignment horizontal="right"/>
    </xf>
    <xf numFmtId="165" fontId="14" fillId="0" borderId="0" xfId="2" applyNumberFormat="1" applyFont="1"/>
    <xf numFmtId="166" fontId="10" fillId="0" borderId="0" xfId="1" applyNumberFormat="1" applyFont="1" applyBorder="1"/>
    <xf numFmtId="166" fontId="10" fillId="0" borderId="0" xfId="1" applyNumberFormat="1" applyFont="1"/>
    <xf numFmtId="0" fontId="14" fillId="0" borderId="0" xfId="0" applyFont="1"/>
    <xf numFmtId="0" fontId="14" fillId="0" borderId="0" xfId="0" quotePrefix="1" applyFont="1"/>
    <xf numFmtId="0" fontId="10" fillId="0" borderId="0" xfId="0" applyFont="1" applyBorder="1"/>
    <xf numFmtId="0" fontId="9" fillId="3" borderId="13" xfId="0" applyFont="1" applyFill="1" applyBorder="1" applyAlignment="1">
      <alignment vertical="center"/>
    </xf>
    <xf numFmtId="0" fontId="11" fillId="3" borderId="14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165" fontId="14" fillId="0" borderId="4" xfId="2" applyNumberFormat="1" applyFont="1" applyBorder="1"/>
    <xf numFmtId="165" fontId="15" fillId="3" borderId="18" xfId="2" applyNumberFormat="1" applyFont="1" applyFill="1" applyBorder="1" applyAlignment="1">
      <alignment vertical="center"/>
    </xf>
    <xf numFmtId="0" fontId="10" fillId="0" borderId="0" xfId="0" quotePrefix="1" applyFont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4" fillId="0" borderId="0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0" fillId="0" borderId="22" xfId="0" applyFont="1" applyBorder="1"/>
    <xf numFmtId="166" fontId="10" fillId="0" borderId="22" xfId="1" applyNumberFormat="1" applyFont="1" applyBorder="1"/>
    <xf numFmtId="166" fontId="10" fillId="0" borderId="0" xfId="1" applyNumberFormat="1" applyFont="1" applyFill="1" applyBorder="1"/>
    <xf numFmtId="0" fontId="16" fillId="0" borderId="0" xfId="0" applyFont="1"/>
    <xf numFmtId="166" fontId="14" fillId="0" borderId="0" xfId="1" applyNumberFormat="1" applyFont="1" applyBorder="1" applyAlignment="1">
      <alignment horizontal="right"/>
    </xf>
    <xf numFmtId="0" fontId="14" fillId="0" borderId="3" xfId="0" applyFont="1" applyBorder="1"/>
    <xf numFmtId="0" fontId="14" fillId="0" borderId="0" xfId="0" applyFont="1" applyBorder="1"/>
    <xf numFmtId="166" fontId="14" fillId="0" borderId="22" xfId="1" applyNumberFormat="1" applyFont="1" applyBorder="1"/>
    <xf numFmtId="0" fontId="14" fillId="0" borderId="23" xfId="0" applyFont="1" applyBorder="1"/>
    <xf numFmtId="0" fontId="14" fillId="0" borderId="24" xfId="0" applyFont="1" applyBorder="1"/>
    <xf numFmtId="166" fontId="14" fillId="0" borderId="25" xfId="1" applyNumberFormat="1" applyFont="1" applyBorder="1"/>
    <xf numFmtId="0" fontId="11" fillId="3" borderId="8" xfId="0" applyFont="1" applyFill="1" applyBorder="1"/>
    <xf numFmtId="0" fontId="11" fillId="3" borderId="26" xfId="0" applyFont="1" applyFill="1" applyBorder="1"/>
    <xf numFmtId="166" fontId="17" fillId="3" borderId="27" xfId="1" applyNumberFormat="1" applyFont="1" applyFill="1" applyBorder="1"/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65" fontId="17" fillId="0" borderId="24" xfId="0" applyNumberFormat="1" applyFont="1" applyFill="1" applyBorder="1"/>
    <xf numFmtId="0" fontId="10" fillId="0" borderId="0" xfId="0" applyFont="1" applyFill="1"/>
    <xf numFmtId="165" fontId="17" fillId="0" borderId="0" xfId="0" applyNumberFormat="1" applyFont="1" applyFill="1" applyBorder="1"/>
    <xf numFmtId="42" fontId="17" fillId="0" borderId="0" xfId="0" applyNumberFormat="1" applyFont="1" applyAlignment="1">
      <alignment horizontal="left" vertical="top"/>
    </xf>
    <xf numFmtId="0" fontId="17" fillId="0" borderId="0" xfId="0" applyFont="1" applyFill="1" applyBorder="1" applyAlignment="1">
      <alignment vertical="top"/>
    </xf>
    <xf numFmtId="42" fontId="17" fillId="0" borderId="28" xfId="0" applyNumberFormat="1" applyFont="1" applyFill="1" applyBorder="1" applyAlignment="1">
      <alignment vertical="top"/>
    </xf>
    <xf numFmtId="166" fontId="22" fillId="3" borderId="8" xfId="1" applyNumberFormat="1" applyFont="1" applyFill="1" applyBorder="1"/>
    <xf numFmtId="166" fontId="22" fillId="3" borderId="26" xfId="1" applyNumberFormat="1" applyFont="1" applyFill="1" applyBorder="1"/>
    <xf numFmtId="166" fontId="22" fillId="3" borderId="27" xfId="1" applyNumberFormat="1" applyFont="1" applyFill="1" applyBorder="1"/>
    <xf numFmtId="166" fontId="22" fillId="3" borderId="29" xfId="1" applyNumberFormat="1" applyFont="1" applyFill="1" applyBorder="1"/>
    <xf numFmtId="0" fontId="13" fillId="2" borderId="0" xfId="0" applyFont="1" applyFill="1"/>
    <xf numFmtId="0" fontId="16" fillId="2" borderId="0" xfId="0" applyFont="1" applyFill="1" applyBorder="1"/>
    <xf numFmtId="0" fontId="10" fillId="2" borderId="30" xfId="0" applyFont="1" applyFill="1" applyBorder="1"/>
    <xf numFmtId="0" fontId="10" fillId="2" borderId="10" xfId="0" applyFont="1" applyFill="1" applyBorder="1"/>
    <xf numFmtId="0" fontId="10" fillId="2" borderId="13" xfId="0" applyFont="1" applyFill="1" applyBorder="1"/>
    <xf numFmtId="0" fontId="10" fillId="2" borderId="14" xfId="0" applyFont="1" applyFill="1" applyBorder="1"/>
    <xf numFmtId="0" fontId="15" fillId="3" borderId="29" xfId="0" applyFont="1" applyFill="1" applyBorder="1" applyAlignment="1">
      <alignment horizontal="left" vertical="center" indent="1"/>
    </xf>
    <xf numFmtId="0" fontId="16" fillId="2" borderId="1" xfId="0" applyFont="1" applyFill="1" applyBorder="1"/>
    <xf numFmtId="166" fontId="10" fillId="0" borderId="30" xfId="1" applyNumberFormat="1" applyFont="1" applyBorder="1"/>
    <xf numFmtId="166" fontId="10" fillId="0" borderId="31" xfId="1" applyNumberFormat="1" applyFont="1" applyBorder="1"/>
    <xf numFmtId="166" fontId="23" fillId="0" borderId="3" xfId="1" applyNumberFormat="1" applyFont="1" applyBorder="1"/>
    <xf numFmtId="166" fontId="23" fillId="0" borderId="0" xfId="1" applyNumberFormat="1" applyFont="1" applyBorder="1"/>
    <xf numFmtId="166" fontId="16" fillId="0" borderId="3" xfId="1" applyNumberFormat="1" applyFont="1" applyFill="1" applyBorder="1"/>
    <xf numFmtId="166" fontId="16" fillId="0" borderId="0" xfId="1" applyNumberFormat="1" applyFont="1" applyFill="1" applyBorder="1"/>
    <xf numFmtId="166" fontId="14" fillId="3" borderId="26" xfId="1" applyNumberFormat="1" applyFont="1" applyFill="1" applyBorder="1"/>
    <xf numFmtId="166" fontId="14" fillId="3" borderId="29" xfId="1" applyNumberFormat="1" applyFont="1" applyFill="1" applyBorder="1"/>
    <xf numFmtId="166" fontId="14" fillId="3" borderId="27" xfId="1" applyNumberFormat="1" applyFont="1" applyFill="1" applyBorder="1"/>
    <xf numFmtId="166" fontId="14" fillId="3" borderId="8" xfId="1" applyNumberFormat="1" applyFont="1" applyFill="1" applyBorder="1"/>
    <xf numFmtId="165" fontId="23" fillId="0" borderId="3" xfId="2" applyNumberFormat="1" applyFont="1" applyBorder="1"/>
    <xf numFmtId="165" fontId="23" fillId="0" borderId="0" xfId="2" applyNumberFormat="1" applyFont="1" applyBorder="1"/>
    <xf numFmtId="165" fontId="23" fillId="0" borderId="22" xfId="2" applyNumberFormat="1" applyFont="1" applyBorder="1"/>
    <xf numFmtId="166" fontId="23" fillId="0" borderId="22" xfId="1" applyNumberFormat="1" applyFont="1" applyBorder="1"/>
    <xf numFmtId="0" fontId="14" fillId="2" borderId="0" xfId="0" applyFont="1" applyFill="1"/>
    <xf numFmtId="0" fontId="14" fillId="2" borderId="6" xfId="0" applyFont="1" applyFill="1" applyBorder="1"/>
    <xf numFmtId="0" fontId="22" fillId="2" borderId="0" xfId="0" applyFont="1" applyFill="1" applyBorder="1"/>
    <xf numFmtId="166" fontId="16" fillId="0" borderId="3" xfId="2" applyNumberFormat="1" applyFont="1" applyFill="1" applyBorder="1"/>
    <xf numFmtId="166" fontId="16" fillId="0" borderId="0" xfId="2" applyNumberFormat="1" applyFont="1" applyFill="1" applyBorder="1"/>
    <xf numFmtId="166" fontId="10" fillId="0" borderId="0" xfId="0" applyNumberFormat="1" applyFont="1"/>
    <xf numFmtId="166" fontId="10" fillId="0" borderId="0" xfId="0" applyNumberFormat="1" applyFont="1" applyBorder="1"/>
    <xf numFmtId="166" fontId="14" fillId="0" borderId="0" xfId="2" applyNumberFormat="1" applyFont="1" applyBorder="1"/>
    <xf numFmtId="165" fontId="14" fillId="3" borderId="8" xfId="0" applyNumberFormat="1" applyFont="1" applyFill="1" applyBorder="1"/>
    <xf numFmtId="165" fontId="14" fillId="3" borderId="26" xfId="0" applyNumberFormat="1" applyFont="1" applyFill="1" applyBorder="1"/>
    <xf numFmtId="165" fontId="14" fillId="3" borderId="29" xfId="0" applyNumberFormat="1" applyFont="1" applyFill="1" applyBorder="1"/>
    <xf numFmtId="165" fontId="14" fillId="3" borderId="27" xfId="0" applyNumberFormat="1" applyFont="1" applyFill="1" applyBorder="1"/>
    <xf numFmtId="165" fontId="10" fillId="0" borderId="0" xfId="1" applyNumberFormat="1" applyFont="1" applyBorder="1"/>
    <xf numFmtId="0" fontId="27" fillId="0" borderId="32" xfId="0" applyFont="1" applyBorder="1"/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7" fillId="0" borderId="0" xfId="0" applyFont="1"/>
    <xf numFmtId="0" fontId="27" fillId="0" borderId="19" xfId="0" applyFont="1" applyBorder="1"/>
    <xf numFmtId="0" fontId="27" fillId="0" borderId="20" xfId="0" applyFont="1" applyBorder="1"/>
    <xf numFmtId="0" fontId="27" fillId="0" borderId="21" xfId="0" applyFont="1" applyBorder="1"/>
    <xf numFmtId="0" fontId="28" fillId="0" borderId="31" xfId="0" applyFont="1" applyBorder="1" applyAlignment="1">
      <alignment horizontal="center"/>
    </xf>
    <xf numFmtId="0" fontId="0" fillId="0" borderId="21" xfId="0" applyBorder="1"/>
    <xf numFmtId="0" fontId="10" fillId="0" borderId="33" xfId="0" applyFont="1" applyBorder="1"/>
    <xf numFmtId="0" fontId="15" fillId="3" borderId="34" xfId="0" applyFont="1" applyFill="1" applyBorder="1" applyAlignment="1">
      <alignment horizontal="left" vertical="center" indent="1"/>
    </xf>
    <xf numFmtId="0" fontId="10" fillId="0" borderId="33" xfId="0" applyFont="1" applyFill="1" applyBorder="1"/>
    <xf numFmtId="0" fontId="0" fillId="0" borderId="32" xfId="0" applyBorder="1"/>
    <xf numFmtId="0" fontId="0" fillId="0" borderId="3" xfId="0" applyBorder="1"/>
    <xf numFmtId="0" fontId="0" fillId="0" borderId="0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166" fontId="0" fillId="0" borderId="3" xfId="0" applyNumberFormat="1" applyBorder="1"/>
    <xf numFmtId="166" fontId="0" fillId="0" borderId="0" xfId="0" applyNumberFormat="1" applyBorder="1"/>
    <xf numFmtId="165" fontId="10" fillId="0" borderId="2" xfId="2" applyNumberFormat="1" applyFont="1" applyBorder="1"/>
    <xf numFmtId="165" fontId="10" fillId="0" borderId="3" xfId="2" applyNumberFormat="1" applyFont="1" applyBorder="1"/>
    <xf numFmtId="0" fontId="22" fillId="2" borderId="1" xfId="0" applyFont="1" applyFill="1" applyBorder="1" applyAlignment="1">
      <alignment vertical="center"/>
    </xf>
    <xf numFmtId="166" fontId="22" fillId="2" borderId="0" xfId="1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2" borderId="10" xfId="0" applyFont="1" applyFill="1" applyBorder="1" applyAlignment="1">
      <alignment vertical="center"/>
    </xf>
    <xf numFmtId="166" fontId="22" fillId="2" borderId="35" xfId="1" applyNumberFormat="1" applyFont="1" applyFill="1" applyBorder="1" applyAlignment="1">
      <alignment vertical="center"/>
    </xf>
    <xf numFmtId="0" fontId="29" fillId="0" borderId="0" xfId="0" applyFont="1"/>
    <xf numFmtId="166" fontId="29" fillId="3" borderId="8" xfId="0" applyNumberFormat="1" applyFont="1" applyFill="1" applyBorder="1"/>
    <xf numFmtId="166" fontId="29" fillId="3" borderId="26" xfId="0" applyNumberFormat="1" applyFont="1" applyFill="1" applyBorder="1"/>
    <xf numFmtId="0" fontId="29" fillId="3" borderId="8" xfId="0" applyFont="1" applyFill="1" applyBorder="1"/>
    <xf numFmtId="0" fontId="29" fillId="3" borderId="26" xfId="0" applyFont="1" applyFill="1" applyBorder="1"/>
    <xf numFmtId="0" fontId="29" fillId="3" borderId="27" xfId="0" applyFont="1" applyFill="1" applyBorder="1"/>
    <xf numFmtId="166" fontId="30" fillId="0" borderId="22" xfId="0" applyNumberFormat="1" applyFont="1" applyBorder="1"/>
    <xf numFmtId="166" fontId="30" fillId="3" borderId="27" xfId="0" applyNumberFormat="1" applyFont="1" applyFill="1" applyBorder="1"/>
    <xf numFmtId="165" fontId="10" fillId="0" borderId="0" xfId="2" applyNumberFormat="1" applyFont="1" applyBorder="1"/>
    <xf numFmtId="0" fontId="0" fillId="0" borderId="0" xfId="0" applyAlignment="1" applyProtection="1">
      <protection locked="0"/>
    </xf>
    <xf numFmtId="0" fontId="10" fillId="0" borderId="33" xfId="0" applyFont="1" applyFill="1" applyBorder="1" applyAlignment="1" applyProtection="1">
      <protection locked="0"/>
    </xf>
    <xf numFmtId="0" fontId="5" fillId="0" borderId="0" xfId="0" applyFont="1" applyFill="1" applyAlignment="1" applyProtection="1">
      <alignment horizontal="right"/>
      <protection locked="0"/>
    </xf>
    <xf numFmtId="164" fontId="7" fillId="0" borderId="0" xfId="0" applyNumberFormat="1" applyFont="1" applyFill="1" applyAlignment="1" applyProtection="1">
      <alignment horizontal="right"/>
      <protection locked="0"/>
    </xf>
    <xf numFmtId="164" fontId="7" fillId="0" borderId="0" xfId="0" quotePrefix="1" applyNumberFormat="1" applyFont="1" applyFill="1" applyAlignment="1" applyProtection="1">
      <alignment horizontal="right"/>
      <protection locked="0"/>
    </xf>
    <xf numFmtId="0" fontId="12" fillId="3" borderId="15" xfId="0" applyFont="1" applyFill="1" applyBorder="1" applyAlignment="1" applyProtection="1">
      <alignment horizontal="center"/>
      <protection locked="0"/>
    </xf>
    <xf numFmtId="0" fontId="12" fillId="3" borderId="16" xfId="0" applyFont="1" applyFill="1" applyBorder="1" applyAlignment="1" applyProtection="1">
      <alignment horizontal="center"/>
      <protection locked="0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protection locked="0"/>
    </xf>
    <xf numFmtId="0" fontId="10" fillId="0" borderId="3" xfId="0" applyFont="1" applyBorder="1" applyAlignment="1" applyProtection="1">
      <protection locked="0"/>
    </xf>
    <xf numFmtId="0" fontId="10" fillId="2" borderId="0" xfId="0" applyFont="1" applyFill="1" applyAlignment="1" applyProtection="1">
      <protection locked="0"/>
    </xf>
    <xf numFmtId="0" fontId="10" fillId="0" borderId="4" xfId="0" applyFont="1" applyBorder="1" applyAlignment="1" applyProtection="1">
      <protection locked="0"/>
    </xf>
    <xf numFmtId="165" fontId="10" fillId="0" borderId="2" xfId="2" applyNumberFormat="1" applyFont="1" applyBorder="1" applyAlignment="1" applyProtection="1">
      <protection locked="0"/>
    </xf>
    <xf numFmtId="165" fontId="10" fillId="0" borderId="3" xfId="2" applyNumberFormat="1" applyFont="1" applyBorder="1" applyAlignment="1" applyProtection="1">
      <protection locked="0"/>
    </xf>
    <xf numFmtId="166" fontId="14" fillId="0" borderId="3" xfId="1" applyNumberFormat="1" applyFont="1" applyBorder="1" applyAlignment="1" applyProtection="1">
      <protection locked="0"/>
    </xf>
    <xf numFmtId="166" fontId="14" fillId="0" borderId="4" xfId="1" applyNumberFormat="1" applyFont="1" applyBorder="1" applyAlignment="1" applyProtection="1">
      <protection locked="0"/>
    </xf>
    <xf numFmtId="166" fontId="14" fillId="2" borderId="0" xfId="1" applyNumberFormat="1" applyFont="1" applyFill="1" applyAlignment="1" applyProtection="1">
      <protection locked="0"/>
    </xf>
    <xf numFmtId="165" fontId="14" fillId="0" borderId="4" xfId="2" applyNumberFormat="1" applyFont="1" applyBorder="1" applyAlignment="1" applyProtection="1">
      <protection locked="0"/>
    </xf>
    <xf numFmtId="166" fontId="10" fillId="0" borderId="2" xfId="1" applyNumberFormat="1" applyFont="1" applyBorder="1" applyAlignment="1" applyProtection="1">
      <protection locked="0"/>
    </xf>
    <xf numFmtId="166" fontId="10" fillId="0" borderId="3" xfId="1" applyNumberFormat="1" applyFont="1" applyBorder="1" applyAlignment="1" applyProtection="1">
      <protection locked="0"/>
    </xf>
    <xf numFmtId="166" fontId="10" fillId="2" borderId="0" xfId="1" applyNumberFormat="1" applyFont="1" applyFill="1" applyAlignment="1" applyProtection="1">
      <protection locked="0"/>
    </xf>
    <xf numFmtId="166" fontId="15" fillId="3" borderId="7" xfId="1" applyNumberFormat="1" applyFont="1" applyFill="1" applyBorder="1" applyAlignment="1" applyProtection="1">
      <alignment vertical="center"/>
      <protection locked="0"/>
    </xf>
    <xf numFmtId="166" fontId="15" fillId="3" borderId="8" xfId="1" applyNumberFormat="1" applyFont="1" applyFill="1" applyBorder="1" applyAlignment="1" applyProtection="1">
      <alignment vertical="center"/>
      <protection locked="0"/>
    </xf>
    <xf numFmtId="166" fontId="15" fillId="3" borderId="9" xfId="1" applyNumberFormat="1" applyFont="1" applyFill="1" applyBorder="1" applyAlignment="1" applyProtection="1">
      <alignment vertical="center"/>
      <protection locked="0"/>
    </xf>
    <xf numFmtId="166" fontId="22" fillId="2" borderId="0" xfId="1" applyNumberFormat="1" applyFont="1" applyFill="1" applyAlignment="1" applyProtection="1">
      <alignment vertical="center"/>
      <protection locked="0"/>
    </xf>
    <xf numFmtId="166" fontId="10" fillId="0" borderId="2" xfId="1" applyNumberFormat="1" applyFont="1" applyFill="1" applyBorder="1" applyAlignment="1" applyProtection="1">
      <protection locked="0"/>
    </xf>
    <xf numFmtId="166" fontId="14" fillId="0" borderId="3" xfId="1" applyNumberFormat="1" applyFont="1" applyFill="1" applyBorder="1" applyAlignment="1" applyProtection="1">
      <protection locked="0"/>
    </xf>
    <xf numFmtId="166" fontId="10" fillId="0" borderId="3" xfId="1" applyNumberFormat="1" applyFont="1" applyFill="1" applyBorder="1" applyAlignment="1" applyProtection="1">
      <protection locked="0"/>
    </xf>
    <xf numFmtId="166" fontId="14" fillId="0" borderId="4" xfId="1" applyNumberFormat="1" applyFont="1" applyFill="1" applyBorder="1" applyAlignment="1" applyProtection="1">
      <protection locked="0"/>
    </xf>
    <xf numFmtId="165" fontId="15" fillId="3" borderId="11" xfId="2" applyNumberFormat="1" applyFont="1" applyFill="1" applyBorder="1" applyAlignment="1" applyProtection="1">
      <alignment vertical="center"/>
      <protection locked="0"/>
    </xf>
    <xf numFmtId="165" fontId="15" fillId="3" borderId="12" xfId="2" applyNumberFormat="1" applyFont="1" applyFill="1" applyBorder="1" applyAlignment="1" applyProtection="1">
      <alignment vertical="center"/>
      <protection locked="0"/>
    </xf>
    <xf numFmtId="165" fontId="15" fillId="3" borderId="18" xfId="2" applyNumberFormat="1" applyFont="1" applyFill="1" applyBorder="1" applyAlignment="1" applyProtection="1">
      <alignment vertical="center"/>
      <protection locked="0"/>
    </xf>
    <xf numFmtId="166" fontId="22" fillId="2" borderId="35" xfId="1" applyNumberFormat="1" applyFont="1" applyFill="1" applyBorder="1" applyAlignment="1" applyProtection="1">
      <alignment vertical="center"/>
      <protection locked="0"/>
    </xf>
    <xf numFmtId="0" fontId="10" fillId="0" borderId="0" xfId="0" applyFont="1" applyAlignment="1" applyProtection="1">
      <protection locked="0"/>
    </xf>
    <xf numFmtId="0" fontId="10" fillId="0" borderId="0" xfId="0" applyFont="1" applyBorder="1" applyAlignment="1" applyProtection="1">
      <protection locked="0"/>
    </xf>
    <xf numFmtId="0" fontId="11" fillId="3" borderId="8" xfId="0" applyFont="1" applyFill="1" applyBorder="1" applyAlignment="1" applyProtection="1">
      <alignment horizontal="left"/>
      <protection locked="0"/>
    </xf>
    <xf numFmtId="0" fontId="11" fillId="3" borderId="26" xfId="0" applyFont="1" applyFill="1" applyBorder="1" applyAlignment="1" applyProtection="1">
      <alignment horizontal="left"/>
      <protection locked="0"/>
    </xf>
    <xf numFmtId="0" fontId="14" fillId="0" borderId="3" xfId="0" applyFont="1" applyBorder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166" fontId="14" fillId="0" borderId="20" xfId="1" applyNumberFormat="1" applyFont="1" applyBorder="1" applyAlignment="1" applyProtection="1">
      <alignment horizontal="center"/>
      <protection locked="0"/>
    </xf>
    <xf numFmtId="166" fontId="14" fillId="0" borderId="0" xfId="1" applyNumberFormat="1" applyFont="1" applyBorder="1" applyAlignment="1" applyProtection="1">
      <alignment horizontal="center"/>
      <protection locked="0"/>
    </xf>
    <xf numFmtId="0" fontId="14" fillId="0" borderId="23" xfId="0" applyFont="1" applyBorder="1" applyAlignment="1" applyProtection="1">
      <protection locked="0"/>
    </xf>
    <xf numFmtId="0" fontId="14" fillId="0" borderId="24" xfId="0" applyFont="1" applyBorder="1" applyAlignment="1" applyProtection="1">
      <protection locked="0"/>
    </xf>
    <xf numFmtId="166" fontId="14" fillId="0" borderId="24" xfId="1" applyNumberFormat="1" applyFont="1" applyBorder="1" applyAlignment="1" applyProtection="1">
      <alignment horizontal="center"/>
      <protection locked="0"/>
    </xf>
    <xf numFmtId="0" fontId="11" fillId="3" borderId="8" xfId="0" applyFont="1" applyFill="1" applyBorder="1" applyAlignment="1" applyProtection="1">
      <protection locked="0"/>
    </xf>
    <xf numFmtId="0" fontId="11" fillId="3" borderId="26" xfId="0" applyFont="1" applyFill="1" applyBorder="1" applyAlignment="1" applyProtection="1">
      <protection locked="0"/>
    </xf>
    <xf numFmtId="166" fontId="17" fillId="3" borderId="26" xfId="1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protection locked="0"/>
    </xf>
    <xf numFmtId="175" fontId="17" fillId="0" borderId="0" xfId="0" applyNumberFormat="1" applyFont="1" applyFill="1" applyBorder="1" applyAlignment="1" applyProtection="1">
      <alignment horizontal="right"/>
      <protection locked="0"/>
    </xf>
    <xf numFmtId="165" fontId="17" fillId="0" borderId="0" xfId="2" applyNumberFormat="1" applyFont="1" applyFill="1" applyBorder="1" applyAlignment="1" applyProtection="1">
      <alignment horizontal="center"/>
      <protection locked="0"/>
    </xf>
    <xf numFmtId="165" fontId="17" fillId="0" borderId="24" xfId="0" applyNumberFormat="1" applyFont="1" applyFill="1" applyBorder="1" applyAlignment="1" applyProtection="1">
      <alignment horizontal="center"/>
      <protection locked="0"/>
    </xf>
    <xf numFmtId="165" fontId="17" fillId="0" borderId="0" xfId="0" applyNumberFormat="1" applyFont="1" applyFill="1" applyBorder="1" applyAlignment="1" applyProtection="1">
      <protection locked="0"/>
    </xf>
    <xf numFmtId="42" fontId="17" fillId="0" borderId="0" xfId="0" applyNumberFormat="1" applyFont="1" applyAlignment="1" applyProtection="1">
      <alignment horizontal="left" vertical="top"/>
      <protection locked="0"/>
    </xf>
    <xf numFmtId="0" fontId="17" fillId="0" borderId="0" xfId="0" applyFont="1" applyFill="1" applyBorder="1" applyAlignment="1" applyProtection="1">
      <alignment vertical="top"/>
      <protection locked="0"/>
    </xf>
    <xf numFmtId="165" fontId="17" fillId="0" borderId="28" xfId="0" applyNumberFormat="1" applyFont="1" applyFill="1" applyBorder="1" applyAlignment="1" applyProtection="1">
      <alignment horizontal="center" vertical="top"/>
      <protection locked="0"/>
    </xf>
    <xf numFmtId="0" fontId="9" fillId="3" borderId="1" xfId="0" applyFont="1" applyFill="1" applyBorder="1" applyAlignment="1">
      <alignment vertical="center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41" fontId="10" fillId="0" borderId="3" xfId="2" applyNumberFormat="1" applyFont="1" applyBorder="1" applyAlignment="1" applyProtection="1">
      <protection locked="0"/>
    </xf>
    <xf numFmtId="0" fontId="12" fillId="3" borderId="36" xfId="0" applyFont="1" applyFill="1" applyBorder="1" applyAlignment="1" applyProtection="1">
      <alignment horizontal="center"/>
      <protection locked="0"/>
    </xf>
    <xf numFmtId="0" fontId="12" fillId="3" borderId="37" xfId="0" applyFont="1" applyFill="1" applyBorder="1" applyAlignment="1" applyProtection="1">
      <alignment horizontal="center"/>
      <protection locked="0"/>
    </xf>
    <xf numFmtId="0" fontId="12" fillId="3" borderId="36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0" fontId="11" fillId="3" borderId="1" xfId="0" applyFont="1" applyFill="1" applyBorder="1" applyAlignment="1">
      <alignment horizontal="center"/>
    </xf>
    <xf numFmtId="0" fontId="11" fillId="3" borderId="39" xfId="0" applyFont="1" applyFill="1" applyBorder="1" applyAlignment="1" applyProtection="1">
      <alignment horizontal="center" vertical="center"/>
      <protection locked="0"/>
    </xf>
    <xf numFmtId="166" fontId="10" fillId="0" borderId="3" xfId="2" applyNumberFormat="1" applyFont="1" applyBorder="1"/>
    <xf numFmtId="0" fontId="10" fillId="2" borderId="40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/>
    <xf numFmtId="0" fontId="11" fillId="3" borderId="41" xfId="0" applyFont="1" applyFill="1" applyBorder="1" applyAlignment="1" applyProtection="1">
      <alignment horizontal="centerContinuous" vertical="center"/>
      <protection locked="0"/>
    </xf>
    <xf numFmtId="0" fontId="10" fillId="2" borderId="41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42" xfId="0" applyFont="1" applyFill="1" applyBorder="1"/>
    <xf numFmtId="0" fontId="11" fillId="3" borderId="40" xfId="0" applyFont="1" applyFill="1" applyBorder="1" applyAlignment="1" applyProtection="1">
      <alignment horizontal="centerContinuous" vertical="center"/>
      <protection locked="0"/>
    </xf>
    <xf numFmtId="0" fontId="11" fillId="2" borderId="0" xfId="0" applyFont="1" applyFill="1" applyBorder="1" applyAlignment="1" applyProtection="1">
      <alignment horizontal="centerContinuous" vertical="center"/>
      <protection locked="0"/>
    </xf>
    <xf numFmtId="0" fontId="12" fillId="2" borderId="43" xfId="0" applyFont="1" applyFill="1" applyBorder="1" applyAlignment="1" applyProtection="1">
      <alignment horizontal="center"/>
      <protection locked="0"/>
    </xf>
    <xf numFmtId="0" fontId="10" fillId="2" borderId="0" xfId="0" applyFont="1" applyFill="1" applyBorder="1" applyAlignment="1" applyProtection="1">
      <protection locked="0"/>
    </xf>
    <xf numFmtId="165" fontId="10" fillId="2" borderId="0" xfId="2" applyNumberFormat="1" applyFont="1" applyFill="1" applyBorder="1" applyAlignment="1" applyProtection="1">
      <protection locked="0"/>
    </xf>
    <xf numFmtId="166" fontId="10" fillId="2" borderId="0" xfId="1" applyNumberFormat="1" applyFont="1" applyFill="1" applyBorder="1" applyAlignment="1" applyProtection="1">
      <protection locked="0"/>
    </xf>
    <xf numFmtId="166" fontId="15" fillId="2" borderId="26" xfId="1" applyNumberFormat="1" applyFont="1" applyFill="1" applyBorder="1" applyAlignment="1" applyProtection="1">
      <alignment vertical="center"/>
      <protection locked="0"/>
    </xf>
    <xf numFmtId="165" fontId="15" fillId="2" borderId="35" xfId="2" applyNumberFormat="1" applyFont="1" applyFill="1" applyBorder="1" applyAlignment="1" applyProtection="1">
      <alignment vertical="center"/>
      <protection locked="0"/>
    </xf>
    <xf numFmtId="0" fontId="10" fillId="0" borderId="44" xfId="0" applyFont="1" applyBorder="1" applyAlignment="1" applyProtection="1">
      <protection locked="0"/>
    </xf>
    <xf numFmtId="41" fontId="10" fillId="0" borderId="45" xfId="2" applyNumberFormat="1" applyFont="1" applyBorder="1" applyAlignment="1" applyProtection="1">
      <protection locked="0"/>
    </xf>
    <xf numFmtId="166" fontId="15" fillId="3" borderId="46" xfId="1" applyNumberFormat="1" applyFont="1" applyFill="1" applyBorder="1" applyAlignment="1" applyProtection="1">
      <alignment vertical="center"/>
      <protection locked="0"/>
    </xf>
    <xf numFmtId="166" fontId="10" fillId="0" borderId="45" xfId="1" applyNumberFormat="1" applyFont="1" applyBorder="1" applyAlignment="1" applyProtection="1">
      <protection locked="0"/>
    </xf>
    <xf numFmtId="166" fontId="10" fillId="0" borderId="45" xfId="1" applyNumberFormat="1" applyFont="1" applyFill="1" applyBorder="1" applyAlignment="1" applyProtection="1">
      <protection locked="0"/>
    </xf>
    <xf numFmtId="0" fontId="10" fillId="2" borderId="41" xfId="0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0" fontId="10" fillId="2" borderId="42" xfId="0" applyFont="1" applyFill="1" applyBorder="1" applyAlignment="1" applyProtection="1">
      <protection locked="0"/>
    </xf>
    <xf numFmtId="0" fontId="11" fillId="2" borderId="10" xfId="0" applyFont="1" applyFill="1" applyBorder="1" applyAlignment="1" applyProtection="1">
      <alignment horizontal="centerContinuous" vertical="center"/>
      <protection locked="0"/>
    </xf>
    <xf numFmtId="166" fontId="9" fillId="0" borderId="22" xfId="1" applyNumberFormat="1" applyFont="1" applyBorder="1"/>
    <xf numFmtId="166" fontId="10" fillId="0" borderId="0" xfId="1" applyNumberFormat="1" applyFont="1" applyFill="1" applyBorder="1" applyAlignment="1" applyProtection="1">
      <protection locked="0"/>
    </xf>
    <xf numFmtId="166" fontId="10" fillId="0" borderId="4" xfId="1" applyNumberFormat="1" applyFont="1" applyFill="1" applyBorder="1"/>
    <xf numFmtId="166" fontId="10" fillId="0" borderId="4" xfId="1" applyNumberFormat="1" applyFont="1" applyBorder="1" applyAlignment="1" applyProtection="1">
      <protection locked="0"/>
    </xf>
    <xf numFmtId="166" fontId="10" fillId="0" borderId="4" xfId="1" applyNumberFormat="1" applyFont="1" applyBorder="1"/>
    <xf numFmtId="166" fontId="10" fillId="0" borderId="33" xfId="1" applyNumberFormat="1" applyFont="1" applyBorder="1" applyAlignment="1" applyProtection="1">
      <protection locked="0"/>
    </xf>
    <xf numFmtId="166" fontId="10" fillId="0" borderId="0" xfId="1" applyNumberFormat="1" applyFont="1" applyBorder="1" applyAlignment="1" applyProtection="1">
      <protection locked="0"/>
    </xf>
    <xf numFmtId="166" fontId="10" fillId="0" borderId="5" xfId="1" applyNumberFormat="1" applyFont="1" applyBorder="1"/>
    <xf numFmtId="166" fontId="10" fillId="0" borderId="0" xfId="0" applyNumberFormat="1" applyFont="1" applyAlignment="1" applyProtection="1">
      <protection locked="0"/>
    </xf>
    <xf numFmtId="165" fontId="15" fillId="3" borderId="36" xfId="2" applyNumberFormat="1" applyFont="1" applyFill="1" applyBorder="1" applyAlignment="1" applyProtection="1">
      <alignment vertical="center"/>
      <protection locked="0"/>
    </xf>
    <xf numFmtId="165" fontId="15" fillId="3" borderId="37" xfId="2" applyNumberFormat="1" applyFont="1" applyFill="1" applyBorder="1" applyAlignment="1" applyProtection="1">
      <alignment vertical="center"/>
      <protection locked="0"/>
    </xf>
    <xf numFmtId="165" fontId="15" fillId="3" borderId="38" xfId="2" applyNumberFormat="1" applyFont="1" applyFill="1" applyBorder="1" applyAlignment="1" applyProtection="1">
      <alignment vertical="center"/>
      <protection locked="0"/>
    </xf>
    <xf numFmtId="166" fontId="15" fillId="3" borderId="47" xfId="1" applyNumberFormat="1" applyFont="1" applyFill="1" applyBorder="1" applyAlignment="1">
      <alignment vertical="center"/>
    </xf>
    <xf numFmtId="166" fontId="15" fillId="3" borderId="48" xfId="1" applyNumberFormat="1" applyFont="1" applyFill="1" applyBorder="1" applyAlignment="1">
      <alignment vertical="center"/>
    </xf>
    <xf numFmtId="166" fontId="15" fillId="3" borderId="18" xfId="1" applyNumberFormat="1" applyFont="1" applyFill="1" applyBorder="1" applyAlignment="1">
      <alignment vertical="center"/>
    </xf>
    <xf numFmtId="165" fontId="10" fillId="0" borderId="30" xfId="2" applyNumberFormat="1" applyFont="1" applyBorder="1"/>
    <xf numFmtId="166" fontId="10" fillId="0" borderId="0" xfId="1" applyNumberFormat="1" applyFont="1" applyAlignment="1" applyProtection="1">
      <protection locked="0"/>
    </xf>
    <xf numFmtId="166" fontId="16" fillId="0" borderId="0" xfId="0" applyNumberFormat="1" applyFont="1" applyAlignment="1">
      <alignment vertical="center"/>
    </xf>
    <xf numFmtId="166" fontId="10" fillId="0" borderId="49" xfId="1" applyNumberFormat="1" applyFont="1" applyFill="1" applyBorder="1" applyAlignment="1" applyProtection="1">
      <protection locked="0"/>
    </xf>
    <xf numFmtId="166" fontId="10" fillId="0" borderId="50" xfId="1" applyNumberFormat="1" applyFont="1" applyFill="1" applyBorder="1" applyAlignment="1" applyProtection="1">
      <protection locked="0"/>
    </xf>
    <xf numFmtId="166" fontId="22" fillId="2" borderId="10" xfId="1" applyNumberFormat="1" applyFont="1" applyFill="1" applyBorder="1" applyAlignment="1">
      <alignment vertical="center"/>
    </xf>
    <xf numFmtId="165" fontId="10" fillId="0" borderId="0" xfId="0" applyNumberFormat="1" applyFont="1" applyAlignment="1" applyProtection="1">
      <protection locked="0"/>
    </xf>
    <xf numFmtId="41" fontId="10" fillId="0" borderId="0" xfId="2" applyNumberFormat="1" applyFont="1" applyBorder="1" applyAlignment="1" applyProtection="1">
      <protection locked="0"/>
    </xf>
    <xf numFmtId="0" fontId="13" fillId="2" borderId="0" xfId="0" applyFont="1" applyFill="1" applyBorder="1"/>
    <xf numFmtId="166" fontId="10" fillId="0" borderId="30" xfId="1" applyNumberFormat="1" applyFont="1" applyBorder="1" applyAlignment="1" applyProtection="1">
      <protection locked="0"/>
    </xf>
    <xf numFmtId="0" fontId="10" fillId="2" borderId="40" xfId="0" applyFont="1" applyFill="1" applyBorder="1"/>
    <xf numFmtId="0" fontId="22" fillId="2" borderId="11" xfId="0" applyFont="1" applyFill="1" applyBorder="1" applyAlignment="1">
      <alignment vertical="center"/>
    </xf>
    <xf numFmtId="166" fontId="14" fillId="0" borderId="0" xfId="1" applyNumberFormat="1" applyFont="1" applyBorder="1" applyAlignment="1" applyProtection="1">
      <protection locked="0"/>
    </xf>
    <xf numFmtId="166" fontId="14" fillId="0" borderId="0" xfId="1" applyNumberFormat="1" applyFont="1" applyFill="1" applyBorder="1"/>
    <xf numFmtId="166" fontId="10" fillId="0" borderId="5" xfId="1" applyNumberFormat="1" applyFont="1" applyBorder="1" applyAlignment="1" applyProtection="1">
      <protection locked="0"/>
    </xf>
    <xf numFmtId="41" fontId="10" fillId="0" borderId="2" xfId="2" applyNumberFormat="1" applyFont="1" applyBorder="1" applyAlignment="1" applyProtection="1">
      <protection locked="0"/>
    </xf>
    <xf numFmtId="166" fontId="10" fillId="0" borderId="5" xfId="1" applyNumberFormat="1" applyFont="1" applyFill="1" applyBorder="1" applyAlignment="1" applyProtection="1">
      <protection locked="0"/>
    </xf>
    <xf numFmtId="0" fontId="11" fillId="3" borderId="5" xfId="0" applyFont="1" applyFill="1" applyBorder="1" applyAlignment="1" applyProtection="1">
      <alignment horizontal="center" vertical="center"/>
      <protection locked="0"/>
    </xf>
    <xf numFmtId="0" fontId="10" fillId="2" borderId="36" xfId="0" applyFont="1" applyFill="1" applyBorder="1"/>
    <xf numFmtId="0" fontId="12" fillId="3" borderId="42" xfId="0" applyFont="1" applyFill="1" applyBorder="1" applyAlignment="1">
      <alignment horizontal="center"/>
    </xf>
    <xf numFmtId="0" fontId="12" fillId="3" borderId="42" xfId="0" applyFont="1" applyFill="1" applyBorder="1" applyAlignment="1" applyProtection="1">
      <alignment horizontal="center"/>
      <protection locked="0"/>
    </xf>
    <xf numFmtId="0" fontId="12" fillId="3" borderId="51" xfId="0" applyFont="1" applyFill="1" applyBorder="1" applyAlignment="1" applyProtection="1">
      <alignment horizontal="center"/>
      <protection locked="0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166" fontId="14" fillId="0" borderId="5" xfId="1" applyNumberFormat="1" applyFont="1" applyBorder="1" applyAlignment="1" applyProtection="1">
      <protection locked="0"/>
    </xf>
    <xf numFmtId="166" fontId="14" fillId="0" borderId="5" xfId="1" applyNumberFormat="1" applyFont="1" applyFill="1" applyBorder="1" applyAlignment="1" applyProtection="1">
      <protection locked="0"/>
    </xf>
    <xf numFmtId="166" fontId="14" fillId="0" borderId="2" xfId="1" applyNumberFormat="1" applyFont="1" applyBorder="1" applyAlignment="1" applyProtection="1">
      <protection locked="0"/>
    </xf>
    <xf numFmtId="166" fontId="15" fillId="3" borderId="11" xfId="1" applyNumberFormat="1" applyFont="1" applyFill="1" applyBorder="1" applyAlignment="1">
      <alignment vertical="center"/>
    </xf>
    <xf numFmtId="166" fontId="15" fillId="3" borderId="35" xfId="1" applyNumberFormat="1" applyFont="1" applyFill="1" applyBorder="1" applyAlignment="1">
      <alignment vertical="center"/>
    </xf>
    <xf numFmtId="166" fontId="15" fillId="3" borderId="35" xfId="1" applyNumberFormat="1" applyFont="1" applyFill="1" applyBorder="1" applyAlignment="1" applyProtection="1">
      <alignment vertical="center"/>
      <protection locked="0"/>
    </xf>
    <xf numFmtId="166" fontId="15" fillId="3" borderId="52" xfId="1" applyNumberFormat="1" applyFont="1" applyFill="1" applyBorder="1" applyAlignment="1" applyProtection="1">
      <alignment vertical="center"/>
      <protection locked="0"/>
    </xf>
    <xf numFmtId="166" fontId="15" fillId="3" borderId="11" xfId="1" applyNumberFormat="1" applyFont="1" applyFill="1" applyBorder="1" applyAlignment="1" applyProtection="1">
      <alignment vertical="center"/>
      <protection locked="0"/>
    </xf>
    <xf numFmtId="166" fontId="15" fillId="3" borderId="52" xfId="1" applyNumberFormat="1" applyFont="1" applyFill="1" applyBorder="1" applyAlignment="1">
      <alignment vertical="center"/>
    </xf>
    <xf numFmtId="165" fontId="15" fillId="3" borderId="35" xfId="2" applyNumberFormat="1" applyFont="1" applyFill="1" applyBorder="1" applyAlignment="1">
      <alignment vertical="center"/>
    </xf>
    <xf numFmtId="165" fontId="15" fillId="3" borderId="35" xfId="2" applyNumberFormat="1" applyFont="1" applyFill="1" applyBorder="1" applyAlignment="1" applyProtection="1">
      <alignment vertical="center"/>
      <protection locked="0"/>
    </xf>
    <xf numFmtId="165" fontId="15" fillId="3" borderId="52" xfId="2" applyNumberFormat="1" applyFont="1" applyFill="1" applyBorder="1" applyAlignment="1" applyProtection="1">
      <alignment vertical="center"/>
      <protection locked="0"/>
    </xf>
    <xf numFmtId="165" fontId="10" fillId="0" borderId="5" xfId="2" applyNumberFormat="1" applyFont="1" applyBorder="1"/>
    <xf numFmtId="166" fontId="10" fillId="0" borderId="36" xfId="1" applyNumberFormat="1" applyFont="1" applyBorder="1" applyAlignment="1" applyProtection="1">
      <protection locked="0"/>
    </xf>
    <xf numFmtId="166" fontId="10" fillId="0" borderId="42" xfId="1" applyNumberFormat="1" applyFont="1" applyBorder="1" applyAlignment="1" applyProtection="1">
      <protection locked="0"/>
    </xf>
    <xf numFmtId="166" fontId="10" fillId="0" borderId="51" xfId="1" applyNumberFormat="1" applyFont="1" applyBorder="1" applyAlignment="1" applyProtection="1">
      <protection locked="0"/>
    </xf>
    <xf numFmtId="43" fontId="10" fillId="0" borderId="2" xfId="1" applyFont="1" applyBorder="1"/>
    <xf numFmtId="43" fontId="10" fillId="0" borderId="0" xfId="1" applyFont="1" applyBorder="1"/>
    <xf numFmtId="0" fontId="12" fillId="3" borderId="11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center"/>
    </xf>
    <xf numFmtId="0" fontId="12" fillId="3" borderId="11" xfId="0" applyFont="1" applyFill="1" applyBorder="1" applyAlignment="1" applyProtection="1">
      <alignment horizontal="center"/>
      <protection locked="0"/>
    </xf>
    <xf numFmtId="166" fontId="15" fillId="3" borderId="12" xfId="1" applyNumberFormat="1" applyFont="1" applyFill="1" applyBorder="1" applyAlignment="1" applyProtection="1">
      <alignment vertical="center"/>
      <protection locked="0"/>
    </xf>
    <xf numFmtId="166" fontId="15" fillId="3" borderId="18" xfId="1" applyNumberFormat="1" applyFont="1" applyFill="1" applyBorder="1" applyAlignment="1" applyProtection="1">
      <alignment vertical="center"/>
      <protection locked="0"/>
    </xf>
    <xf numFmtId="0" fontId="12" fillId="3" borderId="52" xfId="0" applyFont="1" applyFill="1" applyBorder="1" applyAlignment="1" applyProtection="1">
      <alignment horizontal="center"/>
      <protection locked="0"/>
    </xf>
    <xf numFmtId="165" fontId="10" fillId="0" borderId="30" xfId="2" applyNumberFormat="1" applyFont="1" applyBorder="1" applyAlignment="1" applyProtection="1">
      <protection locked="0"/>
    </xf>
    <xf numFmtId="0" fontId="12" fillId="3" borderId="48" xfId="0" applyFont="1" applyFill="1" applyBorder="1" applyAlignment="1" applyProtection="1">
      <alignment horizontal="center"/>
      <protection locked="0"/>
    </xf>
    <xf numFmtId="0" fontId="12" fillId="3" borderId="51" xfId="0" applyFont="1" applyFill="1" applyBorder="1" applyAlignment="1">
      <alignment horizontal="center"/>
    </xf>
    <xf numFmtId="166" fontId="14" fillId="0" borderId="5" xfId="1" applyNumberFormat="1" applyFont="1" applyFill="1" applyBorder="1"/>
    <xf numFmtId="166" fontId="10" fillId="0" borderId="5" xfId="1" applyNumberFormat="1" applyFont="1" applyFill="1" applyBorder="1"/>
    <xf numFmtId="165" fontId="15" fillId="3" borderId="52" xfId="2" applyNumberFormat="1" applyFont="1" applyFill="1" applyBorder="1" applyAlignment="1">
      <alignment vertical="center"/>
    </xf>
    <xf numFmtId="166" fontId="22" fillId="2" borderId="48" xfId="1" applyNumberFormat="1" applyFont="1" applyFill="1" applyBorder="1" applyAlignment="1">
      <alignment vertical="center"/>
    </xf>
    <xf numFmtId="0" fontId="10" fillId="2" borderId="48" xfId="0" applyFont="1" applyFill="1" applyBorder="1"/>
    <xf numFmtId="166" fontId="22" fillId="2" borderId="48" xfId="1" applyNumberFormat="1" applyFont="1" applyFill="1" applyBorder="1" applyAlignment="1" applyProtection="1">
      <alignment vertical="center"/>
      <protection locked="0"/>
    </xf>
    <xf numFmtId="166" fontId="10" fillId="0" borderId="38" xfId="1" applyNumberFormat="1" applyFont="1" applyFill="1" applyBorder="1" applyAlignment="1" applyProtection="1">
      <protection locked="0"/>
    </xf>
    <xf numFmtId="166" fontId="15" fillId="3" borderId="12" xfId="1" applyNumberFormat="1" applyFont="1" applyFill="1" applyBorder="1" applyAlignment="1">
      <alignment vertical="center"/>
    </xf>
    <xf numFmtId="166" fontId="15" fillId="3" borderId="53" xfId="1" applyNumberFormat="1" applyFont="1" applyFill="1" applyBorder="1" applyAlignment="1">
      <alignment vertical="center"/>
    </xf>
    <xf numFmtId="0" fontId="10" fillId="2" borderId="35" xfId="0" applyFont="1" applyFill="1" applyBorder="1"/>
    <xf numFmtId="166" fontId="15" fillId="3" borderId="48" xfId="1" applyNumberFormat="1" applyFont="1" applyFill="1" applyBorder="1" applyAlignment="1" applyProtection="1">
      <alignment vertical="center"/>
      <protection locked="0"/>
    </xf>
    <xf numFmtId="0" fontId="10" fillId="2" borderId="39" xfId="0" applyFont="1" applyFill="1" applyBorder="1"/>
    <xf numFmtId="0" fontId="10" fillId="2" borderId="52" xfId="0" applyFont="1" applyFill="1" applyBorder="1"/>
    <xf numFmtId="166" fontId="10" fillId="0" borderId="49" xfId="1" applyNumberFormat="1" applyFont="1" applyBorder="1" applyAlignment="1" applyProtection="1">
      <protection locked="0"/>
    </xf>
    <xf numFmtId="166" fontId="10" fillId="0" borderId="50" xfId="1" applyNumberFormat="1" applyFont="1" applyBorder="1" applyAlignment="1" applyProtection="1">
      <protection locked="0"/>
    </xf>
    <xf numFmtId="166" fontId="10" fillId="0" borderId="51" xfId="1" applyNumberFormat="1" applyFont="1" applyBorder="1"/>
    <xf numFmtId="0" fontId="12" fillId="3" borderId="0" xfId="0" applyFont="1" applyFill="1" applyBorder="1" applyAlignment="1">
      <alignment horizontal="center"/>
    </xf>
    <xf numFmtId="0" fontId="12" fillId="3" borderId="0" xfId="0" applyFont="1" applyFill="1" applyBorder="1" applyAlignment="1" applyProtection="1">
      <alignment horizontal="center"/>
      <protection locked="0"/>
    </xf>
    <xf numFmtId="0" fontId="12" fillId="3" borderId="2" xfId="0" applyFont="1" applyFill="1" applyBorder="1" applyAlignment="1">
      <alignment horizontal="center"/>
    </xf>
    <xf numFmtId="0" fontId="12" fillId="3" borderId="5" xfId="0" applyFont="1" applyFill="1" applyBorder="1" applyAlignment="1" applyProtection="1">
      <alignment horizontal="center"/>
      <protection locked="0"/>
    </xf>
    <xf numFmtId="0" fontId="12" fillId="3" borderId="2" xfId="0" applyFont="1" applyFill="1" applyBorder="1" applyAlignment="1" applyProtection="1">
      <alignment horizontal="center"/>
      <protection locked="0"/>
    </xf>
    <xf numFmtId="166" fontId="22" fillId="2" borderId="53" xfId="1" applyNumberFormat="1" applyFont="1" applyFill="1" applyBorder="1" applyAlignment="1">
      <alignment vertical="center"/>
    </xf>
    <xf numFmtId="166" fontId="0" fillId="0" borderId="0" xfId="0" applyNumberFormat="1" applyAlignment="1" applyProtection="1">
      <protection locked="0"/>
    </xf>
    <xf numFmtId="165" fontId="10" fillId="0" borderId="30" xfId="2" applyNumberFormat="1" applyFont="1" applyFill="1" applyBorder="1"/>
    <xf numFmtId="166" fontId="10" fillId="0" borderId="30" xfId="1" applyNumberFormat="1" applyFont="1" applyFill="1" applyBorder="1"/>
    <xf numFmtId="41" fontId="10" fillId="0" borderId="3" xfId="2" applyNumberFormat="1" applyFont="1" applyFill="1" applyBorder="1" applyAlignment="1" applyProtection="1">
      <protection locked="0"/>
    </xf>
    <xf numFmtId="166" fontId="0" fillId="0" borderId="0" xfId="0" quotePrefix="1" applyNumberFormat="1" applyBorder="1" applyAlignment="1">
      <alignment horizontal="left"/>
    </xf>
    <xf numFmtId="166" fontId="0" fillId="0" borderId="22" xfId="0" quotePrefix="1" applyNumberFormat="1" applyBorder="1" applyAlignment="1">
      <alignment horizontal="left"/>
    </xf>
    <xf numFmtId="41" fontId="10" fillId="0" borderId="2" xfId="2" applyNumberFormat="1" applyFont="1" applyBorder="1" applyAlignment="1" applyProtection="1">
      <alignment horizontal="left"/>
      <protection locked="0"/>
    </xf>
    <xf numFmtId="41" fontId="10" fillId="0" borderId="0" xfId="2" applyNumberFormat="1" applyFont="1" applyBorder="1" applyAlignment="1" applyProtection="1">
      <alignment horizontal="left"/>
      <protection locked="0"/>
    </xf>
    <xf numFmtId="166" fontId="10" fillId="0" borderId="2" xfId="1" applyNumberFormat="1" applyFont="1" applyBorder="1" applyAlignment="1">
      <alignment horizontal="left"/>
    </xf>
    <xf numFmtId="166" fontId="10" fillId="0" borderId="5" xfId="1" applyNumberFormat="1" applyFont="1" applyBorder="1" applyAlignment="1">
      <alignment horizontal="left"/>
    </xf>
    <xf numFmtId="166" fontId="10" fillId="0" borderId="0" xfId="1" applyNumberFormat="1" applyFont="1" applyBorder="1" applyAlignment="1" applyProtection="1">
      <alignment horizontal="left"/>
      <protection locked="0"/>
    </xf>
    <xf numFmtId="166" fontId="10" fillId="0" borderId="5" xfId="1" applyNumberFormat="1" applyFont="1" applyBorder="1" applyAlignment="1" applyProtection="1">
      <alignment horizontal="left"/>
      <protection locked="0"/>
    </xf>
    <xf numFmtId="166" fontId="10" fillId="2" borderId="0" xfId="1" applyNumberFormat="1" applyFont="1" applyFill="1" applyBorder="1" applyAlignment="1">
      <alignment horizontal="left"/>
    </xf>
    <xf numFmtId="41" fontId="10" fillId="0" borderId="3" xfId="2" applyNumberFormat="1" applyFont="1" applyBorder="1" applyAlignment="1" applyProtection="1">
      <alignment horizontal="left"/>
      <protection locked="0"/>
    </xf>
    <xf numFmtId="166" fontId="10" fillId="0" borderId="4" xfId="1" applyNumberFormat="1" applyFont="1" applyBorder="1" applyAlignment="1" applyProtection="1">
      <alignment horizontal="left"/>
      <protection locked="0"/>
    </xf>
    <xf numFmtId="0" fontId="10" fillId="2" borderId="1" xfId="0" applyFont="1" applyFill="1" applyBorder="1" applyAlignment="1">
      <alignment horizontal="left"/>
    </xf>
    <xf numFmtId="166" fontId="10" fillId="0" borderId="2" xfId="1" applyNumberFormat="1" applyFont="1" applyBorder="1" applyAlignment="1" applyProtection="1">
      <alignment horizontal="left"/>
      <protection locked="0"/>
    </xf>
    <xf numFmtId="166" fontId="10" fillId="0" borderId="3" xfId="1" applyNumberFormat="1" applyFont="1" applyBorder="1" applyAlignment="1" applyProtection="1">
      <alignment horizontal="left"/>
      <protection locked="0"/>
    </xf>
    <xf numFmtId="166" fontId="0" fillId="2" borderId="0" xfId="0" applyNumberFormat="1" applyFill="1" applyBorder="1" applyAlignment="1">
      <alignment horizontal="left"/>
    </xf>
    <xf numFmtId="166" fontId="0" fillId="2" borderId="3" xfId="0" quotePrefix="1" applyNumberFormat="1" applyFill="1" applyBorder="1" applyAlignment="1">
      <alignment horizontal="left"/>
    </xf>
    <xf numFmtId="166" fontId="0" fillId="2" borderId="0" xfId="0" quotePrefix="1" applyNumberFormat="1" applyFill="1" applyBorder="1" applyAlignment="1">
      <alignment horizontal="left"/>
    </xf>
    <xf numFmtId="41" fontId="10" fillId="0" borderId="40" xfId="2" applyNumberFormat="1" applyFont="1" applyBorder="1" applyAlignment="1" applyProtection="1">
      <protection locked="0"/>
    </xf>
    <xf numFmtId="41" fontId="10" fillId="0" borderId="54" xfId="2" applyNumberFormat="1" applyFont="1" applyBorder="1" applyAlignment="1" applyProtection="1">
      <protection locked="0"/>
    </xf>
    <xf numFmtId="41" fontId="10" fillId="0" borderId="55" xfId="2" applyNumberFormat="1" applyFont="1" applyBorder="1" applyAlignment="1" applyProtection="1">
      <protection locked="0"/>
    </xf>
    <xf numFmtId="41" fontId="10" fillId="0" borderId="4" xfId="2" applyNumberFormat="1" applyFont="1" applyBorder="1" applyAlignment="1" applyProtection="1">
      <protection locked="0"/>
    </xf>
    <xf numFmtId="41" fontId="10" fillId="0" borderId="2" xfId="2" applyNumberFormat="1" applyFont="1" applyFill="1" applyBorder="1" applyAlignment="1" applyProtection="1">
      <protection locked="0"/>
    </xf>
    <xf numFmtId="41" fontId="10" fillId="0" borderId="36" xfId="2" applyNumberFormat="1" applyFont="1" applyBorder="1" applyAlignment="1" applyProtection="1">
      <protection locked="0"/>
    </xf>
    <xf numFmtId="41" fontId="10" fillId="0" borderId="37" xfId="2" applyNumberFormat="1" applyFont="1" applyBorder="1" applyAlignment="1" applyProtection="1">
      <protection locked="0"/>
    </xf>
    <xf numFmtId="41" fontId="10" fillId="0" borderId="38" xfId="2" applyNumberFormat="1" applyFont="1" applyBorder="1" applyAlignment="1" applyProtection="1">
      <protection locked="0"/>
    </xf>
    <xf numFmtId="165" fontId="10" fillId="0" borderId="2" xfId="2" applyNumberFormat="1" applyFont="1" applyFill="1" applyBorder="1" applyAlignment="1" applyProtection="1">
      <protection locked="0"/>
    </xf>
    <xf numFmtId="165" fontId="10" fillId="0" borderId="2" xfId="2" applyNumberFormat="1" applyFont="1" applyFill="1" applyBorder="1"/>
    <xf numFmtId="165" fontId="10" fillId="0" borderId="0" xfId="2" applyNumberFormat="1" applyFont="1" applyFill="1" applyBorder="1"/>
    <xf numFmtId="43" fontId="10" fillId="0" borderId="2" xfId="1" applyFont="1" applyFill="1" applyBorder="1"/>
    <xf numFmtId="43" fontId="10" fillId="0" borderId="0" xfId="1" applyFont="1" applyFill="1" applyBorder="1"/>
    <xf numFmtId="41" fontId="10" fillId="0" borderId="0" xfId="2" applyNumberFormat="1" applyFont="1" applyFill="1" applyBorder="1" applyAlignment="1" applyProtection="1">
      <protection locked="0"/>
    </xf>
    <xf numFmtId="166" fontId="15" fillId="3" borderId="56" xfId="1" applyNumberFormat="1" applyFont="1" applyFill="1" applyBorder="1" applyAlignment="1">
      <alignment vertical="center"/>
    </xf>
    <xf numFmtId="166" fontId="15" fillId="3" borderId="57" xfId="1" applyNumberFormat="1" applyFont="1" applyFill="1" applyBorder="1" applyAlignment="1">
      <alignment vertical="center"/>
    </xf>
    <xf numFmtId="41" fontId="10" fillId="0" borderId="42" xfId="2" applyNumberFormat="1" applyFont="1" applyBorder="1" applyAlignment="1" applyProtection="1">
      <protection locked="0"/>
    </xf>
    <xf numFmtId="166" fontId="10" fillId="0" borderId="40" xfId="1" applyNumberFormat="1" applyFont="1" applyBorder="1"/>
    <xf numFmtId="41" fontId="10" fillId="0" borderId="41" xfId="2" applyNumberFormat="1" applyFont="1" applyBorder="1" applyAlignment="1" applyProtection="1">
      <protection locked="0"/>
    </xf>
    <xf numFmtId="166" fontId="10" fillId="0" borderId="39" xfId="1" applyNumberFormat="1" applyFont="1" applyBorder="1"/>
    <xf numFmtId="166" fontId="10" fillId="0" borderId="36" xfId="1" applyNumberFormat="1" applyFont="1" applyBorder="1"/>
    <xf numFmtId="0" fontId="12" fillId="3" borderId="40" xfId="0" applyFont="1" applyFill="1" applyBorder="1" applyAlignment="1" applyProtection="1">
      <alignment horizontal="center"/>
      <protection locked="0"/>
    </xf>
    <xf numFmtId="166" fontId="15" fillId="3" borderId="37" xfId="1" applyNumberFormat="1" applyFont="1" applyFill="1" applyBorder="1" applyAlignment="1" applyProtection="1">
      <alignment vertical="center"/>
      <protection locked="0"/>
    </xf>
    <xf numFmtId="0" fontId="12" fillId="3" borderId="58" xfId="0" applyFont="1" applyFill="1" applyBorder="1" applyAlignment="1" applyProtection="1">
      <alignment horizontal="center"/>
      <protection locked="0"/>
    </xf>
    <xf numFmtId="0" fontId="12" fillId="3" borderId="39" xfId="0" applyFont="1" applyFill="1" applyBorder="1" applyAlignment="1" applyProtection="1">
      <alignment horizontal="center"/>
      <protection locked="0"/>
    </xf>
    <xf numFmtId="166" fontId="15" fillId="3" borderId="38" xfId="1" applyNumberFormat="1" applyFont="1" applyFill="1" applyBorder="1" applyAlignment="1" applyProtection="1">
      <alignment vertical="center"/>
      <protection locked="0"/>
    </xf>
    <xf numFmtId="165" fontId="10" fillId="0" borderId="33" xfId="2" applyNumberFormat="1" applyFont="1" applyBorder="1"/>
    <xf numFmtId="166" fontId="10" fillId="0" borderId="33" xfId="1" applyNumberFormat="1" applyFont="1" applyBorder="1"/>
    <xf numFmtId="166" fontId="10" fillId="0" borderId="49" xfId="1" applyNumberFormat="1" applyFont="1" applyBorder="1"/>
    <xf numFmtId="166" fontId="10" fillId="0" borderId="50" xfId="1" applyNumberFormat="1" applyFont="1" applyBorder="1"/>
    <xf numFmtId="0" fontId="10" fillId="0" borderId="13" xfId="0" applyFont="1" applyBorder="1"/>
    <xf numFmtId="0" fontId="10" fillId="0" borderId="14" xfId="0" applyFont="1" applyBorder="1"/>
    <xf numFmtId="0" fontId="11" fillId="3" borderId="59" xfId="0" applyFont="1" applyFill="1" applyBorder="1" applyAlignment="1" applyProtection="1">
      <alignment horizontal="center" vertical="center"/>
      <protection locked="0"/>
    </xf>
    <xf numFmtId="0" fontId="11" fillId="3" borderId="24" xfId="0" applyFont="1" applyFill="1" applyBorder="1" applyAlignment="1" applyProtection="1">
      <alignment horizontal="center" vertical="center"/>
      <protection locked="0"/>
    </xf>
    <xf numFmtId="0" fontId="11" fillId="3" borderId="60" xfId="0" applyFont="1" applyFill="1" applyBorder="1" applyAlignment="1" applyProtection="1">
      <alignment horizontal="center" vertical="center"/>
      <protection locked="0"/>
    </xf>
    <xf numFmtId="0" fontId="11" fillId="3" borderId="8" xfId="0" applyFont="1" applyFill="1" applyBorder="1" applyAlignment="1">
      <alignment horizontal="left"/>
    </xf>
    <xf numFmtId="0" fontId="11" fillId="3" borderId="26" xfId="0" applyFont="1" applyFill="1" applyBorder="1" applyAlignment="1">
      <alignment horizontal="left"/>
    </xf>
    <xf numFmtId="0" fontId="11" fillId="3" borderId="27" xfId="0" applyFont="1" applyFill="1" applyBorder="1" applyAlignment="1">
      <alignment horizontal="left"/>
    </xf>
    <xf numFmtId="0" fontId="11" fillId="3" borderId="40" xfId="0" applyFont="1" applyFill="1" applyBorder="1" applyAlignment="1">
      <alignment horizontal="center" vertical="center"/>
    </xf>
    <xf numFmtId="0" fontId="11" fillId="3" borderId="41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center" vertical="center"/>
    </xf>
    <xf numFmtId="0" fontId="11" fillId="3" borderId="59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60" xfId="0" applyFont="1" applyFill="1" applyBorder="1" applyAlignment="1">
      <alignment horizontal="center" vertical="center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0" fontId="11" fillId="3" borderId="41" xfId="0" applyFont="1" applyFill="1" applyBorder="1" applyAlignment="1" applyProtection="1">
      <alignment horizontal="center" vertical="center"/>
      <protection locked="0"/>
    </xf>
    <xf numFmtId="0" fontId="11" fillId="3" borderId="39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right"/>
      <protection locked="0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0" fontId="11" fillId="3" borderId="5" xfId="0" applyFont="1" applyFill="1" applyBorder="1" applyAlignment="1" applyProtection="1">
      <alignment horizontal="center" vertical="center"/>
      <protection locked="0"/>
    </xf>
    <xf numFmtId="0" fontId="11" fillId="3" borderId="36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51" xfId="0" applyFont="1" applyFill="1" applyBorder="1" applyAlignment="1">
      <alignment horizontal="center" vertical="center"/>
    </xf>
    <xf numFmtId="0" fontId="11" fillId="3" borderId="36" xfId="0" applyFont="1" applyFill="1" applyBorder="1" applyAlignment="1" applyProtection="1">
      <alignment horizontal="center" vertical="center"/>
      <protection locked="0"/>
    </xf>
    <xf numFmtId="0" fontId="11" fillId="3" borderId="42" xfId="0" applyFont="1" applyFill="1" applyBorder="1" applyAlignment="1" applyProtection="1">
      <alignment horizontal="center" vertical="center"/>
      <protection locked="0"/>
    </xf>
    <xf numFmtId="0" fontId="11" fillId="3" borderId="51" xfId="0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164" fontId="20" fillId="2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28" fillId="0" borderId="23" xfId="0" applyFont="1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6" fillId="2" borderId="0" xfId="0" applyNumberFormat="1" applyFont="1" applyFill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41" fontId="10" fillId="0" borderId="2" xfId="2" applyNumberFormat="1" applyFont="1" applyBorder="1" applyAlignment="1" applyProtection="1">
      <alignment horizontal="center"/>
      <protection locked="0"/>
    </xf>
    <xf numFmtId="41" fontId="10" fillId="0" borderId="0" xfId="2" applyNumberFormat="1" applyFont="1" applyBorder="1" applyAlignment="1" applyProtection="1">
      <alignment horizontal="center"/>
      <protection locked="0"/>
    </xf>
    <xf numFmtId="41" fontId="10" fillId="0" borderId="5" xfId="2" applyNumberFormat="1" applyFont="1" applyBorder="1" applyAlignment="1" applyProtection="1">
      <alignment horizontal="center"/>
      <protection locked="0"/>
    </xf>
    <xf numFmtId="166" fontId="10" fillId="0" borderId="2" xfId="1" applyNumberFormat="1" applyFont="1" applyBorder="1" applyAlignment="1">
      <alignment horizontal="center"/>
    </xf>
    <xf numFmtId="166" fontId="10" fillId="0" borderId="0" xfId="1" applyNumberFormat="1" applyFont="1" applyBorder="1" applyAlignment="1">
      <alignment horizontal="center"/>
    </xf>
    <xf numFmtId="166" fontId="10" fillId="0" borderId="5" xfId="1" applyNumberFormat="1" applyFont="1" applyBorder="1" applyAlignment="1">
      <alignment horizontal="center"/>
    </xf>
    <xf numFmtId="41" fontId="10" fillId="0" borderId="40" xfId="2" applyNumberFormat="1" applyFont="1" applyBorder="1" applyAlignment="1" applyProtection="1">
      <alignment horizontal="center"/>
      <protection locked="0"/>
    </xf>
    <xf numFmtId="41" fontId="10" fillId="0" borderId="41" xfId="2" applyNumberFormat="1" applyFont="1" applyBorder="1" applyAlignment="1" applyProtection="1">
      <alignment horizontal="center"/>
      <protection locked="0"/>
    </xf>
    <xf numFmtId="41" fontId="10" fillId="0" borderId="39" xfId="2" applyNumberFormat="1" applyFont="1" applyBorder="1" applyAlignment="1" applyProtection="1">
      <alignment horizontal="center"/>
      <protection locked="0"/>
    </xf>
    <xf numFmtId="166" fontId="0" fillId="0" borderId="3" xfId="0" applyNumberFormat="1" applyBorder="1" applyAlignment="1">
      <alignment horizontal="left"/>
    </xf>
    <xf numFmtId="166" fontId="0" fillId="0" borderId="0" xfId="0" applyNumberFormat="1" applyBorder="1" applyAlignment="1">
      <alignment horizontal="left"/>
    </xf>
    <xf numFmtId="166" fontId="0" fillId="0" borderId="22" xfId="0" applyNumberFormat="1" applyBorder="1" applyAlignment="1">
      <alignment horizontal="left"/>
    </xf>
    <xf numFmtId="165" fontId="10" fillId="0" borderId="2" xfId="2" applyNumberFormat="1" applyFont="1" applyBorder="1" applyAlignment="1">
      <alignment horizontal="center"/>
    </xf>
    <xf numFmtId="165" fontId="10" fillId="0" borderId="0" xfId="2" applyNumberFormat="1" applyFont="1" applyBorder="1" applyAlignment="1">
      <alignment horizontal="center"/>
    </xf>
    <xf numFmtId="165" fontId="10" fillId="0" borderId="5" xfId="2" applyNumberFormat="1" applyFont="1" applyBorder="1" applyAlignment="1">
      <alignment horizontal="center"/>
    </xf>
    <xf numFmtId="41" fontId="10" fillId="0" borderId="2" xfId="2" applyNumberFormat="1" applyFont="1" applyBorder="1" applyAlignment="1" applyProtection="1">
      <alignment horizontal="left"/>
      <protection locked="0"/>
    </xf>
    <xf numFmtId="41" fontId="10" fillId="0" borderId="0" xfId="2" applyNumberFormat="1" applyFont="1" applyBorder="1" applyAlignment="1" applyProtection="1">
      <alignment horizontal="left"/>
      <protection locked="0"/>
    </xf>
    <xf numFmtId="41" fontId="10" fillId="0" borderId="5" xfId="2" applyNumberFormat="1" applyFont="1" applyBorder="1" applyAlignment="1" applyProtection="1">
      <alignment horizontal="left"/>
      <protection locked="0"/>
    </xf>
    <xf numFmtId="41" fontId="10" fillId="0" borderId="36" xfId="2" applyNumberFormat="1" applyFont="1" applyBorder="1" applyAlignment="1" applyProtection="1">
      <alignment horizontal="center"/>
      <protection locked="0"/>
    </xf>
    <xf numFmtId="41" fontId="10" fillId="0" borderId="42" xfId="2" applyNumberFormat="1" applyFont="1" applyBorder="1" applyAlignment="1" applyProtection="1">
      <alignment horizontal="center"/>
      <protection locked="0"/>
    </xf>
    <xf numFmtId="41" fontId="10" fillId="0" borderId="51" xfId="2" applyNumberFormat="1" applyFont="1" applyBorder="1" applyAlignment="1" applyProtection="1">
      <alignment horizontal="center"/>
      <protection locked="0"/>
    </xf>
    <xf numFmtId="41" fontId="10" fillId="3" borderId="11" xfId="2" applyNumberFormat="1" applyFont="1" applyFill="1" applyBorder="1" applyAlignment="1" applyProtection="1">
      <alignment horizontal="center"/>
      <protection locked="0"/>
    </xf>
    <xf numFmtId="41" fontId="10" fillId="3" borderId="35" xfId="2" applyNumberFormat="1" applyFont="1" applyFill="1" applyBorder="1" applyAlignment="1" applyProtection="1">
      <alignment horizontal="center"/>
      <protection locked="0"/>
    </xf>
    <xf numFmtId="41" fontId="10" fillId="3" borderId="52" xfId="2" applyNumberFormat="1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D98B1516-4600-9BFB-256B-5A10ADF8668F}"/>
            </a:ext>
          </a:extLst>
        </xdr:cNvPr>
        <xdr:cNvSpPr txBox="1">
          <a:spLocks noChangeArrowheads="1"/>
        </xdr:cNvSpPr>
      </xdr:nvSpPr>
      <xdr:spPr bwMode="auto">
        <a:xfrm>
          <a:off x="92106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6146" name="Line 2">
          <a:extLst>
            <a:ext uri="{FF2B5EF4-FFF2-40B4-BE49-F238E27FC236}">
              <a16:creationId xmlns:a16="http://schemas.microsoft.com/office/drawing/2014/main" id="{F0065F1F-EFDB-4B56-9886-A29E7A6FD8EE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571500</xdr:colOff>
      <xdr:row>3</xdr:row>
      <xdr:rowOff>114300</xdr:rowOff>
    </xdr:to>
    <xdr:sp macro="" textlink="">
      <xdr:nvSpPr>
        <xdr:cNvPr id="6147" name="Line 3">
          <a:extLst>
            <a:ext uri="{FF2B5EF4-FFF2-40B4-BE49-F238E27FC236}">
              <a16:creationId xmlns:a16="http://schemas.microsoft.com/office/drawing/2014/main" id="{037A2757-7B52-A2A0-0A28-5C8DF4149324}"/>
            </a:ext>
          </a:extLst>
        </xdr:cNvPr>
        <xdr:cNvSpPr>
          <a:spLocks noChangeShapeType="1"/>
        </xdr:cNvSpPr>
      </xdr:nvSpPr>
      <xdr:spPr bwMode="auto">
        <a:xfrm flipH="1">
          <a:off x="2466975" y="809625"/>
          <a:ext cx="6677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6148" name="Text Box 4">
          <a:extLst>
            <a:ext uri="{FF2B5EF4-FFF2-40B4-BE49-F238E27FC236}">
              <a16:creationId xmlns:a16="http://schemas.microsoft.com/office/drawing/2014/main" id="{F141341E-7E55-9387-0115-1D6F271BADED}"/>
            </a:ext>
          </a:extLst>
        </xdr:cNvPr>
        <xdr:cNvSpPr txBox="1">
          <a:spLocks noChangeArrowheads="1"/>
        </xdr:cNvSpPr>
      </xdr:nvSpPr>
      <xdr:spPr bwMode="auto">
        <a:xfrm>
          <a:off x="92106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571500</xdr:colOff>
      <xdr:row>3</xdr:row>
      <xdr:rowOff>114300</xdr:rowOff>
    </xdr:to>
    <xdr:sp macro="" textlink="">
      <xdr:nvSpPr>
        <xdr:cNvPr id="6150" name="Line 6">
          <a:extLst>
            <a:ext uri="{FF2B5EF4-FFF2-40B4-BE49-F238E27FC236}">
              <a16:creationId xmlns:a16="http://schemas.microsoft.com/office/drawing/2014/main" id="{5D79253D-B6F0-334E-36EB-F2EAD7426774}"/>
            </a:ext>
          </a:extLst>
        </xdr:cNvPr>
        <xdr:cNvSpPr>
          <a:spLocks noChangeShapeType="1"/>
        </xdr:cNvSpPr>
      </xdr:nvSpPr>
      <xdr:spPr bwMode="auto">
        <a:xfrm flipH="1">
          <a:off x="2466975" y="809625"/>
          <a:ext cx="6677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2289" name="Text Box 1">
          <a:extLst>
            <a:ext uri="{FF2B5EF4-FFF2-40B4-BE49-F238E27FC236}">
              <a16:creationId xmlns:a16="http://schemas.microsoft.com/office/drawing/2014/main" id="{A384783D-EB51-358F-1988-F5CAF5B880D9}"/>
            </a:ext>
          </a:extLst>
        </xdr:cNvPr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12290" name="Line 2">
          <a:extLst>
            <a:ext uri="{FF2B5EF4-FFF2-40B4-BE49-F238E27FC236}">
              <a16:creationId xmlns:a16="http://schemas.microsoft.com/office/drawing/2014/main" id="{00027A91-D73C-97D3-A1E8-A49449A206B1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571500</xdr:colOff>
      <xdr:row>4</xdr:row>
      <xdr:rowOff>114300</xdr:rowOff>
    </xdr:to>
    <xdr:sp macro="" textlink="">
      <xdr:nvSpPr>
        <xdr:cNvPr id="12291" name="Line 3">
          <a:extLst>
            <a:ext uri="{FF2B5EF4-FFF2-40B4-BE49-F238E27FC236}">
              <a16:creationId xmlns:a16="http://schemas.microsoft.com/office/drawing/2014/main" id="{B83A1716-52C8-B4F9-AC2E-F853440EF969}"/>
            </a:ext>
          </a:extLst>
        </xdr:cNvPr>
        <xdr:cNvSpPr>
          <a:spLocks noChangeShapeType="1"/>
        </xdr:cNvSpPr>
      </xdr:nvSpPr>
      <xdr:spPr bwMode="auto">
        <a:xfrm flipH="1">
          <a:off x="2571750" y="1009650"/>
          <a:ext cx="6724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2292" name="Text Box 4">
          <a:extLst>
            <a:ext uri="{FF2B5EF4-FFF2-40B4-BE49-F238E27FC236}">
              <a16:creationId xmlns:a16="http://schemas.microsoft.com/office/drawing/2014/main" id="{AEA86666-3566-4B2A-F191-C3D74685924D}"/>
            </a:ext>
          </a:extLst>
        </xdr:cNvPr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FE140A99-8B38-A11B-B0F5-A692A625F84F}"/>
            </a:ext>
          </a:extLst>
        </xdr:cNvPr>
        <xdr:cNvSpPr txBox="1">
          <a:spLocks noChangeArrowheads="1"/>
        </xdr:cNvSpPr>
      </xdr:nvSpPr>
      <xdr:spPr bwMode="auto">
        <a:xfrm>
          <a:off x="5248275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419100</xdr:colOff>
      <xdr:row>0</xdr:row>
      <xdr:rowOff>0</xdr:rowOff>
    </xdr:to>
    <xdr:sp macro="" textlink="">
      <xdr:nvSpPr>
        <xdr:cNvPr id="18433" name="Text Box 1">
          <a:extLst>
            <a:ext uri="{FF2B5EF4-FFF2-40B4-BE49-F238E27FC236}">
              <a16:creationId xmlns:a16="http://schemas.microsoft.com/office/drawing/2014/main" id="{E226CA21-F2C4-6CEB-49E9-D5BFAAECFE9A}"/>
            </a:ext>
          </a:extLst>
        </xdr:cNvPr>
        <xdr:cNvSpPr txBox="1">
          <a:spLocks noChangeArrowheads="1"/>
        </xdr:cNvSpPr>
      </xdr:nvSpPr>
      <xdr:spPr bwMode="auto">
        <a:xfrm>
          <a:off x="73723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28575</xdr:rowOff>
    </xdr:from>
    <xdr:to>
      <xdr:col>7</xdr:col>
      <xdr:colOff>266700</xdr:colOff>
      <xdr:row>0</xdr:row>
      <xdr:rowOff>47625</xdr:rowOff>
    </xdr:to>
    <xdr:sp macro="" textlink="">
      <xdr:nvSpPr>
        <xdr:cNvPr id="18434" name="Line 2">
          <a:extLst>
            <a:ext uri="{FF2B5EF4-FFF2-40B4-BE49-F238E27FC236}">
              <a16:creationId xmlns:a16="http://schemas.microsoft.com/office/drawing/2014/main" id="{AA6B9E30-E70F-4562-2DDE-0568B9B48F15}"/>
            </a:ext>
          </a:extLst>
        </xdr:cNvPr>
        <xdr:cNvSpPr>
          <a:spLocks noChangeShapeType="1"/>
        </xdr:cNvSpPr>
      </xdr:nvSpPr>
      <xdr:spPr bwMode="auto">
        <a:xfrm flipH="1">
          <a:off x="9525" y="28575"/>
          <a:ext cx="52387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419100</xdr:colOff>
      <xdr:row>0</xdr:row>
      <xdr:rowOff>0</xdr:rowOff>
    </xdr:to>
    <xdr:sp macro="" textlink="">
      <xdr:nvSpPr>
        <xdr:cNvPr id="18436" name="Text Box 4">
          <a:extLst>
            <a:ext uri="{FF2B5EF4-FFF2-40B4-BE49-F238E27FC236}">
              <a16:creationId xmlns:a16="http://schemas.microsoft.com/office/drawing/2014/main" id="{5D2010BE-666D-940C-549F-6493D95A0955}"/>
            </a:ext>
          </a:extLst>
        </xdr:cNvPr>
        <xdr:cNvSpPr txBox="1">
          <a:spLocks noChangeArrowheads="1"/>
        </xdr:cNvSpPr>
      </xdr:nvSpPr>
      <xdr:spPr bwMode="auto">
        <a:xfrm>
          <a:off x="73723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47625</xdr:colOff>
      <xdr:row>4</xdr:row>
      <xdr:rowOff>104775</xdr:rowOff>
    </xdr:from>
    <xdr:to>
      <xdr:col>10</xdr:col>
      <xdr:colOff>552450</xdr:colOff>
      <xdr:row>4</xdr:row>
      <xdr:rowOff>123825</xdr:rowOff>
    </xdr:to>
    <xdr:sp macro="" textlink="">
      <xdr:nvSpPr>
        <xdr:cNvPr id="18437" name="Line 5">
          <a:extLst>
            <a:ext uri="{FF2B5EF4-FFF2-40B4-BE49-F238E27FC236}">
              <a16:creationId xmlns:a16="http://schemas.microsoft.com/office/drawing/2014/main" id="{D54A30D9-135A-3C1F-5E24-8966A848A361}"/>
            </a:ext>
          </a:extLst>
        </xdr:cNvPr>
        <xdr:cNvSpPr>
          <a:spLocks noChangeShapeType="1"/>
        </xdr:cNvSpPr>
      </xdr:nvSpPr>
      <xdr:spPr bwMode="auto">
        <a:xfrm flipH="1">
          <a:off x="2038350" y="1000125"/>
          <a:ext cx="52387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66675</xdr:rowOff>
    </xdr:from>
    <xdr:to>
      <xdr:col>9</xdr:col>
      <xdr:colOff>981075</xdr:colOff>
      <xdr:row>2</xdr:row>
      <xdr:rowOff>47625</xdr:rowOff>
    </xdr:to>
    <xdr:sp macro="" textlink="">
      <xdr:nvSpPr>
        <xdr:cNvPr id="10241" name="Text Box 1">
          <a:extLst>
            <a:ext uri="{FF2B5EF4-FFF2-40B4-BE49-F238E27FC236}">
              <a16:creationId xmlns:a16="http://schemas.microsoft.com/office/drawing/2014/main" id="{6FFAC7AE-538A-26F3-6149-182EF18A5C3B}"/>
            </a:ext>
          </a:extLst>
        </xdr:cNvPr>
        <xdr:cNvSpPr txBox="1">
          <a:spLocks noChangeArrowheads="1"/>
        </xdr:cNvSpPr>
      </xdr:nvSpPr>
      <xdr:spPr bwMode="auto">
        <a:xfrm>
          <a:off x="61341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0</xdr:row>
      <xdr:rowOff>66675</xdr:rowOff>
    </xdr:from>
    <xdr:to>
      <xdr:col>9</xdr:col>
      <xdr:colOff>981075</xdr:colOff>
      <xdr:row>2</xdr:row>
      <xdr:rowOff>47625</xdr:rowOff>
    </xdr:to>
    <xdr:sp macro="" textlink="">
      <xdr:nvSpPr>
        <xdr:cNvPr id="10242" name="Text Box 2">
          <a:extLst>
            <a:ext uri="{FF2B5EF4-FFF2-40B4-BE49-F238E27FC236}">
              <a16:creationId xmlns:a16="http://schemas.microsoft.com/office/drawing/2014/main" id="{E29D6BB9-E9A7-EC49-557B-B62AA87A78C8}"/>
            </a:ext>
          </a:extLst>
        </xdr:cNvPr>
        <xdr:cNvSpPr txBox="1">
          <a:spLocks noChangeArrowheads="1"/>
        </xdr:cNvSpPr>
      </xdr:nvSpPr>
      <xdr:spPr bwMode="auto">
        <a:xfrm>
          <a:off x="61341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419100</xdr:colOff>
      <xdr:row>0</xdr:row>
      <xdr:rowOff>0</xdr:rowOff>
    </xdr:to>
    <xdr:sp macro="" textlink="">
      <xdr:nvSpPr>
        <xdr:cNvPr id="20481" name="Text Box 1">
          <a:extLst>
            <a:ext uri="{FF2B5EF4-FFF2-40B4-BE49-F238E27FC236}">
              <a16:creationId xmlns:a16="http://schemas.microsoft.com/office/drawing/2014/main" id="{79B6AC10-84A2-5EE5-866E-8DC560174081}"/>
            </a:ext>
          </a:extLst>
        </xdr:cNvPr>
        <xdr:cNvSpPr txBox="1">
          <a:spLocks noChangeArrowheads="1"/>
        </xdr:cNvSpPr>
      </xdr:nvSpPr>
      <xdr:spPr bwMode="auto">
        <a:xfrm>
          <a:off x="8486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28575</xdr:rowOff>
    </xdr:from>
    <xdr:to>
      <xdr:col>7</xdr:col>
      <xdr:colOff>266700</xdr:colOff>
      <xdr:row>0</xdr:row>
      <xdr:rowOff>47625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3D90F13A-96E5-A55F-A5B2-6CBA77732DC7}"/>
            </a:ext>
          </a:extLst>
        </xdr:cNvPr>
        <xdr:cNvSpPr>
          <a:spLocks noChangeShapeType="1"/>
        </xdr:cNvSpPr>
      </xdr:nvSpPr>
      <xdr:spPr bwMode="auto">
        <a:xfrm flipH="1">
          <a:off x="9525" y="28575"/>
          <a:ext cx="52387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419100</xdr:colOff>
      <xdr:row>0</xdr:row>
      <xdr:rowOff>0</xdr:rowOff>
    </xdr:to>
    <xdr:sp macro="" textlink="">
      <xdr:nvSpPr>
        <xdr:cNvPr id="20483" name="Text Box 3">
          <a:extLst>
            <a:ext uri="{FF2B5EF4-FFF2-40B4-BE49-F238E27FC236}">
              <a16:creationId xmlns:a16="http://schemas.microsoft.com/office/drawing/2014/main" id="{DAD76AD3-8A61-68AA-CA71-C279BD5D72CD}"/>
            </a:ext>
          </a:extLst>
        </xdr:cNvPr>
        <xdr:cNvSpPr txBox="1">
          <a:spLocks noChangeArrowheads="1"/>
        </xdr:cNvSpPr>
      </xdr:nvSpPr>
      <xdr:spPr bwMode="auto">
        <a:xfrm>
          <a:off x="8486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47625</xdr:colOff>
      <xdr:row>4</xdr:row>
      <xdr:rowOff>104775</xdr:rowOff>
    </xdr:from>
    <xdr:to>
      <xdr:col>10</xdr:col>
      <xdr:colOff>552450</xdr:colOff>
      <xdr:row>4</xdr:row>
      <xdr:rowOff>123825</xdr:rowOff>
    </xdr:to>
    <xdr:sp macro="" textlink="">
      <xdr:nvSpPr>
        <xdr:cNvPr id="20484" name="Line 4">
          <a:extLst>
            <a:ext uri="{FF2B5EF4-FFF2-40B4-BE49-F238E27FC236}">
              <a16:creationId xmlns:a16="http://schemas.microsoft.com/office/drawing/2014/main" id="{0C0A7613-6F11-FAFF-A188-6C9AED83A7C1}"/>
            </a:ext>
          </a:extLst>
        </xdr:cNvPr>
        <xdr:cNvSpPr>
          <a:spLocks noChangeShapeType="1"/>
        </xdr:cNvSpPr>
      </xdr:nvSpPr>
      <xdr:spPr bwMode="auto">
        <a:xfrm flipH="1">
          <a:off x="2038350" y="1000125"/>
          <a:ext cx="52387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419100</xdr:colOff>
      <xdr:row>0</xdr:row>
      <xdr:rowOff>0</xdr:rowOff>
    </xdr:to>
    <xdr:sp macro="" textlink="">
      <xdr:nvSpPr>
        <xdr:cNvPr id="21505" name="Text Box 1">
          <a:extLst>
            <a:ext uri="{FF2B5EF4-FFF2-40B4-BE49-F238E27FC236}">
              <a16:creationId xmlns:a16="http://schemas.microsoft.com/office/drawing/2014/main" id="{FA069272-013B-1418-DA21-3619B7494C31}"/>
            </a:ext>
          </a:extLst>
        </xdr:cNvPr>
        <xdr:cNvSpPr txBox="1">
          <a:spLocks noChangeArrowheads="1"/>
        </xdr:cNvSpPr>
      </xdr:nvSpPr>
      <xdr:spPr bwMode="auto">
        <a:xfrm>
          <a:off x="8486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28575</xdr:rowOff>
    </xdr:from>
    <xdr:to>
      <xdr:col>7</xdr:col>
      <xdr:colOff>266700</xdr:colOff>
      <xdr:row>0</xdr:row>
      <xdr:rowOff>47625</xdr:rowOff>
    </xdr:to>
    <xdr:sp macro="" textlink="">
      <xdr:nvSpPr>
        <xdr:cNvPr id="21506" name="Line 2">
          <a:extLst>
            <a:ext uri="{FF2B5EF4-FFF2-40B4-BE49-F238E27FC236}">
              <a16:creationId xmlns:a16="http://schemas.microsoft.com/office/drawing/2014/main" id="{BC3BB46A-15F5-203B-23C1-4DA7FCA1C911}"/>
            </a:ext>
          </a:extLst>
        </xdr:cNvPr>
        <xdr:cNvSpPr>
          <a:spLocks noChangeShapeType="1"/>
        </xdr:cNvSpPr>
      </xdr:nvSpPr>
      <xdr:spPr bwMode="auto">
        <a:xfrm flipH="1">
          <a:off x="9525" y="28575"/>
          <a:ext cx="52387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419100</xdr:colOff>
      <xdr:row>0</xdr:row>
      <xdr:rowOff>0</xdr:rowOff>
    </xdr:to>
    <xdr:sp macro="" textlink="">
      <xdr:nvSpPr>
        <xdr:cNvPr id="21507" name="Text Box 3">
          <a:extLst>
            <a:ext uri="{FF2B5EF4-FFF2-40B4-BE49-F238E27FC236}">
              <a16:creationId xmlns:a16="http://schemas.microsoft.com/office/drawing/2014/main" id="{C8521494-88F2-B043-F97B-B5FAF8B9033B}"/>
            </a:ext>
          </a:extLst>
        </xdr:cNvPr>
        <xdr:cNvSpPr txBox="1">
          <a:spLocks noChangeArrowheads="1"/>
        </xdr:cNvSpPr>
      </xdr:nvSpPr>
      <xdr:spPr bwMode="auto">
        <a:xfrm>
          <a:off x="8486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47625</xdr:colOff>
      <xdr:row>4</xdr:row>
      <xdr:rowOff>104775</xdr:rowOff>
    </xdr:from>
    <xdr:to>
      <xdr:col>10</xdr:col>
      <xdr:colOff>552450</xdr:colOff>
      <xdr:row>4</xdr:row>
      <xdr:rowOff>123825</xdr:rowOff>
    </xdr:to>
    <xdr:sp macro="" textlink="">
      <xdr:nvSpPr>
        <xdr:cNvPr id="21508" name="Line 4">
          <a:extLst>
            <a:ext uri="{FF2B5EF4-FFF2-40B4-BE49-F238E27FC236}">
              <a16:creationId xmlns:a16="http://schemas.microsoft.com/office/drawing/2014/main" id="{6CD8EAFF-E644-0F65-4859-6636DD4F483D}"/>
            </a:ext>
          </a:extLst>
        </xdr:cNvPr>
        <xdr:cNvSpPr>
          <a:spLocks noChangeShapeType="1"/>
        </xdr:cNvSpPr>
      </xdr:nvSpPr>
      <xdr:spPr bwMode="auto">
        <a:xfrm flipH="1">
          <a:off x="2038350" y="1000125"/>
          <a:ext cx="52387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23553" name="Text Box 1">
          <a:extLst>
            <a:ext uri="{FF2B5EF4-FFF2-40B4-BE49-F238E27FC236}">
              <a16:creationId xmlns:a16="http://schemas.microsoft.com/office/drawing/2014/main" id="{85A2FBFB-3C58-4A15-3105-51CFA107D6A4}"/>
            </a:ext>
          </a:extLst>
        </xdr:cNvPr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3554" name="Line 2">
          <a:extLst>
            <a:ext uri="{FF2B5EF4-FFF2-40B4-BE49-F238E27FC236}">
              <a16:creationId xmlns:a16="http://schemas.microsoft.com/office/drawing/2014/main" id="{99401535-2FCE-3FA7-D2DC-42809932BC81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571500</xdr:colOff>
      <xdr:row>4</xdr:row>
      <xdr:rowOff>114300</xdr:rowOff>
    </xdr:to>
    <xdr:sp macro="" textlink="">
      <xdr:nvSpPr>
        <xdr:cNvPr id="23555" name="Line 3">
          <a:extLst>
            <a:ext uri="{FF2B5EF4-FFF2-40B4-BE49-F238E27FC236}">
              <a16:creationId xmlns:a16="http://schemas.microsoft.com/office/drawing/2014/main" id="{FE1694AE-93FA-1C34-177A-1094A1B227AF}"/>
            </a:ext>
          </a:extLst>
        </xdr:cNvPr>
        <xdr:cNvSpPr>
          <a:spLocks noChangeShapeType="1"/>
        </xdr:cNvSpPr>
      </xdr:nvSpPr>
      <xdr:spPr bwMode="auto">
        <a:xfrm flipH="1">
          <a:off x="2571750" y="1009650"/>
          <a:ext cx="6724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23556" name="Text Box 4">
          <a:extLst>
            <a:ext uri="{FF2B5EF4-FFF2-40B4-BE49-F238E27FC236}">
              <a16:creationId xmlns:a16="http://schemas.microsoft.com/office/drawing/2014/main" id="{0C9B8BED-99F4-AE56-B60F-694C3CB8C39A}"/>
            </a:ext>
          </a:extLst>
        </xdr:cNvPr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419100</xdr:colOff>
      <xdr:row>0</xdr:row>
      <xdr:rowOff>0</xdr:rowOff>
    </xdr:to>
    <xdr:sp macro="" textlink="">
      <xdr:nvSpPr>
        <xdr:cNvPr id="22529" name="Text Box 1">
          <a:extLst>
            <a:ext uri="{FF2B5EF4-FFF2-40B4-BE49-F238E27FC236}">
              <a16:creationId xmlns:a16="http://schemas.microsoft.com/office/drawing/2014/main" id="{44A53077-9E25-39D4-AEE3-9CA468B550F0}"/>
            </a:ext>
          </a:extLst>
        </xdr:cNvPr>
        <xdr:cNvSpPr txBox="1">
          <a:spLocks noChangeArrowheads="1"/>
        </xdr:cNvSpPr>
      </xdr:nvSpPr>
      <xdr:spPr bwMode="auto">
        <a:xfrm>
          <a:off x="73723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28575</xdr:rowOff>
    </xdr:from>
    <xdr:to>
      <xdr:col>7</xdr:col>
      <xdr:colOff>266700</xdr:colOff>
      <xdr:row>0</xdr:row>
      <xdr:rowOff>47625</xdr:rowOff>
    </xdr:to>
    <xdr:sp macro="" textlink="">
      <xdr:nvSpPr>
        <xdr:cNvPr id="22530" name="Line 2">
          <a:extLst>
            <a:ext uri="{FF2B5EF4-FFF2-40B4-BE49-F238E27FC236}">
              <a16:creationId xmlns:a16="http://schemas.microsoft.com/office/drawing/2014/main" id="{57FB0D4B-120F-E28B-9F62-3C5BBDAAC1AD}"/>
            </a:ext>
          </a:extLst>
        </xdr:cNvPr>
        <xdr:cNvSpPr>
          <a:spLocks noChangeShapeType="1"/>
        </xdr:cNvSpPr>
      </xdr:nvSpPr>
      <xdr:spPr bwMode="auto">
        <a:xfrm flipH="1">
          <a:off x="9525" y="28575"/>
          <a:ext cx="52387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419100</xdr:colOff>
      <xdr:row>0</xdr:row>
      <xdr:rowOff>0</xdr:rowOff>
    </xdr:to>
    <xdr:sp macro="" textlink="">
      <xdr:nvSpPr>
        <xdr:cNvPr id="22531" name="Text Box 3">
          <a:extLst>
            <a:ext uri="{FF2B5EF4-FFF2-40B4-BE49-F238E27FC236}">
              <a16:creationId xmlns:a16="http://schemas.microsoft.com/office/drawing/2014/main" id="{825C2814-2B45-A2F5-DC78-0207E6F45A92}"/>
            </a:ext>
          </a:extLst>
        </xdr:cNvPr>
        <xdr:cNvSpPr txBox="1">
          <a:spLocks noChangeArrowheads="1"/>
        </xdr:cNvSpPr>
      </xdr:nvSpPr>
      <xdr:spPr bwMode="auto">
        <a:xfrm>
          <a:off x="73723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47625</xdr:colOff>
      <xdr:row>4</xdr:row>
      <xdr:rowOff>104775</xdr:rowOff>
    </xdr:from>
    <xdr:to>
      <xdr:col>10</xdr:col>
      <xdr:colOff>552450</xdr:colOff>
      <xdr:row>4</xdr:row>
      <xdr:rowOff>123825</xdr:rowOff>
    </xdr:to>
    <xdr:sp macro="" textlink="">
      <xdr:nvSpPr>
        <xdr:cNvPr id="22532" name="Line 4">
          <a:extLst>
            <a:ext uri="{FF2B5EF4-FFF2-40B4-BE49-F238E27FC236}">
              <a16:creationId xmlns:a16="http://schemas.microsoft.com/office/drawing/2014/main" id="{60A9A835-2052-1E55-E506-C5B0478591F9}"/>
            </a:ext>
          </a:extLst>
        </xdr:cNvPr>
        <xdr:cNvSpPr>
          <a:spLocks noChangeShapeType="1"/>
        </xdr:cNvSpPr>
      </xdr:nvSpPr>
      <xdr:spPr bwMode="auto">
        <a:xfrm flipH="1">
          <a:off x="2038350" y="1000125"/>
          <a:ext cx="52387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2Q%202001/cana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ossMargin"/>
      <sheetName val="orig"/>
      <sheetName val="MPR &amp; Accruals"/>
      <sheetName val="othe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107"/>
  <sheetViews>
    <sheetView topLeftCell="A71" workbookViewId="0">
      <selection activeCell="G86" sqref="G86"/>
    </sheetView>
  </sheetViews>
  <sheetFormatPr defaultRowHeight="12.75" x14ac:dyDescent="0.25"/>
  <cols>
    <col min="1" max="1" width="27.42578125" style="10" customWidth="1"/>
    <col min="2" max="2" width="0.85546875" style="10" customWidth="1"/>
    <col min="3" max="4" width="8.7109375" style="10" customWidth="1"/>
    <col min="5" max="5" width="11.7109375" style="10" customWidth="1"/>
    <col min="6" max="6" width="0.85546875" style="10" customWidth="1"/>
    <col min="7" max="9" width="8.7109375" style="195" customWidth="1"/>
    <col min="10" max="10" width="1.140625" style="195" customWidth="1"/>
    <col min="11" max="12" width="8.7109375" style="195" customWidth="1"/>
    <col min="13" max="13" width="7.28515625" style="195" customWidth="1"/>
    <col min="14" max="14" width="0.85546875" style="195" customWidth="1"/>
    <col min="15" max="17" width="8.7109375" style="195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4" t="s">
        <v>107</v>
      </c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/>
      <c r="B3"/>
      <c r="C3"/>
      <c r="D3"/>
      <c r="E3"/>
      <c r="F3"/>
      <c r="G3" s="162"/>
      <c r="H3" s="165"/>
      <c r="I3" s="165"/>
      <c r="J3" s="165"/>
      <c r="K3" s="165"/>
      <c r="L3" s="165"/>
      <c r="M3" s="166"/>
      <c r="N3" s="166"/>
      <c r="O3" s="166"/>
      <c r="P3" s="166"/>
      <c r="Q3" s="166"/>
      <c r="R3"/>
      <c r="S3"/>
      <c r="T3"/>
      <c r="U3"/>
      <c r="V3"/>
      <c r="W3"/>
      <c r="X3"/>
      <c r="Z3" s="6"/>
    </row>
    <row r="4" spans="1:26" s="2" customFormat="1" ht="15" customHeight="1" thickBot="1" x14ac:dyDescent="0.3">
      <c r="A4"/>
      <c r="B4"/>
      <c r="C4"/>
      <c r="D4"/>
      <c r="E4"/>
      <c r="F4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/>
      <c r="S4"/>
      <c r="T4"/>
      <c r="U4"/>
      <c r="V4"/>
      <c r="W4"/>
      <c r="X4"/>
      <c r="Y4"/>
      <c r="Z4" s="7"/>
    </row>
    <row r="5" spans="1:26" s="8" customFormat="1" ht="18" customHeight="1" thickBot="1" x14ac:dyDescent="0.25">
      <c r="A5" s="45"/>
      <c r="B5" s="227"/>
      <c r="C5" s="398"/>
      <c r="D5" s="399"/>
      <c r="E5" s="400"/>
      <c r="F5" s="231"/>
      <c r="G5" s="404" t="s">
        <v>117</v>
      </c>
      <c r="H5" s="405"/>
      <c r="I5" s="406"/>
      <c r="J5" s="250"/>
      <c r="K5" s="234"/>
      <c r="L5" s="230"/>
      <c r="M5" s="225"/>
      <c r="N5" s="247"/>
      <c r="O5" s="218"/>
      <c r="P5" s="218"/>
      <c r="Q5" s="218"/>
    </row>
    <row r="6" spans="1:26" s="8" customFormat="1" ht="18" customHeight="1" x14ac:dyDescent="0.2">
      <c r="A6" s="217"/>
      <c r="B6" s="228"/>
      <c r="C6" s="401" t="s">
        <v>0</v>
      </c>
      <c r="D6" s="402"/>
      <c r="E6" s="403"/>
      <c r="F6" s="232"/>
      <c r="G6" s="392" t="s">
        <v>112</v>
      </c>
      <c r="H6" s="393"/>
      <c r="I6" s="394"/>
      <c r="J6" s="235"/>
      <c r="K6" s="392" t="s">
        <v>99</v>
      </c>
      <c r="L6" s="393"/>
      <c r="M6" s="394"/>
      <c r="N6" s="248"/>
      <c r="O6" s="392" t="s">
        <v>1</v>
      </c>
      <c r="P6" s="393"/>
      <c r="Q6" s="394"/>
    </row>
    <row r="7" spans="1:26" ht="15" customHeight="1" thickBot="1" x14ac:dyDescent="0.3">
      <c r="A7" s="46" t="s">
        <v>2</v>
      </c>
      <c r="B7" s="229"/>
      <c r="C7" s="47" t="s">
        <v>3</v>
      </c>
      <c r="D7" s="48" t="s">
        <v>4</v>
      </c>
      <c r="E7" s="49" t="s">
        <v>5</v>
      </c>
      <c r="F7" s="233"/>
      <c r="G7" s="220" t="s">
        <v>6</v>
      </c>
      <c r="H7" s="221" t="s">
        <v>4</v>
      </c>
      <c r="I7" s="223" t="s">
        <v>5</v>
      </c>
      <c r="J7" s="236"/>
      <c r="K7" s="167" t="s">
        <v>6</v>
      </c>
      <c r="L7" s="168" t="s">
        <v>4</v>
      </c>
      <c r="M7" s="169" t="s">
        <v>5</v>
      </c>
      <c r="N7" s="249"/>
      <c r="O7" s="167" t="s">
        <v>6</v>
      </c>
      <c r="P7" s="168" t="s">
        <v>4</v>
      </c>
      <c r="Q7" s="169" t="s">
        <v>5</v>
      </c>
    </row>
    <row r="8" spans="1:26" x14ac:dyDescent="0.25">
      <c r="A8" s="11"/>
      <c r="B8" s="9"/>
      <c r="C8" s="12"/>
      <c r="D8" s="13"/>
      <c r="E8" s="14"/>
      <c r="F8" s="15"/>
      <c r="G8" s="170"/>
      <c r="H8" s="171"/>
      <c r="I8" s="242"/>
      <c r="J8" s="237"/>
      <c r="K8" s="171"/>
      <c r="L8" s="171"/>
      <c r="M8" s="171"/>
      <c r="N8" s="172"/>
      <c r="O8" s="170"/>
      <c r="P8" s="171"/>
      <c r="Q8" s="173"/>
    </row>
    <row r="9" spans="1:26" s="18" customFormat="1" ht="12.75" customHeight="1" x14ac:dyDescent="0.25">
      <c r="A9" s="11" t="s">
        <v>20</v>
      </c>
      <c r="B9" s="17"/>
      <c r="C9" s="146" t="e">
        <f>#REF!</f>
        <v>#REF!</v>
      </c>
      <c r="D9" s="147" t="e">
        <f>#REF!</f>
        <v>#REF!</v>
      </c>
      <c r="E9" s="50" t="e">
        <f t="shared" ref="E9:E17" si="0">-D9+C9</f>
        <v>#REF!</v>
      </c>
      <c r="F9" s="34"/>
      <c r="G9" s="219" t="e">
        <f>#REF!+#REF!</f>
        <v>#REF!</v>
      </c>
      <c r="H9" s="219" t="e">
        <f>#REF!+#REF!</f>
        <v>#REF!</v>
      </c>
      <c r="I9" s="243" t="e">
        <f>G9-H9</f>
        <v>#REF!</v>
      </c>
      <c r="J9" s="238"/>
      <c r="K9" s="219" t="e">
        <f>#REF!</f>
        <v>#REF!</v>
      </c>
      <c r="L9" s="176" t="e">
        <f>#REF!</f>
        <v>#REF!</v>
      </c>
      <c r="M9" s="177" t="e">
        <f>K9-L9</f>
        <v>#REF!</v>
      </c>
      <c r="N9" s="178"/>
      <c r="O9" s="174" t="e">
        <f>C9-G9-K9</f>
        <v>#REF!</v>
      </c>
      <c r="P9" s="175" t="e">
        <f>D9-H9-L9</f>
        <v>#REF!</v>
      </c>
      <c r="Q9" s="179" t="e">
        <f t="shared" ref="Q9:Q17" si="1">O9-P9</f>
        <v>#REF!</v>
      </c>
    </row>
    <row r="10" spans="1:26" s="18" customFormat="1" ht="12.75" customHeight="1" x14ac:dyDescent="0.25">
      <c r="A10" s="11" t="s">
        <v>21</v>
      </c>
      <c r="B10" s="19"/>
      <c r="C10" s="21" t="e">
        <f>#REF!</f>
        <v>#REF!</v>
      </c>
      <c r="D10" s="226" t="e">
        <f>#REF!</f>
        <v>#REF!</v>
      </c>
      <c r="E10" s="24" t="e">
        <f t="shared" si="0"/>
        <v>#REF!</v>
      </c>
      <c r="F10" s="34"/>
      <c r="G10" s="219" t="e">
        <f>#REF!+#REF!</f>
        <v>#REF!</v>
      </c>
      <c r="H10" s="219" t="e">
        <f>#REF!+#REF!</f>
        <v>#REF!</v>
      </c>
      <c r="I10" s="243" t="e">
        <f t="shared" ref="I10:I17" si="2">G10-H10</f>
        <v>#REF!</v>
      </c>
      <c r="J10" s="239"/>
      <c r="K10" s="219" t="e">
        <f>#REF!</f>
        <v>#REF!</v>
      </c>
      <c r="L10" s="176" t="e">
        <f>#REF!</f>
        <v>#REF!</v>
      </c>
      <c r="M10" s="177" t="e">
        <f t="shared" ref="M10:M17" si="3">K10-L10</f>
        <v>#REF!</v>
      </c>
      <c r="N10" s="178"/>
      <c r="O10" s="180" t="e">
        <f>C10-G10-K10</f>
        <v>#REF!</v>
      </c>
      <c r="P10" s="181" t="e">
        <f>D10-H10-L10</f>
        <v>#REF!</v>
      </c>
      <c r="Q10" s="177" t="e">
        <f t="shared" si="1"/>
        <v>#REF!</v>
      </c>
    </row>
    <row r="11" spans="1:26" ht="12" customHeight="1" x14ac:dyDescent="0.25">
      <c r="A11" s="11" t="s">
        <v>22</v>
      </c>
      <c r="B11" s="20"/>
      <c r="C11" s="21" t="e">
        <f>#REF!</f>
        <v>#REF!</v>
      </c>
      <c r="D11" s="226" t="e">
        <f>#REF!</f>
        <v>#REF!</v>
      </c>
      <c r="E11" s="24" t="e">
        <f t="shared" si="0"/>
        <v>#REF!</v>
      </c>
      <c r="F11" s="23"/>
      <c r="G11" s="219" t="e">
        <f>#REF!+#REF!</f>
        <v>#REF!</v>
      </c>
      <c r="H11" s="219" t="e">
        <f>#REF!+#REF!</f>
        <v>#REF!</v>
      </c>
      <c r="I11" s="243" t="e">
        <f t="shared" si="2"/>
        <v>#REF!</v>
      </c>
      <c r="J11" s="239"/>
      <c r="K11" s="219" t="e">
        <f>#REF!</f>
        <v>#REF!</v>
      </c>
      <c r="L11" s="181" t="e">
        <f>#REF!</f>
        <v>#REF!</v>
      </c>
      <c r="M11" s="177" t="e">
        <f t="shared" si="3"/>
        <v>#REF!</v>
      </c>
      <c r="N11" s="182"/>
      <c r="O11" s="180" t="e">
        <f t="shared" ref="O11:O17" si="4">C11-G11-K11</f>
        <v>#REF!</v>
      </c>
      <c r="P11" s="181" t="e">
        <f t="shared" ref="P11:P17" si="5">D11-H11-L11</f>
        <v>#REF!</v>
      </c>
      <c r="Q11" s="177" t="e">
        <f t="shared" si="1"/>
        <v>#REF!</v>
      </c>
    </row>
    <row r="12" spans="1:26" ht="12" customHeight="1" x14ac:dyDescent="0.25">
      <c r="A12" s="11" t="s">
        <v>23</v>
      </c>
      <c r="B12" s="20"/>
      <c r="C12" s="21" t="e">
        <f>#REF!</f>
        <v>#REF!</v>
      </c>
      <c r="D12" s="226" t="e">
        <f>#REF!</f>
        <v>#REF!</v>
      </c>
      <c r="E12" s="24" t="e">
        <f t="shared" si="0"/>
        <v>#REF!</v>
      </c>
      <c r="F12" s="23"/>
      <c r="G12" s="219" t="e">
        <f>#REF!+#REF!</f>
        <v>#REF!</v>
      </c>
      <c r="H12" s="219" t="e">
        <f>#REF!+#REF!</f>
        <v>#REF!</v>
      </c>
      <c r="I12" s="243" t="e">
        <f t="shared" si="2"/>
        <v>#REF!</v>
      </c>
      <c r="J12" s="239"/>
      <c r="K12" s="219" t="e">
        <f>#REF!</f>
        <v>#REF!</v>
      </c>
      <c r="L12" s="181" t="e">
        <f>#REF!</f>
        <v>#REF!</v>
      </c>
      <c r="M12" s="177" t="e">
        <f t="shared" si="3"/>
        <v>#REF!</v>
      </c>
      <c r="N12" s="182"/>
      <c r="O12" s="180" t="e">
        <f t="shared" si="4"/>
        <v>#REF!</v>
      </c>
      <c r="P12" s="181" t="e">
        <f t="shared" si="5"/>
        <v>#REF!</v>
      </c>
      <c r="Q12" s="177" t="e">
        <f t="shared" si="1"/>
        <v>#REF!</v>
      </c>
    </row>
    <row r="13" spans="1:26" ht="12" customHeight="1" x14ac:dyDescent="0.25">
      <c r="A13" s="11" t="s">
        <v>24</v>
      </c>
      <c r="B13" s="20"/>
      <c r="C13" s="21" t="e">
        <f>#REF!</f>
        <v>#REF!</v>
      </c>
      <c r="D13" s="226" t="e">
        <f>#REF!</f>
        <v>#REF!</v>
      </c>
      <c r="E13" s="24" t="e">
        <f t="shared" si="0"/>
        <v>#REF!</v>
      </c>
      <c r="F13" s="23"/>
      <c r="G13" s="219" t="e">
        <f>#REF!+#REF!</f>
        <v>#REF!</v>
      </c>
      <c r="H13" s="219" t="e">
        <f>#REF!+#REF!</f>
        <v>#REF!</v>
      </c>
      <c r="I13" s="243" t="e">
        <f t="shared" si="2"/>
        <v>#REF!</v>
      </c>
      <c r="J13" s="239"/>
      <c r="K13" s="219" t="e">
        <f>#REF!</f>
        <v>#REF!</v>
      </c>
      <c r="L13" s="181" t="e">
        <f>#REF!</f>
        <v>#REF!</v>
      </c>
      <c r="M13" s="177" t="e">
        <f t="shared" si="3"/>
        <v>#REF!</v>
      </c>
      <c r="N13" s="182"/>
      <c r="O13" s="180" t="e">
        <f t="shared" si="4"/>
        <v>#REF!</v>
      </c>
      <c r="P13" s="181" t="e">
        <f t="shared" si="5"/>
        <v>#REF!</v>
      </c>
      <c r="Q13" s="177" t="e">
        <f t="shared" si="1"/>
        <v>#REF!</v>
      </c>
    </row>
    <row r="14" spans="1:26" ht="12" customHeight="1" x14ac:dyDescent="0.25">
      <c r="A14" s="11" t="s">
        <v>64</v>
      </c>
      <c r="B14" s="20"/>
      <c r="C14" s="21" t="e">
        <f>#REF!</f>
        <v>#REF!</v>
      </c>
      <c r="D14" s="226" t="e">
        <f>#REF!</f>
        <v>#REF!</v>
      </c>
      <c r="E14" s="24" t="e">
        <f t="shared" si="0"/>
        <v>#REF!</v>
      </c>
      <c r="F14" s="23"/>
      <c r="G14" s="219" t="e">
        <f>#REF!+#REF!</f>
        <v>#REF!</v>
      </c>
      <c r="H14" s="219" t="e">
        <f>#REF!+#REF!</f>
        <v>#REF!</v>
      </c>
      <c r="I14" s="243" t="e">
        <f t="shared" si="2"/>
        <v>#REF!</v>
      </c>
      <c r="J14" s="239"/>
      <c r="K14" s="219" t="e">
        <f>#REF!</f>
        <v>#REF!</v>
      </c>
      <c r="L14" s="181" t="e">
        <f>#REF!</f>
        <v>#REF!</v>
      </c>
      <c r="M14" s="177" t="e">
        <f t="shared" si="3"/>
        <v>#REF!</v>
      </c>
      <c r="N14" s="182"/>
      <c r="O14" s="180" t="e">
        <f t="shared" si="4"/>
        <v>#REF!</v>
      </c>
      <c r="P14" s="181" t="e">
        <f t="shared" si="5"/>
        <v>#REF!</v>
      </c>
      <c r="Q14" s="177" t="e">
        <f t="shared" si="1"/>
        <v>#REF!</v>
      </c>
    </row>
    <row r="15" spans="1:26" ht="12" customHeight="1" x14ac:dyDescent="0.25">
      <c r="A15" s="11" t="s">
        <v>27</v>
      </c>
      <c r="B15" s="20"/>
      <c r="C15" s="21" t="e">
        <f>#REF!</f>
        <v>#REF!</v>
      </c>
      <c r="D15" s="226" t="e">
        <f>#REF!</f>
        <v>#REF!</v>
      </c>
      <c r="E15" s="24" t="e">
        <f t="shared" si="0"/>
        <v>#REF!</v>
      </c>
      <c r="F15" s="23"/>
      <c r="G15" s="219" t="e">
        <f>#REF!+#REF!</f>
        <v>#REF!</v>
      </c>
      <c r="H15" s="219" t="e">
        <f>#REF!+#REF!</f>
        <v>#REF!</v>
      </c>
      <c r="I15" s="243" t="e">
        <f t="shared" si="2"/>
        <v>#REF!</v>
      </c>
      <c r="J15" s="239"/>
      <c r="K15" s="219" t="e">
        <f>#REF!</f>
        <v>#REF!</v>
      </c>
      <c r="L15" s="181" t="e">
        <f>#REF!</f>
        <v>#REF!</v>
      </c>
      <c r="M15" s="177" t="e">
        <f t="shared" si="3"/>
        <v>#REF!</v>
      </c>
      <c r="N15" s="182"/>
      <c r="O15" s="180" t="e">
        <f t="shared" si="4"/>
        <v>#REF!</v>
      </c>
      <c r="P15" s="181" t="e">
        <f t="shared" si="5"/>
        <v>#REF!</v>
      </c>
      <c r="Q15" s="177" t="e">
        <f t="shared" si="1"/>
        <v>#REF!</v>
      </c>
    </row>
    <row r="16" spans="1:26" ht="12" customHeight="1" x14ac:dyDescent="0.25">
      <c r="A16" s="11" t="s">
        <v>28</v>
      </c>
      <c r="B16" s="20"/>
      <c r="C16" s="21" t="e">
        <f>#REF!</f>
        <v>#REF!</v>
      </c>
      <c r="D16" s="226" t="e">
        <f>#REF!</f>
        <v>#REF!</v>
      </c>
      <c r="E16" s="24" t="e">
        <f t="shared" si="0"/>
        <v>#REF!</v>
      </c>
      <c r="F16" s="23"/>
      <c r="G16" s="219" t="e">
        <f>#REF!+#REF!</f>
        <v>#REF!</v>
      </c>
      <c r="H16" s="219" t="e">
        <f>#REF!+#REF!</f>
        <v>#REF!</v>
      </c>
      <c r="I16" s="243" t="e">
        <f t="shared" si="2"/>
        <v>#REF!</v>
      </c>
      <c r="J16" s="239"/>
      <c r="K16" s="219" t="e">
        <f>#REF!</f>
        <v>#REF!</v>
      </c>
      <c r="L16" s="181" t="e">
        <f>#REF!</f>
        <v>#REF!</v>
      </c>
      <c r="M16" s="177" t="e">
        <f t="shared" si="3"/>
        <v>#REF!</v>
      </c>
      <c r="N16" s="182"/>
      <c r="O16" s="180" t="e">
        <f t="shared" si="4"/>
        <v>#REF!</v>
      </c>
      <c r="P16" s="181" t="e">
        <f t="shared" si="5"/>
        <v>#REF!</v>
      </c>
      <c r="Q16" s="177" t="e">
        <f t="shared" si="1"/>
        <v>#REF!</v>
      </c>
    </row>
    <row r="17" spans="1:17" ht="12" customHeight="1" x14ac:dyDescent="0.25">
      <c r="A17" s="11" t="s">
        <v>29</v>
      </c>
      <c r="B17" s="20"/>
      <c r="C17" s="21" t="e">
        <f>#REF!</f>
        <v>#REF!</v>
      </c>
      <c r="D17" s="226" t="e">
        <f>#REF!</f>
        <v>#REF!</v>
      </c>
      <c r="E17" s="24" t="e">
        <f t="shared" si="0"/>
        <v>#REF!</v>
      </c>
      <c r="F17" s="23"/>
      <c r="G17" s="219" t="e">
        <f>#REF!+#REF!</f>
        <v>#REF!</v>
      </c>
      <c r="H17" s="219" t="e">
        <f>#REF!+#REF!</f>
        <v>#REF!</v>
      </c>
      <c r="I17" s="243" t="e">
        <f t="shared" si="2"/>
        <v>#REF!</v>
      </c>
      <c r="J17" s="239"/>
      <c r="K17" s="219" t="e">
        <f>#REF!</f>
        <v>#REF!</v>
      </c>
      <c r="L17" s="181" t="e">
        <f>#REF!</f>
        <v>#REF!</v>
      </c>
      <c r="M17" s="177" t="e">
        <f t="shared" si="3"/>
        <v>#REF!</v>
      </c>
      <c r="N17" s="182"/>
      <c r="O17" s="180" t="e">
        <f t="shared" si="4"/>
        <v>#REF!</v>
      </c>
      <c r="P17" s="181" t="e">
        <f t="shared" si="5"/>
        <v>#REF!</v>
      </c>
      <c r="Q17" s="177" t="e">
        <f t="shared" si="1"/>
        <v>#REF!</v>
      </c>
    </row>
    <row r="18" spans="1:17" s="42" customFormat="1" ht="12" customHeight="1" x14ac:dyDescent="0.25">
      <c r="A18" s="25" t="s">
        <v>7</v>
      </c>
      <c r="B18" s="148"/>
      <c r="C18" s="26" t="e">
        <f>SUM(C8:C17)</f>
        <v>#REF!</v>
      </c>
      <c r="D18" s="27" t="e">
        <f>SUM(D8:D17)</f>
        <v>#REF!</v>
      </c>
      <c r="E18" s="28" t="e">
        <f>SUM(E8:E17)</f>
        <v>#REF!</v>
      </c>
      <c r="F18" s="149"/>
      <c r="G18" s="183" t="e">
        <f>SUM(G9:G17)</f>
        <v>#REF!</v>
      </c>
      <c r="H18" s="184" t="e">
        <f>SUM(H9:H17)</f>
        <v>#REF!</v>
      </c>
      <c r="I18" s="244" t="e">
        <f>SUM(I9:I17)</f>
        <v>#REF!</v>
      </c>
      <c r="J18" s="240"/>
      <c r="K18" s="184" t="e">
        <f>SUM(K9:K17)</f>
        <v>#REF!</v>
      </c>
      <c r="L18" s="184" t="e">
        <f>SUM(L9:L17)</f>
        <v>#REF!</v>
      </c>
      <c r="M18" s="185" t="e">
        <f>SUM(M9:M17)</f>
        <v>#REF!</v>
      </c>
      <c r="N18" s="186"/>
      <c r="O18" s="183" t="e">
        <f>SUM(O9:O17)</f>
        <v>#REF!</v>
      </c>
      <c r="P18" s="184" t="e">
        <f>SUM(P9:P17)</f>
        <v>#REF!</v>
      </c>
      <c r="Q18" s="185" t="e">
        <f>SUM(Q9:Q17)</f>
        <v>#REF!</v>
      </c>
    </row>
    <row r="19" spans="1:17" ht="7.5" customHeight="1" x14ac:dyDescent="0.25">
      <c r="A19" s="11"/>
      <c r="B19" s="9"/>
      <c r="C19" s="21"/>
      <c r="D19" s="22"/>
      <c r="E19" s="24"/>
      <c r="F19" s="23"/>
      <c r="G19" s="180"/>
      <c r="H19" s="181"/>
      <c r="I19" s="245"/>
      <c r="J19" s="239"/>
      <c r="K19" s="181"/>
      <c r="L19" s="181"/>
      <c r="M19" s="177"/>
      <c r="N19" s="182"/>
      <c r="O19" s="180"/>
      <c r="P19" s="181"/>
      <c r="Q19" s="177"/>
    </row>
    <row r="20" spans="1:17" ht="14.25" customHeight="1" x14ac:dyDescent="0.25">
      <c r="A20" s="11" t="s">
        <v>25</v>
      </c>
      <c r="B20" s="9"/>
      <c r="C20" s="21" t="e">
        <f>#REF!</f>
        <v>#REF!</v>
      </c>
      <c r="D20" s="226" t="e">
        <f>#REF!</f>
        <v>#REF!</v>
      </c>
      <c r="E20" s="24" t="e">
        <f t="shared" ref="E20:E25" si="6">-D20+C20</f>
        <v>#REF!</v>
      </c>
      <c r="F20" s="23"/>
      <c r="G20" s="219" t="e">
        <f>#REF!+#REF!</f>
        <v>#REF!</v>
      </c>
      <c r="H20" s="219" t="e">
        <f>#REF!+#REF!</f>
        <v>#REF!</v>
      </c>
      <c r="I20" s="243" t="e">
        <f t="shared" ref="I20:I25" si="7">G20-H20</f>
        <v>#REF!</v>
      </c>
      <c r="J20" s="239"/>
      <c r="K20" s="219" t="e">
        <f>#REF!</f>
        <v>#REF!</v>
      </c>
      <c r="L20" s="176" t="e">
        <f>#REF!</f>
        <v>#REF!</v>
      </c>
      <c r="M20" s="177" t="e">
        <f t="shared" ref="M20:M25" si="8">K20-L20</f>
        <v>#REF!</v>
      </c>
      <c r="N20" s="182"/>
      <c r="O20" s="180" t="e">
        <f t="shared" ref="O20:P25" si="9">C20-G20-K20</f>
        <v>#REF!</v>
      </c>
      <c r="P20" s="181" t="e">
        <f t="shared" si="9"/>
        <v>#REF!</v>
      </c>
      <c r="Q20" s="177" t="e">
        <f t="shared" ref="Q20:Q25" si="10">O20-P20</f>
        <v>#REF!</v>
      </c>
    </row>
    <row r="21" spans="1:17" ht="14.25" customHeight="1" x14ac:dyDescent="0.25">
      <c r="A21" s="11" t="s">
        <v>26</v>
      </c>
      <c r="B21" s="9"/>
      <c r="C21" s="21" t="e">
        <f>#REF!</f>
        <v>#REF!</v>
      </c>
      <c r="D21" s="226" t="e">
        <f>#REF!</f>
        <v>#REF!</v>
      </c>
      <c r="E21" s="24" t="e">
        <f t="shared" si="6"/>
        <v>#REF!</v>
      </c>
      <c r="F21" s="23"/>
      <c r="G21" s="219" t="e">
        <f>#REF!+#REF!</f>
        <v>#REF!</v>
      </c>
      <c r="H21" s="219" t="e">
        <f>#REF!+#REF!</f>
        <v>#REF!</v>
      </c>
      <c r="I21" s="243" t="e">
        <f t="shared" si="7"/>
        <v>#REF!</v>
      </c>
      <c r="J21" s="239"/>
      <c r="K21" s="219" t="e">
        <f>#REF!</f>
        <v>#REF!</v>
      </c>
      <c r="L21" s="176" t="e">
        <f>#REF!</f>
        <v>#REF!</v>
      </c>
      <c r="M21" s="177" t="e">
        <f t="shared" si="8"/>
        <v>#REF!</v>
      </c>
      <c r="N21" s="182"/>
      <c r="O21" s="180" t="e">
        <f t="shared" si="9"/>
        <v>#REF!</v>
      </c>
      <c r="P21" s="181" t="e">
        <f t="shared" si="9"/>
        <v>#REF!</v>
      </c>
      <c r="Q21" s="177" t="e">
        <f t="shared" si="10"/>
        <v>#REF!</v>
      </c>
    </row>
    <row r="22" spans="1:17" ht="14.25" customHeight="1" x14ac:dyDescent="0.25">
      <c r="A22" s="11" t="s">
        <v>32</v>
      </c>
      <c r="B22" s="9"/>
      <c r="C22" s="21" t="e">
        <f>#REF!</f>
        <v>#REF!</v>
      </c>
      <c r="D22" s="226" t="e">
        <f>#REF!</f>
        <v>#REF!</v>
      </c>
      <c r="E22" s="24" t="e">
        <f t="shared" si="6"/>
        <v>#REF!</v>
      </c>
      <c r="F22" s="23"/>
      <c r="G22" s="219" t="e">
        <f>#REF!+#REF!</f>
        <v>#REF!</v>
      </c>
      <c r="H22" s="219" t="e">
        <f>#REF!+#REF!</f>
        <v>#REF!</v>
      </c>
      <c r="I22" s="243" t="e">
        <f t="shared" si="7"/>
        <v>#REF!</v>
      </c>
      <c r="J22" s="239"/>
      <c r="K22" s="219" t="e">
        <f>#REF!</f>
        <v>#REF!</v>
      </c>
      <c r="L22" s="176" t="e">
        <f>#REF!</f>
        <v>#REF!</v>
      </c>
      <c r="M22" s="177" t="e">
        <f t="shared" si="8"/>
        <v>#REF!</v>
      </c>
      <c r="N22" s="182"/>
      <c r="O22" s="180" t="e">
        <f t="shared" si="9"/>
        <v>#REF!</v>
      </c>
      <c r="P22" s="181" t="e">
        <f t="shared" si="9"/>
        <v>#REF!</v>
      </c>
      <c r="Q22" s="177" t="e">
        <f t="shared" si="10"/>
        <v>#REF!</v>
      </c>
    </row>
    <row r="23" spans="1:17" ht="14.25" customHeight="1" x14ac:dyDescent="0.25">
      <c r="A23" s="11" t="s">
        <v>30</v>
      </c>
      <c r="B23" s="9"/>
      <c r="C23" s="21" t="e">
        <f>#REF!</f>
        <v>#REF!</v>
      </c>
      <c r="D23" s="226" t="e">
        <f>#REF!</f>
        <v>#REF!</v>
      </c>
      <c r="E23" s="24" t="e">
        <f t="shared" si="6"/>
        <v>#REF!</v>
      </c>
      <c r="F23" s="23"/>
      <c r="G23" s="219" t="e">
        <f>#REF!+#REF!</f>
        <v>#REF!</v>
      </c>
      <c r="H23" s="219" t="e">
        <f>#REF!+#REF!</f>
        <v>#REF!</v>
      </c>
      <c r="I23" s="243" t="e">
        <f t="shared" si="7"/>
        <v>#REF!</v>
      </c>
      <c r="J23" s="239"/>
      <c r="K23" s="219" t="e">
        <f>#REF!</f>
        <v>#REF!</v>
      </c>
      <c r="L23" s="176" t="e">
        <f>#REF!</f>
        <v>#REF!</v>
      </c>
      <c r="M23" s="177" t="e">
        <f t="shared" si="8"/>
        <v>#REF!</v>
      </c>
      <c r="N23" s="182"/>
      <c r="O23" s="180" t="e">
        <f t="shared" si="9"/>
        <v>#REF!</v>
      </c>
      <c r="P23" s="181" t="e">
        <f t="shared" si="9"/>
        <v>#REF!</v>
      </c>
      <c r="Q23" s="177" t="e">
        <f t="shared" si="10"/>
        <v>#REF!</v>
      </c>
    </row>
    <row r="24" spans="1:17" ht="14.25" customHeight="1" x14ac:dyDescent="0.25">
      <c r="A24" s="11" t="s">
        <v>31</v>
      </c>
      <c r="B24" s="9"/>
      <c r="C24" s="21" t="e">
        <f>#REF!</f>
        <v>#REF!</v>
      </c>
      <c r="D24" s="226" t="e">
        <f>#REF!</f>
        <v>#REF!</v>
      </c>
      <c r="E24" s="24" t="e">
        <f t="shared" si="6"/>
        <v>#REF!</v>
      </c>
      <c r="F24" s="23"/>
      <c r="G24" s="219" t="e">
        <f>#REF!+#REF!</f>
        <v>#REF!</v>
      </c>
      <c r="H24" s="219" t="e">
        <f>#REF!+#REF!</f>
        <v>#REF!</v>
      </c>
      <c r="I24" s="243" t="e">
        <f t="shared" si="7"/>
        <v>#REF!</v>
      </c>
      <c r="J24" s="239"/>
      <c r="K24" s="219" t="e">
        <f>#REF!</f>
        <v>#REF!</v>
      </c>
      <c r="L24" s="176" t="e">
        <f>#REF!</f>
        <v>#REF!</v>
      </c>
      <c r="M24" s="177" t="e">
        <f t="shared" si="8"/>
        <v>#REF!</v>
      </c>
      <c r="N24" s="182"/>
      <c r="O24" s="180" t="e">
        <f t="shared" si="9"/>
        <v>#REF!</v>
      </c>
      <c r="P24" s="181" t="e">
        <f t="shared" si="9"/>
        <v>#REF!</v>
      </c>
      <c r="Q24" s="177" t="e">
        <f t="shared" si="10"/>
        <v>#REF!</v>
      </c>
    </row>
    <row r="25" spans="1:17" ht="14.25" customHeight="1" x14ac:dyDescent="0.25">
      <c r="A25" s="11" t="s">
        <v>33</v>
      </c>
      <c r="B25" s="9"/>
      <c r="C25" s="21" t="e">
        <f>#REF!</f>
        <v>#REF!</v>
      </c>
      <c r="D25" s="226" t="e">
        <f>#REF!</f>
        <v>#REF!</v>
      </c>
      <c r="E25" s="24" t="e">
        <f t="shared" si="6"/>
        <v>#REF!</v>
      </c>
      <c r="F25" s="23"/>
      <c r="G25" s="219" t="e">
        <f>#REF!+#REF!</f>
        <v>#REF!</v>
      </c>
      <c r="H25" s="219" t="e">
        <f>#REF!+#REF!</f>
        <v>#REF!</v>
      </c>
      <c r="I25" s="243" t="e">
        <f t="shared" si="7"/>
        <v>#REF!</v>
      </c>
      <c r="J25" s="239"/>
      <c r="K25" s="219" t="e">
        <f>#REF!</f>
        <v>#REF!</v>
      </c>
      <c r="L25" s="176" t="e">
        <f>#REF!</f>
        <v>#REF!</v>
      </c>
      <c r="M25" s="177" t="e">
        <f t="shared" si="8"/>
        <v>#REF!</v>
      </c>
      <c r="N25" s="182"/>
      <c r="O25" s="180" t="e">
        <f t="shared" si="9"/>
        <v>#REF!</v>
      </c>
      <c r="P25" s="181" t="e">
        <f t="shared" si="9"/>
        <v>#REF!</v>
      </c>
      <c r="Q25" s="177" t="e">
        <f t="shared" si="10"/>
        <v>#REF!</v>
      </c>
    </row>
    <row r="26" spans="1:17" s="42" customFormat="1" ht="14.25" customHeight="1" x14ac:dyDescent="0.25">
      <c r="A26" s="25" t="s">
        <v>8</v>
      </c>
      <c r="B26" s="148"/>
      <c r="C26" s="26" t="e">
        <f>SUM(C20:C25)</f>
        <v>#REF!</v>
      </c>
      <c r="D26" s="27" t="e">
        <f>SUM(D20:D25)</f>
        <v>#REF!</v>
      </c>
      <c r="E26" s="28" t="e">
        <f>SUM(E20:E25)</f>
        <v>#REF!</v>
      </c>
      <c r="F26" s="149"/>
      <c r="G26" s="183" t="e">
        <f>SUM(G20:G25)</f>
        <v>#REF!</v>
      </c>
      <c r="H26" s="184" t="e">
        <f>SUM(H20:H25)</f>
        <v>#REF!</v>
      </c>
      <c r="I26" s="244" t="e">
        <f>G26-H26</f>
        <v>#REF!</v>
      </c>
      <c r="J26" s="240"/>
      <c r="K26" s="184" t="e">
        <f>SUM(K20:K25)</f>
        <v>#REF!</v>
      </c>
      <c r="L26" s="184" t="e">
        <f>SUM(L20:L25)</f>
        <v>#REF!</v>
      </c>
      <c r="M26" s="185" t="e">
        <f>SUM(M20:M25)</f>
        <v>#REF!</v>
      </c>
      <c r="N26" s="186"/>
      <c r="O26" s="183" t="e">
        <f>SUM(O20:O25)</f>
        <v>#REF!</v>
      </c>
      <c r="P26" s="184" t="e">
        <f>SUM(P20:P25)</f>
        <v>#REF!</v>
      </c>
      <c r="Q26" s="185" t="e">
        <f>SUM(Q20:Q25)</f>
        <v>#REF!</v>
      </c>
    </row>
    <row r="27" spans="1:17" ht="7.5" customHeight="1" x14ac:dyDescent="0.25">
      <c r="A27" s="11"/>
      <c r="B27" s="9"/>
      <c r="C27" s="21"/>
      <c r="D27" s="22"/>
      <c r="E27" s="24"/>
      <c r="F27" s="23"/>
      <c r="G27" s="180"/>
      <c r="H27" s="181"/>
      <c r="I27" s="245"/>
      <c r="J27" s="239"/>
      <c r="K27" s="181"/>
      <c r="L27" s="181"/>
      <c r="M27" s="177"/>
      <c r="N27" s="182"/>
      <c r="O27" s="180"/>
      <c r="P27" s="181"/>
      <c r="Q27" s="177"/>
    </row>
    <row r="28" spans="1:17" x14ac:dyDescent="0.25">
      <c r="A28" s="11" t="s">
        <v>34</v>
      </c>
      <c r="B28" s="9"/>
      <c r="C28" s="21" t="e">
        <f>#REF!</f>
        <v>#REF!</v>
      </c>
      <c r="D28" s="226" t="e">
        <f>#REF!</f>
        <v>#REF!</v>
      </c>
      <c r="E28" s="24" t="e">
        <f t="shared" ref="E28:E36" si="11">-D28+C28</f>
        <v>#REF!</v>
      </c>
      <c r="F28" s="23"/>
      <c r="G28" s="219" t="e">
        <f>#REF!+#REF!</f>
        <v>#REF!</v>
      </c>
      <c r="H28" s="219" t="e">
        <f>#REF!+#REF!</f>
        <v>#REF!</v>
      </c>
      <c r="I28" s="243" t="e">
        <f t="shared" ref="I28:I36" si="12">G28-H28</f>
        <v>#REF!</v>
      </c>
      <c r="J28" s="239"/>
      <c r="K28" s="219" t="e">
        <f>#REF!</f>
        <v>#REF!</v>
      </c>
      <c r="L28" s="176" t="e">
        <f>#REF!</f>
        <v>#REF!</v>
      </c>
      <c r="M28" s="177" t="e">
        <f t="shared" ref="M28:M36" si="13">K28-L28</f>
        <v>#REF!</v>
      </c>
      <c r="N28" s="182"/>
      <c r="O28" s="180" t="e">
        <f t="shared" ref="O28:P36" si="14">C28-G28-K28</f>
        <v>#REF!</v>
      </c>
      <c r="P28" s="181" t="e">
        <f t="shared" si="14"/>
        <v>#REF!</v>
      </c>
      <c r="Q28" s="177" t="e">
        <f t="shared" ref="Q28:Q35" si="15">O28-P28</f>
        <v>#REF!</v>
      </c>
    </row>
    <row r="29" spans="1:17" x14ac:dyDescent="0.25">
      <c r="A29" s="11" t="s">
        <v>35</v>
      </c>
      <c r="B29" s="9"/>
      <c r="C29" s="21" t="e">
        <f>#REF!</f>
        <v>#REF!</v>
      </c>
      <c r="D29" s="226" t="e">
        <f>#REF!</f>
        <v>#REF!</v>
      </c>
      <c r="E29" s="24" t="e">
        <f t="shared" si="11"/>
        <v>#REF!</v>
      </c>
      <c r="F29" s="23"/>
      <c r="G29" s="219" t="e">
        <f>#REF!+#REF!</f>
        <v>#REF!</v>
      </c>
      <c r="H29" s="219" t="e">
        <f>#REF!+#REF!</f>
        <v>#REF!</v>
      </c>
      <c r="I29" s="243" t="e">
        <f t="shared" si="12"/>
        <v>#REF!</v>
      </c>
      <c r="J29" s="239"/>
      <c r="K29" s="219" t="e">
        <f>#REF!</f>
        <v>#REF!</v>
      </c>
      <c r="L29" s="176" t="e">
        <f>#REF!</f>
        <v>#REF!</v>
      </c>
      <c r="M29" s="177" t="e">
        <f t="shared" si="13"/>
        <v>#REF!</v>
      </c>
      <c r="N29" s="182"/>
      <c r="O29" s="180" t="e">
        <f t="shared" si="14"/>
        <v>#REF!</v>
      </c>
      <c r="P29" s="181" t="e">
        <f t="shared" si="14"/>
        <v>#REF!</v>
      </c>
      <c r="Q29" s="177" t="e">
        <f t="shared" si="15"/>
        <v>#REF!</v>
      </c>
    </row>
    <row r="30" spans="1:17" x14ac:dyDescent="0.25">
      <c r="A30" s="11" t="s">
        <v>36</v>
      </c>
      <c r="B30" s="9"/>
      <c r="C30" s="21" t="e">
        <f>#REF!</f>
        <v>#REF!</v>
      </c>
      <c r="D30" s="226" t="e">
        <f>#REF!</f>
        <v>#REF!</v>
      </c>
      <c r="E30" s="24" t="e">
        <f t="shared" si="11"/>
        <v>#REF!</v>
      </c>
      <c r="F30" s="23"/>
      <c r="G30" s="219" t="e">
        <f>#REF!+#REF!</f>
        <v>#REF!</v>
      </c>
      <c r="H30" s="219" t="e">
        <f>#REF!+#REF!</f>
        <v>#REF!</v>
      </c>
      <c r="I30" s="243" t="e">
        <f t="shared" si="12"/>
        <v>#REF!</v>
      </c>
      <c r="J30" s="239"/>
      <c r="K30" s="219" t="e">
        <f>#REF!</f>
        <v>#REF!</v>
      </c>
      <c r="L30" s="176" t="e">
        <f>#REF!</f>
        <v>#REF!</v>
      </c>
      <c r="M30" s="177" t="e">
        <f t="shared" si="13"/>
        <v>#REF!</v>
      </c>
      <c r="N30" s="182"/>
      <c r="O30" s="180" t="e">
        <f t="shared" si="14"/>
        <v>#REF!</v>
      </c>
      <c r="P30" s="181" t="e">
        <f t="shared" si="14"/>
        <v>#REF!</v>
      </c>
      <c r="Q30" s="177" t="e">
        <f t="shared" si="15"/>
        <v>#REF!</v>
      </c>
    </row>
    <row r="31" spans="1:17" x14ac:dyDescent="0.25">
      <c r="A31" s="11" t="s">
        <v>37</v>
      </c>
      <c r="B31" s="9"/>
      <c r="C31" s="21" t="e">
        <f>#REF!</f>
        <v>#REF!</v>
      </c>
      <c r="D31" s="226" t="e">
        <f>#REF!</f>
        <v>#REF!</v>
      </c>
      <c r="E31" s="24" t="e">
        <f t="shared" si="11"/>
        <v>#REF!</v>
      </c>
      <c r="F31" s="23"/>
      <c r="G31" s="219" t="e">
        <f>#REF!+#REF!</f>
        <v>#REF!</v>
      </c>
      <c r="H31" s="219" t="e">
        <f>#REF!+#REF!</f>
        <v>#REF!</v>
      </c>
      <c r="I31" s="243" t="e">
        <f t="shared" si="12"/>
        <v>#REF!</v>
      </c>
      <c r="J31" s="239"/>
      <c r="K31" s="219" t="e">
        <f>#REF!</f>
        <v>#REF!</v>
      </c>
      <c r="L31" s="176" t="e">
        <f>#REF!</f>
        <v>#REF!</v>
      </c>
      <c r="M31" s="177" t="e">
        <f t="shared" si="13"/>
        <v>#REF!</v>
      </c>
      <c r="N31" s="182"/>
      <c r="O31" s="180" t="e">
        <f t="shared" si="14"/>
        <v>#REF!</v>
      </c>
      <c r="P31" s="181" t="e">
        <f t="shared" si="14"/>
        <v>#REF!</v>
      </c>
      <c r="Q31" s="177" t="e">
        <f t="shared" si="15"/>
        <v>#REF!</v>
      </c>
    </row>
    <row r="32" spans="1:17" x14ac:dyDescent="0.25">
      <c r="A32" s="11" t="s">
        <v>38</v>
      </c>
      <c r="B32" s="9"/>
      <c r="C32" s="21" t="e">
        <f>#REF!</f>
        <v>#REF!</v>
      </c>
      <c r="D32" s="226" t="e">
        <f>#REF!</f>
        <v>#REF!</v>
      </c>
      <c r="E32" s="24" t="e">
        <f t="shared" si="11"/>
        <v>#REF!</v>
      </c>
      <c r="F32" s="23"/>
      <c r="G32" s="219" t="e">
        <f>#REF!+#REF!</f>
        <v>#REF!</v>
      </c>
      <c r="H32" s="219" t="e">
        <f>#REF!+#REF!</f>
        <v>#REF!</v>
      </c>
      <c r="I32" s="243" t="e">
        <f t="shared" si="12"/>
        <v>#REF!</v>
      </c>
      <c r="J32" s="239"/>
      <c r="K32" s="219" t="e">
        <f>#REF!</f>
        <v>#REF!</v>
      </c>
      <c r="L32" s="176" t="e">
        <f>#REF!</f>
        <v>#REF!</v>
      </c>
      <c r="M32" s="177" t="e">
        <f t="shared" si="13"/>
        <v>#REF!</v>
      </c>
      <c r="N32" s="182"/>
      <c r="O32" s="180" t="e">
        <f t="shared" si="14"/>
        <v>#REF!</v>
      </c>
      <c r="P32" s="181" t="e">
        <f t="shared" si="14"/>
        <v>#REF!</v>
      </c>
      <c r="Q32" s="177" t="e">
        <f t="shared" si="15"/>
        <v>#REF!</v>
      </c>
    </row>
    <row r="33" spans="1:17" x14ac:dyDescent="0.25">
      <c r="A33" s="11" t="s">
        <v>39</v>
      </c>
      <c r="B33" s="9"/>
      <c r="C33" s="21" t="e">
        <f>#REF!</f>
        <v>#REF!</v>
      </c>
      <c r="D33" s="226" t="e">
        <f>#REF!</f>
        <v>#REF!</v>
      </c>
      <c r="E33" s="24" t="e">
        <f t="shared" si="11"/>
        <v>#REF!</v>
      </c>
      <c r="F33" s="23"/>
      <c r="G33" s="219" t="e">
        <f>#REF!+#REF!</f>
        <v>#REF!</v>
      </c>
      <c r="H33" s="219" t="e">
        <f>#REF!+#REF!</f>
        <v>#REF!</v>
      </c>
      <c r="I33" s="243" t="e">
        <f t="shared" si="12"/>
        <v>#REF!</v>
      </c>
      <c r="J33" s="239"/>
      <c r="K33" s="219" t="e">
        <f>#REF!</f>
        <v>#REF!</v>
      </c>
      <c r="L33" s="176" t="e">
        <f>#REF!</f>
        <v>#REF!</v>
      </c>
      <c r="M33" s="177" t="e">
        <f t="shared" si="13"/>
        <v>#REF!</v>
      </c>
      <c r="N33" s="182"/>
      <c r="O33" s="180" t="e">
        <f t="shared" si="14"/>
        <v>#REF!</v>
      </c>
      <c r="P33" s="181" t="e">
        <f t="shared" si="14"/>
        <v>#REF!</v>
      </c>
      <c r="Q33" s="177" t="e">
        <f t="shared" si="15"/>
        <v>#REF!</v>
      </c>
    </row>
    <row r="34" spans="1:17" x14ac:dyDescent="0.25">
      <c r="A34" s="11" t="s">
        <v>40</v>
      </c>
      <c r="B34" s="9"/>
      <c r="C34" s="21" t="e">
        <f>#REF!</f>
        <v>#REF!</v>
      </c>
      <c r="D34" s="226" t="e">
        <f>#REF!</f>
        <v>#REF!</v>
      </c>
      <c r="E34" s="24" t="e">
        <f t="shared" si="11"/>
        <v>#REF!</v>
      </c>
      <c r="F34" s="23"/>
      <c r="G34" s="219" t="e">
        <f>#REF!+#REF!</f>
        <v>#REF!</v>
      </c>
      <c r="H34" s="219" t="e">
        <f>#REF!+#REF!</f>
        <v>#REF!</v>
      </c>
      <c r="I34" s="243" t="e">
        <f t="shared" si="12"/>
        <v>#REF!</v>
      </c>
      <c r="J34" s="239"/>
      <c r="K34" s="219" t="e">
        <f>#REF!</f>
        <v>#REF!</v>
      </c>
      <c r="L34" s="176" t="e">
        <f>#REF!</f>
        <v>#REF!</v>
      </c>
      <c r="M34" s="177" t="e">
        <f t="shared" si="13"/>
        <v>#REF!</v>
      </c>
      <c r="N34" s="182"/>
      <c r="O34" s="180" t="e">
        <f t="shared" si="14"/>
        <v>#REF!</v>
      </c>
      <c r="P34" s="181" t="e">
        <f t="shared" si="14"/>
        <v>#REF!</v>
      </c>
      <c r="Q34" s="177" t="e">
        <f t="shared" si="15"/>
        <v>#REF!</v>
      </c>
    </row>
    <row r="35" spans="1:17" x14ac:dyDescent="0.25">
      <c r="A35" s="11" t="s">
        <v>41</v>
      </c>
      <c r="B35" s="9"/>
      <c r="C35" s="21" t="e">
        <f>#REF!</f>
        <v>#REF!</v>
      </c>
      <c r="D35" s="226" t="e">
        <f>#REF!</f>
        <v>#REF!</v>
      </c>
      <c r="E35" s="24" t="e">
        <f t="shared" si="11"/>
        <v>#REF!</v>
      </c>
      <c r="F35" s="23"/>
      <c r="G35" s="219" t="e">
        <f>#REF!+#REF!</f>
        <v>#REF!</v>
      </c>
      <c r="H35" s="219" t="e">
        <f>#REF!+#REF!</f>
        <v>#REF!</v>
      </c>
      <c r="I35" s="243" t="e">
        <f t="shared" si="12"/>
        <v>#REF!</v>
      </c>
      <c r="J35" s="239"/>
      <c r="K35" s="219" t="e">
        <f>#REF!</f>
        <v>#REF!</v>
      </c>
      <c r="L35" s="176" t="e">
        <f>#REF!</f>
        <v>#REF!</v>
      </c>
      <c r="M35" s="177" t="e">
        <f t="shared" si="13"/>
        <v>#REF!</v>
      </c>
      <c r="N35" s="182"/>
      <c r="O35" s="180" t="e">
        <f t="shared" si="14"/>
        <v>#REF!</v>
      </c>
      <c r="P35" s="181" t="e">
        <f t="shared" si="14"/>
        <v>#REF!</v>
      </c>
      <c r="Q35" s="177" t="e">
        <f t="shared" si="15"/>
        <v>#REF!</v>
      </c>
    </row>
    <row r="36" spans="1:17" x14ac:dyDescent="0.25">
      <c r="A36" s="11" t="s">
        <v>100</v>
      </c>
      <c r="B36" s="9"/>
      <c r="C36" s="21" t="e">
        <f>#REF!</f>
        <v>#REF!</v>
      </c>
      <c r="D36" s="226" t="e">
        <f>#REF!</f>
        <v>#REF!</v>
      </c>
      <c r="E36" s="24" t="e">
        <f t="shared" si="11"/>
        <v>#REF!</v>
      </c>
      <c r="F36" s="23"/>
      <c r="G36" s="219" t="e">
        <f>#REF!+#REF!</f>
        <v>#REF!</v>
      </c>
      <c r="H36" s="219" t="e">
        <f>#REF!+#REF!</f>
        <v>#REF!</v>
      </c>
      <c r="I36" s="243" t="e">
        <f t="shared" si="12"/>
        <v>#REF!</v>
      </c>
      <c r="J36" s="239"/>
      <c r="K36" s="219" t="e">
        <f>#REF!</f>
        <v>#REF!</v>
      </c>
      <c r="L36" s="176" t="e">
        <f>#REF!</f>
        <v>#REF!</v>
      </c>
      <c r="M36" s="177" t="e">
        <f t="shared" si="13"/>
        <v>#REF!</v>
      </c>
      <c r="N36" s="182"/>
      <c r="O36" s="180" t="e">
        <f t="shared" si="14"/>
        <v>#REF!</v>
      </c>
      <c r="P36" s="181" t="e">
        <f t="shared" si="14"/>
        <v>#REF!</v>
      </c>
      <c r="Q36" s="177" t="e">
        <f>O36-P36</f>
        <v>#REF!</v>
      </c>
    </row>
    <row r="37" spans="1:17" s="42" customFormat="1" ht="13.5" x14ac:dyDescent="0.25">
      <c r="A37" s="25" t="s">
        <v>9</v>
      </c>
      <c r="B37" s="148"/>
      <c r="C37" s="26" t="e">
        <f>SUM(C28:C35)</f>
        <v>#REF!</v>
      </c>
      <c r="D37" s="27" t="e">
        <f>SUM(D28:D35)</f>
        <v>#REF!</v>
      </c>
      <c r="E37" s="28" t="e">
        <f>SUM(E28:E35)</f>
        <v>#REF!</v>
      </c>
      <c r="F37" s="149"/>
      <c r="G37" s="183" t="e">
        <f>SUM(G28:G35)</f>
        <v>#REF!</v>
      </c>
      <c r="H37" s="184" t="e">
        <f>SUM(H28:H35)</f>
        <v>#REF!</v>
      </c>
      <c r="I37" s="244" t="e">
        <f>G37-H37</f>
        <v>#REF!</v>
      </c>
      <c r="J37" s="240"/>
      <c r="K37" s="184" t="e">
        <f>SUM(K28:K36)</f>
        <v>#REF!</v>
      </c>
      <c r="L37" s="184" t="e">
        <f>SUM(L28:L35)</f>
        <v>#REF!</v>
      </c>
      <c r="M37" s="185" t="e">
        <f>SUM(M28:M35)</f>
        <v>#REF!</v>
      </c>
      <c r="N37" s="186"/>
      <c r="O37" s="183" t="e">
        <f>SUM(O28:O35)</f>
        <v>#REF!</v>
      </c>
      <c r="P37" s="184" t="e">
        <f>SUM(P28:P35)</f>
        <v>#REF!</v>
      </c>
      <c r="Q37" s="185" t="e">
        <f>SUM(Q28:Q35)</f>
        <v>#REF!</v>
      </c>
    </row>
    <row r="38" spans="1:17" ht="8.25" customHeight="1" x14ac:dyDescent="0.25">
      <c r="A38" s="11"/>
      <c r="B38" s="9"/>
      <c r="C38" s="21"/>
      <c r="D38" s="22"/>
      <c r="E38" s="24"/>
      <c r="F38" s="23"/>
      <c r="G38" s="180"/>
      <c r="H38" s="181"/>
      <c r="I38" s="245"/>
      <c r="J38" s="239"/>
      <c r="K38" s="181"/>
      <c r="L38" s="181"/>
      <c r="M38" s="177"/>
      <c r="N38" s="182"/>
      <c r="O38" s="180"/>
      <c r="P38" s="181"/>
      <c r="Q38" s="177"/>
    </row>
    <row r="39" spans="1:17" ht="13.5" customHeight="1" x14ac:dyDescent="0.25">
      <c r="A39" s="11" t="s">
        <v>42</v>
      </c>
      <c r="B39" s="9"/>
      <c r="C39" s="21" t="e">
        <f>#REF!</f>
        <v>#REF!</v>
      </c>
      <c r="D39" s="226" t="e">
        <f>#REF!</f>
        <v>#REF!</v>
      </c>
      <c r="E39" s="24" t="e">
        <f t="shared" ref="E39:E44" si="16">-D39+C39</f>
        <v>#REF!</v>
      </c>
      <c r="F39" s="23"/>
      <c r="G39" s="219" t="e">
        <f>#REF!+#REF!</f>
        <v>#REF!</v>
      </c>
      <c r="H39" s="219" t="e">
        <f>#REF!+#REF!</f>
        <v>#REF!</v>
      </c>
      <c r="I39" s="245" t="e">
        <f t="shared" ref="I39:I45" si="17">G39-H39</f>
        <v>#REF!</v>
      </c>
      <c r="J39" s="239"/>
      <c r="K39" s="219" t="e">
        <f>#REF!</f>
        <v>#REF!</v>
      </c>
      <c r="L39" s="181" t="e">
        <f>#REF!</f>
        <v>#REF!</v>
      </c>
      <c r="M39" s="177" t="e">
        <f t="shared" ref="M39:M44" si="18">K39-L39</f>
        <v>#REF!</v>
      </c>
      <c r="N39" s="182"/>
      <c r="O39" s="180" t="e">
        <f t="shared" ref="O39:O44" si="19">C39-G39-K39</f>
        <v>#REF!</v>
      </c>
      <c r="P39" s="181" t="e">
        <f t="shared" ref="P39:P44" si="20">D39-H39-L39</f>
        <v>#REF!</v>
      </c>
      <c r="Q39" s="177" t="e">
        <f t="shared" ref="Q39:Q44" si="21">O39-P39</f>
        <v>#REF!</v>
      </c>
    </row>
    <row r="40" spans="1:17" ht="13.5" customHeight="1" x14ac:dyDescent="0.25">
      <c r="A40" s="11" t="s">
        <v>43</v>
      </c>
      <c r="B40" s="9"/>
      <c r="C40" s="21" t="e">
        <f>#REF!</f>
        <v>#REF!</v>
      </c>
      <c r="D40" s="226" t="e">
        <f>#REF!</f>
        <v>#REF!</v>
      </c>
      <c r="E40" s="24" t="e">
        <f t="shared" si="16"/>
        <v>#REF!</v>
      </c>
      <c r="F40" s="23"/>
      <c r="G40" s="219" t="e">
        <f>#REF!+#REF!</f>
        <v>#REF!</v>
      </c>
      <c r="H40" s="219" t="e">
        <f>#REF!+#REF!</f>
        <v>#REF!</v>
      </c>
      <c r="I40" s="245" t="e">
        <f t="shared" si="17"/>
        <v>#REF!</v>
      </c>
      <c r="J40" s="239"/>
      <c r="K40" s="219" t="e">
        <f>#REF!</f>
        <v>#REF!</v>
      </c>
      <c r="L40" s="181" t="e">
        <f>#REF!</f>
        <v>#REF!</v>
      </c>
      <c r="M40" s="177" t="e">
        <f t="shared" si="18"/>
        <v>#REF!</v>
      </c>
      <c r="N40" s="182"/>
      <c r="O40" s="180" t="e">
        <f t="shared" si="19"/>
        <v>#REF!</v>
      </c>
      <c r="P40" s="181" t="e">
        <f t="shared" si="20"/>
        <v>#REF!</v>
      </c>
      <c r="Q40" s="177" t="e">
        <f t="shared" si="21"/>
        <v>#REF!</v>
      </c>
    </row>
    <row r="41" spans="1:17" ht="13.5" customHeight="1" x14ac:dyDescent="0.25">
      <c r="A41" s="11" t="s">
        <v>65</v>
      </c>
      <c r="B41" s="9"/>
      <c r="C41" s="21" t="e">
        <f>#REF!</f>
        <v>#REF!</v>
      </c>
      <c r="D41" s="226" t="e">
        <f>#REF!</f>
        <v>#REF!</v>
      </c>
      <c r="E41" s="24" t="e">
        <f t="shared" si="16"/>
        <v>#REF!</v>
      </c>
      <c r="F41" s="23"/>
      <c r="G41" s="219" t="e">
        <f>#REF!+#REF!</f>
        <v>#REF!</v>
      </c>
      <c r="H41" s="219" t="e">
        <f>#REF!+#REF!</f>
        <v>#REF!</v>
      </c>
      <c r="I41" s="245" t="e">
        <f t="shared" si="17"/>
        <v>#REF!</v>
      </c>
      <c r="J41" s="239"/>
      <c r="K41" s="219" t="e">
        <f>#REF!</f>
        <v>#REF!</v>
      </c>
      <c r="L41" s="181" t="e">
        <f>#REF!</f>
        <v>#REF!</v>
      </c>
      <c r="M41" s="177" t="e">
        <f t="shared" si="18"/>
        <v>#REF!</v>
      </c>
      <c r="N41" s="182"/>
      <c r="O41" s="180" t="e">
        <f t="shared" si="19"/>
        <v>#REF!</v>
      </c>
      <c r="P41" s="181" t="e">
        <f t="shared" si="20"/>
        <v>#REF!</v>
      </c>
      <c r="Q41" s="177" t="e">
        <f t="shared" si="21"/>
        <v>#REF!</v>
      </c>
    </row>
    <row r="42" spans="1:17" ht="13.5" customHeight="1" x14ac:dyDescent="0.25">
      <c r="A42" s="11" t="s">
        <v>66</v>
      </c>
      <c r="B42" s="9"/>
      <c r="C42" s="21" t="e">
        <f>#REF!</f>
        <v>#REF!</v>
      </c>
      <c r="D42" s="226" t="e">
        <f>#REF!</f>
        <v>#REF!</v>
      </c>
      <c r="E42" s="24" t="e">
        <f t="shared" si="16"/>
        <v>#REF!</v>
      </c>
      <c r="F42" s="23"/>
      <c r="G42" s="219" t="e">
        <f>#REF!+#REF!</f>
        <v>#REF!</v>
      </c>
      <c r="H42" s="219" t="e">
        <f>#REF!+#REF!</f>
        <v>#REF!</v>
      </c>
      <c r="I42" s="245" t="e">
        <f t="shared" si="17"/>
        <v>#REF!</v>
      </c>
      <c r="J42" s="239"/>
      <c r="K42" s="219" t="e">
        <f>#REF!</f>
        <v>#REF!</v>
      </c>
      <c r="L42" s="181" t="e">
        <f>#REF!</f>
        <v>#REF!</v>
      </c>
      <c r="M42" s="177" t="e">
        <f t="shared" si="18"/>
        <v>#REF!</v>
      </c>
      <c r="N42" s="182"/>
      <c r="O42" s="180" t="e">
        <f t="shared" si="19"/>
        <v>#REF!</v>
      </c>
      <c r="P42" s="181" t="e">
        <f t="shared" si="20"/>
        <v>#REF!</v>
      </c>
      <c r="Q42" s="177" t="e">
        <f t="shared" si="21"/>
        <v>#REF!</v>
      </c>
    </row>
    <row r="43" spans="1:17" x14ac:dyDescent="0.25">
      <c r="A43" s="11" t="s">
        <v>44</v>
      </c>
      <c r="B43" s="9"/>
      <c r="C43" s="21" t="e">
        <f>#REF!</f>
        <v>#REF!</v>
      </c>
      <c r="D43" s="226" t="e">
        <f>#REF!</f>
        <v>#REF!</v>
      </c>
      <c r="E43" s="24" t="e">
        <f t="shared" si="16"/>
        <v>#REF!</v>
      </c>
      <c r="F43" s="23"/>
      <c r="G43" s="219" t="e">
        <f>#REF!+#REF!</f>
        <v>#REF!</v>
      </c>
      <c r="H43" s="219" t="e">
        <f>#REF!+#REF!</f>
        <v>#REF!</v>
      </c>
      <c r="I43" s="245" t="e">
        <f t="shared" si="17"/>
        <v>#REF!</v>
      </c>
      <c r="J43" s="239"/>
      <c r="K43" s="219" t="e">
        <f>#REF!</f>
        <v>#REF!</v>
      </c>
      <c r="L43" s="181" t="e">
        <f>#REF!</f>
        <v>#REF!</v>
      </c>
      <c r="M43" s="177" t="e">
        <f t="shared" si="18"/>
        <v>#REF!</v>
      </c>
      <c r="N43" s="182"/>
      <c r="O43" s="180" t="e">
        <f t="shared" si="19"/>
        <v>#REF!</v>
      </c>
      <c r="P43" s="181" t="e">
        <f t="shared" si="20"/>
        <v>#REF!</v>
      </c>
      <c r="Q43" s="177" t="e">
        <f t="shared" si="21"/>
        <v>#REF!</v>
      </c>
    </row>
    <row r="44" spans="1:17" x14ac:dyDescent="0.25">
      <c r="A44" s="11" t="s">
        <v>45</v>
      </c>
      <c r="B44" s="9"/>
      <c r="C44" s="21" t="e">
        <f>#REF!</f>
        <v>#REF!</v>
      </c>
      <c r="D44" s="226" t="e">
        <f>#REF!</f>
        <v>#REF!</v>
      </c>
      <c r="E44" s="24" t="e">
        <f t="shared" si="16"/>
        <v>#REF!</v>
      </c>
      <c r="F44" s="23"/>
      <c r="G44" s="219" t="e">
        <f>#REF!+#REF!</f>
        <v>#REF!</v>
      </c>
      <c r="H44" s="219" t="e">
        <f>#REF!+#REF!</f>
        <v>#REF!</v>
      </c>
      <c r="I44" s="245" t="e">
        <f t="shared" si="17"/>
        <v>#REF!</v>
      </c>
      <c r="J44" s="239"/>
      <c r="K44" s="219" t="e">
        <f>#REF!</f>
        <v>#REF!</v>
      </c>
      <c r="L44" s="181" t="e">
        <f>#REF!</f>
        <v>#REF!</v>
      </c>
      <c r="M44" s="177" t="e">
        <f t="shared" si="18"/>
        <v>#REF!</v>
      </c>
      <c r="N44" s="182"/>
      <c r="O44" s="180" t="e">
        <f t="shared" si="19"/>
        <v>#REF!</v>
      </c>
      <c r="P44" s="181" t="e">
        <f t="shared" si="20"/>
        <v>#REF!</v>
      </c>
      <c r="Q44" s="177" t="e">
        <f t="shared" si="21"/>
        <v>#REF!</v>
      </c>
    </row>
    <row r="45" spans="1:17" s="42" customFormat="1" ht="12" customHeight="1" x14ac:dyDescent="0.25">
      <c r="A45" s="25" t="s">
        <v>10</v>
      </c>
      <c r="B45" s="148"/>
      <c r="C45" s="26" t="e">
        <f>SUM(C39:C44)</f>
        <v>#REF!</v>
      </c>
      <c r="D45" s="27" t="e">
        <f>SUM(D39:D44)</f>
        <v>#REF!</v>
      </c>
      <c r="E45" s="28" t="e">
        <f>SUM(E39:E44)</f>
        <v>#REF!</v>
      </c>
      <c r="F45" s="149"/>
      <c r="G45" s="183" t="e">
        <f>SUM(G39:G44)</f>
        <v>#REF!</v>
      </c>
      <c r="H45" s="184" t="e">
        <f>SUM(H39:H44)</f>
        <v>#REF!</v>
      </c>
      <c r="I45" s="244" t="e">
        <f t="shared" si="17"/>
        <v>#REF!</v>
      </c>
      <c r="J45" s="240"/>
      <c r="K45" s="184" t="e">
        <f>SUM(K39:K44)</f>
        <v>#REF!</v>
      </c>
      <c r="L45" s="184" t="e">
        <f>SUM(L39:L44)</f>
        <v>#REF!</v>
      </c>
      <c r="M45" s="185" t="e">
        <f>SUM(M39:M44)</f>
        <v>#REF!</v>
      </c>
      <c r="N45" s="186"/>
      <c r="O45" s="183" t="e">
        <f>SUM(O39:O44)</f>
        <v>#REF!</v>
      </c>
      <c r="P45" s="184" t="e">
        <f>SUM(P39:P44)</f>
        <v>#REF!</v>
      </c>
      <c r="Q45" s="185" t="e">
        <f>SUM(Q39:Q44)</f>
        <v>#REF!</v>
      </c>
    </row>
    <row r="46" spans="1:17" ht="8.25" customHeight="1" x14ac:dyDescent="0.25">
      <c r="A46" s="11"/>
      <c r="B46" s="9"/>
      <c r="C46" s="21"/>
      <c r="D46" s="22"/>
      <c r="E46" s="24"/>
      <c r="F46" s="23"/>
      <c r="G46" s="180"/>
      <c r="H46" s="181"/>
      <c r="I46" s="245"/>
      <c r="J46" s="239"/>
      <c r="K46" s="181"/>
      <c r="L46" s="181"/>
      <c r="M46" s="177"/>
      <c r="N46" s="182"/>
      <c r="O46" s="180"/>
      <c r="P46" s="181"/>
      <c r="Q46" s="177"/>
    </row>
    <row r="47" spans="1:17" x14ac:dyDescent="0.25">
      <c r="A47" s="11" t="s">
        <v>74</v>
      </c>
      <c r="B47" s="9"/>
      <c r="C47" s="21" t="e">
        <f>#REF!</f>
        <v>#REF!</v>
      </c>
      <c r="D47" s="226" t="e">
        <f>#REF!</f>
        <v>#REF!</v>
      </c>
      <c r="E47" s="24" t="e">
        <f t="shared" ref="E47:E66" si="22">-D47+C47</f>
        <v>#REF!</v>
      </c>
      <c r="F47" s="23"/>
      <c r="G47" s="219" t="e">
        <f>#REF!+#REF!</f>
        <v>#REF!</v>
      </c>
      <c r="H47" s="219" t="e">
        <f>#REF!+#REF!</f>
        <v>#REF!</v>
      </c>
      <c r="I47" s="245" t="e">
        <f>G47-H47</f>
        <v>#REF!</v>
      </c>
      <c r="J47" s="239"/>
      <c r="K47" s="219" t="e">
        <f>#REF!</f>
        <v>#REF!</v>
      </c>
      <c r="L47" s="176" t="e">
        <f>#REF!</f>
        <v>#REF!</v>
      </c>
      <c r="M47" s="177" t="e">
        <f t="shared" ref="M47:M66" si="23">K47-L47</f>
        <v>#REF!</v>
      </c>
      <c r="N47" s="182"/>
      <c r="O47" s="180" t="e">
        <f t="shared" ref="O47:O66" si="24">C47-G47-K47</f>
        <v>#REF!</v>
      </c>
      <c r="P47" s="181" t="e">
        <f t="shared" ref="P47:P66" si="25">D47-H47-L47</f>
        <v>#REF!</v>
      </c>
      <c r="Q47" s="177" t="e">
        <f t="shared" ref="Q47:Q66" si="26">O47-P47</f>
        <v>#REF!</v>
      </c>
    </row>
    <row r="48" spans="1:17" x14ac:dyDescent="0.25">
      <c r="A48" s="11" t="s">
        <v>101</v>
      </c>
      <c r="B48" s="9"/>
      <c r="C48" s="21" t="e">
        <f>#REF!</f>
        <v>#REF!</v>
      </c>
      <c r="D48" s="226" t="e">
        <f>#REF!</f>
        <v>#REF!</v>
      </c>
      <c r="E48" s="24" t="e">
        <f t="shared" si="22"/>
        <v>#REF!</v>
      </c>
      <c r="F48" s="23"/>
      <c r="G48" s="219" t="e">
        <f>#REF!+#REF!</f>
        <v>#REF!</v>
      </c>
      <c r="H48" s="219" t="e">
        <f>#REF!+#REF!</f>
        <v>#REF!</v>
      </c>
      <c r="I48" s="245" t="e">
        <f t="shared" ref="I48:I66" si="27">G48-H48</f>
        <v>#REF!</v>
      </c>
      <c r="J48" s="239"/>
      <c r="K48" s="219" t="e">
        <f>#REF!</f>
        <v>#REF!</v>
      </c>
      <c r="L48" s="176" t="e">
        <f>#REF!</f>
        <v>#REF!</v>
      </c>
      <c r="M48" s="177" t="e">
        <f t="shared" si="23"/>
        <v>#REF!</v>
      </c>
      <c r="N48" s="182"/>
      <c r="O48" s="180" t="e">
        <f t="shared" si="24"/>
        <v>#REF!</v>
      </c>
      <c r="P48" s="181" t="e">
        <f t="shared" si="25"/>
        <v>#REF!</v>
      </c>
      <c r="Q48" s="177" t="e">
        <f t="shared" si="26"/>
        <v>#REF!</v>
      </c>
    </row>
    <row r="49" spans="1:17" x14ac:dyDescent="0.25">
      <c r="A49" s="11" t="s">
        <v>102</v>
      </c>
      <c r="B49" s="9"/>
      <c r="C49" s="21" t="e">
        <f>#REF!</f>
        <v>#REF!</v>
      </c>
      <c r="D49" s="226" t="e">
        <f>#REF!</f>
        <v>#REF!</v>
      </c>
      <c r="E49" s="24" t="e">
        <f t="shared" si="22"/>
        <v>#REF!</v>
      </c>
      <c r="F49" s="23"/>
      <c r="G49" s="219" t="e">
        <f>#REF!+#REF!</f>
        <v>#REF!</v>
      </c>
      <c r="H49" s="219" t="e">
        <f>#REF!+#REF!</f>
        <v>#REF!</v>
      </c>
      <c r="I49" s="245" t="e">
        <f t="shared" si="27"/>
        <v>#REF!</v>
      </c>
      <c r="J49" s="239"/>
      <c r="K49" s="219" t="e">
        <f>#REF!</f>
        <v>#REF!</v>
      </c>
      <c r="L49" s="176" t="e">
        <f>#REF!</f>
        <v>#REF!</v>
      </c>
      <c r="M49" s="177" t="e">
        <f t="shared" si="23"/>
        <v>#REF!</v>
      </c>
      <c r="N49" s="182"/>
      <c r="O49" s="180" t="e">
        <f t="shared" si="24"/>
        <v>#REF!</v>
      </c>
      <c r="P49" s="181" t="e">
        <f t="shared" si="25"/>
        <v>#REF!</v>
      </c>
      <c r="Q49" s="177" t="e">
        <f t="shared" si="26"/>
        <v>#REF!</v>
      </c>
    </row>
    <row r="50" spans="1:17" x14ac:dyDescent="0.25">
      <c r="A50" s="11" t="s">
        <v>103</v>
      </c>
      <c r="B50" s="9"/>
      <c r="C50" s="21" t="e">
        <f>#REF!</f>
        <v>#REF!</v>
      </c>
      <c r="D50" s="226" t="e">
        <f>#REF!</f>
        <v>#REF!</v>
      </c>
      <c r="E50" s="24" t="e">
        <f t="shared" si="22"/>
        <v>#REF!</v>
      </c>
      <c r="F50" s="23"/>
      <c r="G50" s="219" t="e">
        <f>#REF!+#REF!</f>
        <v>#REF!</v>
      </c>
      <c r="H50" s="219" t="e">
        <f>#REF!+#REF!</f>
        <v>#REF!</v>
      </c>
      <c r="I50" s="245" t="e">
        <f t="shared" si="27"/>
        <v>#REF!</v>
      </c>
      <c r="J50" s="239"/>
      <c r="K50" s="219" t="e">
        <f>#REF!</f>
        <v>#REF!</v>
      </c>
      <c r="L50" s="176" t="e">
        <f>#REF!</f>
        <v>#REF!</v>
      </c>
      <c r="M50" s="177" t="e">
        <f t="shared" si="23"/>
        <v>#REF!</v>
      </c>
      <c r="N50" s="182"/>
      <c r="O50" s="180" t="e">
        <f t="shared" si="24"/>
        <v>#REF!</v>
      </c>
      <c r="P50" s="181" t="e">
        <f t="shared" si="25"/>
        <v>#REF!</v>
      </c>
      <c r="Q50" s="177" t="e">
        <f t="shared" si="26"/>
        <v>#REF!</v>
      </c>
    </row>
    <row r="51" spans="1:17" x14ac:dyDescent="0.25">
      <c r="A51" s="11" t="s">
        <v>104</v>
      </c>
      <c r="B51" s="9"/>
      <c r="C51" s="21" t="e">
        <f>#REF!</f>
        <v>#REF!</v>
      </c>
      <c r="D51" s="226" t="e">
        <f>#REF!</f>
        <v>#REF!</v>
      </c>
      <c r="E51" s="24" t="e">
        <f t="shared" si="22"/>
        <v>#REF!</v>
      </c>
      <c r="F51" s="23"/>
      <c r="G51" s="219" t="e">
        <f>#REF!+#REF!</f>
        <v>#REF!</v>
      </c>
      <c r="H51" s="219" t="e">
        <f>#REF!+#REF!</f>
        <v>#REF!</v>
      </c>
      <c r="I51" s="245" t="e">
        <f t="shared" si="27"/>
        <v>#REF!</v>
      </c>
      <c r="J51" s="239"/>
      <c r="K51" s="219" t="e">
        <f>#REF!</f>
        <v>#REF!</v>
      </c>
      <c r="L51" s="176" t="e">
        <f>#REF!</f>
        <v>#REF!</v>
      </c>
      <c r="M51" s="177" t="e">
        <f t="shared" si="23"/>
        <v>#REF!</v>
      </c>
      <c r="N51" s="182"/>
      <c r="O51" s="180" t="e">
        <f t="shared" si="24"/>
        <v>#REF!</v>
      </c>
      <c r="P51" s="181" t="e">
        <f t="shared" si="25"/>
        <v>#REF!</v>
      </c>
      <c r="Q51" s="177" t="e">
        <f t="shared" si="26"/>
        <v>#REF!</v>
      </c>
    </row>
    <row r="52" spans="1:17" x14ac:dyDescent="0.25">
      <c r="A52" s="11" t="s">
        <v>105</v>
      </c>
      <c r="B52" s="9"/>
      <c r="C52" s="21" t="e">
        <f>#REF!</f>
        <v>#REF!</v>
      </c>
      <c r="D52" s="226" t="e">
        <f>#REF!</f>
        <v>#REF!</v>
      </c>
      <c r="E52" s="24" t="e">
        <f t="shared" si="22"/>
        <v>#REF!</v>
      </c>
      <c r="F52" s="23"/>
      <c r="G52" s="219" t="e">
        <f>#REF!+#REF!</f>
        <v>#REF!</v>
      </c>
      <c r="H52" s="219" t="e">
        <f>#REF!+#REF!</f>
        <v>#REF!</v>
      </c>
      <c r="I52" s="245" t="e">
        <f t="shared" si="27"/>
        <v>#REF!</v>
      </c>
      <c r="J52" s="239"/>
      <c r="K52" s="219" t="e">
        <f>#REF!</f>
        <v>#REF!</v>
      </c>
      <c r="L52" s="176" t="e">
        <f>#REF!</f>
        <v>#REF!</v>
      </c>
      <c r="M52" s="177" t="e">
        <f t="shared" si="23"/>
        <v>#REF!</v>
      </c>
      <c r="N52" s="182"/>
      <c r="O52" s="180" t="e">
        <f t="shared" si="24"/>
        <v>#REF!</v>
      </c>
      <c r="P52" s="181" t="e">
        <f t="shared" si="25"/>
        <v>#REF!</v>
      </c>
      <c r="Q52" s="177" t="e">
        <f t="shared" si="26"/>
        <v>#REF!</v>
      </c>
    </row>
    <row r="53" spans="1:17" x14ac:dyDescent="0.25">
      <c r="A53" s="11" t="s">
        <v>69</v>
      </c>
      <c r="B53" s="9"/>
      <c r="C53" s="21" t="e">
        <f>#REF!</f>
        <v>#REF!</v>
      </c>
      <c r="D53" s="226" t="e">
        <f>#REF!</f>
        <v>#REF!</v>
      </c>
      <c r="E53" s="24" t="e">
        <f t="shared" si="22"/>
        <v>#REF!</v>
      </c>
      <c r="F53" s="23"/>
      <c r="G53" s="219" t="e">
        <f>#REF!+#REF!</f>
        <v>#REF!</v>
      </c>
      <c r="H53" s="219" t="e">
        <f>#REF!+#REF!</f>
        <v>#REF!</v>
      </c>
      <c r="I53" s="245" t="e">
        <f t="shared" si="27"/>
        <v>#REF!</v>
      </c>
      <c r="J53" s="239"/>
      <c r="K53" s="219" t="e">
        <f>#REF!</f>
        <v>#REF!</v>
      </c>
      <c r="L53" s="176" t="e">
        <f>#REF!</f>
        <v>#REF!</v>
      </c>
      <c r="M53" s="177" t="e">
        <f t="shared" si="23"/>
        <v>#REF!</v>
      </c>
      <c r="N53" s="182"/>
      <c r="O53" s="180" t="e">
        <f t="shared" si="24"/>
        <v>#REF!</v>
      </c>
      <c r="P53" s="181" t="e">
        <f t="shared" si="25"/>
        <v>#REF!</v>
      </c>
      <c r="Q53" s="177" t="e">
        <f t="shared" si="26"/>
        <v>#REF!</v>
      </c>
    </row>
    <row r="54" spans="1:17" x14ac:dyDescent="0.25">
      <c r="A54" s="11" t="s">
        <v>68</v>
      </c>
      <c r="B54" s="9"/>
      <c r="C54" s="21" t="e">
        <f>#REF!</f>
        <v>#REF!</v>
      </c>
      <c r="D54" s="226" t="e">
        <f>#REF!</f>
        <v>#REF!</v>
      </c>
      <c r="E54" s="24" t="e">
        <f t="shared" si="22"/>
        <v>#REF!</v>
      </c>
      <c r="F54" s="23"/>
      <c r="G54" s="219" t="e">
        <f>#REF!+#REF!</f>
        <v>#REF!</v>
      </c>
      <c r="H54" s="219" t="e">
        <f>#REF!+#REF!</f>
        <v>#REF!</v>
      </c>
      <c r="I54" s="245" t="e">
        <f t="shared" si="27"/>
        <v>#REF!</v>
      </c>
      <c r="J54" s="239"/>
      <c r="K54" s="219" t="e">
        <f>#REF!</f>
        <v>#REF!</v>
      </c>
      <c r="L54" s="176" t="e">
        <f>#REF!</f>
        <v>#REF!</v>
      </c>
      <c r="M54" s="177" t="e">
        <f t="shared" si="23"/>
        <v>#REF!</v>
      </c>
      <c r="N54" s="182"/>
      <c r="O54" s="180" t="e">
        <f t="shared" si="24"/>
        <v>#REF!</v>
      </c>
      <c r="P54" s="181" t="e">
        <f t="shared" si="25"/>
        <v>#REF!</v>
      </c>
      <c r="Q54" s="177" t="e">
        <f t="shared" si="26"/>
        <v>#REF!</v>
      </c>
    </row>
    <row r="55" spans="1:17" x14ac:dyDescent="0.25">
      <c r="A55" s="11" t="s">
        <v>67</v>
      </c>
      <c r="B55" s="9"/>
      <c r="C55" s="21" t="e">
        <f>#REF!</f>
        <v>#REF!</v>
      </c>
      <c r="D55" s="226" t="e">
        <f>#REF!</f>
        <v>#REF!</v>
      </c>
      <c r="E55" s="24" t="e">
        <f t="shared" si="22"/>
        <v>#REF!</v>
      </c>
      <c r="F55" s="23"/>
      <c r="G55" s="219" t="e">
        <f>#REF!+#REF!</f>
        <v>#REF!</v>
      </c>
      <c r="H55" s="219" t="e">
        <f>#REF!+#REF!</f>
        <v>#REF!</v>
      </c>
      <c r="I55" s="245" t="e">
        <f t="shared" si="27"/>
        <v>#REF!</v>
      </c>
      <c r="J55" s="239"/>
      <c r="K55" s="219" t="e">
        <f>#REF!</f>
        <v>#REF!</v>
      </c>
      <c r="L55" s="176" t="e">
        <f>#REF!</f>
        <v>#REF!</v>
      </c>
      <c r="M55" s="177" t="e">
        <f t="shared" si="23"/>
        <v>#REF!</v>
      </c>
      <c r="N55" s="182"/>
      <c r="O55" s="180" t="e">
        <f t="shared" si="24"/>
        <v>#REF!</v>
      </c>
      <c r="P55" s="181" t="e">
        <f t="shared" si="25"/>
        <v>#REF!</v>
      </c>
      <c r="Q55" s="177" t="e">
        <f t="shared" si="26"/>
        <v>#REF!</v>
      </c>
    </row>
    <row r="56" spans="1:17" x14ac:dyDescent="0.25">
      <c r="A56" s="11" t="s">
        <v>46</v>
      </c>
      <c r="B56" s="9"/>
      <c r="C56" s="21" t="e">
        <f>#REF!</f>
        <v>#REF!</v>
      </c>
      <c r="D56" s="226" t="e">
        <f>#REF!</f>
        <v>#REF!</v>
      </c>
      <c r="E56" s="24" t="e">
        <f t="shared" si="22"/>
        <v>#REF!</v>
      </c>
      <c r="F56" s="23"/>
      <c r="G56" s="219" t="e">
        <f>#REF!+#REF!</f>
        <v>#REF!</v>
      </c>
      <c r="H56" s="219" t="e">
        <f>#REF!+#REF!</f>
        <v>#REF!</v>
      </c>
      <c r="I56" s="245" t="e">
        <f t="shared" si="27"/>
        <v>#REF!</v>
      </c>
      <c r="J56" s="239"/>
      <c r="K56" s="219" t="e">
        <f>#REF!</f>
        <v>#REF!</v>
      </c>
      <c r="L56" s="176" t="e">
        <f>#REF!</f>
        <v>#REF!</v>
      </c>
      <c r="M56" s="177" t="e">
        <f t="shared" si="23"/>
        <v>#REF!</v>
      </c>
      <c r="N56" s="182"/>
      <c r="O56" s="180" t="e">
        <f t="shared" si="24"/>
        <v>#REF!</v>
      </c>
      <c r="P56" s="181" t="e">
        <f t="shared" si="25"/>
        <v>#REF!</v>
      </c>
      <c r="Q56" s="177" t="e">
        <f t="shared" si="26"/>
        <v>#REF!</v>
      </c>
    </row>
    <row r="57" spans="1:17" ht="12" customHeight="1" x14ac:dyDescent="0.25">
      <c r="A57" s="11" t="s">
        <v>47</v>
      </c>
      <c r="B57" s="9"/>
      <c r="C57" s="21" t="e">
        <f>#REF!</f>
        <v>#REF!</v>
      </c>
      <c r="D57" s="226" t="e">
        <f>#REF!</f>
        <v>#REF!</v>
      </c>
      <c r="E57" s="24" t="e">
        <f t="shared" si="22"/>
        <v>#REF!</v>
      </c>
      <c r="F57" s="23"/>
      <c r="G57" s="219" t="e">
        <f>#REF!+#REF!</f>
        <v>#REF!</v>
      </c>
      <c r="H57" s="219" t="e">
        <f>#REF!+#REF!</f>
        <v>#REF!</v>
      </c>
      <c r="I57" s="245" t="e">
        <f t="shared" si="27"/>
        <v>#REF!</v>
      </c>
      <c r="J57" s="239"/>
      <c r="K57" s="219" t="e">
        <f>#REF!</f>
        <v>#REF!</v>
      </c>
      <c r="L57" s="176" t="e">
        <f>#REF!</f>
        <v>#REF!</v>
      </c>
      <c r="M57" s="177" t="e">
        <f t="shared" si="23"/>
        <v>#REF!</v>
      </c>
      <c r="N57" s="182"/>
      <c r="O57" s="180" t="e">
        <f t="shared" si="24"/>
        <v>#REF!</v>
      </c>
      <c r="P57" s="181" t="e">
        <f t="shared" si="25"/>
        <v>#REF!</v>
      </c>
      <c r="Q57" s="177" t="e">
        <f t="shared" si="26"/>
        <v>#REF!</v>
      </c>
    </row>
    <row r="58" spans="1:17" ht="12" customHeight="1" x14ac:dyDescent="0.25">
      <c r="A58" s="11" t="s">
        <v>48</v>
      </c>
      <c r="B58" s="9"/>
      <c r="C58" s="21" t="e">
        <f>#REF!</f>
        <v>#REF!</v>
      </c>
      <c r="D58" s="226" t="e">
        <f>#REF!</f>
        <v>#REF!</v>
      </c>
      <c r="E58" s="24" t="e">
        <f t="shared" si="22"/>
        <v>#REF!</v>
      </c>
      <c r="F58" s="23"/>
      <c r="G58" s="219" t="e">
        <f>#REF!+#REF!</f>
        <v>#REF!</v>
      </c>
      <c r="H58" s="219" t="e">
        <f>#REF!+#REF!</f>
        <v>#REF!</v>
      </c>
      <c r="I58" s="245" t="e">
        <f t="shared" si="27"/>
        <v>#REF!</v>
      </c>
      <c r="J58" s="239"/>
      <c r="K58" s="219" t="e">
        <f>#REF!</f>
        <v>#REF!</v>
      </c>
      <c r="L58" s="176" t="e">
        <f>#REF!</f>
        <v>#REF!</v>
      </c>
      <c r="M58" s="177" t="e">
        <f t="shared" si="23"/>
        <v>#REF!</v>
      </c>
      <c r="N58" s="182"/>
      <c r="O58" s="180" t="e">
        <f t="shared" si="24"/>
        <v>#REF!</v>
      </c>
      <c r="P58" s="181" t="e">
        <f t="shared" si="25"/>
        <v>#REF!</v>
      </c>
      <c r="Q58" s="177" t="e">
        <f t="shared" si="26"/>
        <v>#REF!</v>
      </c>
    </row>
    <row r="59" spans="1:17" ht="12" customHeight="1" x14ac:dyDescent="0.25">
      <c r="A59" s="11" t="s">
        <v>63</v>
      </c>
      <c r="B59" s="9"/>
      <c r="C59" s="21" t="e">
        <f>#REF!</f>
        <v>#REF!</v>
      </c>
      <c r="D59" s="226" t="e">
        <f>#REF!</f>
        <v>#REF!</v>
      </c>
      <c r="E59" s="24" t="e">
        <f t="shared" si="22"/>
        <v>#REF!</v>
      </c>
      <c r="F59" s="23"/>
      <c r="G59" s="219" t="e">
        <f>#REF!+#REF!</f>
        <v>#REF!</v>
      </c>
      <c r="H59" s="219" t="e">
        <f>#REF!+#REF!</f>
        <v>#REF!</v>
      </c>
      <c r="I59" s="245" t="e">
        <f t="shared" si="27"/>
        <v>#REF!</v>
      </c>
      <c r="J59" s="239"/>
      <c r="K59" s="219" t="e">
        <f>#REF!</f>
        <v>#REF!</v>
      </c>
      <c r="L59" s="176" t="e">
        <f>#REF!</f>
        <v>#REF!</v>
      </c>
      <c r="M59" s="177" t="e">
        <f t="shared" si="23"/>
        <v>#REF!</v>
      </c>
      <c r="N59" s="182"/>
      <c r="O59" s="180" t="e">
        <f t="shared" si="24"/>
        <v>#REF!</v>
      </c>
      <c r="P59" s="181" t="e">
        <f t="shared" si="25"/>
        <v>#REF!</v>
      </c>
      <c r="Q59" s="177" t="e">
        <f t="shared" si="26"/>
        <v>#REF!</v>
      </c>
    </row>
    <row r="60" spans="1:17" ht="12" customHeight="1" x14ac:dyDescent="0.25">
      <c r="A60" s="11" t="s">
        <v>49</v>
      </c>
      <c r="B60" s="9"/>
      <c r="C60" s="21" t="e">
        <f>#REF!</f>
        <v>#REF!</v>
      </c>
      <c r="D60" s="226" t="e">
        <f>#REF!</f>
        <v>#REF!</v>
      </c>
      <c r="E60" s="24" t="e">
        <f t="shared" si="22"/>
        <v>#REF!</v>
      </c>
      <c r="F60" s="23"/>
      <c r="G60" s="219" t="e">
        <f>#REF!+#REF!</f>
        <v>#REF!</v>
      </c>
      <c r="H60" s="219" t="e">
        <f>#REF!+#REF!</f>
        <v>#REF!</v>
      </c>
      <c r="I60" s="245" t="e">
        <f t="shared" si="27"/>
        <v>#REF!</v>
      </c>
      <c r="J60" s="239"/>
      <c r="K60" s="219" t="e">
        <f>#REF!</f>
        <v>#REF!</v>
      </c>
      <c r="L60" s="176" t="e">
        <f>#REF!</f>
        <v>#REF!</v>
      </c>
      <c r="M60" s="177" t="e">
        <f t="shared" si="23"/>
        <v>#REF!</v>
      </c>
      <c r="N60" s="182"/>
      <c r="O60" s="180" t="e">
        <f t="shared" si="24"/>
        <v>#REF!</v>
      </c>
      <c r="P60" s="181" t="e">
        <f t="shared" si="25"/>
        <v>#REF!</v>
      </c>
      <c r="Q60" s="177" t="e">
        <f t="shared" si="26"/>
        <v>#REF!</v>
      </c>
    </row>
    <row r="61" spans="1:17" ht="12" customHeight="1" x14ac:dyDescent="0.25">
      <c r="A61" s="11" t="s">
        <v>50</v>
      </c>
      <c r="B61" s="9"/>
      <c r="C61" s="21" t="e">
        <f>#REF!</f>
        <v>#REF!</v>
      </c>
      <c r="D61" s="226" t="e">
        <f>#REF!</f>
        <v>#REF!</v>
      </c>
      <c r="E61" s="24" t="e">
        <f t="shared" si="22"/>
        <v>#REF!</v>
      </c>
      <c r="F61" s="23"/>
      <c r="G61" s="219" t="e">
        <f>#REF!+#REF!</f>
        <v>#REF!</v>
      </c>
      <c r="H61" s="219" t="e">
        <f>#REF!+#REF!</f>
        <v>#REF!</v>
      </c>
      <c r="I61" s="245" t="e">
        <f t="shared" si="27"/>
        <v>#REF!</v>
      </c>
      <c r="J61" s="239"/>
      <c r="K61" s="219" t="e">
        <f>#REF!</f>
        <v>#REF!</v>
      </c>
      <c r="L61" s="176" t="e">
        <f>#REF!</f>
        <v>#REF!</v>
      </c>
      <c r="M61" s="177" t="e">
        <f t="shared" si="23"/>
        <v>#REF!</v>
      </c>
      <c r="N61" s="182"/>
      <c r="O61" s="180" t="e">
        <f t="shared" si="24"/>
        <v>#REF!</v>
      </c>
      <c r="P61" s="181" t="e">
        <f t="shared" si="25"/>
        <v>#REF!</v>
      </c>
      <c r="Q61" s="177" t="e">
        <f t="shared" si="26"/>
        <v>#REF!</v>
      </c>
    </row>
    <row r="62" spans="1:17" ht="12" customHeight="1" x14ac:dyDescent="0.25">
      <c r="A62" s="11" t="s">
        <v>71</v>
      </c>
      <c r="B62" s="20"/>
      <c r="C62" s="21" t="e">
        <f>#REF!</f>
        <v>#REF!</v>
      </c>
      <c r="D62" s="226" t="e">
        <f>#REF!</f>
        <v>#REF!</v>
      </c>
      <c r="E62" s="24" t="e">
        <f t="shared" si="22"/>
        <v>#REF!</v>
      </c>
      <c r="F62" s="23"/>
      <c r="G62" s="219" t="e">
        <f>#REF!+#REF!</f>
        <v>#REF!</v>
      </c>
      <c r="H62" s="219" t="e">
        <f>#REF!+#REF!</f>
        <v>#REF!</v>
      </c>
      <c r="I62" s="245" t="e">
        <f t="shared" si="27"/>
        <v>#REF!</v>
      </c>
      <c r="J62" s="239"/>
      <c r="K62" s="219" t="e">
        <f>#REF!</f>
        <v>#REF!</v>
      </c>
      <c r="L62" s="181" t="e">
        <f>#REF!</f>
        <v>#REF!</v>
      </c>
      <c r="M62" s="177" t="e">
        <f t="shared" si="23"/>
        <v>#REF!</v>
      </c>
      <c r="N62" s="182"/>
      <c r="O62" s="180" t="e">
        <f t="shared" si="24"/>
        <v>#REF!</v>
      </c>
      <c r="P62" s="181" t="e">
        <f t="shared" si="25"/>
        <v>#REF!</v>
      </c>
      <c r="Q62" s="177" t="e">
        <f t="shared" si="26"/>
        <v>#REF!</v>
      </c>
    </row>
    <row r="63" spans="1:17" ht="12" customHeight="1" x14ac:dyDescent="0.25">
      <c r="A63" s="11" t="s">
        <v>73</v>
      </c>
      <c r="B63" s="20"/>
      <c r="C63" s="21" t="e">
        <f>#REF!</f>
        <v>#REF!</v>
      </c>
      <c r="D63" s="226" t="e">
        <f>#REF!</f>
        <v>#REF!</v>
      </c>
      <c r="E63" s="24" t="e">
        <f t="shared" si="22"/>
        <v>#REF!</v>
      </c>
      <c r="F63" s="23"/>
      <c r="G63" s="219" t="e">
        <f>#REF!+#REF!</f>
        <v>#REF!</v>
      </c>
      <c r="H63" s="219" t="e">
        <f>#REF!+#REF!</f>
        <v>#REF!</v>
      </c>
      <c r="I63" s="245" t="e">
        <f t="shared" si="27"/>
        <v>#REF!</v>
      </c>
      <c r="J63" s="239"/>
      <c r="K63" s="219" t="e">
        <f>#REF!</f>
        <v>#REF!</v>
      </c>
      <c r="L63" s="181" t="e">
        <f>#REF!</f>
        <v>#REF!</v>
      </c>
      <c r="M63" s="177" t="e">
        <f t="shared" si="23"/>
        <v>#REF!</v>
      </c>
      <c r="N63" s="182"/>
      <c r="O63" s="180" t="e">
        <f t="shared" si="24"/>
        <v>#REF!</v>
      </c>
      <c r="P63" s="181" t="e">
        <f t="shared" si="25"/>
        <v>#REF!</v>
      </c>
      <c r="Q63" s="177" t="e">
        <f t="shared" si="26"/>
        <v>#REF!</v>
      </c>
    </row>
    <row r="64" spans="1:17" ht="12" customHeight="1" x14ac:dyDescent="0.25">
      <c r="A64" s="29" t="s">
        <v>72</v>
      </c>
      <c r="B64" s="9"/>
      <c r="C64" s="30" t="e">
        <f>#REF!</f>
        <v>#REF!</v>
      </c>
      <c r="D64" s="226" t="e">
        <f>#REF!</f>
        <v>#REF!</v>
      </c>
      <c r="E64" s="24" t="e">
        <f t="shared" si="22"/>
        <v>#REF!</v>
      </c>
      <c r="F64" s="23"/>
      <c r="G64" s="219" t="e">
        <f>#REF!+#REF!</f>
        <v>#REF!</v>
      </c>
      <c r="H64" s="219" t="e">
        <f>#REF!+#REF!</f>
        <v>#REF!</v>
      </c>
      <c r="I64" s="245" t="e">
        <f t="shared" si="27"/>
        <v>#REF!</v>
      </c>
      <c r="J64" s="239"/>
      <c r="K64" s="219" t="e">
        <f>#REF!</f>
        <v>#REF!</v>
      </c>
      <c r="L64" s="188" t="e">
        <f>#REF!</f>
        <v>#REF!</v>
      </c>
      <c r="M64" s="177" t="e">
        <f t="shared" si="23"/>
        <v>#REF!</v>
      </c>
      <c r="N64" s="182"/>
      <c r="O64" s="180" t="e">
        <f t="shared" si="24"/>
        <v>#REF!</v>
      </c>
      <c r="P64" s="181" t="e">
        <f t="shared" si="25"/>
        <v>#REF!</v>
      </c>
      <c r="Q64" s="177" t="e">
        <f t="shared" si="26"/>
        <v>#REF!</v>
      </c>
    </row>
    <row r="65" spans="1:17" ht="12" customHeight="1" x14ac:dyDescent="0.25">
      <c r="A65" s="29" t="s">
        <v>120</v>
      </c>
      <c r="B65" s="9"/>
      <c r="C65" s="30" t="e">
        <f>#REF!</f>
        <v>#REF!</v>
      </c>
      <c r="D65" s="226" t="e">
        <f>#REF!</f>
        <v>#REF!</v>
      </c>
      <c r="E65" s="24" t="e">
        <f>-D65+C65</f>
        <v>#REF!</v>
      </c>
      <c r="F65" s="23"/>
      <c r="G65" s="219" t="e">
        <f>#REF!+#REF!</f>
        <v>#REF!</v>
      </c>
      <c r="H65" s="219" t="e">
        <f>#REF!+#REF!</f>
        <v>#REF!</v>
      </c>
      <c r="I65" s="245" t="e">
        <f>G65-H65</f>
        <v>#REF!</v>
      </c>
      <c r="J65" s="239"/>
      <c r="K65" s="219" t="e">
        <f>#REF!</f>
        <v>#REF!</v>
      </c>
      <c r="L65" s="188" t="e">
        <f>#REF!</f>
        <v>#REF!</v>
      </c>
      <c r="M65" s="177" t="e">
        <f>K65-L65</f>
        <v>#REF!</v>
      </c>
      <c r="N65" s="182"/>
      <c r="O65" s="180" t="e">
        <f>C65-G65-K65</f>
        <v>#REF!</v>
      </c>
      <c r="P65" s="181" t="e">
        <f>D65-H65-L65</f>
        <v>#REF!</v>
      </c>
      <c r="Q65" s="177" t="e">
        <f>O65-P65</f>
        <v>#REF!</v>
      </c>
    </row>
    <row r="66" spans="1:17" ht="12" customHeight="1" x14ac:dyDescent="0.25">
      <c r="A66" s="29" t="s">
        <v>11</v>
      </c>
      <c r="B66" s="9"/>
      <c r="C66" s="30" t="e">
        <f>#REF!</f>
        <v>#REF!</v>
      </c>
      <c r="D66" s="226" t="e">
        <f>#REF!</f>
        <v>#REF!</v>
      </c>
      <c r="E66" s="32" t="e">
        <f t="shared" si="22"/>
        <v>#REF!</v>
      </c>
      <c r="F66" s="23"/>
      <c r="G66" s="219" t="e">
        <f>#REF!+#REF!</f>
        <v>#REF!</v>
      </c>
      <c r="H66" s="219" t="e">
        <f>#REF!+#REF!</f>
        <v>#REF!</v>
      </c>
      <c r="I66" s="245" t="e">
        <f t="shared" si="27"/>
        <v>#REF!</v>
      </c>
      <c r="J66" s="239"/>
      <c r="K66" s="219" t="e">
        <f>#REF!</f>
        <v>#REF!</v>
      </c>
      <c r="L66" s="188" t="e">
        <f>#REF!</f>
        <v>#REF!</v>
      </c>
      <c r="M66" s="177" t="e">
        <f t="shared" si="23"/>
        <v>#REF!</v>
      </c>
      <c r="N66" s="182"/>
      <c r="O66" s="180" t="e">
        <f t="shared" si="24"/>
        <v>#REF!</v>
      </c>
      <c r="P66" s="181" t="e">
        <f t="shared" si="25"/>
        <v>#REF!</v>
      </c>
      <c r="Q66" s="190" t="e">
        <f t="shared" si="26"/>
        <v>#REF!</v>
      </c>
    </row>
    <row r="67" spans="1:17" s="150" customFormat="1" ht="12" customHeight="1" x14ac:dyDescent="0.2">
      <c r="A67" s="25" t="s">
        <v>12</v>
      </c>
      <c r="B67" s="148"/>
      <c r="C67" s="26" t="e">
        <f>SUM(C47:C66)+C45+C37+C26+C18</f>
        <v>#REF!</v>
      </c>
      <c r="D67" s="27" t="e">
        <f>SUM(D47:D66)+D45+D37+D26+D18</f>
        <v>#REF!</v>
      </c>
      <c r="E67" s="28" t="e">
        <f>SUM(E47:E66)+E45+E37+E26+E18</f>
        <v>#REF!</v>
      </c>
      <c r="F67" s="149"/>
      <c r="G67" s="183" t="e">
        <f>SUM(G47:G66)+G45+G37+G26+G18</f>
        <v>#REF!</v>
      </c>
      <c r="H67" s="184" t="e">
        <f>SUM(H47:H66)+H45+H37+H26+H18</f>
        <v>#REF!</v>
      </c>
      <c r="I67" s="244" t="e">
        <f>G67-H67</f>
        <v>#REF!</v>
      </c>
      <c r="J67" s="240"/>
      <c r="K67" s="184" t="e">
        <f>SUM(K47:K66)+K45+K37+K26+K18</f>
        <v>#REF!</v>
      </c>
      <c r="L67" s="184" t="e">
        <f>SUM(L47:L66)+L45+L37+L26+L18</f>
        <v>#REF!</v>
      </c>
      <c r="M67" s="185" t="e">
        <f>SUM(M47:M66)+M45+M37+M26+M18</f>
        <v>#REF!</v>
      </c>
      <c r="N67" s="186"/>
      <c r="O67" s="183" t="e">
        <f>SUM(O47:O66)+O45+O37+O26+O18</f>
        <v>#REF!</v>
      </c>
      <c r="P67" s="184" t="e">
        <f>SUM(P47:P66)+P45+P37+P26+P18</f>
        <v>#REF!</v>
      </c>
      <c r="Q67" s="185" t="e">
        <f>SUM(Q47:Q66)+Q45+Q37+Q26+Q18</f>
        <v>#REF!</v>
      </c>
    </row>
    <row r="68" spans="1:17" ht="6.75" customHeight="1" x14ac:dyDescent="0.25">
      <c r="A68" s="29"/>
      <c r="B68" s="9"/>
      <c r="C68" s="30"/>
      <c r="D68" s="31"/>
      <c r="E68" s="32"/>
      <c r="F68" s="23"/>
      <c r="G68" s="187"/>
      <c r="H68" s="189"/>
      <c r="I68" s="246"/>
      <c r="J68" s="239"/>
      <c r="K68" s="189"/>
      <c r="L68" s="189"/>
      <c r="M68" s="190"/>
      <c r="N68" s="182"/>
      <c r="O68" s="187"/>
      <c r="P68" s="189"/>
      <c r="Q68" s="190"/>
    </row>
    <row r="69" spans="1:17" ht="12" customHeight="1" x14ac:dyDescent="0.25">
      <c r="A69" s="29" t="s">
        <v>51</v>
      </c>
      <c r="B69" s="9"/>
      <c r="C69" s="30">
        <v>0</v>
      </c>
      <c r="D69" s="22">
        <v>0</v>
      </c>
      <c r="E69" s="32">
        <f t="shared" ref="E69:E82" si="28">-D69+C69</f>
        <v>0</v>
      </c>
      <c r="F69" s="23"/>
      <c r="G69" s="219" t="e">
        <f>#REF!+#REF!</f>
        <v>#REF!</v>
      </c>
      <c r="H69" s="219" t="e">
        <f>#REF!+#REF!</f>
        <v>#REF!</v>
      </c>
      <c r="I69" s="245" t="e">
        <f>G69-H69</f>
        <v>#REF!</v>
      </c>
      <c r="J69" s="239"/>
      <c r="K69" s="219">
        <v>0</v>
      </c>
      <c r="L69" s="188">
        <v>0</v>
      </c>
      <c r="M69" s="177">
        <f t="shared" ref="M69:M87" si="29">K69-L69</f>
        <v>0</v>
      </c>
      <c r="N69" s="182"/>
      <c r="O69" s="180" t="e">
        <f t="shared" ref="O69:O87" si="30">C69-G69-K69</f>
        <v>#REF!</v>
      </c>
      <c r="P69" s="181" t="e">
        <f t="shared" ref="P69:P87" si="31">D69-H69-L69</f>
        <v>#REF!</v>
      </c>
      <c r="Q69" s="190" t="e">
        <f t="shared" ref="Q69:Q82" si="32">O69-P69</f>
        <v>#REF!</v>
      </c>
    </row>
    <row r="70" spans="1:17" ht="12" customHeight="1" x14ac:dyDescent="0.25">
      <c r="A70" s="29" t="s">
        <v>52</v>
      </c>
      <c r="B70" s="9"/>
      <c r="C70" s="30">
        <v>0</v>
      </c>
      <c r="D70" s="22">
        <v>0</v>
      </c>
      <c r="E70" s="32">
        <f t="shared" si="28"/>
        <v>0</v>
      </c>
      <c r="F70" s="23"/>
      <c r="G70" s="219" t="e">
        <f>#REF!+#REF!</f>
        <v>#REF!</v>
      </c>
      <c r="H70" s="219" t="e">
        <f>#REF!+#REF!</f>
        <v>#REF!</v>
      </c>
      <c r="I70" s="245" t="e">
        <f t="shared" ref="I70:I82" si="33">G70-H70</f>
        <v>#REF!</v>
      </c>
      <c r="J70" s="239"/>
      <c r="K70" s="219">
        <v>0</v>
      </c>
      <c r="L70" s="188">
        <v>0</v>
      </c>
      <c r="M70" s="177">
        <f t="shared" si="29"/>
        <v>0</v>
      </c>
      <c r="N70" s="182"/>
      <c r="O70" s="180" t="e">
        <f t="shared" si="30"/>
        <v>#REF!</v>
      </c>
      <c r="P70" s="181" t="e">
        <f t="shared" si="31"/>
        <v>#REF!</v>
      </c>
      <c r="Q70" s="190" t="e">
        <f t="shared" si="32"/>
        <v>#REF!</v>
      </c>
    </row>
    <row r="71" spans="1:17" ht="12" customHeight="1" x14ac:dyDescent="0.25">
      <c r="A71" s="29" t="s">
        <v>106</v>
      </c>
      <c r="B71" s="9"/>
      <c r="C71" s="30">
        <v>0</v>
      </c>
      <c r="D71" s="22">
        <v>0</v>
      </c>
      <c r="E71" s="32">
        <f t="shared" si="28"/>
        <v>0</v>
      </c>
      <c r="F71" s="23"/>
      <c r="G71" s="219" t="e">
        <f>#REF!+#REF!</f>
        <v>#REF!</v>
      </c>
      <c r="H71" s="219" t="e">
        <f>#REF!+#REF!</f>
        <v>#REF!</v>
      </c>
      <c r="I71" s="245" t="e">
        <f t="shared" si="33"/>
        <v>#REF!</v>
      </c>
      <c r="J71" s="239"/>
      <c r="K71" s="219">
        <v>0</v>
      </c>
      <c r="L71" s="188">
        <v>0</v>
      </c>
      <c r="M71" s="177">
        <f t="shared" si="29"/>
        <v>0</v>
      </c>
      <c r="N71" s="182"/>
      <c r="O71" s="180" t="e">
        <f t="shared" si="30"/>
        <v>#REF!</v>
      </c>
      <c r="P71" s="181" t="e">
        <f t="shared" si="31"/>
        <v>#REF!</v>
      </c>
      <c r="Q71" s="190" t="e">
        <f t="shared" si="32"/>
        <v>#REF!</v>
      </c>
    </row>
    <row r="72" spans="1:17" ht="12" customHeight="1" x14ac:dyDescent="0.25">
      <c r="A72" s="29" t="s">
        <v>53</v>
      </c>
      <c r="B72" s="9"/>
      <c r="C72" s="30">
        <v>0</v>
      </c>
      <c r="D72" s="22">
        <v>0</v>
      </c>
      <c r="E72" s="32">
        <f t="shared" si="28"/>
        <v>0</v>
      </c>
      <c r="F72" s="23"/>
      <c r="G72" s="219" t="e">
        <f>#REF!+#REF!</f>
        <v>#REF!</v>
      </c>
      <c r="H72" s="219" t="e">
        <f>#REF!+#REF!</f>
        <v>#REF!</v>
      </c>
      <c r="I72" s="245" t="e">
        <f t="shared" si="33"/>
        <v>#REF!</v>
      </c>
      <c r="J72" s="239"/>
      <c r="K72" s="219">
        <v>0</v>
      </c>
      <c r="L72" s="188">
        <v>0</v>
      </c>
      <c r="M72" s="177">
        <f t="shared" si="29"/>
        <v>0</v>
      </c>
      <c r="N72" s="182"/>
      <c r="O72" s="180" t="e">
        <f t="shared" si="30"/>
        <v>#REF!</v>
      </c>
      <c r="P72" s="181" t="e">
        <f t="shared" si="31"/>
        <v>#REF!</v>
      </c>
      <c r="Q72" s="190" t="e">
        <f t="shared" si="32"/>
        <v>#REF!</v>
      </c>
    </row>
    <row r="73" spans="1:17" ht="12" customHeight="1" x14ac:dyDescent="0.25">
      <c r="A73" s="29" t="s">
        <v>54</v>
      </c>
      <c r="B73" s="9"/>
      <c r="C73" s="30">
        <v>0</v>
      </c>
      <c r="D73" s="22">
        <v>0</v>
      </c>
      <c r="E73" s="32">
        <f t="shared" si="28"/>
        <v>0</v>
      </c>
      <c r="F73" s="23"/>
      <c r="G73" s="219" t="e">
        <f>#REF!+#REF!</f>
        <v>#REF!</v>
      </c>
      <c r="H73" s="219" t="e">
        <f>#REF!+#REF!</f>
        <v>#REF!</v>
      </c>
      <c r="I73" s="245" t="e">
        <f t="shared" si="33"/>
        <v>#REF!</v>
      </c>
      <c r="J73" s="239"/>
      <c r="K73" s="219">
        <v>0</v>
      </c>
      <c r="L73" s="188">
        <v>0</v>
      </c>
      <c r="M73" s="177">
        <f t="shared" si="29"/>
        <v>0</v>
      </c>
      <c r="N73" s="182"/>
      <c r="O73" s="180" t="e">
        <f t="shared" si="30"/>
        <v>#REF!</v>
      </c>
      <c r="P73" s="181" t="e">
        <f t="shared" si="31"/>
        <v>#REF!</v>
      </c>
      <c r="Q73" s="190" t="e">
        <f t="shared" si="32"/>
        <v>#REF!</v>
      </c>
    </row>
    <row r="74" spans="1:17" ht="12" customHeight="1" x14ac:dyDescent="0.25">
      <c r="A74" s="29" t="s">
        <v>55</v>
      </c>
      <c r="B74" s="9"/>
      <c r="C74" s="30">
        <v>0</v>
      </c>
      <c r="D74" s="22">
        <v>0</v>
      </c>
      <c r="E74" s="32">
        <f t="shared" si="28"/>
        <v>0</v>
      </c>
      <c r="F74" s="23"/>
      <c r="G74" s="219" t="e">
        <f>#REF!+#REF!</f>
        <v>#REF!</v>
      </c>
      <c r="H74" s="219" t="e">
        <f>#REF!+#REF!</f>
        <v>#REF!</v>
      </c>
      <c r="I74" s="245" t="e">
        <f t="shared" si="33"/>
        <v>#REF!</v>
      </c>
      <c r="J74" s="239"/>
      <c r="K74" s="219">
        <v>0</v>
      </c>
      <c r="L74" s="188">
        <v>0</v>
      </c>
      <c r="M74" s="177">
        <f t="shared" si="29"/>
        <v>0</v>
      </c>
      <c r="N74" s="182"/>
      <c r="O74" s="180" t="e">
        <f t="shared" si="30"/>
        <v>#REF!</v>
      </c>
      <c r="P74" s="181" t="e">
        <f t="shared" si="31"/>
        <v>#REF!</v>
      </c>
      <c r="Q74" s="190" t="e">
        <f t="shared" si="32"/>
        <v>#REF!</v>
      </c>
    </row>
    <row r="75" spans="1:17" ht="12" customHeight="1" x14ac:dyDescent="0.25">
      <c r="A75" s="29" t="s">
        <v>56</v>
      </c>
      <c r="B75" s="9"/>
      <c r="C75" s="30">
        <v>0</v>
      </c>
      <c r="D75" s="22">
        <v>0</v>
      </c>
      <c r="E75" s="32">
        <f t="shared" si="28"/>
        <v>0</v>
      </c>
      <c r="F75" s="34"/>
      <c r="G75" s="219" t="e">
        <f>#REF!+#REF!</f>
        <v>#REF!</v>
      </c>
      <c r="H75" s="219" t="e">
        <f>#REF!+#REF!</f>
        <v>#REF!</v>
      </c>
      <c r="I75" s="245" t="e">
        <f t="shared" si="33"/>
        <v>#REF!</v>
      </c>
      <c r="J75" s="239"/>
      <c r="K75" s="219">
        <v>0</v>
      </c>
      <c r="L75" s="188">
        <v>0</v>
      </c>
      <c r="M75" s="177">
        <f t="shared" si="29"/>
        <v>0</v>
      </c>
      <c r="N75" s="182"/>
      <c r="O75" s="180" t="e">
        <f t="shared" si="30"/>
        <v>#REF!</v>
      </c>
      <c r="P75" s="181" t="e">
        <f t="shared" si="31"/>
        <v>#REF!</v>
      </c>
      <c r="Q75" s="190" t="e">
        <f t="shared" si="32"/>
        <v>#REF!</v>
      </c>
    </row>
    <row r="76" spans="1:17" ht="12" customHeight="1" x14ac:dyDescent="0.25">
      <c r="A76" s="29" t="s">
        <v>57</v>
      </c>
      <c r="B76" s="9"/>
      <c r="C76" s="30">
        <v>0</v>
      </c>
      <c r="D76" s="22">
        <v>0</v>
      </c>
      <c r="E76" s="32">
        <f t="shared" si="28"/>
        <v>0</v>
      </c>
      <c r="F76" s="34"/>
      <c r="G76" s="219" t="e">
        <f>#REF!+#REF!</f>
        <v>#REF!</v>
      </c>
      <c r="H76" s="219" t="e">
        <f>#REF!+#REF!</f>
        <v>#REF!</v>
      </c>
      <c r="I76" s="245" t="e">
        <f t="shared" si="33"/>
        <v>#REF!</v>
      </c>
      <c r="J76" s="239"/>
      <c r="K76" s="219">
        <v>0</v>
      </c>
      <c r="L76" s="188">
        <v>0</v>
      </c>
      <c r="M76" s="177">
        <f t="shared" si="29"/>
        <v>0</v>
      </c>
      <c r="N76" s="182"/>
      <c r="O76" s="180" t="e">
        <f t="shared" si="30"/>
        <v>#REF!</v>
      </c>
      <c r="P76" s="181" t="e">
        <f t="shared" si="31"/>
        <v>#REF!</v>
      </c>
      <c r="Q76" s="190" t="e">
        <f t="shared" si="32"/>
        <v>#REF!</v>
      </c>
    </row>
    <row r="77" spans="1:17" ht="12" customHeight="1" x14ac:dyDescent="0.25">
      <c r="A77" s="29" t="s">
        <v>59</v>
      </c>
      <c r="B77" s="9"/>
      <c r="C77" s="30">
        <v>0</v>
      </c>
      <c r="D77" s="22">
        <v>0</v>
      </c>
      <c r="E77" s="32">
        <f t="shared" si="28"/>
        <v>0</v>
      </c>
      <c r="F77" s="34"/>
      <c r="G77" s="219" t="e">
        <f>#REF!+#REF!</f>
        <v>#REF!</v>
      </c>
      <c r="H77" s="219" t="e">
        <f>#REF!+#REF!</f>
        <v>#REF!</v>
      </c>
      <c r="I77" s="245" t="e">
        <f t="shared" si="33"/>
        <v>#REF!</v>
      </c>
      <c r="J77" s="239"/>
      <c r="K77" s="219">
        <v>0</v>
      </c>
      <c r="L77" s="188">
        <v>0</v>
      </c>
      <c r="M77" s="177">
        <f t="shared" si="29"/>
        <v>0</v>
      </c>
      <c r="N77" s="182"/>
      <c r="O77" s="180" t="e">
        <f t="shared" si="30"/>
        <v>#REF!</v>
      </c>
      <c r="P77" s="181" t="e">
        <f t="shared" si="31"/>
        <v>#REF!</v>
      </c>
      <c r="Q77" s="190" t="e">
        <f t="shared" si="32"/>
        <v>#REF!</v>
      </c>
    </row>
    <row r="78" spans="1:17" ht="12" customHeight="1" x14ac:dyDescent="0.25">
      <c r="A78" s="29" t="s">
        <v>60</v>
      </c>
      <c r="B78" s="9"/>
      <c r="C78" s="30">
        <v>0</v>
      </c>
      <c r="D78" s="22">
        <v>0</v>
      </c>
      <c r="E78" s="32">
        <f t="shared" si="28"/>
        <v>0</v>
      </c>
      <c r="F78" s="34"/>
      <c r="G78" s="219" t="e">
        <f>#REF!+#REF!</f>
        <v>#REF!</v>
      </c>
      <c r="H78" s="219" t="e">
        <f>#REF!+#REF!</f>
        <v>#REF!</v>
      </c>
      <c r="I78" s="245" t="e">
        <f t="shared" si="33"/>
        <v>#REF!</v>
      </c>
      <c r="J78" s="239"/>
      <c r="K78" s="219">
        <v>0</v>
      </c>
      <c r="L78" s="188">
        <v>0</v>
      </c>
      <c r="M78" s="177">
        <f t="shared" si="29"/>
        <v>0</v>
      </c>
      <c r="N78" s="182"/>
      <c r="O78" s="180" t="e">
        <f t="shared" si="30"/>
        <v>#REF!</v>
      </c>
      <c r="P78" s="181" t="e">
        <f t="shared" si="31"/>
        <v>#REF!</v>
      </c>
      <c r="Q78" s="190" t="e">
        <f t="shared" si="32"/>
        <v>#REF!</v>
      </c>
    </row>
    <row r="79" spans="1:17" ht="12" customHeight="1" x14ac:dyDescent="0.25">
      <c r="A79" s="29" t="s">
        <v>61</v>
      </c>
      <c r="B79" s="9"/>
      <c r="C79" s="30">
        <v>0</v>
      </c>
      <c r="D79" s="22">
        <v>0</v>
      </c>
      <c r="E79" s="32">
        <f t="shared" si="28"/>
        <v>0</v>
      </c>
      <c r="F79" s="34"/>
      <c r="G79" s="219" t="e">
        <f>#REF!+#REF!</f>
        <v>#REF!</v>
      </c>
      <c r="H79" s="219" t="e">
        <f>#REF!+#REF!</f>
        <v>#REF!</v>
      </c>
      <c r="I79" s="245" t="e">
        <f t="shared" si="33"/>
        <v>#REF!</v>
      </c>
      <c r="J79" s="239"/>
      <c r="K79" s="219">
        <v>0</v>
      </c>
      <c r="L79" s="188">
        <v>0</v>
      </c>
      <c r="M79" s="177">
        <f t="shared" si="29"/>
        <v>0</v>
      </c>
      <c r="N79" s="182"/>
      <c r="O79" s="180" t="e">
        <f t="shared" si="30"/>
        <v>#REF!</v>
      </c>
      <c r="P79" s="181" t="e">
        <f t="shared" si="31"/>
        <v>#REF!</v>
      </c>
      <c r="Q79" s="190" t="e">
        <f t="shared" si="32"/>
        <v>#REF!</v>
      </c>
    </row>
    <row r="80" spans="1:17" ht="12" customHeight="1" x14ac:dyDescent="0.25">
      <c r="A80" s="29" t="s">
        <v>62</v>
      </c>
      <c r="B80" s="9"/>
      <c r="C80" s="30">
        <v>0</v>
      </c>
      <c r="D80" s="22">
        <v>0</v>
      </c>
      <c r="E80" s="32">
        <f t="shared" si="28"/>
        <v>0</v>
      </c>
      <c r="F80" s="34"/>
      <c r="G80" s="219" t="e">
        <f>#REF!+#REF!</f>
        <v>#REF!</v>
      </c>
      <c r="H80" s="219" t="e">
        <f>#REF!+#REF!</f>
        <v>#REF!</v>
      </c>
      <c r="I80" s="245" t="e">
        <f t="shared" si="33"/>
        <v>#REF!</v>
      </c>
      <c r="J80" s="239"/>
      <c r="K80" s="219">
        <v>0</v>
      </c>
      <c r="L80" s="188">
        <v>0</v>
      </c>
      <c r="M80" s="177">
        <f t="shared" si="29"/>
        <v>0</v>
      </c>
      <c r="N80" s="182"/>
      <c r="O80" s="180" t="e">
        <f t="shared" si="30"/>
        <v>#REF!</v>
      </c>
      <c r="P80" s="181" t="e">
        <f t="shared" si="31"/>
        <v>#REF!</v>
      </c>
      <c r="Q80" s="190" t="e">
        <f t="shared" si="32"/>
        <v>#REF!</v>
      </c>
    </row>
    <row r="81" spans="1:17" x14ac:dyDescent="0.25">
      <c r="A81" s="29" t="s">
        <v>58</v>
      </c>
      <c r="B81" s="9"/>
      <c r="C81" s="21">
        <v>0</v>
      </c>
      <c r="D81" s="22">
        <v>0</v>
      </c>
      <c r="E81" s="24">
        <f t="shared" si="28"/>
        <v>0</v>
      </c>
      <c r="F81" s="23"/>
      <c r="G81" s="219" t="e">
        <f>#REF!+#REF!</f>
        <v>#REF!</v>
      </c>
      <c r="H81" s="219" t="e">
        <f>#REF!+#REF!</f>
        <v>#REF!</v>
      </c>
      <c r="I81" s="245" t="e">
        <f t="shared" si="33"/>
        <v>#REF!</v>
      </c>
      <c r="J81" s="239"/>
      <c r="K81" s="219">
        <v>0</v>
      </c>
      <c r="L81" s="188">
        <v>0</v>
      </c>
      <c r="M81" s="177">
        <f t="shared" si="29"/>
        <v>0</v>
      </c>
      <c r="N81" s="182"/>
      <c r="O81" s="180" t="e">
        <f t="shared" si="30"/>
        <v>#REF!</v>
      </c>
      <c r="P81" s="181" t="e">
        <f t="shared" si="31"/>
        <v>#REF!</v>
      </c>
      <c r="Q81" s="177" t="e">
        <f t="shared" si="32"/>
        <v>#REF!</v>
      </c>
    </row>
    <row r="82" spans="1:17" ht="12" customHeight="1" x14ac:dyDescent="0.25">
      <c r="A82" s="29" t="s">
        <v>17</v>
      </c>
      <c r="B82" s="9"/>
      <c r="C82" s="30">
        <v>0</v>
      </c>
      <c r="D82" s="22">
        <v>0</v>
      </c>
      <c r="E82" s="32">
        <f t="shared" si="28"/>
        <v>0</v>
      </c>
      <c r="F82" s="34"/>
      <c r="G82" s="219" t="e">
        <f>#REF!+#REF!</f>
        <v>#REF!</v>
      </c>
      <c r="H82" s="219" t="e">
        <f>#REF!+#REF!</f>
        <v>#REF!</v>
      </c>
      <c r="I82" s="245" t="e">
        <f t="shared" si="33"/>
        <v>#REF!</v>
      </c>
      <c r="J82" s="239"/>
      <c r="K82" s="219">
        <v>0</v>
      </c>
      <c r="L82" s="188">
        <v>0</v>
      </c>
      <c r="M82" s="177">
        <f t="shared" si="29"/>
        <v>0</v>
      </c>
      <c r="N82" s="182"/>
      <c r="O82" s="180" t="e">
        <f t="shared" si="30"/>
        <v>#REF!</v>
      </c>
      <c r="P82" s="181" t="e">
        <f t="shared" si="31"/>
        <v>#REF!</v>
      </c>
      <c r="Q82" s="190" t="e">
        <f t="shared" si="32"/>
        <v>#REF!</v>
      </c>
    </row>
    <row r="83" spans="1:17" s="150" customFormat="1" ht="12" customHeight="1" x14ac:dyDescent="0.2">
      <c r="A83" s="25" t="s">
        <v>13</v>
      </c>
      <c r="B83" s="148"/>
      <c r="C83" s="26">
        <f>SUM(C69:C82)</f>
        <v>0</v>
      </c>
      <c r="D83" s="27">
        <f>SUM(D69:D82)</f>
        <v>0</v>
      </c>
      <c r="E83" s="28">
        <f>SUM(E69:E82)</f>
        <v>0</v>
      </c>
      <c r="F83" s="149"/>
      <c r="G83" s="183" t="e">
        <f>SUM(G69:G82)</f>
        <v>#REF!</v>
      </c>
      <c r="H83" s="184" t="e">
        <f>SUM(H69:H82)</f>
        <v>#REF!</v>
      </c>
      <c r="I83" s="244" t="e">
        <f>G83-H83</f>
        <v>#REF!</v>
      </c>
      <c r="J83" s="240"/>
      <c r="K83" s="184">
        <f>SUM(K69:K82)</f>
        <v>0</v>
      </c>
      <c r="L83" s="184">
        <f>SUM(L69:L82)</f>
        <v>0</v>
      </c>
      <c r="M83" s="185">
        <f>SUM(M69:M82)</f>
        <v>0</v>
      </c>
      <c r="N83" s="186"/>
      <c r="O83" s="183" t="e">
        <f>SUM(O69:O82)</f>
        <v>#REF!</v>
      </c>
      <c r="P83" s="184" t="e">
        <f>SUM(P69:P82)</f>
        <v>#REF!</v>
      </c>
      <c r="Q83" s="185" t="e">
        <f>SUM(Q69:Q82)</f>
        <v>#REF!</v>
      </c>
    </row>
    <row r="84" spans="1:17" s="33" customFormat="1" ht="12" customHeight="1" x14ac:dyDescent="0.25">
      <c r="A84" s="163" t="s">
        <v>115</v>
      </c>
      <c r="B84" s="9"/>
      <c r="C84" s="30">
        <v>0</v>
      </c>
      <c r="D84" s="22">
        <v>0</v>
      </c>
      <c r="E84" s="32">
        <f>-D84+C84</f>
        <v>0</v>
      </c>
      <c r="F84" s="34"/>
      <c r="G84" s="219" t="e">
        <f>#REF!+#REF!</f>
        <v>#REF!</v>
      </c>
      <c r="H84" s="219" t="e">
        <f>#REF!+#REF!</f>
        <v>#REF!</v>
      </c>
      <c r="I84" s="245" t="e">
        <f>G84-H84</f>
        <v>#REF!</v>
      </c>
      <c r="J84" s="239"/>
      <c r="K84" s="219" t="e">
        <f>#REF!+#REF!</f>
        <v>#REF!</v>
      </c>
      <c r="L84" s="189" t="e">
        <f>#REF!</f>
        <v>#REF!</v>
      </c>
      <c r="M84" s="177" t="e">
        <f t="shared" si="29"/>
        <v>#REF!</v>
      </c>
      <c r="N84" s="182"/>
      <c r="O84" s="180" t="e">
        <f t="shared" si="30"/>
        <v>#REF!</v>
      </c>
      <c r="P84" s="181" t="e">
        <f t="shared" si="31"/>
        <v>#REF!</v>
      </c>
      <c r="Q84" s="190" t="e">
        <f>O84-P84</f>
        <v>#REF!</v>
      </c>
    </row>
    <row r="85" spans="1:17" s="33" customFormat="1" ht="12" customHeight="1" x14ac:dyDescent="0.25">
      <c r="A85" s="163" t="s">
        <v>116</v>
      </c>
      <c r="B85" s="9"/>
      <c r="C85" s="30"/>
      <c r="D85" s="22">
        <v>0</v>
      </c>
      <c r="E85" s="32"/>
      <c r="F85" s="34"/>
      <c r="G85" s="219" t="e">
        <f>#REF!+#REF!</f>
        <v>#REF!</v>
      </c>
      <c r="H85" s="219" t="e">
        <f>#REF!+#REF!</f>
        <v>#REF!</v>
      </c>
      <c r="I85" s="245" t="e">
        <f>G85-H85</f>
        <v>#REF!</v>
      </c>
      <c r="J85" s="239"/>
      <c r="K85" s="219" t="e">
        <f>#REF!+#REF!</f>
        <v>#REF!</v>
      </c>
      <c r="L85" s="189"/>
      <c r="M85" s="177" t="e">
        <f t="shared" si="29"/>
        <v>#REF!</v>
      </c>
      <c r="N85" s="182"/>
      <c r="O85" s="180" t="e">
        <f t="shared" si="30"/>
        <v>#REF!</v>
      </c>
      <c r="P85" s="181" t="e">
        <f t="shared" si="31"/>
        <v>#REF!</v>
      </c>
      <c r="Q85" s="190"/>
    </row>
    <row r="86" spans="1:17" s="33" customFormat="1" ht="12" customHeight="1" x14ac:dyDescent="0.25">
      <c r="A86" s="163" t="s">
        <v>114</v>
      </c>
      <c r="B86" s="9"/>
      <c r="C86" s="30"/>
      <c r="D86" s="22">
        <v>0</v>
      </c>
      <c r="E86" s="32"/>
      <c r="F86" s="34"/>
      <c r="G86" s="219" t="e">
        <f>#REF!+#REF!</f>
        <v>#REF!</v>
      </c>
      <c r="H86" s="219" t="e">
        <f>#REF!+#REF!</f>
        <v>#REF!</v>
      </c>
      <c r="I86" s="245" t="e">
        <f>G86-H86</f>
        <v>#REF!</v>
      </c>
      <c r="J86" s="239"/>
      <c r="K86" s="219" t="e">
        <f>#REF!+#REF!</f>
        <v>#REF!</v>
      </c>
      <c r="L86" s="189"/>
      <c r="M86" s="177" t="e">
        <f t="shared" si="29"/>
        <v>#REF!</v>
      </c>
      <c r="N86" s="182"/>
      <c r="O86" s="180" t="e">
        <f t="shared" si="30"/>
        <v>#REF!</v>
      </c>
      <c r="P86" s="181" t="e">
        <f t="shared" si="31"/>
        <v>#REF!</v>
      </c>
      <c r="Q86" s="190"/>
    </row>
    <row r="87" spans="1:17" ht="12" customHeight="1" x14ac:dyDescent="0.25">
      <c r="A87" s="29" t="s">
        <v>113</v>
      </c>
      <c r="B87" s="9"/>
      <c r="C87" s="30">
        <v>0</v>
      </c>
      <c r="D87" s="22">
        <v>0</v>
      </c>
      <c r="E87" s="24">
        <f>-D87+C87</f>
        <v>0</v>
      </c>
      <c r="F87" s="23"/>
      <c r="G87" s="219" t="e">
        <f>#REF!+#REF!</f>
        <v>#REF!</v>
      </c>
      <c r="H87" s="219" t="e">
        <f>#REF!+#REF!</f>
        <v>#REF!</v>
      </c>
      <c r="I87" s="245" t="e">
        <f>G87-H87</f>
        <v>#REF!</v>
      </c>
      <c r="J87" s="239"/>
      <c r="K87" s="219" t="e">
        <f>#REF!</f>
        <v>#REF!</v>
      </c>
      <c r="L87" s="188" t="e">
        <f>#REF!</f>
        <v>#REF!</v>
      </c>
      <c r="M87" s="177" t="e">
        <f t="shared" si="29"/>
        <v>#REF!</v>
      </c>
      <c r="N87" s="182"/>
      <c r="O87" s="180" t="e">
        <f t="shared" si="30"/>
        <v>#REF!</v>
      </c>
      <c r="P87" s="181" t="e">
        <f t="shared" si="31"/>
        <v>#REF!</v>
      </c>
      <c r="Q87" s="177" t="e">
        <f>O87-P87</f>
        <v>#REF!</v>
      </c>
    </row>
    <row r="88" spans="1:17" s="150" customFormat="1" ht="12" customHeight="1" x14ac:dyDescent="0.2">
      <c r="A88" s="25" t="s">
        <v>14</v>
      </c>
      <c r="B88" s="148"/>
      <c r="C88" s="26" t="e">
        <f>C87+C84+C83+C67</f>
        <v>#REF!</v>
      </c>
      <c r="D88" s="27" t="e">
        <f>D87+D84+D83+D67</f>
        <v>#REF!</v>
      </c>
      <c r="E88" s="28" t="e">
        <f>E87+E84+E83+E67</f>
        <v>#REF!</v>
      </c>
      <c r="F88" s="149"/>
      <c r="G88" s="184" t="e">
        <f>SUM(G84:G87)+G83+G67</f>
        <v>#REF!</v>
      </c>
      <c r="H88" s="184" t="e">
        <f>SUM(H84:H87)+H83+H67</f>
        <v>#REF!</v>
      </c>
      <c r="I88" s="244" t="e">
        <f>SUM(I84:I87)+I83+I67</f>
        <v>#REF!</v>
      </c>
      <c r="J88" s="240"/>
      <c r="K88" s="184" t="e">
        <f>SUM(K84:K87)+K83+K67</f>
        <v>#REF!</v>
      </c>
      <c r="L88" s="184" t="e">
        <f>SUM(L84:L87)+L83+L67</f>
        <v>#REF!</v>
      </c>
      <c r="M88" s="185" t="e">
        <f>M87+M84+M83+M67</f>
        <v>#REF!</v>
      </c>
      <c r="N88" s="186"/>
      <c r="O88" s="184" t="e">
        <f>SUM(O84:O87)+O83+O67</f>
        <v>#REF!</v>
      </c>
      <c r="P88" s="184" t="e">
        <f>SUM(P84:P87)+P83+P67</f>
        <v>#REF!</v>
      </c>
      <c r="Q88" s="185" t="e">
        <f>Q87+Q84+Q83+Q67</f>
        <v>#REF!</v>
      </c>
    </row>
    <row r="89" spans="1:17" ht="12.75" customHeight="1" thickBot="1" x14ac:dyDescent="0.3">
      <c r="A89" s="29" t="s">
        <v>15</v>
      </c>
      <c r="B89" s="9"/>
      <c r="C89" s="30">
        <v>0</v>
      </c>
      <c r="D89" s="31">
        <v>0</v>
      </c>
      <c r="E89" s="32">
        <f>D89-C89</f>
        <v>0</v>
      </c>
      <c r="F89" s="23"/>
      <c r="G89" s="187">
        <v>0</v>
      </c>
      <c r="H89" s="189">
        <v>0</v>
      </c>
      <c r="I89" s="246"/>
      <c r="J89" s="239"/>
      <c r="K89" s="189"/>
      <c r="L89" s="189" t="e">
        <f>#REF!</f>
        <v>#REF!</v>
      </c>
      <c r="M89" s="190" t="e">
        <f>-(H89-G89)-L89</f>
        <v>#REF!</v>
      </c>
      <c r="N89" s="182"/>
      <c r="O89" s="187">
        <f>C89-G89</f>
        <v>0</v>
      </c>
      <c r="P89" s="189">
        <f>D89-H89</f>
        <v>0</v>
      </c>
      <c r="Q89" s="190">
        <f>O89-P89</f>
        <v>0</v>
      </c>
    </row>
    <row r="90" spans="1:17" s="150" customFormat="1" ht="12" customHeight="1" thickBot="1" x14ac:dyDescent="0.25">
      <c r="A90" s="35" t="s">
        <v>16</v>
      </c>
      <c r="B90" s="151"/>
      <c r="C90" s="36" t="e">
        <f>SUM(C88:C89)</f>
        <v>#REF!</v>
      </c>
      <c r="D90" s="37" t="e">
        <f>SUM(D88:D89)</f>
        <v>#REF!</v>
      </c>
      <c r="E90" s="51" t="e">
        <f>SUM(E88:E89)</f>
        <v>#REF!</v>
      </c>
      <c r="F90" s="152"/>
      <c r="G90" s="191" t="e">
        <f>SUM(G88:G89)</f>
        <v>#REF!</v>
      </c>
      <c r="H90" s="192" t="e">
        <f>SUM(H88:H89)</f>
        <v>#REF!</v>
      </c>
      <c r="I90" s="244" t="e">
        <f>SUM(I86:I89)+I85+I69</f>
        <v>#REF!</v>
      </c>
      <c r="J90" s="241"/>
      <c r="K90" s="191" t="e">
        <f>SUM(K88:K89)</f>
        <v>#REF!</v>
      </c>
      <c r="L90" s="192" t="e">
        <f>SUM(L88:L89)</f>
        <v>#REF!</v>
      </c>
      <c r="M90" s="193" t="e">
        <f>SUM(M88:M89)</f>
        <v>#REF!</v>
      </c>
      <c r="N90" s="194"/>
      <c r="O90" s="191" t="e">
        <f>SUM(O88:O89)</f>
        <v>#REF!</v>
      </c>
      <c r="P90" s="192" t="e">
        <f>SUM(P88:P89)</f>
        <v>#REF!</v>
      </c>
      <c r="Q90" s="193" t="e">
        <f>SUM(Q88:Q89)</f>
        <v>#REF!</v>
      </c>
    </row>
    <row r="91" spans="1:17" ht="3" customHeight="1" x14ac:dyDescent="0.25">
      <c r="A91" s="38"/>
      <c r="C91" s="39"/>
      <c r="D91" s="40"/>
      <c r="E91" s="38"/>
      <c r="F91" s="41"/>
    </row>
    <row r="92" spans="1:17" x14ac:dyDescent="0.25">
      <c r="A92" s="43"/>
      <c r="C92" s="41"/>
      <c r="D92" s="40"/>
      <c r="E92" s="41"/>
      <c r="F92" s="41"/>
    </row>
    <row r="93" spans="1:17" ht="13.5" customHeight="1" x14ac:dyDescent="0.25">
      <c r="A93" s="42"/>
      <c r="D93" s="44"/>
      <c r="E93" s="44"/>
      <c r="F93" s="44"/>
      <c r="G93" s="196"/>
      <c r="H93" s="196"/>
      <c r="I93" s="196"/>
      <c r="J93" s="196"/>
      <c r="K93" s="196"/>
      <c r="L93" s="196"/>
      <c r="M93" s="196"/>
    </row>
    <row r="94" spans="1:17" ht="13.5" customHeight="1" x14ac:dyDescent="0.25">
      <c r="A94" s="42"/>
      <c r="D94" s="44"/>
      <c r="E94" s="44"/>
      <c r="F94" s="44"/>
      <c r="G94" s="196"/>
      <c r="H94" s="196"/>
      <c r="I94" s="196"/>
      <c r="J94" s="196"/>
      <c r="K94" s="196"/>
      <c r="L94" s="196"/>
      <c r="M94" s="196"/>
    </row>
    <row r="95" spans="1:17" ht="13.5" x14ac:dyDescent="0.25">
      <c r="C95" s="395" t="s">
        <v>110</v>
      </c>
      <c r="D95" s="396"/>
      <c r="E95" s="397"/>
      <c r="G95" s="197" t="s">
        <v>111</v>
      </c>
      <c r="H95" s="198"/>
      <c r="I95" s="198"/>
      <c r="J95" s="198"/>
      <c r="K95" s="198"/>
      <c r="L95" s="198"/>
      <c r="M95" s="198"/>
    </row>
    <row r="96" spans="1:17" x14ac:dyDescent="0.25">
      <c r="C96" s="68" t="s">
        <v>87</v>
      </c>
      <c r="D96" s="69"/>
      <c r="E96" s="70">
        <v>0</v>
      </c>
      <c r="G96" s="199" t="s">
        <v>88</v>
      </c>
      <c r="H96" s="200"/>
      <c r="I96" s="200"/>
      <c r="J96" s="200"/>
      <c r="K96" s="200"/>
      <c r="L96" s="200"/>
      <c r="M96" s="201">
        <v>0</v>
      </c>
    </row>
    <row r="97" spans="3:13" x14ac:dyDescent="0.25">
      <c r="C97" s="68" t="s">
        <v>89</v>
      </c>
      <c r="D97" s="69"/>
      <c r="E97" s="70">
        <v>0</v>
      </c>
      <c r="G97" s="199" t="s">
        <v>90</v>
      </c>
      <c r="H97" s="200"/>
      <c r="I97" s="200"/>
      <c r="J97" s="200"/>
      <c r="K97" s="200"/>
      <c r="L97" s="200"/>
      <c r="M97" s="202">
        <v>0</v>
      </c>
    </row>
    <row r="98" spans="3:13" x14ac:dyDescent="0.25">
      <c r="C98" s="68" t="s">
        <v>91</v>
      </c>
      <c r="D98" s="69"/>
      <c r="E98" s="70">
        <v>0</v>
      </c>
      <c r="G98" s="199" t="s">
        <v>81</v>
      </c>
      <c r="H98" s="200"/>
      <c r="I98" s="200"/>
      <c r="J98" s="200"/>
      <c r="K98" s="200"/>
      <c r="L98" s="200"/>
      <c r="M98" s="202"/>
    </row>
    <row r="99" spans="3:13" x14ac:dyDescent="0.25">
      <c r="C99" s="71"/>
      <c r="D99" s="72"/>
      <c r="E99" s="73"/>
      <c r="G99" s="203"/>
      <c r="H99" s="204"/>
      <c r="I99" s="204"/>
      <c r="J99" s="204"/>
      <c r="K99" s="204"/>
      <c r="L99" s="204"/>
      <c r="M99" s="205"/>
    </row>
    <row r="100" spans="3:13" ht="13.5" x14ac:dyDescent="0.25">
      <c r="C100" s="74" t="s">
        <v>92</v>
      </c>
      <c r="D100" s="75"/>
      <c r="E100" s="76">
        <f>SUM(E96:E99)</f>
        <v>0</v>
      </c>
      <c r="G100" s="206" t="s">
        <v>92</v>
      </c>
      <c r="H100" s="207"/>
      <c r="I100" s="207"/>
      <c r="J100" s="207"/>
      <c r="K100" s="207"/>
      <c r="L100" s="207"/>
      <c r="M100" s="208" t="e">
        <f>+#REF!+M97+M96+#REF!</f>
        <v>#REF!</v>
      </c>
    </row>
    <row r="103" spans="3:13" ht="13.5" x14ac:dyDescent="0.25">
      <c r="C103" s="77" t="s">
        <v>93</v>
      </c>
      <c r="D103" s="78"/>
      <c r="E103" s="79">
        <v>0</v>
      </c>
      <c r="G103" s="209" t="s">
        <v>93</v>
      </c>
      <c r="H103" s="210"/>
      <c r="I103" s="210"/>
      <c r="J103" s="210"/>
      <c r="K103" s="210"/>
      <c r="L103" s="210"/>
      <c r="M103" s="211">
        <v>0</v>
      </c>
    </row>
    <row r="104" spans="3:13" ht="13.5" x14ac:dyDescent="0.25">
      <c r="C104" s="77" t="s">
        <v>94</v>
      </c>
      <c r="D104" s="77"/>
      <c r="E104" s="80">
        <v>0</v>
      </c>
      <c r="F104" s="81"/>
      <c r="G104" s="209" t="s">
        <v>94</v>
      </c>
      <c r="H104" s="209"/>
      <c r="I104" s="209"/>
      <c r="J104" s="209"/>
      <c r="K104" s="209"/>
      <c r="L104" s="209"/>
      <c r="M104" s="212">
        <v>0</v>
      </c>
    </row>
    <row r="105" spans="3:13" ht="13.5" x14ac:dyDescent="0.25">
      <c r="C105" s="77"/>
      <c r="D105" s="77"/>
      <c r="E105" s="82"/>
      <c r="F105" s="81"/>
      <c r="G105" s="209"/>
      <c r="H105" s="209"/>
      <c r="I105" s="209"/>
      <c r="J105" s="209"/>
      <c r="K105" s="209"/>
      <c r="L105" s="209"/>
      <c r="M105" s="213"/>
    </row>
    <row r="106" spans="3:13" ht="13.5" thickBot="1" x14ac:dyDescent="0.3">
      <c r="C106" s="83" t="s">
        <v>95</v>
      </c>
      <c r="D106" s="84"/>
      <c r="E106" s="85">
        <f>+E104-E103</f>
        <v>0</v>
      </c>
      <c r="F106" s="81"/>
      <c r="G106" s="214" t="s">
        <v>95</v>
      </c>
      <c r="H106" s="215"/>
      <c r="I106" s="215"/>
      <c r="J106" s="215"/>
      <c r="K106" s="215"/>
      <c r="L106" s="215"/>
      <c r="M106" s="216">
        <f>+M104-M103</f>
        <v>0</v>
      </c>
    </row>
    <row r="107" spans="3:13" ht="13.5" thickTop="1" x14ac:dyDescent="0.25"/>
  </sheetData>
  <mergeCells count="7">
    <mergeCell ref="K6:M6"/>
    <mergeCell ref="O6:Q6"/>
    <mergeCell ref="C95:E95"/>
    <mergeCell ref="C5:E5"/>
    <mergeCell ref="C6:E6"/>
    <mergeCell ref="G5:I5"/>
    <mergeCell ref="G6:I6"/>
  </mergeCells>
  <phoneticPr fontId="0" type="noConversion"/>
  <printOptions horizontalCentered="1"/>
  <pageMargins left="0.25" right="0.25" top="0.2" bottom="0.16" header="0.17" footer="0.18"/>
  <pageSetup scale="6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97"/>
  <sheetViews>
    <sheetView tabSelected="1" workbookViewId="0">
      <pane ySplit="8" topLeftCell="A9" activePane="bottomLeft" state="frozen"/>
      <selection activeCell="C23" sqref="C23"/>
      <selection pane="bottomLeft" activeCell="A4" sqref="A4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10.140625" style="10" customWidth="1"/>
    <col min="6" max="6" width="0.85546875" style="10" customWidth="1"/>
    <col min="7" max="7" width="9.28515625" style="195" customWidth="1"/>
    <col min="8" max="8" width="9" style="195" customWidth="1"/>
    <col min="9" max="9" width="8.7109375" style="195" customWidth="1"/>
    <col min="10" max="10" width="1" style="195" customWidth="1"/>
    <col min="11" max="12" width="8.7109375" style="195" customWidth="1"/>
    <col min="13" max="13" width="8.85546875" style="195" customWidth="1"/>
    <col min="14" max="14" width="0.85546875" style="195" customWidth="1"/>
    <col min="15" max="17" width="8.7109375" style="195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62"/>
      <c r="H2" s="162"/>
      <c r="I2" s="162"/>
      <c r="J2" s="162"/>
      <c r="K2" s="162"/>
      <c r="L2" s="407" t="s">
        <v>127</v>
      </c>
      <c r="M2" s="407"/>
      <c r="N2" s="407"/>
      <c r="O2" s="407"/>
      <c r="P2" s="407"/>
      <c r="Q2" s="407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 t="s">
        <v>85</v>
      </c>
      <c r="B3"/>
      <c r="C3"/>
      <c r="D3"/>
      <c r="E3"/>
      <c r="F3"/>
      <c r="G3" s="162"/>
      <c r="H3" s="165"/>
      <c r="I3" s="165"/>
      <c r="J3" s="165"/>
      <c r="K3" s="165"/>
      <c r="M3" s="165"/>
      <c r="N3" s="165"/>
      <c r="O3" s="165"/>
      <c r="P3" s="165"/>
      <c r="Q3" s="165" t="s">
        <v>203</v>
      </c>
      <c r="R3"/>
      <c r="S3"/>
      <c r="T3"/>
      <c r="U3"/>
      <c r="V3"/>
      <c r="W3"/>
      <c r="X3"/>
      <c r="Z3" s="6"/>
    </row>
    <row r="4" spans="1:26" s="2" customFormat="1" ht="15.75" customHeight="1" x14ac:dyDescent="0.3">
      <c r="A4"/>
      <c r="B4"/>
      <c r="C4"/>
      <c r="D4"/>
      <c r="E4"/>
      <c r="F4"/>
      <c r="G4" s="162"/>
      <c r="H4" s="165"/>
      <c r="I4" s="165"/>
      <c r="J4" s="165"/>
      <c r="K4" s="165"/>
      <c r="L4" s="165"/>
      <c r="M4" s="165"/>
      <c r="N4" s="165"/>
      <c r="O4" s="165"/>
      <c r="P4" s="165"/>
      <c r="Q4" s="165"/>
      <c r="R4"/>
      <c r="S4"/>
      <c r="T4"/>
      <c r="U4"/>
      <c r="V4"/>
      <c r="W4"/>
      <c r="X4"/>
      <c r="Z4" s="6"/>
    </row>
    <row r="5" spans="1:26" s="2" customFormat="1" ht="15" customHeight="1" thickBot="1" x14ac:dyDescent="0.3">
      <c r="A5"/>
      <c r="B5"/>
      <c r="C5"/>
      <c r="D5"/>
      <c r="E5"/>
      <c r="F5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/>
      <c r="S5"/>
      <c r="T5"/>
      <c r="U5"/>
      <c r="V5"/>
      <c r="W5"/>
      <c r="X5"/>
      <c r="Y5"/>
      <c r="Z5" s="7"/>
    </row>
    <row r="6" spans="1:26" s="8" customFormat="1" ht="15" customHeight="1" x14ac:dyDescent="0.25">
      <c r="A6" s="45"/>
      <c r="B6" s="94"/>
      <c r="C6" s="398" t="s">
        <v>0</v>
      </c>
      <c r="D6" s="399"/>
      <c r="E6" s="400"/>
      <c r="F6" s="94"/>
      <c r="G6" s="404" t="s">
        <v>117</v>
      </c>
      <c r="H6" s="405"/>
      <c r="I6" s="406"/>
      <c r="J6" s="94"/>
      <c r="K6" s="404" t="s">
        <v>118</v>
      </c>
      <c r="L6" s="405"/>
      <c r="M6" s="406"/>
      <c r="N6" s="328"/>
      <c r="O6" s="404" t="s">
        <v>1</v>
      </c>
      <c r="P6" s="405"/>
      <c r="Q6" s="406"/>
    </row>
    <row r="7" spans="1:26" s="8" customFormat="1" ht="14.25" customHeight="1" thickBot="1" x14ac:dyDescent="0.3">
      <c r="A7" s="224" t="s">
        <v>2</v>
      </c>
      <c r="B7" s="9"/>
      <c r="C7" s="411"/>
      <c r="D7" s="412"/>
      <c r="E7" s="413"/>
      <c r="F7" s="9"/>
      <c r="G7" s="414" t="s">
        <v>112</v>
      </c>
      <c r="H7" s="415"/>
      <c r="I7" s="416"/>
      <c r="J7" s="9"/>
      <c r="K7" s="414" t="s">
        <v>119</v>
      </c>
      <c r="L7" s="415"/>
      <c r="M7" s="416"/>
      <c r="N7" s="20"/>
      <c r="O7" s="408"/>
      <c r="P7" s="409"/>
      <c r="Q7" s="410"/>
    </row>
    <row r="8" spans="1:26" ht="18" customHeight="1" thickBot="1" x14ac:dyDescent="0.3">
      <c r="A8" s="46"/>
      <c r="B8" s="9"/>
      <c r="C8" s="307" t="s">
        <v>3</v>
      </c>
      <c r="D8" s="308" t="s">
        <v>4</v>
      </c>
      <c r="E8" s="309" t="s">
        <v>5</v>
      </c>
      <c r="F8" s="93"/>
      <c r="G8" s="310" t="s">
        <v>6</v>
      </c>
      <c r="H8" s="315" t="s">
        <v>4</v>
      </c>
      <c r="I8" s="313" t="s">
        <v>5</v>
      </c>
      <c r="J8" s="93"/>
      <c r="K8" s="381" t="s">
        <v>6</v>
      </c>
      <c r="L8" s="383" t="s">
        <v>4</v>
      </c>
      <c r="M8" s="384" t="s">
        <v>5</v>
      </c>
      <c r="N8" s="329"/>
      <c r="O8" s="310" t="s">
        <v>6</v>
      </c>
      <c r="P8" s="315" t="s">
        <v>4</v>
      </c>
      <c r="Q8" s="313" t="s">
        <v>5</v>
      </c>
    </row>
    <row r="9" spans="1:26" s="18" customFormat="1" ht="12.75" customHeight="1" x14ac:dyDescent="0.25">
      <c r="A9" s="11" t="s">
        <v>188</v>
      </c>
      <c r="B9" s="274"/>
      <c r="C9" s="386">
        <f>GrossMargin!I9</f>
        <v>15627</v>
      </c>
      <c r="D9" s="266">
        <f>GrossMargin!J9</f>
        <v>12500</v>
      </c>
      <c r="E9" s="301">
        <f>C9-D9</f>
        <v>3127</v>
      </c>
      <c r="F9" s="23"/>
      <c r="G9" s="266">
        <f>Expenses!C9+Expenses!F9</f>
        <v>815</v>
      </c>
      <c r="H9" s="266">
        <f>Expenses!D9+Expenses!G9</f>
        <v>815</v>
      </c>
      <c r="I9" s="301">
        <f>G9-H9</f>
        <v>0</v>
      </c>
      <c r="J9" s="229"/>
      <c r="K9" s="386">
        <f>'Cap Charge'!C9</f>
        <v>0</v>
      </c>
      <c r="L9" s="266">
        <f>'Cap Charge'!D9</f>
        <v>0</v>
      </c>
      <c r="M9" s="301">
        <f>'Cap Charge'!E9</f>
        <v>0</v>
      </c>
      <c r="N9" s="182"/>
      <c r="O9" s="174">
        <f>C9-G9-K9</f>
        <v>14812</v>
      </c>
      <c r="P9" s="314">
        <f>D9-H9-L9</f>
        <v>11685</v>
      </c>
      <c r="Q9" s="301">
        <f t="shared" ref="Q9:Q22" si="0">O9-P9</f>
        <v>3127</v>
      </c>
    </row>
    <row r="10" spans="1:26" s="18" customFormat="1" ht="12.75" customHeight="1" x14ac:dyDescent="0.25">
      <c r="A10" s="11" t="s">
        <v>205</v>
      </c>
      <c r="B10" s="274"/>
      <c r="C10" s="387">
        <f>GrossMargin!I10</f>
        <v>175</v>
      </c>
      <c r="D10" s="98">
        <f>GrossMargin!J10</f>
        <v>7500</v>
      </c>
      <c r="E10" s="258">
        <f t="shared" ref="E10:E22" si="1">C10-D10</f>
        <v>-7325</v>
      </c>
      <c r="F10" s="23"/>
      <c r="G10" s="98">
        <f>Expenses!C10+Expenses!F10</f>
        <v>990</v>
      </c>
      <c r="H10" s="98">
        <f>Expenses!D10+Expenses!G10</f>
        <v>990</v>
      </c>
      <c r="I10" s="258">
        <f t="shared" ref="I10:I64" si="2">G10-H10</f>
        <v>0</v>
      </c>
      <c r="J10" s="229"/>
      <c r="K10" s="256">
        <f>'Cap Charge'!C10</f>
        <v>0</v>
      </c>
      <c r="L10" s="275">
        <f>'Cap Charge'!D10</f>
        <v>0</v>
      </c>
      <c r="M10" s="258">
        <f>'Cap Charge'!E10</f>
        <v>0</v>
      </c>
      <c r="N10" s="182"/>
      <c r="O10" s="180">
        <f>C10-G10-K10</f>
        <v>-815</v>
      </c>
      <c r="P10" s="275">
        <f>D10-H10-L10</f>
        <v>6510</v>
      </c>
      <c r="Q10" s="258">
        <f t="shared" si="0"/>
        <v>-7325</v>
      </c>
    </row>
    <row r="11" spans="1:26" ht="12.75" customHeight="1" x14ac:dyDescent="0.25">
      <c r="A11" s="11" t="s">
        <v>207</v>
      </c>
      <c r="B11" s="15"/>
      <c r="C11" s="387">
        <f>GrossMargin!I11</f>
        <v>-15094</v>
      </c>
      <c r="D11" s="98">
        <f>GrossMargin!J11</f>
        <v>12500</v>
      </c>
      <c r="E11" s="258">
        <f t="shared" si="1"/>
        <v>-27594</v>
      </c>
      <c r="F11" s="23"/>
      <c r="G11" s="98">
        <f>Expenses!C11+Expenses!F11</f>
        <v>529</v>
      </c>
      <c r="H11" s="98">
        <f>Expenses!D11+Expenses!G11</f>
        <v>529</v>
      </c>
      <c r="I11" s="258">
        <f t="shared" si="2"/>
        <v>0</v>
      </c>
      <c r="J11" s="229"/>
      <c r="K11" s="256">
        <f>'Cap Charge'!C11</f>
        <v>0</v>
      </c>
      <c r="L11" s="275">
        <f>'Cap Charge'!D11</f>
        <v>0</v>
      </c>
      <c r="M11" s="258">
        <f>'Cap Charge'!E11</f>
        <v>0</v>
      </c>
      <c r="N11" s="182"/>
      <c r="O11" s="180">
        <f t="shared" ref="O11:O22" si="3">C11-G11-K11</f>
        <v>-15623</v>
      </c>
      <c r="P11" s="275">
        <f t="shared" ref="P11:P22" si="4">D11-H11-L11</f>
        <v>11971</v>
      </c>
      <c r="Q11" s="258">
        <f t="shared" si="0"/>
        <v>-27594</v>
      </c>
    </row>
    <row r="12" spans="1:26" ht="12.75" customHeight="1" x14ac:dyDescent="0.25">
      <c r="A12" s="11" t="s">
        <v>206</v>
      </c>
      <c r="B12" s="15"/>
      <c r="C12" s="387">
        <f>GrossMargin!I12</f>
        <v>265</v>
      </c>
      <c r="D12" s="98">
        <f>GrossMargin!J12</f>
        <v>7500</v>
      </c>
      <c r="E12" s="258">
        <f t="shared" si="1"/>
        <v>-7235</v>
      </c>
      <c r="F12" s="23"/>
      <c r="G12" s="98">
        <f>Expenses!C12+Expenses!F12</f>
        <v>1067</v>
      </c>
      <c r="H12" s="98">
        <f>Expenses!D12+Expenses!G12</f>
        <v>1067</v>
      </c>
      <c r="I12" s="258">
        <f t="shared" si="2"/>
        <v>0</v>
      </c>
      <c r="J12" s="229"/>
      <c r="K12" s="256">
        <f>'Cap Charge'!C12</f>
        <v>0</v>
      </c>
      <c r="L12" s="275">
        <f>'Cap Charge'!D12</f>
        <v>0</v>
      </c>
      <c r="M12" s="258">
        <f>'Cap Charge'!E12</f>
        <v>0</v>
      </c>
      <c r="N12" s="182"/>
      <c r="O12" s="180">
        <f t="shared" si="3"/>
        <v>-802</v>
      </c>
      <c r="P12" s="275">
        <f t="shared" si="4"/>
        <v>6433</v>
      </c>
      <c r="Q12" s="258">
        <f t="shared" si="0"/>
        <v>-7235</v>
      </c>
    </row>
    <row r="13" spans="1:26" ht="12.75" customHeight="1" x14ac:dyDescent="0.25">
      <c r="A13" s="11" t="s">
        <v>189</v>
      </c>
      <c r="B13" s="15"/>
      <c r="C13" s="387">
        <f>GrossMargin!I13</f>
        <v>-1120</v>
      </c>
      <c r="D13" s="98">
        <f>GrossMargin!J13</f>
        <v>7500</v>
      </c>
      <c r="E13" s="258">
        <f t="shared" si="1"/>
        <v>-8620</v>
      </c>
      <c r="F13" s="357"/>
      <c r="G13" s="98">
        <f>Expenses!C13+Expenses!F13</f>
        <v>465</v>
      </c>
      <c r="H13" s="98">
        <f>Expenses!D13+Expenses!G13</f>
        <v>465</v>
      </c>
      <c r="I13" s="258">
        <f t="shared" si="2"/>
        <v>0</v>
      </c>
      <c r="J13" s="357"/>
      <c r="K13" s="256">
        <f>'Cap Charge'!C13</f>
        <v>75</v>
      </c>
      <c r="L13" s="275">
        <f>'Cap Charge'!D13</f>
        <v>0</v>
      </c>
      <c r="M13" s="280">
        <f>'Cap Charge'!E13</f>
        <v>-75</v>
      </c>
      <c r="N13" s="182"/>
      <c r="O13" s="180">
        <f t="shared" si="3"/>
        <v>-1660</v>
      </c>
      <c r="P13" s="275">
        <f t="shared" si="4"/>
        <v>7035</v>
      </c>
      <c r="Q13" s="258">
        <f t="shared" si="0"/>
        <v>-8695</v>
      </c>
    </row>
    <row r="14" spans="1:26" ht="12.75" customHeight="1" x14ac:dyDescent="0.25">
      <c r="A14" s="11" t="s">
        <v>190</v>
      </c>
      <c r="B14" s="15"/>
      <c r="C14" s="387">
        <f>GrossMargin!I14</f>
        <v>1667</v>
      </c>
      <c r="D14" s="98">
        <f>GrossMargin!J14</f>
        <v>12500</v>
      </c>
      <c r="E14" s="258">
        <f t="shared" si="1"/>
        <v>-10833</v>
      </c>
      <c r="F14" s="23"/>
      <c r="G14" s="98">
        <f>Expenses!C14+Expenses!F14</f>
        <v>968</v>
      </c>
      <c r="H14" s="98">
        <f>Expenses!D14+Expenses!G14</f>
        <v>968</v>
      </c>
      <c r="I14" s="258">
        <f t="shared" si="2"/>
        <v>0</v>
      </c>
      <c r="J14" s="229"/>
      <c r="K14" s="256">
        <f>'Cap Charge'!C14</f>
        <v>0</v>
      </c>
      <c r="L14" s="275">
        <f>'Cap Charge'!D14</f>
        <v>0</v>
      </c>
      <c r="M14" s="258">
        <f>'Cap Charge'!E14</f>
        <v>0</v>
      </c>
      <c r="N14" s="182"/>
      <c r="O14" s="180">
        <f t="shared" si="3"/>
        <v>699</v>
      </c>
      <c r="P14" s="275">
        <f t="shared" si="4"/>
        <v>11532</v>
      </c>
      <c r="Q14" s="258">
        <f t="shared" si="0"/>
        <v>-10833</v>
      </c>
    </row>
    <row r="15" spans="1:26" ht="12.75" customHeight="1" x14ac:dyDescent="0.25">
      <c r="A15" s="11" t="s">
        <v>209</v>
      </c>
      <c r="B15" s="15"/>
      <c r="C15" s="387">
        <f>GrossMargin!I15</f>
        <v>-2325</v>
      </c>
      <c r="D15" s="98">
        <f>GrossMargin!J15</f>
        <v>4375</v>
      </c>
      <c r="E15" s="258">
        <f t="shared" si="1"/>
        <v>-6700</v>
      </c>
      <c r="F15" s="23"/>
      <c r="G15" s="98">
        <f>Expenses!C15+Expenses!F15</f>
        <v>200</v>
      </c>
      <c r="H15" s="98">
        <f>Expenses!D15+Expenses!G15</f>
        <v>200</v>
      </c>
      <c r="I15" s="258">
        <f t="shared" si="2"/>
        <v>0</v>
      </c>
      <c r="J15" s="229"/>
      <c r="K15" s="256">
        <f>'Cap Charge'!C15</f>
        <v>0</v>
      </c>
      <c r="L15" s="275">
        <f>'Cap Charge'!D15</f>
        <v>0</v>
      </c>
      <c r="M15" s="258">
        <f>'Cap Charge'!E15</f>
        <v>0</v>
      </c>
      <c r="N15" s="182"/>
      <c r="O15" s="180">
        <f t="shared" si="3"/>
        <v>-2525</v>
      </c>
      <c r="P15" s="275">
        <f t="shared" si="4"/>
        <v>4175</v>
      </c>
      <c r="Q15" s="258">
        <f t="shared" si="0"/>
        <v>-6700</v>
      </c>
    </row>
    <row r="16" spans="1:26" ht="12.75" customHeight="1" x14ac:dyDescent="0.25">
      <c r="A16" s="11" t="s">
        <v>210</v>
      </c>
      <c r="B16" s="15"/>
      <c r="C16" s="387">
        <f>GrossMargin!I16</f>
        <v>70</v>
      </c>
      <c r="D16" s="98">
        <f>GrossMargin!J16</f>
        <v>4375</v>
      </c>
      <c r="E16" s="258">
        <f t="shared" si="1"/>
        <v>-4305</v>
      </c>
      <c r="F16" s="23"/>
      <c r="G16" s="98">
        <f>Expenses!C16+Expenses!F16</f>
        <v>727</v>
      </c>
      <c r="H16" s="98">
        <f>Expenses!D16+Expenses!G16</f>
        <v>727</v>
      </c>
      <c r="I16" s="258">
        <f t="shared" si="2"/>
        <v>0</v>
      </c>
      <c r="J16" s="229"/>
      <c r="K16" s="256">
        <f>'Cap Charge'!C16</f>
        <v>0</v>
      </c>
      <c r="L16" s="275">
        <f>'Cap Charge'!D16</f>
        <v>0</v>
      </c>
      <c r="M16" s="258">
        <f>'Cap Charge'!E16</f>
        <v>0</v>
      </c>
      <c r="N16" s="182"/>
      <c r="O16" s="180">
        <f t="shared" si="3"/>
        <v>-657</v>
      </c>
      <c r="P16" s="275">
        <f t="shared" si="4"/>
        <v>3648</v>
      </c>
      <c r="Q16" s="258">
        <f t="shared" si="0"/>
        <v>-4305</v>
      </c>
    </row>
    <row r="17" spans="1:17" ht="12.75" customHeight="1" x14ac:dyDescent="0.25">
      <c r="A17" s="11" t="s">
        <v>208</v>
      </c>
      <c r="B17" s="15"/>
      <c r="C17" s="387">
        <f>GrossMargin!I17</f>
        <v>3846</v>
      </c>
      <c r="D17" s="98">
        <f>GrossMargin!J17</f>
        <v>0</v>
      </c>
      <c r="E17" s="258">
        <f t="shared" si="1"/>
        <v>3846</v>
      </c>
      <c r="F17" s="23"/>
      <c r="G17" s="98">
        <f>Expenses!C17+Expenses!F17</f>
        <v>254</v>
      </c>
      <c r="H17" s="98">
        <f>Expenses!D17+Expenses!G17</f>
        <v>0</v>
      </c>
      <c r="I17" s="258">
        <f t="shared" si="2"/>
        <v>254</v>
      </c>
      <c r="J17" s="229"/>
      <c r="K17" s="256">
        <f>'Cap Charge'!C17</f>
        <v>0</v>
      </c>
      <c r="L17" s="275">
        <f>'Cap Charge'!D17</f>
        <v>0</v>
      </c>
      <c r="M17" s="258">
        <f>'Cap Charge'!E17</f>
        <v>0</v>
      </c>
      <c r="N17" s="182"/>
      <c r="O17" s="180">
        <f t="shared" si="3"/>
        <v>3592</v>
      </c>
      <c r="P17" s="275">
        <f t="shared" si="4"/>
        <v>0</v>
      </c>
      <c r="Q17" s="258">
        <f t="shared" si="0"/>
        <v>3592</v>
      </c>
    </row>
    <row r="18" spans="1:17" ht="12.75" customHeight="1" x14ac:dyDescent="0.25">
      <c r="A18" s="11" t="s">
        <v>128</v>
      </c>
      <c r="B18" s="15"/>
      <c r="C18" s="387">
        <f>GrossMargin!I18</f>
        <v>-25456</v>
      </c>
      <c r="D18" s="98">
        <f>GrossMargin!J18</f>
        <v>4200</v>
      </c>
      <c r="E18" s="258">
        <f t="shared" si="1"/>
        <v>-29656</v>
      </c>
      <c r="F18" s="23"/>
      <c r="G18" s="98">
        <f>Expenses!C18+Expenses!F18</f>
        <v>2628</v>
      </c>
      <c r="H18" s="98">
        <f>Expenses!D18+Expenses!G18</f>
        <v>2628</v>
      </c>
      <c r="I18" s="258">
        <f t="shared" si="2"/>
        <v>0</v>
      </c>
      <c r="J18" s="229"/>
      <c r="K18" s="256">
        <f>'Cap Charge'!C18</f>
        <v>0</v>
      </c>
      <c r="L18" s="275">
        <f>'Cap Charge'!D18</f>
        <v>0</v>
      </c>
      <c r="M18" s="258">
        <f>'Cap Charge'!E18</f>
        <v>0</v>
      </c>
      <c r="N18" s="182"/>
      <c r="O18" s="180">
        <f t="shared" si="3"/>
        <v>-28084</v>
      </c>
      <c r="P18" s="275">
        <f t="shared" si="4"/>
        <v>1572</v>
      </c>
      <c r="Q18" s="258">
        <f t="shared" si="0"/>
        <v>-29656</v>
      </c>
    </row>
    <row r="19" spans="1:17" ht="12.75" customHeight="1" x14ac:dyDescent="0.25">
      <c r="A19" s="11" t="s">
        <v>129</v>
      </c>
      <c r="B19" s="15"/>
      <c r="C19" s="387">
        <f>GrossMargin!I19</f>
        <v>82</v>
      </c>
      <c r="D19" s="98">
        <f>GrossMargin!J19</f>
        <v>0</v>
      </c>
      <c r="E19" s="258">
        <f t="shared" si="1"/>
        <v>82</v>
      </c>
      <c r="F19" s="23"/>
      <c r="G19" s="98">
        <f>Expenses!C19+Expenses!F19</f>
        <v>112</v>
      </c>
      <c r="H19" s="98">
        <f>Expenses!D19+Expenses!G19</f>
        <v>0</v>
      </c>
      <c r="I19" s="258">
        <f t="shared" si="2"/>
        <v>112</v>
      </c>
      <c r="J19" s="229"/>
      <c r="K19" s="256">
        <f>'Cap Charge'!C19</f>
        <v>0</v>
      </c>
      <c r="L19" s="275">
        <f>'Cap Charge'!D19</f>
        <v>0</v>
      </c>
      <c r="M19" s="258">
        <f>'Cap Charge'!E19</f>
        <v>0</v>
      </c>
      <c r="N19" s="182"/>
      <c r="O19" s="180">
        <f t="shared" si="3"/>
        <v>-30</v>
      </c>
      <c r="P19" s="275">
        <f t="shared" si="4"/>
        <v>0</v>
      </c>
      <c r="Q19" s="258">
        <f t="shared" si="0"/>
        <v>-30</v>
      </c>
    </row>
    <row r="20" spans="1:17" ht="12.75" customHeight="1" x14ac:dyDescent="0.25">
      <c r="A20" s="11" t="s">
        <v>130</v>
      </c>
      <c r="B20" s="15"/>
      <c r="C20" s="387">
        <f>GrossMargin!I20</f>
        <v>2438</v>
      </c>
      <c r="D20" s="98">
        <f>GrossMargin!J20</f>
        <v>6000</v>
      </c>
      <c r="E20" s="258">
        <f t="shared" si="1"/>
        <v>-3562</v>
      </c>
      <c r="F20" s="23"/>
      <c r="G20" s="98">
        <f>Expenses!C20+Expenses!F20</f>
        <v>2096</v>
      </c>
      <c r="H20" s="98">
        <f>Expenses!D20+Expenses!G20</f>
        <v>2096</v>
      </c>
      <c r="I20" s="258">
        <f t="shared" si="2"/>
        <v>0</v>
      </c>
      <c r="J20" s="229"/>
      <c r="K20" s="256">
        <f>'Cap Charge'!C20</f>
        <v>324</v>
      </c>
      <c r="L20" s="275">
        <f>'Cap Charge'!D20</f>
        <v>348</v>
      </c>
      <c r="M20" s="258">
        <f>'Cap Charge'!E20</f>
        <v>24</v>
      </c>
      <c r="N20" s="182"/>
      <c r="O20" s="180">
        <f t="shared" si="3"/>
        <v>18</v>
      </c>
      <c r="P20" s="275">
        <f t="shared" si="4"/>
        <v>3556</v>
      </c>
      <c r="Q20" s="258">
        <f t="shared" si="0"/>
        <v>-3538</v>
      </c>
    </row>
    <row r="21" spans="1:17" ht="12.75" customHeight="1" x14ac:dyDescent="0.25">
      <c r="A21" s="11" t="s">
        <v>131</v>
      </c>
      <c r="B21" s="15"/>
      <c r="C21" s="387">
        <f>GrossMargin!I21</f>
        <v>-1516</v>
      </c>
      <c r="D21" s="98">
        <f>GrossMargin!J21</f>
        <v>20000</v>
      </c>
      <c r="E21" s="258">
        <f t="shared" si="1"/>
        <v>-21516</v>
      </c>
      <c r="F21" s="23"/>
      <c r="G21" s="98">
        <f>Expenses!C21+Expenses!F21</f>
        <v>1770</v>
      </c>
      <c r="H21" s="98">
        <f>Expenses!D21+Expenses!G21</f>
        <v>1770</v>
      </c>
      <c r="I21" s="258">
        <f t="shared" si="2"/>
        <v>0</v>
      </c>
      <c r="J21" s="229"/>
      <c r="K21" s="256">
        <f>'Cap Charge'!C21</f>
        <v>16892</v>
      </c>
      <c r="L21" s="275">
        <f>'Cap Charge'!D21</f>
        <v>16314</v>
      </c>
      <c r="M21" s="258">
        <f>'Cap Charge'!E21</f>
        <v>-578</v>
      </c>
      <c r="N21" s="182"/>
      <c r="O21" s="180">
        <f t="shared" si="3"/>
        <v>-20178</v>
      </c>
      <c r="P21" s="275">
        <f t="shared" si="4"/>
        <v>1916</v>
      </c>
      <c r="Q21" s="258">
        <f t="shared" si="0"/>
        <v>-22094</v>
      </c>
    </row>
    <row r="22" spans="1:17" ht="12.75" customHeight="1" thickBot="1" x14ac:dyDescent="0.3">
      <c r="A22" s="11" t="s">
        <v>132</v>
      </c>
      <c r="B22" s="15"/>
      <c r="C22" s="388">
        <f>GrossMargin!I22</f>
        <v>0</v>
      </c>
      <c r="D22" s="389">
        <f>GrossMargin!J22</f>
        <v>0</v>
      </c>
      <c r="E22" s="332">
        <f t="shared" si="1"/>
        <v>0</v>
      </c>
      <c r="F22" s="23"/>
      <c r="G22" s="98">
        <f>Expenses!C22+Expenses!F22</f>
        <v>1404</v>
      </c>
      <c r="H22" s="98">
        <f>Expenses!D22+Expenses!G22</f>
        <v>1404</v>
      </c>
      <c r="I22" s="258">
        <f t="shared" si="2"/>
        <v>0</v>
      </c>
      <c r="J22" s="229"/>
      <c r="K22" s="330">
        <f>'Cap Charge'!C22</f>
        <v>0</v>
      </c>
      <c r="L22" s="331">
        <f>'Cap Charge'!D22</f>
        <v>0</v>
      </c>
      <c r="M22" s="332">
        <f>'Cap Charge'!E22</f>
        <v>0</v>
      </c>
      <c r="N22" s="182"/>
      <c r="O22" s="302">
        <f t="shared" si="3"/>
        <v>-1404</v>
      </c>
      <c r="P22" s="331">
        <f t="shared" si="4"/>
        <v>-1404</v>
      </c>
      <c r="Q22" s="332">
        <f t="shared" si="0"/>
        <v>0</v>
      </c>
    </row>
    <row r="23" spans="1:17" s="42" customFormat="1" ht="12.75" customHeight="1" thickBot="1" x14ac:dyDescent="0.3">
      <c r="A23" s="35" t="s">
        <v>7</v>
      </c>
      <c r="B23" s="277"/>
      <c r="C23" s="264">
        <f>SUM(C9:C22)</f>
        <v>-21341</v>
      </c>
      <c r="D23" s="293">
        <f>SUM(D9:D22)</f>
        <v>98950</v>
      </c>
      <c r="E23" s="265">
        <f>SUM(E9:E22)</f>
        <v>-120291</v>
      </c>
      <c r="F23" s="152"/>
      <c r="G23" s="296">
        <f>SUM(G9:G22)</f>
        <v>14025</v>
      </c>
      <c r="H23" s="311">
        <f>SUM(H9:H22)</f>
        <v>13659</v>
      </c>
      <c r="I23" s="312">
        <f>SUM(I9:I22)</f>
        <v>366</v>
      </c>
      <c r="J23" s="93"/>
      <c r="K23" s="382">
        <f>SUM(K9:K22)</f>
        <v>17291</v>
      </c>
      <c r="L23" s="382">
        <f>SUM(L9:L22)</f>
        <v>16662</v>
      </c>
      <c r="M23" s="385">
        <f>SUM(M9:M22)</f>
        <v>-629</v>
      </c>
      <c r="N23" s="194"/>
      <c r="O23" s="296">
        <f>SUM(O9:O22)</f>
        <v>-52657</v>
      </c>
      <c r="P23" s="311">
        <f>SUM(P9:P22)</f>
        <v>68629</v>
      </c>
      <c r="Q23" s="312">
        <f>SUM(Q9:Q22)</f>
        <v>-121286</v>
      </c>
    </row>
    <row r="24" spans="1:17" ht="12.75" customHeight="1" x14ac:dyDescent="0.25">
      <c r="A24" s="11" t="s">
        <v>133</v>
      </c>
      <c r="B24" s="9"/>
      <c r="C24" s="21">
        <f>GrossMargin!I24</f>
        <v>54403</v>
      </c>
      <c r="D24" s="98">
        <f>GrossMargin!J24</f>
        <v>62499</v>
      </c>
      <c r="E24" s="40">
        <f t="shared" ref="E24:E30" si="5">C24-D24</f>
        <v>-8096</v>
      </c>
      <c r="F24" s="23"/>
      <c r="G24" s="360">
        <f>Expenses!C25+Expenses!F25</f>
        <v>2627</v>
      </c>
      <c r="H24" s="361">
        <f>Expenses!D25+Expenses!G25</f>
        <v>2627</v>
      </c>
      <c r="I24" s="362">
        <f t="shared" si="2"/>
        <v>0</v>
      </c>
      <c r="J24" s="20"/>
      <c r="K24" s="219">
        <f>'Cap Charge'!C24</f>
        <v>0</v>
      </c>
      <c r="L24" s="181">
        <f>'Cap Charge'!D24</f>
        <v>0</v>
      </c>
      <c r="M24" s="254">
        <f>'Cap Charge'!E24</f>
        <v>0</v>
      </c>
      <c r="N24" s="182"/>
      <c r="O24" s="180">
        <f>C24-G24-K24</f>
        <v>51776</v>
      </c>
      <c r="P24" s="275">
        <f>D24-H24-L24</f>
        <v>59872</v>
      </c>
      <c r="Q24" s="258">
        <f t="shared" ref="Q24:Q30" si="6">O24-P24</f>
        <v>-8096</v>
      </c>
    </row>
    <row r="25" spans="1:17" ht="12.75" customHeight="1" x14ac:dyDescent="0.25">
      <c r="A25" s="11" t="s">
        <v>136</v>
      </c>
      <c r="B25" s="9"/>
      <c r="C25" s="21">
        <f>GrossMargin!I25</f>
        <v>0</v>
      </c>
      <c r="D25" s="98">
        <f>GrossMargin!J25</f>
        <v>0</v>
      </c>
      <c r="E25" s="40">
        <f t="shared" si="5"/>
        <v>0</v>
      </c>
      <c r="F25" s="23"/>
      <c r="G25" s="281">
        <f>Expenses!C24+Expenses!F24</f>
        <v>134</v>
      </c>
      <c r="H25" s="219">
        <f>Expenses!D24+Expenses!G24</f>
        <v>134</v>
      </c>
      <c r="I25" s="363">
        <f t="shared" si="2"/>
        <v>0</v>
      </c>
      <c r="J25" s="20"/>
      <c r="K25" s="219">
        <f>'Cap Charge'!C25</f>
        <v>0</v>
      </c>
      <c r="L25" s="181">
        <f>'Cap Charge'!D25</f>
        <v>0</v>
      </c>
      <c r="M25" s="254">
        <f>'Cap Charge'!E25</f>
        <v>0</v>
      </c>
      <c r="N25" s="182"/>
      <c r="O25" s="180">
        <f t="shared" ref="O25:O30" si="7">C25-G25-K25</f>
        <v>-134</v>
      </c>
      <c r="P25" s="275">
        <f t="shared" ref="P25:P30" si="8">D25-H25-L25</f>
        <v>-134</v>
      </c>
      <c r="Q25" s="258">
        <f t="shared" si="6"/>
        <v>0</v>
      </c>
    </row>
    <row r="26" spans="1:17" ht="12.75" customHeight="1" x14ac:dyDescent="0.25">
      <c r="A26" s="11" t="s">
        <v>211</v>
      </c>
      <c r="B26" s="9"/>
      <c r="C26" s="21">
        <f>GrossMargin!I26</f>
        <v>6407</v>
      </c>
      <c r="D26" s="98">
        <f>GrossMargin!J26</f>
        <v>12499</v>
      </c>
      <c r="E26" s="40">
        <f t="shared" si="5"/>
        <v>-6092</v>
      </c>
      <c r="F26" s="23"/>
      <c r="G26" s="281">
        <f>Expenses!C26+Expenses!F26</f>
        <v>293</v>
      </c>
      <c r="H26" s="219">
        <f>Expenses!D26+Expenses!G26</f>
        <v>293</v>
      </c>
      <c r="I26" s="363">
        <f t="shared" si="2"/>
        <v>0</v>
      </c>
      <c r="J26" s="20"/>
      <c r="K26" s="219">
        <f>'Cap Charge'!C26</f>
        <v>0</v>
      </c>
      <c r="L26" s="181">
        <f>'Cap Charge'!D26</f>
        <v>0</v>
      </c>
      <c r="M26" s="254">
        <f>'Cap Charge'!E26</f>
        <v>0</v>
      </c>
      <c r="N26" s="182"/>
      <c r="O26" s="180">
        <f t="shared" si="7"/>
        <v>6114</v>
      </c>
      <c r="P26" s="275">
        <f t="shared" si="8"/>
        <v>12206</v>
      </c>
      <c r="Q26" s="258">
        <f t="shared" si="6"/>
        <v>-6092</v>
      </c>
    </row>
    <row r="27" spans="1:17" ht="12.75" customHeight="1" x14ac:dyDescent="0.25">
      <c r="A27" s="11" t="s">
        <v>135</v>
      </c>
      <c r="B27" s="9"/>
      <c r="C27" s="21">
        <f>GrossMargin!I27</f>
        <v>3</v>
      </c>
      <c r="D27" s="98">
        <f>GrossMargin!J27</f>
        <v>20958</v>
      </c>
      <c r="E27" s="40">
        <f t="shared" si="5"/>
        <v>-20955</v>
      </c>
      <c r="F27" s="358" t="s">
        <v>178</v>
      </c>
      <c r="G27" s="281">
        <f>Expenses!C27+Expenses!F27</f>
        <v>1458</v>
      </c>
      <c r="H27" s="219">
        <f>Expenses!D27+Expenses!G27</f>
        <v>1458</v>
      </c>
      <c r="I27" s="363">
        <f t="shared" si="2"/>
        <v>0</v>
      </c>
      <c r="J27" s="359"/>
      <c r="K27" s="219">
        <f>'Cap Charge'!C27</f>
        <v>1084</v>
      </c>
      <c r="L27" s="181">
        <f>'Cap Charge'!D27</f>
        <v>963</v>
      </c>
      <c r="M27" s="254">
        <f>'Cap Charge'!E27</f>
        <v>-121</v>
      </c>
      <c r="N27" s="182"/>
      <c r="O27" s="180">
        <f t="shared" si="7"/>
        <v>-2539</v>
      </c>
      <c r="P27" s="275">
        <f t="shared" si="8"/>
        <v>18537</v>
      </c>
      <c r="Q27" s="258">
        <f t="shared" si="6"/>
        <v>-21076</v>
      </c>
    </row>
    <row r="28" spans="1:17" ht="12.75" customHeight="1" x14ac:dyDescent="0.25">
      <c r="A28" s="11" t="s">
        <v>137</v>
      </c>
      <c r="B28" s="9"/>
      <c r="C28" s="21">
        <f>GrossMargin!I28</f>
        <v>0</v>
      </c>
      <c r="D28" s="98">
        <f>GrossMargin!J28</f>
        <v>5250</v>
      </c>
      <c r="E28" s="40">
        <f t="shared" si="5"/>
        <v>-5250</v>
      </c>
      <c r="F28" s="23"/>
      <c r="G28" s="281">
        <f>Expenses!C28+Expenses!F28</f>
        <v>530</v>
      </c>
      <c r="H28" s="219">
        <f>Expenses!D28+Expenses!G28</f>
        <v>530</v>
      </c>
      <c r="I28" s="363">
        <f t="shared" si="2"/>
        <v>0</v>
      </c>
      <c r="J28" s="20"/>
      <c r="K28" s="219">
        <f>'Cap Charge'!C28</f>
        <v>0</v>
      </c>
      <c r="L28" s="181">
        <f>'Cap Charge'!D28</f>
        <v>0</v>
      </c>
      <c r="M28" s="254">
        <f>'Cap Charge'!E28</f>
        <v>0</v>
      </c>
      <c r="N28" s="182"/>
      <c r="O28" s="180">
        <f t="shared" si="7"/>
        <v>-530</v>
      </c>
      <c r="P28" s="275">
        <f t="shared" si="8"/>
        <v>4720</v>
      </c>
      <c r="Q28" s="258">
        <f t="shared" si="6"/>
        <v>-5250</v>
      </c>
    </row>
    <row r="29" spans="1:17" ht="12.75" customHeight="1" x14ac:dyDescent="0.25">
      <c r="A29" s="11" t="s">
        <v>138</v>
      </c>
      <c r="B29" s="9"/>
      <c r="C29" s="21">
        <f>GrossMargin!I29</f>
        <v>1346</v>
      </c>
      <c r="D29" s="98">
        <f>GrossMargin!J29</f>
        <v>-1001</v>
      </c>
      <c r="E29" s="40">
        <f t="shared" si="5"/>
        <v>2347</v>
      </c>
      <c r="F29" s="358" t="s">
        <v>179</v>
      </c>
      <c r="G29" s="364">
        <f>Expenses!C29+Expenses!F29</f>
        <v>2094</v>
      </c>
      <c r="H29" s="219">
        <f>Expenses!D29+Expenses!G29</f>
        <v>2094</v>
      </c>
      <c r="I29" s="363">
        <f t="shared" si="2"/>
        <v>0</v>
      </c>
      <c r="J29" s="359"/>
      <c r="K29" s="219">
        <f>'Cap Charge'!C29</f>
        <v>2084</v>
      </c>
      <c r="L29" s="181">
        <f>'Cap Charge'!D29</f>
        <v>1870</v>
      </c>
      <c r="M29" s="254">
        <f>'Cap Charge'!E29</f>
        <v>-214</v>
      </c>
      <c r="N29" s="182"/>
      <c r="O29" s="180">
        <f t="shared" si="7"/>
        <v>-2832</v>
      </c>
      <c r="P29" s="275">
        <f t="shared" si="8"/>
        <v>-4965</v>
      </c>
      <c r="Q29" s="258">
        <f t="shared" si="6"/>
        <v>2133</v>
      </c>
    </row>
    <row r="30" spans="1:17" ht="12.75" customHeight="1" thickBot="1" x14ac:dyDescent="0.3">
      <c r="A30" s="11" t="s">
        <v>139</v>
      </c>
      <c r="B30" s="9"/>
      <c r="C30" s="21">
        <f>GrossMargin!I30</f>
        <v>0</v>
      </c>
      <c r="D30" s="98">
        <f>GrossMargin!J30</f>
        <v>0</v>
      </c>
      <c r="E30" s="40">
        <f t="shared" si="5"/>
        <v>0</v>
      </c>
      <c r="F30" s="23"/>
      <c r="G30" s="365">
        <f>Expenses!C30+Expenses!F30</f>
        <v>273</v>
      </c>
      <c r="H30" s="366">
        <f>Expenses!D30+Expenses!G30</f>
        <v>273</v>
      </c>
      <c r="I30" s="367">
        <f t="shared" si="2"/>
        <v>0</v>
      </c>
      <c r="J30" s="20"/>
      <c r="K30" s="219">
        <f>'Cap Charge'!C30</f>
        <v>0</v>
      </c>
      <c r="L30" s="181">
        <f>'Cap Charge'!D30</f>
        <v>0</v>
      </c>
      <c r="M30" s="254">
        <f>'Cap Charge'!E30</f>
        <v>0</v>
      </c>
      <c r="N30" s="182"/>
      <c r="O30" s="180">
        <f t="shared" si="7"/>
        <v>-273</v>
      </c>
      <c r="P30" s="275">
        <f t="shared" si="8"/>
        <v>-273</v>
      </c>
      <c r="Q30" s="258">
        <f t="shared" si="6"/>
        <v>0</v>
      </c>
    </row>
    <row r="31" spans="1:17" s="42" customFormat="1" ht="12.75" customHeight="1" thickBot="1" x14ac:dyDescent="0.3">
      <c r="A31" s="35" t="s">
        <v>8</v>
      </c>
      <c r="B31" s="277"/>
      <c r="C31" s="263">
        <f>SUM(C24:C30)</f>
        <v>62159</v>
      </c>
      <c r="D31" s="264">
        <f>SUM(D24:D30)</f>
        <v>100205</v>
      </c>
      <c r="E31" s="264">
        <f>SUM(E24:E30)</f>
        <v>-38046</v>
      </c>
      <c r="F31" s="320"/>
      <c r="G31" s="264">
        <f>SUM(G24:G30)</f>
        <v>7409</v>
      </c>
      <c r="H31" s="264">
        <f>SUM(H24:H30)</f>
        <v>7409</v>
      </c>
      <c r="I31" s="264">
        <f>SUM(I24:I30)</f>
        <v>0</v>
      </c>
      <c r="J31" s="321"/>
      <c r="K31" s="264">
        <f>SUM(K24:K30)</f>
        <v>3168</v>
      </c>
      <c r="L31" s="264">
        <f>SUM(L24:L30)</f>
        <v>2833</v>
      </c>
      <c r="M31" s="264">
        <f>SUM(M24:M30)</f>
        <v>-335</v>
      </c>
      <c r="N31" s="322"/>
      <c r="O31" s="264">
        <f>SUM(O24:O30)</f>
        <v>51582</v>
      </c>
      <c r="P31" s="264">
        <f>SUM(P24:P30)</f>
        <v>89963</v>
      </c>
      <c r="Q31" s="265">
        <f>SUM(Q24:Q30)</f>
        <v>-38381</v>
      </c>
    </row>
    <row r="32" spans="1:17" ht="12.75" customHeight="1" x14ac:dyDescent="0.25">
      <c r="A32" s="11" t="s">
        <v>193</v>
      </c>
      <c r="B32" s="9"/>
      <c r="C32" s="21">
        <f>GrossMargin!I32</f>
        <v>7825</v>
      </c>
      <c r="D32" s="219">
        <f>GrossMargin!J32</f>
        <v>15000</v>
      </c>
      <c r="E32" s="255">
        <f t="shared" ref="E32:E44" si="9">C32-D32</f>
        <v>-7175</v>
      </c>
      <c r="F32" s="351" t="s">
        <v>181</v>
      </c>
      <c r="G32" s="352">
        <f>Expenses!C32</f>
        <v>1902</v>
      </c>
      <c r="H32" s="352">
        <f>Expenses!D32</f>
        <v>1902</v>
      </c>
      <c r="I32" s="353">
        <f t="shared" si="2"/>
        <v>0</v>
      </c>
      <c r="J32" s="354"/>
      <c r="K32" s="352">
        <f>'Cap Charge'!C32</f>
        <v>745</v>
      </c>
      <c r="L32" s="181">
        <f>'Cap Charge'!D32</f>
        <v>1573</v>
      </c>
      <c r="M32" s="254">
        <f>'Cap Charge'!E32</f>
        <v>828</v>
      </c>
      <c r="N32" s="182"/>
      <c r="O32" s="180">
        <f t="shared" ref="O32:P36" si="10">C32-G32-K32</f>
        <v>5178</v>
      </c>
      <c r="P32" s="181">
        <f t="shared" si="10"/>
        <v>11525</v>
      </c>
      <c r="Q32" s="254">
        <f t="shared" ref="Q32:Q44" si="11">O32-P32</f>
        <v>-6347</v>
      </c>
    </row>
    <row r="33" spans="1:17" ht="12.75" customHeight="1" x14ac:dyDescent="0.25">
      <c r="A33" s="11" t="s">
        <v>194</v>
      </c>
      <c r="B33" s="9"/>
      <c r="C33" s="21">
        <f>GrossMargin!I33</f>
        <v>214</v>
      </c>
      <c r="D33" s="219">
        <f>GrossMargin!J33</f>
        <v>6000</v>
      </c>
      <c r="E33" s="255">
        <f t="shared" si="9"/>
        <v>-5786</v>
      </c>
      <c r="F33" s="23"/>
      <c r="G33" s="219">
        <f>Expenses!C33</f>
        <v>976</v>
      </c>
      <c r="H33" s="219">
        <f>Expenses!D33</f>
        <v>976</v>
      </c>
      <c r="I33" s="254">
        <f t="shared" si="2"/>
        <v>0</v>
      </c>
      <c r="J33" s="9"/>
      <c r="K33" s="219">
        <f>'Cap Charge'!C33</f>
        <v>0</v>
      </c>
      <c r="L33" s="181">
        <f>'Cap Charge'!D33</f>
        <v>0</v>
      </c>
      <c r="M33" s="254">
        <f>'Cap Charge'!E33</f>
        <v>0</v>
      </c>
      <c r="N33" s="182"/>
      <c r="O33" s="180">
        <f t="shared" si="10"/>
        <v>-762</v>
      </c>
      <c r="P33" s="181">
        <f t="shared" si="10"/>
        <v>5024</v>
      </c>
      <c r="Q33" s="254">
        <f t="shared" si="11"/>
        <v>-5786</v>
      </c>
    </row>
    <row r="34" spans="1:17" ht="12.75" customHeight="1" x14ac:dyDescent="0.25">
      <c r="A34" s="11" t="s">
        <v>195</v>
      </c>
      <c r="B34" s="9"/>
      <c r="C34" s="21">
        <f>GrossMargin!I34</f>
        <v>-7034</v>
      </c>
      <c r="D34" s="219">
        <f>GrossMargin!J34</f>
        <v>15750</v>
      </c>
      <c r="E34" s="255">
        <f t="shared" si="9"/>
        <v>-22784</v>
      </c>
      <c r="F34" s="351" t="s">
        <v>180</v>
      </c>
      <c r="G34" s="352">
        <f>Expenses!C34</f>
        <v>1640</v>
      </c>
      <c r="H34" s="352">
        <f>Expenses!D34</f>
        <v>1640</v>
      </c>
      <c r="I34" s="353">
        <f t="shared" si="2"/>
        <v>0</v>
      </c>
      <c r="J34" s="354"/>
      <c r="K34" s="352">
        <f>'Cap Charge'!C34</f>
        <v>847</v>
      </c>
      <c r="L34" s="181">
        <f>'Cap Charge'!D34</f>
        <v>144</v>
      </c>
      <c r="M34" s="254">
        <f>'Cap Charge'!E34</f>
        <v>-703</v>
      </c>
      <c r="N34" s="182"/>
      <c r="O34" s="180">
        <f t="shared" si="10"/>
        <v>-9521</v>
      </c>
      <c r="P34" s="181">
        <f t="shared" si="10"/>
        <v>13966</v>
      </c>
      <c r="Q34" s="254">
        <f t="shared" si="11"/>
        <v>-23487</v>
      </c>
    </row>
    <row r="35" spans="1:17" ht="12.75" customHeight="1" x14ac:dyDescent="0.25">
      <c r="A35" s="11" t="s">
        <v>196</v>
      </c>
      <c r="B35" s="9"/>
      <c r="C35" s="21">
        <f>GrossMargin!I35</f>
        <v>120</v>
      </c>
      <c r="D35" s="219">
        <f>GrossMargin!J35</f>
        <v>6500</v>
      </c>
      <c r="E35" s="255">
        <f t="shared" si="9"/>
        <v>-6380</v>
      </c>
      <c r="F35" s="23"/>
      <c r="G35" s="219">
        <f>Expenses!C35</f>
        <v>813</v>
      </c>
      <c r="H35" s="219">
        <f>Expenses!D35</f>
        <v>813</v>
      </c>
      <c r="I35" s="254">
        <f t="shared" si="2"/>
        <v>0</v>
      </c>
      <c r="J35" s="9"/>
      <c r="K35" s="219">
        <f>'Cap Charge'!C35</f>
        <v>0</v>
      </c>
      <c r="L35" s="181">
        <f>'Cap Charge'!D35</f>
        <v>0</v>
      </c>
      <c r="M35" s="254">
        <f>'Cap Charge'!E35</f>
        <v>0</v>
      </c>
      <c r="N35" s="182"/>
      <c r="O35" s="180">
        <f t="shared" si="10"/>
        <v>-693</v>
      </c>
      <c r="P35" s="181">
        <f t="shared" si="10"/>
        <v>5687</v>
      </c>
      <c r="Q35" s="254">
        <f t="shared" si="11"/>
        <v>-6380</v>
      </c>
    </row>
    <row r="36" spans="1:17" ht="12.75" customHeight="1" x14ac:dyDescent="0.25">
      <c r="A36" s="11" t="s">
        <v>191</v>
      </c>
      <c r="B36" s="9"/>
      <c r="C36" s="21">
        <f>GrossMargin!I36</f>
        <v>-1577</v>
      </c>
      <c r="D36" s="219">
        <f>GrossMargin!J36</f>
        <v>10000</v>
      </c>
      <c r="E36" s="255">
        <f t="shared" si="9"/>
        <v>-11577</v>
      </c>
      <c r="F36" s="23"/>
      <c r="G36" s="219">
        <f>Expenses!C36</f>
        <v>1082</v>
      </c>
      <c r="H36" s="219">
        <f>Expenses!D36</f>
        <v>1082</v>
      </c>
      <c r="I36" s="254">
        <f t="shared" si="2"/>
        <v>0</v>
      </c>
      <c r="J36" s="9"/>
      <c r="K36" s="219">
        <f>'Cap Charge'!C36</f>
        <v>0</v>
      </c>
      <c r="L36" s="181">
        <f>'Cap Charge'!D36</f>
        <v>0</v>
      </c>
      <c r="M36" s="254">
        <f>'Cap Charge'!E36</f>
        <v>0</v>
      </c>
      <c r="N36" s="182"/>
      <c r="O36" s="180">
        <f t="shared" si="10"/>
        <v>-2659</v>
      </c>
      <c r="P36" s="181">
        <f t="shared" si="10"/>
        <v>8918</v>
      </c>
      <c r="Q36" s="254">
        <f t="shared" si="11"/>
        <v>-11577</v>
      </c>
    </row>
    <row r="37" spans="1:17" ht="12.75" customHeight="1" x14ac:dyDescent="0.25">
      <c r="A37" s="11" t="s">
        <v>192</v>
      </c>
      <c r="B37" s="9"/>
      <c r="C37" s="21">
        <f>GrossMargin!I37</f>
        <v>0</v>
      </c>
      <c r="D37" s="219">
        <f>GrossMargin!J37</f>
        <v>0</v>
      </c>
      <c r="E37" s="255">
        <f t="shared" si="9"/>
        <v>0</v>
      </c>
      <c r="F37" s="23"/>
      <c r="G37" s="219">
        <f>Expenses!C37</f>
        <v>0</v>
      </c>
      <c r="H37" s="219">
        <f>Expenses!D37</f>
        <v>0</v>
      </c>
      <c r="I37" s="254">
        <f t="shared" si="2"/>
        <v>0</v>
      </c>
      <c r="J37" s="9"/>
      <c r="K37" s="219">
        <f>'Cap Charge'!C37</f>
        <v>0</v>
      </c>
      <c r="L37" s="181">
        <f>'Cap Charge'!D37</f>
        <v>0</v>
      </c>
      <c r="M37" s="254">
        <f>'Cap Charge'!E37</f>
        <v>0</v>
      </c>
      <c r="N37" s="182"/>
      <c r="O37" s="180">
        <f t="shared" ref="O37:O44" si="12">C37-G37-K37</f>
        <v>0</v>
      </c>
      <c r="P37" s="181">
        <f t="shared" ref="P37:P44" si="13">D37-H37-L37</f>
        <v>0</v>
      </c>
      <c r="Q37" s="254">
        <f t="shared" si="11"/>
        <v>0</v>
      </c>
    </row>
    <row r="38" spans="1:17" ht="12.75" customHeight="1" x14ac:dyDescent="0.25">
      <c r="A38" s="11" t="s">
        <v>197</v>
      </c>
      <c r="B38" s="9"/>
      <c r="C38" s="21">
        <f>GrossMargin!I38</f>
        <v>-28957</v>
      </c>
      <c r="D38" s="219">
        <f>GrossMargin!J38</f>
        <v>26500</v>
      </c>
      <c r="E38" s="255">
        <f t="shared" si="9"/>
        <v>-55457</v>
      </c>
      <c r="F38" s="23"/>
      <c r="G38" s="219">
        <f>Expenses!C38</f>
        <v>1106</v>
      </c>
      <c r="H38" s="219">
        <f>Expenses!D38</f>
        <v>1106</v>
      </c>
      <c r="I38" s="254">
        <f t="shared" si="2"/>
        <v>0</v>
      </c>
      <c r="J38" s="9"/>
      <c r="K38" s="219">
        <f>'Cap Charge'!C38</f>
        <v>0</v>
      </c>
      <c r="L38" s="181">
        <f>'Cap Charge'!D38</f>
        <v>0</v>
      </c>
      <c r="M38" s="254">
        <f>'Cap Charge'!E38</f>
        <v>0</v>
      </c>
      <c r="N38" s="182"/>
      <c r="O38" s="180">
        <f t="shared" si="12"/>
        <v>-30063</v>
      </c>
      <c r="P38" s="181">
        <f t="shared" si="13"/>
        <v>25394</v>
      </c>
      <c r="Q38" s="254">
        <f t="shared" si="11"/>
        <v>-55457</v>
      </c>
    </row>
    <row r="39" spans="1:17" ht="12.75" customHeight="1" x14ac:dyDescent="0.25">
      <c r="A39" s="11" t="s">
        <v>198</v>
      </c>
      <c r="B39" s="9"/>
      <c r="C39" s="21">
        <f>GrossMargin!I39</f>
        <v>3248</v>
      </c>
      <c r="D39" s="219">
        <f>GrossMargin!J39</f>
        <v>5000</v>
      </c>
      <c r="E39" s="255">
        <f t="shared" si="9"/>
        <v>-1752</v>
      </c>
      <c r="F39" s="23"/>
      <c r="G39" s="219">
        <f>Expenses!C39</f>
        <v>624</v>
      </c>
      <c r="H39" s="219">
        <f>Expenses!D39</f>
        <v>624</v>
      </c>
      <c r="I39" s="254">
        <f t="shared" si="2"/>
        <v>0</v>
      </c>
      <c r="J39" s="9"/>
      <c r="K39" s="219">
        <f>'Cap Charge'!C39</f>
        <v>0</v>
      </c>
      <c r="L39" s="181">
        <f>'Cap Charge'!D39</f>
        <v>0</v>
      </c>
      <c r="M39" s="254">
        <f>'Cap Charge'!E39</f>
        <v>0</v>
      </c>
      <c r="N39" s="182"/>
      <c r="O39" s="180">
        <f t="shared" si="12"/>
        <v>2624</v>
      </c>
      <c r="P39" s="181">
        <f t="shared" si="13"/>
        <v>4376</v>
      </c>
      <c r="Q39" s="254">
        <f t="shared" si="11"/>
        <v>-1752</v>
      </c>
    </row>
    <row r="40" spans="1:17" ht="12.75" customHeight="1" x14ac:dyDescent="0.25">
      <c r="A40" s="11" t="s">
        <v>140</v>
      </c>
      <c r="B40" s="9"/>
      <c r="C40" s="21">
        <f>GrossMargin!I40</f>
        <v>56219</v>
      </c>
      <c r="D40" s="219">
        <f>GrossMargin!J40</f>
        <v>31250</v>
      </c>
      <c r="E40" s="255">
        <f t="shared" si="9"/>
        <v>24969</v>
      </c>
      <c r="F40" s="23"/>
      <c r="G40" s="219">
        <f>Expenses!C40</f>
        <v>402</v>
      </c>
      <c r="H40" s="219">
        <f>Expenses!D40</f>
        <v>402</v>
      </c>
      <c r="I40" s="254">
        <f t="shared" si="2"/>
        <v>0</v>
      </c>
      <c r="J40" s="9"/>
      <c r="K40" s="219">
        <f>'Cap Charge'!C40</f>
        <v>0</v>
      </c>
      <c r="L40" s="181">
        <f>'Cap Charge'!D40</f>
        <v>0</v>
      </c>
      <c r="M40" s="254">
        <f>'Cap Charge'!E40</f>
        <v>0</v>
      </c>
      <c r="N40" s="182"/>
      <c r="O40" s="180">
        <f t="shared" si="12"/>
        <v>55817</v>
      </c>
      <c r="P40" s="181">
        <f t="shared" si="13"/>
        <v>30848</v>
      </c>
      <c r="Q40" s="254">
        <f t="shared" si="11"/>
        <v>24969</v>
      </c>
    </row>
    <row r="41" spans="1:17" ht="12.75" customHeight="1" x14ac:dyDescent="0.25">
      <c r="A41" s="11" t="s">
        <v>141</v>
      </c>
      <c r="B41" s="9"/>
      <c r="C41" s="21">
        <f>GrossMargin!I41</f>
        <v>2937</v>
      </c>
      <c r="D41" s="219">
        <f>GrossMargin!J41</f>
        <v>6250</v>
      </c>
      <c r="E41" s="255">
        <f t="shared" si="9"/>
        <v>-3313</v>
      </c>
      <c r="F41" s="23"/>
      <c r="G41" s="219">
        <f>Expenses!C41</f>
        <v>1084</v>
      </c>
      <c r="H41" s="219">
        <f>Expenses!D41</f>
        <v>1084</v>
      </c>
      <c r="I41" s="254">
        <f t="shared" si="2"/>
        <v>0</v>
      </c>
      <c r="J41" s="9"/>
      <c r="K41" s="219">
        <f>'Cap Charge'!C41</f>
        <v>0</v>
      </c>
      <c r="L41" s="181">
        <f>'Cap Charge'!D41</f>
        <v>0</v>
      </c>
      <c r="M41" s="254">
        <f>'Cap Charge'!E41</f>
        <v>0</v>
      </c>
      <c r="N41" s="182"/>
      <c r="O41" s="180">
        <f t="shared" si="12"/>
        <v>1853</v>
      </c>
      <c r="P41" s="181">
        <f t="shared" si="13"/>
        <v>5166</v>
      </c>
      <c r="Q41" s="254">
        <f t="shared" si="11"/>
        <v>-3313</v>
      </c>
    </row>
    <row r="42" spans="1:17" ht="12.75" customHeight="1" x14ac:dyDescent="0.25">
      <c r="A42" s="11" t="s">
        <v>142</v>
      </c>
      <c r="B42" s="9"/>
      <c r="C42" s="21">
        <f>GrossMargin!I42</f>
        <v>0</v>
      </c>
      <c r="D42" s="219">
        <f>GrossMargin!J42</f>
        <v>0</v>
      </c>
      <c r="E42" s="255">
        <f t="shared" si="9"/>
        <v>0</v>
      </c>
      <c r="F42" s="23"/>
      <c r="G42" s="219">
        <f>Expenses!C42</f>
        <v>734</v>
      </c>
      <c r="H42" s="219">
        <f>Expenses!D42</f>
        <v>734</v>
      </c>
      <c r="I42" s="254">
        <f t="shared" si="2"/>
        <v>0</v>
      </c>
      <c r="J42" s="9"/>
      <c r="K42" s="219">
        <f>'Cap Charge'!C42</f>
        <v>0</v>
      </c>
      <c r="L42" s="181">
        <f>'Cap Charge'!D42</f>
        <v>0</v>
      </c>
      <c r="M42" s="254">
        <f>'Cap Charge'!E42</f>
        <v>0</v>
      </c>
      <c r="N42" s="182"/>
      <c r="O42" s="180">
        <f t="shared" si="12"/>
        <v>-734</v>
      </c>
      <c r="P42" s="181">
        <f t="shared" si="13"/>
        <v>-734</v>
      </c>
      <c r="Q42" s="254">
        <f t="shared" si="11"/>
        <v>0</v>
      </c>
    </row>
    <row r="43" spans="1:17" ht="12.75" customHeight="1" x14ac:dyDescent="0.25">
      <c r="A43" s="11" t="s">
        <v>143</v>
      </c>
      <c r="B43" s="9"/>
      <c r="C43" s="21">
        <f>GrossMargin!I43</f>
        <v>0</v>
      </c>
      <c r="D43" s="219">
        <f>GrossMargin!J43</f>
        <v>0</v>
      </c>
      <c r="E43" s="255">
        <f t="shared" si="9"/>
        <v>0</v>
      </c>
      <c r="F43" s="23"/>
      <c r="G43" s="219">
        <f>Expenses!C43</f>
        <v>508</v>
      </c>
      <c r="H43" s="219">
        <f>Expenses!D43</f>
        <v>508</v>
      </c>
      <c r="I43" s="254">
        <f t="shared" si="2"/>
        <v>0</v>
      </c>
      <c r="J43" s="9"/>
      <c r="K43" s="219">
        <f>'Cap Charge'!C43</f>
        <v>0</v>
      </c>
      <c r="L43" s="181">
        <f>'Cap Charge'!D43</f>
        <v>0</v>
      </c>
      <c r="M43" s="254">
        <f>'Cap Charge'!E43</f>
        <v>0</v>
      </c>
      <c r="N43" s="182"/>
      <c r="O43" s="180">
        <f t="shared" si="12"/>
        <v>-508</v>
      </c>
      <c r="P43" s="181">
        <f t="shared" si="13"/>
        <v>-508</v>
      </c>
      <c r="Q43" s="254">
        <f t="shared" si="11"/>
        <v>0</v>
      </c>
    </row>
    <row r="44" spans="1:17" ht="12.75" customHeight="1" thickBot="1" x14ac:dyDescent="0.3">
      <c r="A44" s="11" t="s">
        <v>144</v>
      </c>
      <c r="B44" s="9"/>
      <c r="C44" s="21">
        <f>GrossMargin!I44</f>
        <v>0</v>
      </c>
      <c r="D44" s="219">
        <f>GrossMargin!J44</f>
        <v>0</v>
      </c>
      <c r="E44" s="255">
        <f t="shared" si="9"/>
        <v>0</v>
      </c>
      <c r="F44" s="23"/>
      <c r="G44" s="219">
        <f>Expenses!C44</f>
        <v>0</v>
      </c>
      <c r="H44" s="219">
        <f>Expenses!D44</f>
        <v>0</v>
      </c>
      <c r="I44" s="254">
        <f t="shared" si="2"/>
        <v>0</v>
      </c>
      <c r="J44" s="9"/>
      <c r="K44" s="219">
        <f>'Cap Charge'!C44</f>
        <v>0</v>
      </c>
      <c r="L44" s="181">
        <f>'Cap Charge'!D44</f>
        <v>0</v>
      </c>
      <c r="M44" s="254">
        <f>'Cap Charge'!E44</f>
        <v>0</v>
      </c>
      <c r="N44" s="182"/>
      <c r="O44" s="180">
        <f t="shared" si="12"/>
        <v>0</v>
      </c>
      <c r="P44" s="181">
        <f t="shared" si="13"/>
        <v>0</v>
      </c>
      <c r="Q44" s="254">
        <f t="shared" si="11"/>
        <v>0</v>
      </c>
    </row>
    <row r="45" spans="1:17" s="42" customFormat="1" ht="12.75" customHeight="1" thickBot="1" x14ac:dyDescent="0.3">
      <c r="A45" s="35" t="s">
        <v>9</v>
      </c>
      <c r="B45" s="277"/>
      <c r="C45" s="264">
        <f>SUM(C32:C44)</f>
        <v>32995</v>
      </c>
      <c r="D45" s="264">
        <f>SUM(D32:D44)</f>
        <v>122250</v>
      </c>
      <c r="E45" s="264">
        <f>SUM(E32:E44)</f>
        <v>-89255</v>
      </c>
      <c r="F45" s="152"/>
      <c r="G45" s="327">
        <f>SUM(G32:G44)</f>
        <v>10871</v>
      </c>
      <c r="H45" s="327">
        <f>SUM(H32:H44)</f>
        <v>10871</v>
      </c>
      <c r="I45" s="327">
        <f>SUM(I32:I44)</f>
        <v>0</v>
      </c>
      <c r="J45" s="326"/>
      <c r="K45" s="327">
        <f>SUM(K32:K44)</f>
        <v>1592</v>
      </c>
      <c r="L45" s="327">
        <f>SUM(L32:L44)</f>
        <v>1717</v>
      </c>
      <c r="M45" s="327">
        <f>SUM(M32:M44)</f>
        <v>125</v>
      </c>
      <c r="N45" s="194"/>
      <c r="O45" s="327">
        <f>SUM(O32:O44)</f>
        <v>20532</v>
      </c>
      <c r="P45" s="327">
        <f>SUM(P32:P44)</f>
        <v>109662</v>
      </c>
      <c r="Q45" s="312">
        <f>SUM(Q32:Q44)</f>
        <v>-89130</v>
      </c>
    </row>
    <row r="46" spans="1:17" ht="12.75" customHeight="1" x14ac:dyDescent="0.25">
      <c r="A46" s="11" t="s">
        <v>199</v>
      </c>
      <c r="B46" s="9"/>
      <c r="C46" s="21">
        <f>GrossMargin!I46</f>
        <v>1232</v>
      </c>
      <c r="D46" s="219">
        <f>GrossMargin!J46</f>
        <v>6250</v>
      </c>
      <c r="E46" s="255">
        <f t="shared" ref="E46:E51" si="14">C46-D46</f>
        <v>-5018</v>
      </c>
      <c r="F46" s="351" t="s">
        <v>180</v>
      </c>
      <c r="G46" s="352">
        <f>Expenses!C46</f>
        <v>730</v>
      </c>
      <c r="H46" s="352">
        <f>Expenses!D46</f>
        <v>730</v>
      </c>
      <c r="I46" s="353">
        <f t="shared" si="2"/>
        <v>0</v>
      </c>
      <c r="J46" s="354"/>
      <c r="K46" s="352">
        <f>'Cap Charge'!C46</f>
        <v>222</v>
      </c>
      <c r="L46" s="181">
        <f>'Cap Charge'!D46</f>
        <v>99</v>
      </c>
      <c r="M46" s="254">
        <f>'Cap Charge'!E46</f>
        <v>-123</v>
      </c>
      <c r="N46" s="182"/>
      <c r="O46" s="180">
        <f t="shared" ref="O46:P51" si="15">C46-G46-K46</f>
        <v>280</v>
      </c>
      <c r="P46" s="181">
        <f t="shared" si="15"/>
        <v>5421</v>
      </c>
      <c r="Q46" s="254">
        <f t="shared" ref="Q46:Q51" si="16">O46-P46</f>
        <v>-5141</v>
      </c>
    </row>
    <row r="47" spans="1:17" ht="12.75" customHeight="1" x14ac:dyDescent="0.25">
      <c r="A47" s="11" t="s">
        <v>200</v>
      </c>
      <c r="B47" s="9"/>
      <c r="C47" s="21">
        <f>GrossMargin!I47</f>
        <v>913</v>
      </c>
      <c r="D47" s="219">
        <f>GrossMargin!J47</f>
        <v>6250</v>
      </c>
      <c r="E47" s="255">
        <f t="shared" si="14"/>
        <v>-5337</v>
      </c>
      <c r="F47" s="23"/>
      <c r="G47" s="219">
        <f>Expenses!C47</f>
        <v>487</v>
      </c>
      <c r="H47" s="219">
        <f>Expenses!D47</f>
        <v>487</v>
      </c>
      <c r="I47" s="254">
        <f t="shared" si="2"/>
        <v>0</v>
      </c>
      <c r="J47" s="9"/>
      <c r="K47" s="219">
        <f>'Cap Charge'!C47</f>
        <v>0</v>
      </c>
      <c r="L47" s="181">
        <f>'Cap Charge'!D47</f>
        <v>0</v>
      </c>
      <c r="M47" s="254">
        <f>'Cap Charge'!E47</f>
        <v>0</v>
      </c>
      <c r="N47" s="182"/>
      <c r="O47" s="180">
        <f t="shared" si="15"/>
        <v>426</v>
      </c>
      <c r="P47" s="181">
        <f t="shared" si="15"/>
        <v>5763</v>
      </c>
      <c r="Q47" s="254">
        <f t="shared" si="16"/>
        <v>-5337</v>
      </c>
    </row>
    <row r="48" spans="1:17" ht="12.75" customHeight="1" x14ac:dyDescent="0.25">
      <c r="A48" s="11" t="s">
        <v>166</v>
      </c>
      <c r="B48" s="9"/>
      <c r="C48" s="21">
        <f>GrossMargin!I48</f>
        <v>183</v>
      </c>
      <c r="D48" s="219">
        <f>GrossMargin!J48</f>
        <v>5000</v>
      </c>
      <c r="E48" s="255">
        <f t="shared" si="14"/>
        <v>-4817</v>
      </c>
      <c r="F48" s="351" t="s">
        <v>182</v>
      </c>
      <c r="G48" s="352">
        <f>Expenses!C48</f>
        <v>423</v>
      </c>
      <c r="H48" s="352">
        <f>Expenses!D48</f>
        <v>423</v>
      </c>
      <c r="I48" s="353">
        <f t="shared" si="2"/>
        <v>0</v>
      </c>
      <c r="J48" s="354"/>
      <c r="K48" s="352">
        <f>'Cap Charge'!C48</f>
        <v>907</v>
      </c>
      <c r="L48" s="181">
        <f>'Cap Charge'!D48</f>
        <v>98</v>
      </c>
      <c r="M48" s="254">
        <f>'Cap Charge'!E48</f>
        <v>-809</v>
      </c>
      <c r="N48" s="182"/>
      <c r="O48" s="180">
        <f>C48-G48-K48</f>
        <v>-1147</v>
      </c>
      <c r="P48" s="181">
        <f>D48-H48-L48</f>
        <v>4479</v>
      </c>
      <c r="Q48" s="254">
        <f t="shared" si="16"/>
        <v>-5626</v>
      </c>
    </row>
    <row r="49" spans="1:17" ht="12.75" customHeight="1" x14ac:dyDescent="0.25">
      <c r="A49" s="11" t="s">
        <v>157</v>
      </c>
      <c r="B49" s="9"/>
      <c r="C49" s="21">
        <f>GrossMargin!I49</f>
        <v>9260</v>
      </c>
      <c r="D49" s="219">
        <f>GrossMargin!J49</f>
        <v>38750</v>
      </c>
      <c r="E49" s="255">
        <f t="shared" si="14"/>
        <v>-29490</v>
      </c>
      <c r="F49" s="23"/>
      <c r="G49" s="219">
        <f>Expenses!C49</f>
        <v>574</v>
      </c>
      <c r="H49" s="219">
        <f>Expenses!D49</f>
        <v>574</v>
      </c>
      <c r="I49" s="254">
        <f t="shared" si="2"/>
        <v>0</v>
      </c>
      <c r="J49" s="9"/>
      <c r="K49" s="181">
        <f>'Cap Charge'!C49</f>
        <v>0</v>
      </c>
      <c r="L49" s="181">
        <f>'Cap Charge'!D49</f>
        <v>0</v>
      </c>
      <c r="M49" s="254">
        <f>'Cap Charge'!E49</f>
        <v>0</v>
      </c>
      <c r="N49" s="182"/>
      <c r="O49" s="180">
        <f t="shared" si="15"/>
        <v>8686</v>
      </c>
      <c r="P49" s="181">
        <f t="shared" si="15"/>
        <v>38176</v>
      </c>
      <c r="Q49" s="254">
        <f t="shared" si="16"/>
        <v>-29490</v>
      </c>
    </row>
    <row r="50" spans="1:17" ht="12.75" customHeight="1" x14ac:dyDescent="0.25">
      <c r="A50" s="11" t="s">
        <v>158</v>
      </c>
      <c r="B50" s="9"/>
      <c r="C50" s="21">
        <f>GrossMargin!I50</f>
        <v>0</v>
      </c>
      <c r="D50" s="219">
        <f>GrossMargin!J50</f>
        <v>12500</v>
      </c>
      <c r="E50" s="255">
        <f t="shared" si="14"/>
        <v>-12500</v>
      </c>
      <c r="F50" s="23"/>
      <c r="G50" s="219">
        <f>Expenses!C50</f>
        <v>1155</v>
      </c>
      <c r="H50" s="219">
        <f>Expenses!D50</f>
        <v>1155</v>
      </c>
      <c r="I50" s="254">
        <f t="shared" si="2"/>
        <v>0</v>
      </c>
      <c r="J50" s="9"/>
      <c r="K50" s="181">
        <f>'Cap Charge'!C50</f>
        <v>0</v>
      </c>
      <c r="L50" s="181">
        <f>'Cap Charge'!D50</f>
        <v>447</v>
      </c>
      <c r="M50" s="254">
        <f>'Cap Charge'!E50</f>
        <v>447</v>
      </c>
      <c r="N50" s="182"/>
      <c r="O50" s="180">
        <f t="shared" si="15"/>
        <v>-1155</v>
      </c>
      <c r="P50" s="181">
        <f t="shared" si="15"/>
        <v>10898</v>
      </c>
      <c r="Q50" s="254">
        <f t="shared" si="16"/>
        <v>-12053</v>
      </c>
    </row>
    <row r="51" spans="1:17" ht="12.75" customHeight="1" thickBot="1" x14ac:dyDescent="0.3">
      <c r="A51" s="11" t="s">
        <v>159</v>
      </c>
      <c r="B51" s="9"/>
      <c r="C51" s="21">
        <f>GrossMargin!I51</f>
        <v>0</v>
      </c>
      <c r="D51" s="219">
        <f>GrossMargin!J51</f>
        <v>2500</v>
      </c>
      <c r="E51" s="255">
        <f t="shared" si="14"/>
        <v>-2500</v>
      </c>
      <c r="F51" s="23"/>
      <c r="G51" s="219">
        <f>Expenses!C51</f>
        <v>1314</v>
      </c>
      <c r="H51" s="219">
        <f>Expenses!D51</f>
        <v>1314</v>
      </c>
      <c r="I51" s="254">
        <f t="shared" si="2"/>
        <v>0</v>
      </c>
      <c r="J51" s="9"/>
      <c r="K51" s="219">
        <f>'Cap Charge'!C51</f>
        <v>0</v>
      </c>
      <c r="L51" s="181">
        <f>'Cap Charge'!D51</f>
        <v>0</v>
      </c>
      <c r="M51" s="254">
        <f>'Cap Charge'!E51</f>
        <v>0</v>
      </c>
      <c r="N51" s="182"/>
      <c r="O51" s="180">
        <f t="shared" si="15"/>
        <v>-1314</v>
      </c>
      <c r="P51" s="181">
        <f t="shared" si="15"/>
        <v>1186</v>
      </c>
      <c r="Q51" s="254">
        <f t="shared" si="16"/>
        <v>-2500</v>
      </c>
    </row>
    <row r="52" spans="1:17" s="42" customFormat="1" ht="12.75" customHeight="1" thickBot="1" x14ac:dyDescent="0.3">
      <c r="A52" s="35" t="s">
        <v>10</v>
      </c>
      <c r="B52" s="277"/>
      <c r="C52" s="264">
        <f>SUM(C46:C51)</f>
        <v>11588</v>
      </c>
      <c r="D52" s="264">
        <f>SUM(D46:D51)</f>
        <v>71250</v>
      </c>
      <c r="E52" s="264">
        <f>SUM(E46:E51)</f>
        <v>-59662</v>
      </c>
      <c r="F52" s="152"/>
      <c r="G52" s="264">
        <f>SUM(G46:G51)</f>
        <v>4683</v>
      </c>
      <c r="H52" s="264">
        <f>SUM(H46:H51)</f>
        <v>4683</v>
      </c>
      <c r="I52" s="264">
        <f>SUM(I46:I51)</f>
        <v>0</v>
      </c>
      <c r="J52" s="326"/>
      <c r="K52" s="264">
        <f>SUM(K46:K51)</f>
        <v>1129</v>
      </c>
      <c r="L52" s="264">
        <f>SUM(L46:L51)</f>
        <v>644</v>
      </c>
      <c r="M52" s="264">
        <f>SUM(M46:M51)</f>
        <v>-485</v>
      </c>
      <c r="N52" s="194"/>
      <c r="O52" s="264">
        <f>SUM(O46:O51)</f>
        <v>5776</v>
      </c>
      <c r="P52" s="264">
        <f>SUM(P46:P51)</f>
        <v>65923</v>
      </c>
      <c r="Q52" s="265">
        <f>SUM(Q46:Q51)</f>
        <v>-60147</v>
      </c>
    </row>
    <row r="53" spans="1:17" ht="12.75" customHeight="1" x14ac:dyDescent="0.25">
      <c r="A53" s="11" t="s">
        <v>170</v>
      </c>
      <c r="B53" s="9"/>
      <c r="C53" s="21">
        <f>GrossMargin!I53</f>
        <v>1406</v>
      </c>
      <c r="D53" s="22">
        <f>GrossMargin!J53</f>
        <v>7798</v>
      </c>
      <c r="E53" s="255">
        <f t="shared" ref="E53:E64" si="17">C53-D53</f>
        <v>-6392</v>
      </c>
      <c r="F53" s="23"/>
      <c r="G53" s="180">
        <f>Expenses!C53+Expenses!F53</f>
        <v>1948</v>
      </c>
      <c r="H53" s="181">
        <f>Expenses!D53+Expenses!G53</f>
        <v>1948</v>
      </c>
      <c r="I53" s="181">
        <f t="shared" si="2"/>
        <v>0</v>
      </c>
      <c r="J53" s="9"/>
      <c r="K53" s="181">
        <f>'Cap Charge'!C53</f>
        <v>0</v>
      </c>
      <c r="L53" s="181">
        <f>'Cap Charge'!D53</f>
        <v>501</v>
      </c>
      <c r="M53" s="254">
        <f>'Cap Charge'!E53</f>
        <v>501</v>
      </c>
      <c r="N53" s="182"/>
      <c r="O53" s="180">
        <f>C53-G53-K53</f>
        <v>-542</v>
      </c>
      <c r="P53" s="181">
        <f>D53-H53-L53</f>
        <v>5349</v>
      </c>
      <c r="Q53" s="254">
        <f t="shared" ref="Q53:Q64" si="18">O53-P53</f>
        <v>-5891</v>
      </c>
    </row>
    <row r="54" spans="1:17" ht="12.75" customHeight="1" x14ac:dyDescent="0.25">
      <c r="A54" s="11" t="s">
        <v>187</v>
      </c>
      <c r="B54" s="9"/>
      <c r="C54" s="21">
        <f>GrossMargin!I54</f>
        <v>2687</v>
      </c>
      <c r="D54" s="22">
        <f>GrossMargin!J54</f>
        <v>2909</v>
      </c>
      <c r="E54" s="255">
        <f t="shared" si="17"/>
        <v>-222</v>
      </c>
      <c r="F54" s="23"/>
      <c r="G54" s="180">
        <f>Expenses!C54+Expenses!F54</f>
        <v>0</v>
      </c>
      <c r="H54" s="181">
        <f>Expenses!D54+Expenses!G54</f>
        <v>0</v>
      </c>
      <c r="I54" s="181">
        <f t="shared" si="2"/>
        <v>0</v>
      </c>
      <c r="J54" s="9"/>
      <c r="K54" s="219">
        <f>'Cap Charge'!C54</f>
        <v>5450</v>
      </c>
      <c r="L54" s="181">
        <f>'Cap Charge'!D54</f>
        <v>6282</v>
      </c>
      <c r="M54" s="254">
        <f>'Cap Charge'!E54</f>
        <v>832</v>
      </c>
      <c r="N54" s="182"/>
      <c r="O54" s="180">
        <f t="shared" ref="O54:O62" si="19">C54-G54-K54</f>
        <v>-2763</v>
      </c>
      <c r="P54" s="181">
        <f t="shared" ref="P54:P62" si="20">D54-H54-L54</f>
        <v>-3373</v>
      </c>
      <c r="Q54" s="254">
        <f t="shared" si="18"/>
        <v>610</v>
      </c>
    </row>
    <row r="55" spans="1:17" ht="12.75" customHeight="1" x14ac:dyDescent="0.25">
      <c r="A55" s="11" t="s">
        <v>147</v>
      </c>
      <c r="B55" s="9"/>
      <c r="C55" s="21">
        <f>GrossMargin!I55</f>
        <v>6298</v>
      </c>
      <c r="D55" s="22">
        <f>GrossMargin!J55</f>
        <v>6372</v>
      </c>
      <c r="E55" s="255">
        <f t="shared" si="17"/>
        <v>-74</v>
      </c>
      <c r="F55" s="23"/>
      <c r="G55" s="180">
        <f>Expenses!C55+Expenses!F55</f>
        <v>18332</v>
      </c>
      <c r="H55" s="181">
        <f>Expenses!D55+Expenses!G55</f>
        <v>11857</v>
      </c>
      <c r="I55" s="181">
        <f t="shared" si="2"/>
        <v>6475</v>
      </c>
      <c r="J55" s="9"/>
      <c r="K55" s="219">
        <f>'Cap Charge'!C55</f>
        <v>0</v>
      </c>
      <c r="L55" s="181">
        <f>'Cap Charge'!D55</f>
        <v>0</v>
      </c>
      <c r="M55" s="254">
        <f>'Cap Charge'!E55</f>
        <v>0</v>
      </c>
      <c r="N55" s="182"/>
      <c r="O55" s="180">
        <f t="shared" si="19"/>
        <v>-12034</v>
      </c>
      <c r="P55" s="181">
        <f t="shared" si="20"/>
        <v>-5485</v>
      </c>
      <c r="Q55" s="254">
        <f t="shared" si="18"/>
        <v>-6549</v>
      </c>
    </row>
    <row r="56" spans="1:17" ht="12.75" customHeight="1" x14ac:dyDescent="0.25">
      <c r="A56" s="11" t="s">
        <v>148</v>
      </c>
      <c r="B56" s="9"/>
      <c r="C56" s="21">
        <f>GrossMargin!I56</f>
        <v>505</v>
      </c>
      <c r="D56" s="22">
        <f>GrossMargin!J56</f>
        <v>15000</v>
      </c>
      <c r="E56" s="255">
        <f t="shared" si="17"/>
        <v>-14495</v>
      </c>
      <c r="F56" s="351" t="s">
        <v>183</v>
      </c>
      <c r="G56" s="355">
        <f>Expenses!C56+Expenses!F56</f>
        <v>1311</v>
      </c>
      <c r="H56" s="356">
        <f>Expenses!D56+Expenses!G56</f>
        <v>1311</v>
      </c>
      <c r="I56" s="356">
        <f t="shared" si="2"/>
        <v>0</v>
      </c>
      <c r="J56" s="354"/>
      <c r="K56" s="356">
        <f>'Cap Charge'!C56</f>
        <v>41</v>
      </c>
      <c r="L56" s="181">
        <f>'Cap Charge'!D56</f>
        <v>0</v>
      </c>
      <c r="M56" s="254">
        <f>'Cap Charge'!E56</f>
        <v>-41</v>
      </c>
      <c r="N56" s="182"/>
      <c r="O56" s="180">
        <f t="shared" si="19"/>
        <v>-847</v>
      </c>
      <c r="P56" s="181">
        <f t="shared" si="20"/>
        <v>13689</v>
      </c>
      <c r="Q56" s="254">
        <f t="shared" si="18"/>
        <v>-14536</v>
      </c>
    </row>
    <row r="57" spans="1:17" ht="12.75" customHeight="1" x14ac:dyDescent="0.25">
      <c r="A57" s="11" t="s">
        <v>149</v>
      </c>
      <c r="B57" s="9"/>
      <c r="C57" s="21">
        <f>GrossMargin!I57</f>
        <v>333</v>
      </c>
      <c r="D57" s="22">
        <f>GrossMargin!J57</f>
        <v>15675</v>
      </c>
      <c r="E57" s="255">
        <f t="shared" si="17"/>
        <v>-15342</v>
      </c>
      <c r="F57" s="351" t="s">
        <v>185</v>
      </c>
      <c r="G57" s="355">
        <f>Expenses!C57+Expenses!F57</f>
        <v>1945</v>
      </c>
      <c r="H57" s="356">
        <f>Expenses!D57+Expenses!G57</f>
        <v>1945</v>
      </c>
      <c r="I57" s="356">
        <f t="shared" si="2"/>
        <v>0</v>
      </c>
      <c r="J57" s="354"/>
      <c r="K57" s="352">
        <f>'Cap Charge'!C57</f>
        <v>5079</v>
      </c>
      <c r="L57" s="181">
        <f>'Cap Charge'!D57</f>
        <v>7759</v>
      </c>
      <c r="M57" s="254">
        <f>'Cap Charge'!E57</f>
        <v>2680</v>
      </c>
      <c r="N57" s="182"/>
      <c r="O57" s="180">
        <f t="shared" si="19"/>
        <v>-6691</v>
      </c>
      <c r="P57" s="181">
        <f t="shared" si="20"/>
        <v>5971</v>
      </c>
      <c r="Q57" s="254">
        <f t="shared" si="18"/>
        <v>-12662</v>
      </c>
    </row>
    <row r="58" spans="1:17" ht="12.75" customHeight="1" x14ac:dyDescent="0.25">
      <c r="A58" s="11" t="s">
        <v>150</v>
      </c>
      <c r="B58" s="9"/>
      <c r="C58" s="21">
        <f>GrossMargin!I58</f>
        <v>6662</v>
      </c>
      <c r="D58" s="22">
        <f>GrossMargin!J58</f>
        <v>0</v>
      </c>
      <c r="E58" s="255">
        <f t="shared" si="17"/>
        <v>6662</v>
      </c>
      <c r="F58" s="351" t="s">
        <v>186</v>
      </c>
      <c r="G58" s="355">
        <f>Expenses!C58+Expenses!F58</f>
        <v>0</v>
      </c>
      <c r="H58" s="356">
        <f>Expenses!D58+Expenses!G58</f>
        <v>0</v>
      </c>
      <c r="I58" s="356">
        <f t="shared" si="2"/>
        <v>0</v>
      </c>
      <c r="J58" s="354"/>
      <c r="K58" s="352">
        <f>'Cap Charge'!C58</f>
        <v>13944</v>
      </c>
      <c r="L58" s="181">
        <f>'Cap Charge'!D58</f>
        <v>6005</v>
      </c>
      <c r="M58" s="254">
        <f>'Cap Charge'!E58</f>
        <v>-7939</v>
      </c>
      <c r="N58" s="182"/>
      <c r="O58" s="180">
        <f t="shared" si="19"/>
        <v>-7282</v>
      </c>
      <c r="P58" s="181">
        <f t="shared" si="20"/>
        <v>-6005</v>
      </c>
      <c r="Q58" s="254">
        <f t="shared" si="18"/>
        <v>-1277</v>
      </c>
    </row>
    <row r="59" spans="1:17" ht="12.75" customHeight="1" x14ac:dyDescent="0.25">
      <c r="A59" s="11" t="s">
        <v>212</v>
      </c>
      <c r="B59" s="20"/>
      <c r="C59" s="21">
        <f>GrossMargin!I59</f>
        <v>0</v>
      </c>
      <c r="D59" s="22">
        <f>GrossMargin!J59</f>
        <v>5000</v>
      </c>
      <c r="E59" s="255">
        <f t="shared" si="17"/>
        <v>-5000</v>
      </c>
      <c r="F59" s="23"/>
      <c r="G59" s="180">
        <f>Expenses!C59+Expenses!F59</f>
        <v>336</v>
      </c>
      <c r="H59" s="181">
        <f>Expenses!D59+Expenses!G59</f>
        <v>336</v>
      </c>
      <c r="I59" s="181">
        <f t="shared" si="2"/>
        <v>0</v>
      </c>
      <c r="J59" s="9"/>
      <c r="K59" s="219">
        <f>'Cap Charge'!C59</f>
        <v>0</v>
      </c>
      <c r="L59" s="181">
        <f>'Cap Charge'!D59</f>
        <v>0</v>
      </c>
      <c r="M59" s="254">
        <f>'Cap Charge'!E59</f>
        <v>0</v>
      </c>
      <c r="N59" s="182"/>
      <c r="O59" s="180">
        <f>C59-G59-K59</f>
        <v>-336</v>
      </c>
      <c r="P59" s="181">
        <f>D59-H59-L59</f>
        <v>4664</v>
      </c>
      <c r="Q59" s="254">
        <f t="shared" si="18"/>
        <v>-5000</v>
      </c>
    </row>
    <row r="60" spans="1:17" ht="12.75" customHeight="1" x14ac:dyDescent="0.25">
      <c r="A60" s="11" t="s">
        <v>152</v>
      </c>
      <c r="B60" s="20"/>
      <c r="C60" s="21">
        <f>GrossMargin!I60</f>
        <v>-402</v>
      </c>
      <c r="D60" s="22">
        <f>GrossMargin!J60</f>
        <v>0</v>
      </c>
      <c r="E60" s="255">
        <f t="shared" si="17"/>
        <v>-402</v>
      </c>
      <c r="F60" s="23"/>
      <c r="G60" s="180">
        <f>Expenses!C60+Expenses!F60</f>
        <v>994</v>
      </c>
      <c r="H60" s="181">
        <f>Expenses!D60+Expenses!G60</f>
        <v>994</v>
      </c>
      <c r="I60" s="181">
        <f t="shared" si="2"/>
        <v>0</v>
      </c>
      <c r="J60" s="9"/>
      <c r="K60" s="219">
        <f>'Cap Charge'!C60</f>
        <v>0</v>
      </c>
      <c r="L60" s="181">
        <f>'Cap Charge'!D60</f>
        <v>0</v>
      </c>
      <c r="M60" s="254">
        <f>'Cap Charge'!E60</f>
        <v>0</v>
      </c>
      <c r="N60" s="182"/>
      <c r="O60" s="180">
        <f t="shared" si="19"/>
        <v>-1396</v>
      </c>
      <c r="P60" s="181">
        <f t="shared" si="20"/>
        <v>-994</v>
      </c>
      <c r="Q60" s="254">
        <f t="shared" si="18"/>
        <v>-402</v>
      </c>
    </row>
    <row r="61" spans="1:17" ht="12.75" customHeight="1" x14ac:dyDescent="0.25">
      <c r="A61" s="11" t="s">
        <v>153</v>
      </c>
      <c r="B61" s="20"/>
      <c r="C61" s="21">
        <f>GrossMargin!I61</f>
        <v>3915</v>
      </c>
      <c r="D61" s="22">
        <f>GrossMargin!J61</f>
        <v>0</v>
      </c>
      <c r="E61" s="255">
        <f t="shared" si="17"/>
        <v>3915</v>
      </c>
      <c r="F61" s="23"/>
      <c r="G61" s="180">
        <f>Expenses!C61+Expenses!F61</f>
        <v>0</v>
      </c>
      <c r="H61" s="181">
        <f>Expenses!D61+Expenses!G61</f>
        <v>0</v>
      </c>
      <c r="I61" s="181">
        <f t="shared" si="2"/>
        <v>0</v>
      </c>
      <c r="J61" s="9"/>
      <c r="K61" s="181">
        <f>'Cap Charge'!C61</f>
        <v>0</v>
      </c>
      <c r="L61" s="181">
        <f>'Cap Charge'!D61</f>
        <v>0</v>
      </c>
      <c r="M61" s="254">
        <f>'Cap Charge'!E61</f>
        <v>0</v>
      </c>
      <c r="N61" s="182"/>
      <c r="O61" s="180">
        <f t="shared" si="19"/>
        <v>3915</v>
      </c>
      <c r="P61" s="181">
        <f t="shared" si="20"/>
        <v>0</v>
      </c>
      <c r="Q61" s="254">
        <f t="shared" si="18"/>
        <v>3915</v>
      </c>
    </row>
    <row r="62" spans="1:17" ht="12.75" customHeight="1" x14ac:dyDescent="0.25">
      <c r="A62" s="29" t="s">
        <v>154</v>
      </c>
      <c r="B62" s="9"/>
      <c r="C62" s="21">
        <f>GrossMargin!I62</f>
        <v>-1188</v>
      </c>
      <c r="D62" s="22">
        <f>GrossMargin!J62</f>
        <v>-90004</v>
      </c>
      <c r="E62" s="255">
        <f t="shared" si="17"/>
        <v>88816</v>
      </c>
      <c r="F62" s="23"/>
      <c r="G62" s="180">
        <f>Expenses!C62+Expenses!F62</f>
        <v>1292</v>
      </c>
      <c r="H62" s="181">
        <f>Expenses!D62+Expenses!G62</f>
        <v>1292</v>
      </c>
      <c r="I62" s="181">
        <f t="shared" si="2"/>
        <v>0</v>
      </c>
      <c r="J62" s="9"/>
      <c r="K62" s="181">
        <f>'Cap Charge'!C62</f>
        <v>0</v>
      </c>
      <c r="L62" s="181">
        <f>'Cap Charge'!D62</f>
        <v>0</v>
      </c>
      <c r="M62" s="254">
        <f>'Cap Charge'!E62</f>
        <v>0</v>
      </c>
      <c r="N62" s="182"/>
      <c r="O62" s="180">
        <f t="shared" si="19"/>
        <v>-2480</v>
      </c>
      <c r="P62" s="181">
        <f t="shared" si="20"/>
        <v>-91296</v>
      </c>
      <c r="Q62" s="254">
        <f t="shared" si="18"/>
        <v>88816</v>
      </c>
    </row>
    <row r="63" spans="1:17" ht="12.75" customHeight="1" x14ac:dyDescent="0.25">
      <c r="A63" s="29" t="s">
        <v>167</v>
      </c>
      <c r="B63" s="9"/>
      <c r="C63" s="21">
        <f>GrossMargin!I63</f>
        <v>0</v>
      </c>
      <c r="D63" s="22"/>
      <c r="E63" s="255">
        <f t="shared" si="17"/>
        <v>0</v>
      </c>
      <c r="F63" s="23"/>
      <c r="G63" s="180">
        <f>Expenses!C63+Expenses!F63</f>
        <v>0</v>
      </c>
      <c r="H63" s="181">
        <f>Expenses!D63+Expenses!G63</f>
        <v>0</v>
      </c>
      <c r="I63" s="181">
        <f t="shared" si="2"/>
        <v>0</v>
      </c>
      <c r="J63" s="9"/>
      <c r="K63" s="181">
        <f>'Cap Charge'!C63</f>
        <v>0</v>
      </c>
      <c r="L63" s="181">
        <f>'Cap Charge'!D63</f>
        <v>0</v>
      </c>
      <c r="M63" s="254">
        <f>'Cap Charge'!E63</f>
        <v>0</v>
      </c>
      <c r="N63" s="182"/>
      <c r="O63" s="180">
        <f>C63-G63-K63</f>
        <v>0</v>
      </c>
      <c r="P63" s="181">
        <f>D63-H63-L63</f>
        <v>0</v>
      </c>
      <c r="Q63" s="254">
        <f t="shared" si="18"/>
        <v>0</v>
      </c>
    </row>
    <row r="64" spans="1:17" ht="12.75" customHeight="1" thickBot="1" x14ac:dyDescent="0.3">
      <c r="A64" s="29" t="s">
        <v>201</v>
      </c>
      <c r="B64" s="9"/>
      <c r="C64" s="21">
        <f>GrossMargin!I64</f>
        <v>-2395</v>
      </c>
      <c r="D64" s="22">
        <f>GrossMargin!J63</f>
        <v>0</v>
      </c>
      <c r="E64" s="255">
        <f t="shared" si="17"/>
        <v>-2395</v>
      </c>
      <c r="F64" s="351" t="s">
        <v>184</v>
      </c>
      <c r="G64" s="355">
        <f>Expenses!C64+Expenses!F64</f>
        <v>608</v>
      </c>
      <c r="H64" s="356">
        <f>Expenses!D64+Expenses!G64</f>
        <v>608</v>
      </c>
      <c r="I64" s="356">
        <f t="shared" si="2"/>
        <v>0</v>
      </c>
      <c r="J64" s="354"/>
      <c r="K64" s="356">
        <f>'Cap Charge'!C64</f>
        <v>-430</v>
      </c>
      <c r="L64" s="181">
        <f>'Cap Charge'!D64</f>
        <v>0</v>
      </c>
      <c r="M64" s="254">
        <f>'Cap Charge'!E64</f>
        <v>430</v>
      </c>
      <c r="N64" s="182"/>
      <c r="O64" s="180">
        <f>C64-G64-K64</f>
        <v>-2573</v>
      </c>
      <c r="P64" s="181">
        <f>D64-H64-L64</f>
        <v>-608</v>
      </c>
      <c r="Q64" s="254">
        <f t="shared" si="18"/>
        <v>-1965</v>
      </c>
    </row>
    <row r="65" spans="1:20" s="150" customFormat="1" ht="12.75" customHeight="1" thickBot="1" x14ac:dyDescent="0.3">
      <c r="A65" s="35" t="s">
        <v>12</v>
      </c>
      <c r="B65" s="151"/>
      <c r="C65" s="292">
        <f>(SUM(C53:C64))+C23+C31+C45+C52</f>
        <v>103222</v>
      </c>
      <c r="D65" s="324">
        <f>SUM(D53:D64)+D52+D45+D31+D23</f>
        <v>355405</v>
      </c>
      <c r="E65" s="265">
        <f>SUM(E53:E64)+E52+E45+E31+E23</f>
        <v>-252183</v>
      </c>
      <c r="F65" s="152">
        <f>SUM(F53:F64)+F52+F45+F31+F23</f>
        <v>0</v>
      </c>
      <c r="G65" s="296">
        <f>(SUM(G53:G64))+G23+G31+G45+G52</f>
        <v>63754</v>
      </c>
      <c r="H65" s="311">
        <f t="shared" ref="H65:Q65" si="21">SUM(H53:H64)+H52+H45+H31+H23</f>
        <v>56913</v>
      </c>
      <c r="I65" s="311">
        <f t="shared" si="21"/>
        <v>6841</v>
      </c>
      <c r="J65" s="93">
        <f t="shared" si="21"/>
        <v>0</v>
      </c>
      <c r="K65" s="311">
        <f t="shared" si="21"/>
        <v>47264</v>
      </c>
      <c r="L65" s="311">
        <f t="shared" si="21"/>
        <v>42403</v>
      </c>
      <c r="M65" s="312">
        <f t="shared" si="21"/>
        <v>-4861</v>
      </c>
      <c r="N65" s="194">
        <f t="shared" si="21"/>
        <v>0</v>
      </c>
      <c r="O65" s="296">
        <f t="shared" si="21"/>
        <v>-7796</v>
      </c>
      <c r="P65" s="311">
        <f t="shared" si="21"/>
        <v>256089</v>
      </c>
      <c r="Q65" s="312">
        <f t="shared" si="21"/>
        <v>-263885</v>
      </c>
      <c r="T65" s="268"/>
    </row>
    <row r="66" spans="1:20" ht="7.5" customHeight="1" thickBot="1" x14ac:dyDescent="0.3">
      <c r="A66" s="29"/>
      <c r="B66" s="9"/>
      <c r="C66" s="65"/>
      <c r="D66" s="31"/>
      <c r="E66" s="32"/>
      <c r="F66" s="23"/>
      <c r="G66" s="252"/>
      <c r="H66" s="189"/>
      <c r="I66" s="189"/>
      <c r="J66" s="9"/>
      <c r="K66" s="189"/>
      <c r="L66" s="189"/>
      <c r="M66" s="190"/>
      <c r="N66" s="182"/>
      <c r="O66" s="187"/>
      <c r="P66" s="189"/>
      <c r="Q66" s="190"/>
    </row>
    <row r="67" spans="1:20" ht="12.75" hidden="1" customHeight="1" x14ac:dyDescent="0.25">
      <c r="A67" s="29" t="s">
        <v>51</v>
      </c>
      <c r="B67" s="9"/>
      <c r="C67" s="181">
        <v>0</v>
      </c>
      <c r="D67" s="181">
        <v>0</v>
      </c>
      <c r="E67" s="24">
        <f t="shared" ref="E67:E80" si="22">-D67+C67</f>
        <v>0</v>
      </c>
      <c r="F67" s="23"/>
      <c r="G67" s="219">
        <f>Expenses!C67+Expenses!F67</f>
        <v>2629</v>
      </c>
      <c r="H67" s="219">
        <f>Expenses!D67+Expenses!G67</f>
        <v>2629</v>
      </c>
      <c r="I67" s="254">
        <f>H67-G67</f>
        <v>0</v>
      </c>
      <c r="J67" s="9"/>
      <c r="K67" s="176">
        <v>0</v>
      </c>
      <c r="L67" s="176">
        <v>0</v>
      </c>
      <c r="M67" s="254">
        <f t="shared" ref="M67:M80" si="23">L67-K67</f>
        <v>0</v>
      </c>
      <c r="N67" s="182"/>
      <c r="O67" s="180">
        <f t="shared" ref="O67:O80" si="24">C67-G67-K67</f>
        <v>-2629</v>
      </c>
      <c r="P67" s="181">
        <f t="shared" ref="P67:P80" si="25">D67-H67-L67</f>
        <v>-2629</v>
      </c>
      <c r="Q67" s="177">
        <f t="shared" ref="Q67:Q80" si="26">O67-P67</f>
        <v>0</v>
      </c>
    </row>
    <row r="68" spans="1:20" ht="12.75" hidden="1" customHeight="1" x14ac:dyDescent="0.25">
      <c r="A68" s="29" t="s">
        <v>52</v>
      </c>
      <c r="B68" s="9"/>
      <c r="C68" s="181">
        <v>0</v>
      </c>
      <c r="D68" s="181">
        <v>0</v>
      </c>
      <c r="E68" s="24">
        <f t="shared" si="22"/>
        <v>0</v>
      </c>
      <c r="F68" s="23"/>
      <c r="G68" s="219">
        <f>Expenses!C68+Expenses!F68</f>
        <v>499</v>
      </c>
      <c r="H68" s="219">
        <f>Expenses!D68+Expenses!G68</f>
        <v>499</v>
      </c>
      <c r="I68" s="254">
        <f t="shared" ref="I68:I80" si="27">H68-G68</f>
        <v>0</v>
      </c>
      <c r="J68" s="9"/>
      <c r="K68" s="176">
        <v>0</v>
      </c>
      <c r="L68" s="176">
        <v>0</v>
      </c>
      <c r="M68" s="254">
        <f t="shared" si="23"/>
        <v>0</v>
      </c>
      <c r="N68" s="182"/>
      <c r="O68" s="180">
        <f t="shared" si="24"/>
        <v>-499</v>
      </c>
      <c r="P68" s="181">
        <f t="shared" si="25"/>
        <v>-499</v>
      </c>
      <c r="Q68" s="177">
        <f t="shared" si="26"/>
        <v>0</v>
      </c>
    </row>
    <row r="69" spans="1:20" ht="12.75" hidden="1" customHeight="1" x14ac:dyDescent="0.25">
      <c r="A69" s="29" t="s">
        <v>106</v>
      </c>
      <c r="B69" s="9"/>
      <c r="C69" s="181">
        <v>0</v>
      </c>
      <c r="D69" s="181">
        <v>0</v>
      </c>
      <c r="E69" s="24">
        <f t="shared" si="22"/>
        <v>0</v>
      </c>
      <c r="F69" s="23"/>
      <c r="G69" s="219">
        <f>Expenses!C69+Expenses!F69</f>
        <v>1419</v>
      </c>
      <c r="H69" s="219">
        <f>Expenses!D69+Expenses!G69</f>
        <v>1419</v>
      </c>
      <c r="I69" s="254">
        <f t="shared" si="27"/>
        <v>0</v>
      </c>
      <c r="J69" s="9"/>
      <c r="K69" s="176">
        <v>0</v>
      </c>
      <c r="L69" s="176">
        <v>0</v>
      </c>
      <c r="M69" s="254">
        <f t="shared" si="23"/>
        <v>0</v>
      </c>
      <c r="N69" s="182"/>
      <c r="O69" s="180">
        <f t="shared" si="24"/>
        <v>-1419</v>
      </c>
      <c r="P69" s="181">
        <f t="shared" si="25"/>
        <v>-1419</v>
      </c>
      <c r="Q69" s="177">
        <f t="shared" si="26"/>
        <v>0</v>
      </c>
    </row>
    <row r="70" spans="1:20" ht="12.75" hidden="1" customHeight="1" x14ac:dyDescent="0.25">
      <c r="A70" s="29" t="s">
        <v>53</v>
      </c>
      <c r="B70" s="9"/>
      <c r="C70" s="181">
        <v>0</v>
      </c>
      <c r="D70" s="181">
        <v>0</v>
      </c>
      <c r="E70" s="24">
        <f t="shared" si="22"/>
        <v>0</v>
      </c>
      <c r="F70" s="23"/>
      <c r="G70" s="219">
        <f>Expenses!C70+Expenses!F70</f>
        <v>10143</v>
      </c>
      <c r="H70" s="219">
        <f>Expenses!D70+Expenses!G70</f>
        <v>10143</v>
      </c>
      <c r="I70" s="254">
        <f t="shared" si="27"/>
        <v>0</v>
      </c>
      <c r="J70" s="9"/>
      <c r="K70" s="176">
        <v>0</v>
      </c>
      <c r="L70" s="176">
        <v>0</v>
      </c>
      <c r="M70" s="254">
        <f t="shared" si="23"/>
        <v>0</v>
      </c>
      <c r="N70" s="182"/>
      <c r="O70" s="180">
        <f t="shared" si="24"/>
        <v>-10143</v>
      </c>
      <c r="P70" s="181">
        <f t="shared" si="25"/>
        <v>-10143</v>
      </c>
      <c r="Q70" s="177">
        <f t="shared" si="26"/>
        <v>0</v>
      </c>
    </row>
    <row r="71" spans="1:20" ht="12.75" hidden="1" customHeight="1" x14ac:dyDescent="0.25">
      <c r="A71" s="29" t="s">
        <v>54</v>
      </c>
      <c r="B71" s="9"/>
      <c r="C71" s="181">
        <v>0</v>
      </c>
      <c r="D71" s="181">
        <v>0</v>
      </c>
      <c r="E71" s="24">
        <f t="shared" si="22"/>
        <v>0</v>
      </c>
      <c r="F71" s="23"/>
      <c r="G71" s="219">
        <f>Expenses!C71+Expenses!F71</f>
        <v>1204</v>
      </c>
      <c r="H71" s="219">
        <f>Expenses!D71+Expenses!G71</f>
        <v>1204</v>
      </c>
      <c r="I71" s="254">
        <f t="shared" si="27"/>
        <v>0</v>
      </c>
      <c r="J71" s="9"/>
      <c r="K71" s="176">
        <v>0</v>
      </c>
      <c r="L71" s="176">
        <v>0</v>
      </c>
      <c r="M71" s="254">
        <f t="shared" si="23"/>
        <v>0</v>
      </c>
      <c r="N71" s="182"/>
      <c r="O71" s="180">
        <f t="shared" si="24"/>
        <v>-1204</v>
      </c>
      <c r="P71" s="181">
        <f t="shared" si="25"/>
        <v>-1204</v>
      </c>
      <c r="Q71" s="177">
        <f t="shared" si="26"/>
        <v>0</v>
      </c>
    </row>
    <row r="72" spans="1:20" ht="12.75" hidden="1" customHeight="1" x14ac:dyDescent="0.25">
      <c r="A72" s="29" t="s">
        <v>55</v>
      </c>
      <c r="B72" s="9"/>
      <c r="C72" s="181">
        <v>0</v>
      </c>
      <c r="D72" s="181">
        <v>0</v>
      </c>
      <c r="E72" s="24">
        <f t="shared" si="22"/>
        <v>0</v>
      </c>
      <c r="F72" s="23"/>
      <c r="G72" s="219">
        <f>Expenses!C72+Expenses!F72</f>
        <v>2251</v>
      </c>
      <c r="H72" s="219">
        <f>Expenses!D72+Expenses!G72</f>
        <v>2251</v>
      </c>
      <c r="I72" s="254">
        <f t="shared" si="27"/>
        <v>0</v>
      </c>
      <c r="J72" s="9"/>
      <c r="K72" s="176">
        <v>0</v>
      </c>
      <c r="L72" s="176">
        <v>0</v>
      </c>
      <c r="M72" s="254">
        <f t="shared" si="23"/>
        <v>0</v>
      </c>
      <c r="N72" s="182"/>
      <c r="O72" s="180">
        <f t="shared" si="24"/>
        <v>-2251</v>
      </c>
      <c r="P72" s="181">
        <f t="shared" si="25"/>
        <v>-2251</v>
      </c>
      <c r="Q72" s="177">
        <f t="shared" si="26"/>
        <v>0</v>
      </c>
    </row>
    <row r="73" spans="1:20" ht="12.75" hidden="1" customHeight="1" x14ac:dyDescent="0.25">
      <c r="A73" s="29" t="s">
        <v>56</v>
      </c>
      <c r="B73" s="9"/>
      <c r="C73" s="181">
        <v>0</v>
      </c>
      <c r="D73" s="181">
        <v>0</v>
      </c>
      <c r="E73" s="24">
        <f t="shared" si="22"/>
        <v>0</v>
      </c>
      <c r="F73" s="23"/>
      <c r="G73" s="219">
        <f>Expenses!C73+Expenses!F73</f>
        <v>318</v>
      </c>
      <c r="H73" s="219">
        <f>Expenses!D73+Expenses!G73</f>
        <v>318</v>
      </c>
      <c r="I73" s="254">
        <f t="shared" si="27"/>
        <v>0</v>
      </c>
      <c r="J73" s="9"/>
      <c r="K73" s="176">
        <v>0</v>
      </c>
      <c r="L73" s="176">
        <v>0</v>
      </c>
      <c r="M73" s="254">
        <f t="shared" si="23"/>
        <v>0</v>
      </c>
      <c r="N73" s="182"/>
      <c r="O73" s="180">
        <f t="shared" si="24"/>
        <v>-318</v>
      </c>
      <c r="P73" s="181">
        <f t="shared" si="25"/>
        <v>-318</v>
      </c>
      <c r="Q73" s="177">
        <f t="shared" si="26"/>
        <v>0</v>
      </c>
    </row>
    <row r="74" spans="1:20" ht="12.75" hidden="1" customHeight="1" x14ac:dyDescent="0.25">
      <c r="A74" s="29" t="s">
        <v>57</v>
      </c>
      <c r="B74" s="9"/>
      <c r="C74" s="181">
        <v>0</v>
      </c>
      <c r="D74" s="181">
        <v>0</v>
      </c>
      <c r="E74" s="24">
        <f t="shared" si="22"/>
        <v>0</v>
      </c>
      <c r="F74" s="23"/>
      <c r="G74" s="219">
        <f>Expenses!C74+Expenses!F74</f>
        <v>575</v>
      </c>
      <c r="H74" s="219">
        <f>Expenses!D74+Expenses!G74</f>
        <v>575</v>
      </c>
      <c r="I74" s="254">
        <f t="shared" si="27"/>
        <v>0</v>
      </c>
      <c r="J74" s="9"/>
      <c r="K74" s="176">
        <v>0</v>
      </c>
      <c r="L74" s="176">
        <v>0</v>
      </c>
      <c r="M74" s="254">
        <f t="shared" si="23"/>
        <v>0</v>
      </c>
      <c r="N74" s="182"/>
      <c r="O74" s="180">
        <f t="shared" si="24"/>
        <v>-575</v>
      </c>
      <c r="P74" s="181">
        <f t="shared" si="25"/>
        <v>-575</v>
      </c>
      <c r="Q74" s="177">
        <f t="shared" si="26"/>
        <v>0</v>
      </c>
    </row>
    <row r="75" spans="1:20" ht="12.75" hidden="1" customHeight="1" x14ac:dyDescent="0.25">
      <c r="A75" s="29" t="s">
        <v>59</v>
      </c>
      <c r="B75" s="9"/>
      <c r="C75" s="181">
        <v>0</v>
      </c>
      <c r="D75" s="181">
        <v>0</v>
      </c>
      <c r="E75" s="24">
        <f t="shared" si="22"/>
        <v>0</v>
      </c>
      <c r="F75" s="23"/>
      <c r="G75" s="219">
        <f>Expenses!C75+Expenses!F75</f>
        <v>545</v>
      </c>
      <c r="H75" s="219">
        <f>Expenses!D75+Expenses!G75</f>
        <v>545</v>
      </c>
      <c r="I75" s="254">
        <f t="shared" si="27"/>
        <v>0</v>
      </c>
      <c r="J75" s="9"/>
      <c r="K75" s="176">
        <v>0</v>
      </c>
      <c r="L75" s="176">
        <v>0</v>
      </c>
      <c r="M75" s="254">
        <f t="shared" si="23"/>
        <v>0</v>
      </c>
      <c r="N75" s="182"/>
      <c r="O75" s="180">
        <f t="shared" si="24"/>
        <v>-545</v>
      </c>
      <c r="P75" s="181">
        <f t="shared" si="25"/>
        <v>-545</v>
      </c>
      <c r="Q75" s="177">
        <f t="shared" si="26"/>
        <v>0</v>
      </c>
    </row>
    <row r="76" spans="1:20" ht="12.75" hidden="1" customHeight="1" x14ac:dyDescent="0.25">
      <c r="A76" s="29" t="s">
        <v>60</v>
      </c>
      <c r="B76" s="9"/>
      <c r="C76" s="181">
        <v>0</v>
      </c>
      <c r="D76" s="181">
        <v>0</v>
      </c>
      <c r="E76" s="24">
        <f t="shared" si="22"/>
        <v>0</v>
      </c>
      <c r="F76" s="23"/>
      <c r="G76" s="219">
        <f>Expenses!C76+Expenses!F76</f>
        <v>198</v>
      </c>
      <c r="H76" s="219">
        <f>Expenses!D76+Expenses!G76</f>
        <v>198</v>
      </c>
      <c r="I76" s="254">
        <f t="shared" si="27"/>
        <v>0</v>
      </c>
      <c r="J76" s="9"/>
      <c r="K76" s="176">
        <v>0</v>
      </c>
      <c r="L76" s="176">
        <v>0</v>
      </c>
      <c r="M76" s="254">
        <f t="shared" si="23"/>
        <v>0</v>
      </c>
      <c r="N76" s="182"/>
      <c r="O76" s="180">
        <f t="shared" si="24"/>
        <v>-198</v>
      </c>
      <c r="P76" s="181">
        <f t="shared" si="25"/>
        <v>-198</v>
      </c>
      <c r="Q76" s="177">
        <f t="shared" si="26"/>
        <v>0</v>
      </c>
    </row>
    <row r="77" spans="1:20" ht="12.75" hidden="1" customHeight="1" x14ac:dyDescent="0.25">
      <c r="A77" s="29" t="s">
        <v>61</v>
      </c>
      <c r="B77" s="9"/>
      <c r="C77" s="181">
        <v>0</v>
      </c>
      <c r="D77" s="181">
        <v>0</v>
      </c>
      <c r="E77" s="24">
        <f t="shared" si="22"/>
        <v>0</v>
      </c>
      <c r="F77" s="23"/>
      <c r="G77" s="219">
        <f>Expenses!C77+Expenses!F77</f>
        <v>682</v>
      </c>
      <c r="H77" s="219">
        <f>Expenses!D77+Expenses!G77</f>
        <v>682</v>
      </c>
      <c r="I77" s="254">
        <f t="shared" si="27"/>
        <v>0</v>
      </c>
      <c r="J77" s="9"/>
      <c r="K77" s="176">
        <v>0</v>
      </c>
      <c r="L77" s="176">
        <v>0</v>
      </c>
      <c r="M77" s="254">
        <f t="shared" si="23"/>
        <v>0</v>
      </c>
      <c r="N77" s="182"/>
      <c r="O77" s="180">
        <f t="shared" si="24"/>
        <v>-682</v>
      </c>
      <c r="P77" s="181">
        <f t="shared" si="25"/>
        <v>-682</v>
      </c>
      <c r="Q77" s="177">
        <f t="shared" si="26"/>
        <v>0</v>
      </c>
    </row>
    <row r="78" spans="1:20" ht="12.75" hidden="1" customHeight="1" x14ac:dyDescent="0.25">
      <c r="A78" s="29" t="s">
        <v>62</v>
      </c>
      <c r="B78" s="9"/>
      <c r="C78" s="181">
        <v>0</v>
      </c>
      <c r="D78" s="181">
        <v>0</v>
      </c>
      <c r="E78" s="24">
        <f t="shared" si="22"/>
        <v>0</v>
      </c>
      <c r="F78" s="23"/>
      <c r="G78" s="219">
        <f>Expenses!C78+Expenses!F78</f>
        <v>1419</v>
      </c>
      <c r="H78" s="219">
        <f>Expenses!D78+Expenses!G78</f>
        <v>1419</v>
      </c>
      <c r="I78" s="254">
        <f t="shared" si="27"/>
        <v>0</v>
      </c>
      <c r="J78" s="9"/>
      <c r="K78" s="176">
        <v>0</v>
      </c>
      <c r="L78" s="176">
        <v>0</v>
      </c>
      <c r="M78" s="254">
        <f t="shared" si="23"/>
        <v>0</v>
      </c>
      <c r="N78" s="182"/>
      <c r="O78" s="180">
        <f t="shared" si="24"/>
        <v>-1419</v>
      </c>
      <c r="P78" s="181">
        <f t="shared" si="25"/>
        <v>-1419</v>
      </c>
      <c r="Q78" s="177">
        <f t="shared" si="26"/>
        <v>0</v>
      </c>
    </row>
    <row r="79" spans="1:20" ht="12.75" hidden="1" customHeight="1" x14ac:dyDescent="0.25">
      <c r="A79" s="29" t="s">
        <v>58</v>
      </c>
      <c r="B79" s="9"/>
      <c r="C79" s="181">
        <v>0</v>
      </c>
      <c r="D79" s="181">
        <v>0</v>
      </c>
      <c r="E79" s="24">
        <f t="shared" si="22"/>
        <v>0</v>
      </c>
      <c r="F79" s="23"/>
      <c r="G79" s="219">
        <f>Expenses!C79+Expenses!F79</f>
        <v>23075</v>
      </c>
      <c r="H79" s="219">
        <f>Expenses!D79+Expenses!G79</f>
        <v>23075</v>
      </c>
      <c r="I79" s="254">
        <f t="shared" si="27"/>
        <v>0</v>
      </c>
      <c r="J79" s="9"/>
      <c r="K79" s="176">
        <v>0</v>
      </c>
      <c r="L79" s="176">
        <v>0</v>
      </c>
      <c r="M79" s="254">
        <f t="shared" si="23"/>
        <v>0</v>
      </c>
      <c r="N79" s="182"/>
      <c r="O79" s="180">
        <f t="shared" si="24"/>
        <v>-23075</v>
      </c>
      <c r="P79" s="181">
        <f t="shared" si="25"/>
        <v>-23075</v>
      </c>
      <c r="Q79" s="177">
        <f t="shared" si="26"/>
        <v>0</v>
      </c>
    </row>
    <row r="80" spans="1:20" ht="12.75" hidden="1" customHeight="1" x14ac:dyDescent="0.25">
      <c r="A80" s="29" t="s">
        <v>17</v>
      </c>
      <c r="B80" s="9"/>
      <c r="C80" s="181">
        <v>0</v>
      </c>
      <c r="D80" s="181">
        <v>0</v>
      </c>
      <c r="E80" s="24">
        <f t="shared" si="22"/>
        <v>0</v>
      </c>
      <c r="F80" s="23"/>
      <c r="G80" s="219">
        <f>Expenses!C80+Expenses!F80</f>
        <v>47362</v>
      </c>
      <c r="H80" s="219">
        <f>Expenses!D80+Expenses!G80</f>
        <v>46612</v>
      </c>
      <c r="I80" s="254">
        <f t="shared" si="27"/>
        <v>-750</v>
      </c>
      <c r="J80" s="9"/>
      <c r="K80" s="176">
        <v>0</v>
      </c>
      <c r="L80" s="176">
        <v>0</v>
      </c>
      <c r="M80" s="254">
        <f t="shared" si="23"/>
        <v>0</v>
      </c>
      <c r="N80" s="182"/>
      <c r="O80" s="180">
        <f t="shared" si="24"/>
        <v>-47362</v>
      </c>
      <c r="P80" s="181">
        <f t="shared" si="25"/>
        <v>-46612</v>
      </c>
      <c r="Q80" s="177">
        <f t="shared" si="26"/>
        <v>-750</v>
      </c>
    </row>
    <row r="81" spans="1:17" s="150" customFormat="1" ht="12.75" customHeight="1" thickBot="1" x14ac:dyDescent="0.3">
      <c r="A81" s="35" t="s">
        <v>13</v>
      </c>
      <c r="B81" s="151"/>
      <c r="C81" s="292">
        <f>SUM(C67:C80)</f>
        <v>0</v>
      </c>
      <c r="D81" s="324">
        <f>SUM(D67:D80)</f>
        <v>0</v>
      </c>
      <c r="E81" s="265">
        <f>SUM(E67:E80)</f>
        <v>0</v>
      </c>
      <c r="F81" s="152"/>
      <c r="G81" s="296">
        <f>SUM(G67:G80)</f>
        <v>92319</v>
      </c>
      <c r="H81" s="311">
        <f>SUM(H67:H80)</f>
        <v>91569</v>
      </c>
      <c r="I81" s="311">
        <f>SUM(I67:I80)</f>
        <v>-750</v>
      </c>
      <c r="J81" s="93"/>
      <c r="K81" s="311">
        <f>SUM(K67:K80)</f>
        <v>0</v>
      </c>
      <c r="L81" s="311">
        <f>SUM(L67:L80)</f>
        <v>0</v>
      </c>
      <c r="M81" s="312">
        <f>SUM(M67:M80)</f>
        <v>0</v>
      </c>
      <c r="N81" s="194"/>
      <c r="O81" s="296">
        <f>SUM(O67:O80)</f>
        <v>-92319</v>
      </c>
      <c r="P81" s="311">
        <f>SUM(P67:P80)</f>
        <v>-91569</v>
      </c>
      <c r="Q81" s="312">
        <f>SUM(Q67:Q80)</f>
        <v>-750</v>
      </c>
    </row>
    <row r="82" spans="1:17" s="33" customFormat="1" ht="12.75" customHeight="1" x14ac:dyDescent="0.25">
      <c r="A82" s="163" t="s">
        <v>160</v>
      </c>
      <c r="B82" s="9"/>
      <c r="C82" s="181">
        <f>GrossMargin!I82</f>
        <v>0</v>
      </c>
      <c r="D82" s="181">
        <f>GrossMargin!J82</f>
        <v>0</v>
      </c>
      <c r="E82" s="253">
        <f>-D82+C82</f>
        <v>0</v>
      </c>
      <c r="F82" s="23"/>
      <c r="G82" s="219">
        <f>Expenses!C82+Expenses!F82</f>
        <v>37132</v>
      </c>
      <c r="H82" s="219">
        <f>Expenses!D82+Expenses!G82</f>
        <v>37132</v>
      </c>
      <c r="I82" s="254">
        <f>H82-G82</f>
        <v>0</v>
      </c>
      <c r="J82" s="9"/>
      <c r="K82" s="181">
        <f>'Cap Charge'!C82</f>
        <v>0</v>
      </c>
      <c r="L82" s="181">
        <f>'Cap Charge'!D82</f>
        <v>0</v>
      </c>
      <c r="M82" s="254">
        <f>'Cap Charge'!E82</f>
        <v>0</v>
      </c>
      <c r="N82" s="182"/>
      <c r="O82" s="180">
        <f t="shared" ref="O82:P85" si="28">C82-G82-K82</f>
        <v>-37132</v>
      </c>
      <c r="P82" s="181">
        <f t="shared" si="28"/>
        <v>-37132</v>
      </c>
      <c r="Q82" s="254">
        <f>O82-P82</f>
        <v>0</v>
      </c>
    </row>
    <row r="83" spans="1:17" s="33" customFormat="1" ht="12.75" customHeight="1" x14ac:dyDescent="0.25">
      <c r="A83" s="163" t="s">
        <v>161</v>
      </c>
      <c r="B83" s="9"/>
      <c r="C83" s="181">
        <f>GrossMargin!I83</f>
        <v>14894</v>
      </c>
      <c r="D83" s="181">
        <f>GrossMargin!J83</f>
        <v>28610</v>
      </c>
      <c r="E83" s="253">
        <f>-D83+C83</f>
        <v>-13716</v>
      </c>
      <c r="F83" s="23"/>
      <c r="G83" s="219">
        <f>Expenses!C83+Expenses!F83</f>
        <v>600</v>
      </c>
      <c r="H83" s="219">
        <f>Expenses!D83+Expenses!G83</f>
        <v>600</v>
      </c>
      <c r="I83" s="254">
        <f>H83-G83</f>
        <v>0</v>
      </c>
      <c r="J83" s="9"/>
      <c r="K83" s="181">
        <f>'Cap Charge'!C83</f>
        <v>0</v>
      </c>
      <c r="L83" s="181">
        <f>'Cap Charge'!D83</f>
        <v>0</v>
      </c>
      <c r="M83" s="254">
        <f>'Cap Charge'!E83</f>
        <v>0</v>
      </c>
      <c r="N83" s="182"/>
      <c r="O83" s="180">
        <f t="shared" si="28"/>
        <v>14294</v>
      </c>
      <c r="P83" s="181">
        <f t="shared" si="28"/>
        <v>28010</v>
      </c>
      <c r="Q83" s="254">
        <f>O83-P83</f>
        <v>-13716</v>
      </c>
    </row>
    <row r="84" spans="1:17" s="33" customFormat="1" ht="12.75" customHeight="1" x14ac:dyDescent="0.25">
      <c r="A84" s="163" t="s">
        <v>162</v>
      </c>
      <c r="B84" s="9"/>
      <c r="C84" s="181">
        <f>GrossMargin!I84</f>
        <v>-10934</v>
      </c>
      <c r="D84" s="181">
        <f>GrossMargin!J84</f>
        <v>-13000</v>
      </c>
      <c r="E84" s="253">
        <f>-D84+C84</f>
        <v>2066</v>
      </c>
      <c r="F84" s="23"/>
      <c r="G84" s="219">
        <f>Expenses!C84+Expenses!F84</f>
        <v>0</v>
      </c>
      <c r="H84" s="219">
        <f>Expenses!D84+Expenses!G84</f>
        <v>0</v>
      </c>
      <c r="I84" s="254">
        <f>H84-G84</f>
        <v>0</v>
      </c>
      <c r="J84" s="9"/>
      <c r="K84" s="181">
        <f>'Cap Charge'!C84</f>
        <v>0</v>
      </c>
      <c r="L84" s="181">
        <f>'Cap Charge'!D84</f>
        <v>0</v>
      </c>
      <c r="M84" s="254">
        <f>'Cap Charge'!E84</f>
        <v>0</v>
      </c>
      <c r="N84" s="182"/>
      <c r="O84" s="180">
        <f>C84-G84-K84</f>
        <v>-10934</v>
      </c>
      <c r="P84" s="181">
        <f>D84-H84-L84</f>
        <v>-13000</v>
      </c>
      <c r="Q84" s="254">
        <f>O84-P84</f>
        <v>2066</v>
      </c>
    </row>
    <row r="85" spans="1:17" ht="12.75" customHeight="1" thickBot="1" x14ac:dyDescent="0.3">
      <c r="A85" s="29" t="s">
        <v>163</v>
      </c>
      <c r="B85" s="9"/>
      <c r="C85" s="181">
        <f>GrossMargin!I85</f>
        <v>2883</v>
      </c>
      <c r="D85" s="181">
        <f>GrossMargin!J85</f>
        <v>0</v>
      </c>
      <c r="E85" s="253">
        <f>-D85+C85</f>
        <v>2883</v>
      </c>
      <c r="F85" s="23"/>
      <c r="G85" s="219">
        <f>Expenses!C85+Expenses!F85</f>
        <v>0</v>
      </c>
      <c r="H85" s="219">
        <f>Expenses!D85+Expenses!G85</f>
        <v>0</v>
      </c>
      <c r="I85" s="254">
        <f>H85-G85</f>
        <v>0</v>
      </c>
      <c r="J85" s="9"/>
      <c r="K85" s="219">
        <f>'Cap Charge'!C85</f>
        <v>-47264</v>
      </c>
      <c r="L85" s="219">
        <f>'Cap Charge'!D85</f>
        <v>-42403</v>
      </c>
      <c r="M85" s="254">
        <f>'Cap Charge'!E85</f>
        <v>4861</v>
      </c>
      <c r="N85" s="182"/>
      <c r="O85" s="180">
        <f t="shared" si="28"/>
        <v>50147</v>
      </c>
      <c r="P85" s="181">
        <f t="shared" si="28"/>
        <v>42403</v>
      </c>
      <c r="Q85" s="254">
        <f>O85-P85</f>
        <v>7744</v>
      </c>
    </row>
    <row r="86" spans="1:17" s="150" customFormat="1" ht="12.75" customHeight="1" thickBot="1" x14ac:dyDescent="0.3">
      <c r="A86" s="35" t="s">
        <v>124</v>
      </c>
      <c r="B86" s="277"/>
      <c r="C86" s="264">
        <f>SUM(C82:C85)+C65+C81</f>
        <v>110065</v>
      </c>
      <c r="D86" s="324">
        <f>SUM(D82:D85)+D65+D81</f>
        <v>371015</v>
      </c>
      <c r="E86" s="324">
        <f>SUM(E82:E85)+E65+E81</f>
        <v>-260950</v>
      </c>
      <c r="F86" s="271">
        <f t="shared" ref="F86:Q86" si="29">SUM(F82:F85)+F65+F81</f>
        <v>0</v>
      </c>
      <c r="G86" s="325">
        <f t="shared" si="29"/>
        <v>193805</v>
      </c>
      <c r="H86" s="264">
        <f t="shared" si="29"/>
        <v>186214</v>
      </c>
      <c r="I86" s="324">
        <f t="shared" si="29"/>
        <v>6091</v>
      </c>
      <c r="J86" s="93">
        <f t="shared" si="29"/>
        <v>0</v>
      </c>
      <c r="K86" s="325">
        <f t="shared" si="29"/>
        <v>0</v>
      </c>
      <c r="L86" s="264">
        <f t="shared" si="29"/>
        <v>0</v>
      </c>
      <c r="M86" s="324">
        <f t="shared" si="29"/>
        <v>0</v>
      </c>
      <c r="N86" s="93">
        <f t="shared" si="29"/>
        <v>0</v>
      </c>
      <c r="O86" s="325">
        <f t="shared" si="29"/>
        <v>-83740</v>
      </c>
      <c r="P86" s="264">
        <f t="shared" si="29"/>
        <v>184801</v>
      </c>
      <c r="Q86" s="265">
        <f t="shared" si="29"/>
        <v>-268541</v>
      </c>
    </row>
    <row r="87" spans="1:17" ht="12.75" customHeight="1" thickBot="1" x14ac:dyDescent="0.3">
      <c r="A87" s="29" t="s">
        <v>15</v>
      </c>
      <c r="B87" s="9"/>
      <c r="C87" s="30">
        <v>0</v>
      </c>
      <c r="D87" s="31">
        <v>0</v>
      </c>
      <c r="E87" s="32">
        <f>D87-C87</f>
        <v>0</v>
      </c>
      <c r="F87" s="23"/>
      <c r="G87" s="187">
        <f>Expenses!C87</f>
        <v>40984</v>
      </c>
      <c r="H87" s="189">
        <f>Expenses!D87</f>
        <v>25828</v>
      </c>
      <c r="I87" s="254">
        <f>H87-G87</f>
        <v>-15156</v>
      </c>
      <c r="J87" s="9"/>
      <c r="K87" s="189">
        <v>0</v>
      </c>
      <c r="L87" s="189">
        <v>0</v>
      </c>
      <c r="M87" s="254">
        <v>0</v>
      </c>
      <c r="N87" s="182"/>
      <c r="O87" s="269">
        <f>C87-G87-K87</f>
        <v>-40984</v>
      </c>
      <c r="P87" s="270">
        <f>D87-H87-L87</f>
        <v>-25828</v>
      </c>
      <c r="Q87" s="323">
        <f>O87-P87</f>
        <v>-15156</v>
      </c>
    </row>
    <row r="88" spans="1:17" s="150" customFormat="1" ht="12.75" customHeight="1" thickBot="1" x14ac:dyDescent="0.25">
      <c r="A88" s="35" t="s">
        <v>125</v>
      </c>
      <c r="B88" s="151"/>
      <c r="C88" s="36">
        <f>SUM(C86:C87)</f>
        <v>110065</v>
      </c>
      <c r="D88" s="37">
        <f t="shared" ref="D88:Q88" si="30">SUM(D86:D87)</f>
        <v>371015</v>
      </c>
      <c r="E88" s="51">
        <f t="shared" si="30"/>
        <v>-260950</v>
      </c>
      <c r="F88" s="152">
        <f t="shared" si="30"/>
        <v>0</v>
      </c>
      <c r="G88" s="191">
        <f t="shared" si="30"/>
        <v>234789</v>
      </c>
      <c r="H88" s="192">
        <f t="shared" si="30"/>
        <v>212042</v>
      </c>
      <c r="I88" s="192">
        <f t="shared" si="30"/>
        <v>-9065</v>
      </c>
      <c r="J88" s="152">
        <f t="shared" si="30"/>
        <v>0</v>
      </c>
      <c r="K88" s="191">
        <f t="shared" si="30"/>
        <v>0</v>
      </c>
      <c r="L88" s="192">
        <f t="shared" si="30"/>
        <v>0</v>
      </c>
      <c r="M88" s="193">
        <f t="shared" si="30"/>
        <v>0</v>
      </c>
      <c r="N88" s="194">
        <f t="shared" si="30"/>
        <v>0</v>
      </c>
      <c r="O88" s="260">
        <f t="shared" si="30"/>
        <v>-124724</v>
      </c>
      <c r="P88" s="261">
        <f t="shared" si="30"/>
        <v>158973</v>
      </c>
      <c r="Q88" s="262">
        <f t="shared" si="30"/>
        <v>-283697</v>
      </c>
    </row>
    <row r="89" spans="1:17" ht="3" customHeight="1" x14ac:dyDescent="0.25">
      <c r="A89" s="38"/>
      <c r="C89" s="39"/>
      <c r="D89" s="40"/>
      <c r="E89" s="38"/>
      <c r="F89" s="41"/>
    </row>
    <row r="91" spans="1:17" x14ac:dyDescent="0.25">
      <c r="A91" s="10" t="s">
        <v>202</v>
      </c>
      <c r="G91" s="259"/>
      <c r="O91" s="267"/>
      <c r="P91" s="259"/>
    </row>
    <row r="92" spans="1:17" x14ac:dyDescent="0.25">
      <c r="C92" s="117"/>
      <c r="G92" s="259"/>
      <c r="O92" s="267"/>
      <c r="P92" s="259"/>
    </row>
    <row r="93" spans="1:17" x14ac:dyDescent="0.25">
      <c r="C93" s="117"/>
      <c r="D93" s="117"/>
      <c r="G93" s="259"/>
      <c r="H93" s="259"/>
      <c r="O93" s="259"/>
      <c r="P93" s="272"/>
    </row>
    <row r="94" spans="1:17" x14ac:dyDescent="0.25">
      <c r="C94" s="41"/>
      <c r="D94" s="41"/>
      <c r="G94" s="267"/>
      <c r="O94" s="267"/>
    </row>
    <row r="95" spans="1:17" x14ac:dyDescent="0.25">
      <c r="C95" s="117"/>
      <c r="D95" s="117"/>
      <c r="G95" s="259"/>
      <c r="H95" s="259"/>
      <c r="O95" s="267"/>
      <c r="P95" s="272"/>
    </row>
    <row r="96" spans="1:17" x14ac:dyDescent="0.25">
      <c r="O96" s="267"/>
    </row>
    <row r="97" spans="15:15" x14ac:dyDescent="0.25">
      <c r="O97" s="259"/>
    </row>
  </sheetData>
  <mergeCells count="7">
    <mergeCell ref="L2:Q2"/>
    <mergeCell ref="O6:Q7"/>
    <mergeCell ref="C6:E7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7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264"/>
  <sheetViews>
    <sheetView workbookViewId="0">
      <selection activeCell="H49" sqref="H49"/>
    </sheetView>
  </sheetViews>
  <sheetFormatPr defaultRowHeight="12.75" x14ac:dyDescent="0.25"/>
  <cols>
    <col min="1" max="1" width="26.85546875" style="10" customWidth="1"/>
    <col min="2" max="2" width="2.140625" style="10" customWidth="1"/>
    <col min="3" max="4" width="8.7109375" style="10" customWidth="1"/>
    <col min="5" max="5" width="9.7109375" style="10" customWidth="1"/>
    <col min="6" max="11" width="8.7109375" style="10" customWidth="1"/>
    <col min="12" max="18" width="9.7109375" style="10" customWidth="1"/>
    <col min="19" max="16384" width="9.140625" style="10"/>
  </cols>
  <sheetData>
    <row r="1" spans="1:14" ht="15.75" x14ac:dyDescent="0.25">
      <c r="A1" s="417" t="s">
        <v>75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</row>
    <row r="2" spans="1:14" ht="16.5" x14ac:dyDescent="0.3">
      <c r="A2" s="418" t="s">
        <v>108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</row>
    <row r="3" spans="1:14" ht="14.25" thickBot="1" x14ac:dyDescent="0.3">
      <c r="A3" s="419" t="s">
        <v>76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N3" s="52"/>
    </row>
    <row r="4" spans="1:14" ht="3" customHeight="1" x14ac:dyDescent="0.25">
      <c r="A4" s="44"/>
      <c r="B4" s="94"/>
    </row>
    <row r="5" spans="1:14" ht="12.75" customHeight="1" x14ac:dyDescent="0.25">
      <c r="A5" s="53"/>
      <c r="B5" s="9"/>
      <c r="C5" s="54"/>
      <c r="D5" s="54"/>
      <c r="E5" s="54"/>
      <c r="F5" s="54"/>
      <c r="G5" s="54"/>
      <c r="H5" s="54"/>
      <c r="I5" s="54"/>
      <c r="J5" s="54"/>
      <c r="K5" s="55"/>
    </row>
    <row r="6" spans="1:14" x14ac:dyDescent="0.25">
      <c r="A6" s="13"/>
      <c r="B6" s="9"/>
      <c r="C6" s="44"/>
      <c r="D6" s="44"/>
      <c r="E6" s="56"/>
      <c r="F6" s="56"/>
      <c r="G6" s="44"/>
      <c r="H6" s="56" t="s">
        <v>3</v>
      </c>
      <c r="I6" s="56" t="s">
        <v>77</v>
      </c>
      <c r="J6" s="56" t="s">
        <v>6</v>
      </c>
      <c r="K6" s="57" t="s">
        <v>78</v>
      </c>
      <c r="L6" s="58"/>
      <c r="M6" s="59"/>
      <c r="N6" s="58"/>
    </row>
    <row r="7" spans="1:14" ht="13.5" thickBot="1" x14ac:dyDescent="0.3">
      <c r="A7" s="60" t="s">
        <v>2</v>
      </c>
      <c r="B7" s="95"/>
      <c r="C7" s="61" t="s">
        <v>86</v>
      </c>
      <c r="D7" s="61" t="s">
        <v>79</v>
      </c>
      <c r="E7" s="61" t="s">
        <v>80</v>
      </c>
      <c r="F7" s="61" t="s">
        <v>81</v>
      </c>
      <c r="G7" s="61" t="s">
        <v>82</v>
      </c>
      <c r="H7" s="61" t="s">
        <v>0</v>
      </c>
      <c r="I7" s="61" t="s">
        <v>83</v>
      </c>
      <c r="J7" s="61" t="s">
        <v>0</v>
      </c>
      <c r="K7" s="62" t="s">
        <v>0</v>
      </c>
      <c r="L7" s="58"/>
      <c r="M7" s="58"/>
      <c r="N7" s="58"/>
    </row>
    <row r="8" spans="1:14" ht="6.75" customHeight="1" thickBot="1" x14ac:dyDescent="0.3">
      <c r="A8" s="53"/>
      <c r="B8" s="93"/>
      <c r="C8" s="44"/>
      <c r="D8" s="44"/>
      <c r="E8" s="44"/>
      <c r="F8" s="44"/>
      <c r="G8" s="44"/>
      <c r="H8" s="13"/>
      <c r="I8" s="13"/>
      <c r="J8" s="44"/>
      <c r="K8" s="63"/>
    </row>
    <row r="9" spans="1:14" s="18" customFormat="1" x14ac:dyDescent="0.25">
      <c r="A9" s="11" t="s">
        <v>20</v>
      </c>
      <c r="B9" s="90"/>
      <c r="C9" s="108">
        <v>0</v>
      </c>
      <c r="D9" s="109">
        <v>0</v>
      </c>
      <c r="E9" s="109">
        <v>0</v>
      </c>
      <c r="F9" s="124">
        <v>0</v>
      </c>
      <c r="G9" s="110">
        <v>0</v>
      </c>
      <c r="H9" s="109">
        <f>SUM(C9:G9)</f>
        <v>0</v>
      </c>
      <c r="I9" s="108">
        <v>0</v>
      </c>
      <c r="J9" s="109">
        <v>0</v>
      </c>
      <c r="K9" s="110">
        <f>SUM(H9:J9)</f>
        <v>0</v>
      </c>
    </row>
    <row r="10" spans="1:14" s="18" customFormat="1" x14ac:dyDescent="0.25">
      <c r="A10" s="11" t="s">
        <v>21</v>
      </c>
      <c r="B10" s="90"/>
      <c r="C10" s="100">
        <v>0</v>
      </c>
      <c r="D10" s="101">
        <f>[2]GrossMargin!E11-[3]GrossMargin!E11</f>
        <v>0</v>
      </c>
      <c r="E10" s="101">
        <f>[2]GrossMargin!F11-[3]GrossMargin!F11</f>
        <v>0</v>
      </c>
      <c r="F10" s="101">
        <f>[2]GrossMargin!G11-[3]GrossMargin!G11</f>
        <v>0</v>
      </c>
      <c r="G10" s="101">
        <f>[2]GrossMargin!H11-[3]GrossMargin!H11</f>
        <v>0</v>
      </c>
      <c r="H10" s="100">
        <f>SUM(C10:G10)</f>
        <v>0</v>
      </c>
      <c r="I10" s="100">
        <v>0</v>
      </c>
      <c r="J10" s="101">
        <v>0</v>
      </c>
      <c r="K10" s="111">
        <f>SUM(H10:J10)</f>
        <v>0</v>
      </c>
    </row>
    <row r="11" spans="1:14" x14ac:dyDescent="0.25">
      <c r="A11" s="11" t="s">
        <v>22</v>
      </c>
      <c r="B11" s="16"/>
      <c r="C11" s="22">
        <v>0</v>
      </c>
      <c r="D11" s="40">
        <v>0</v>
      </c>
      <c r="E11" s="40">
        <v>0</v>
      </c>
      <c r="F11" s="40">
        <v>0</v>
      </c>
      <c r="G11" s="40">
        <v>0</v>
      </c>
      <c r="H11" s="22">
        <f>SUM(H9:H10)</f>
        <v>0</v>
      </c>
      <c r="I11" s="22">
        <v>0</v>
      </c>
      <c r="J11" s="40">
        <f>SUM(J9:J10)</f>
        <v>0</v>
      </c>
      <c r="K11" s="64">
        <f>SUM(K9:K10)</f>
        <v>0</v>
      </c>
    </row>
    <row r="12" spans="1:14" x14ac:dyDescent="0.25">
      <c r="A12" s="11" t="s">
        <v>23</v>
      </c>
      <c r="B12" s="16"/>
      <c r="C12" s="22">
        <v>0</v>
      </c>
      <c r="D12" s="40">
        <v>0</v>
      </c>
      <c r="E12" s="40">
        <v>0</v>
      </c>
      <c r="F12" s="40">
        <v>0</v>
      </c>
      <c r="G12" s="40">
        <v>0</v>
      </c>
      <c r="H12" s="22">
        <f>SUM(C12:G12)</f>
        <v>0</v>
      </c>
      <c r="I12" s="22">
        <v>0</v>
      </c>
      <c r="J12" s="40">
        <v>0</v>
      </c>
      <c r="K12" s="64">
        <f>SUM(H12:J12)</f>
        <v>0</v>
      </c>
    </row>
    <row r="13" spans="1:14" x14ac:dyDescent="0.25">
      <c r="A13" s="11" t="s">
        <v>24</v>
      </c>
      <c r="B13" s="16"/>
      <c r="C13" s="22">
        <v>0</v>
      </c>
      <c r="D13" s="40">
        <v>0</v>
      </c>
      <c r="E13" s="40">
        <v>0</v>
      </c>
      <c r="F13" s="40">
        <v>0</v>
      </c>
      <c r="G13" s="40">
        <v>0</v>
      </c>
      <c r="H13" s="22">
        <f>SUM(C13:G13)</f>
        <v>0</v>
      </c>
      <c r="I13" s="22">
        <v>0</v>
      </c>
      <c r="J13" s="40">
        <v>0</v>
      </c>
      <c r="K13" s="64">
        <f>SUM(H13:J13)</f>
        <v>0</v>
      </c>
    </row>
    <row r="14" spans="1:14" x14ac:dyDescent="0.25">
      <c r="A14" s="11" t="s">
        <v>64</v>
      </c>
      <c r="B14" s="16"/>
      <c r="C14" s="22">
        <v>0</v>
      </c>
      <c r="D14" s="40">
        <v>0</v>
      </c>
      <c r="E14" s="40">
        <v>0</v>
      </c>
      <c r="F14" s="40">
        <v>0</v>
      </c>
      <c r="G14" s="40">
        <v>0</v>
      </c>
      <c r="H14" s="22">
        <f>SUM(C14:G14)</f>
        <v>0</v>
      </c>
      <c r="I14" s="22">
        <v>0</v>
      </c>
      <c r="J14" s="40">
        <v>0</v>
      </c>
      <c r="K14" s="64">
        <f>SUM(H14:J14)</f>
        <v>0</v>
      </c>
    </row>
    <row r="15" spans="1:14" x14ac:dyDescent="0.25">
      <c r="A15" s="11" t="s">
        <v>27</v>
      </c>
      <c r="B15" s="16"/>
      <c r="C15" s="22">
        <v>0</v>
      </c>
      <c r="D15" s="40">
        <v>0</v>
      </c>
      <c r="E15" s="40">
        <v>0</v>
      </c>
      <c r="F15" s="40">
        <v>0</v>
      </c>
      <c r="G15" s="40">
        <v>0</v>
      </c>
      <c r="H15" s="22">
        <f>SUM(C15:G15)</f>
        <v>0</v>
      </c>
      <c r="I15" s="22">
        <v>0</v>
      </c>
      <c r="J15" s="40">
        <v>0</v>
      </c>
      <c r="K15" s="64">
        <f>SUM(H15:J15)</f>
        <v>0</v>
      </c>
    </row>
    <row r="16" spans="1:14" x14ac:dyDescent="0.25">
      <c r="A16" s="11" t="s">
        <v>28</v>
      </c>
      <c r="B16" s="16"/>
      <c r="C16" s="22">
        <v>0</v>
      </c>
      <c r="D16" s="40">
        <v>0</v>
      </c>
      <c r="E16" s="40">
        <v>0</v>
      </c>
      <c r="F16" s="40">
        <v>0</v>
      </c>
      <c r="G16" s="40">
        <v>0</v>
      </c>
      <c r="H16" s="22">
        <f>SUM(C16:G16)</f>
        <v>0</v>
      </c>
      <c r="I16" s="22">
        <v>0</v>
      </c>
      <c r="J16" s="40">
        <v>0</v>
      </c>
      <c r="K16" s="64">
        <f>SUM(H16:J16)</f>
        <v>0</v>
      </c>
    </row>
    <row r="17" spans="1:11" x14ac:dyDescent="0.25">
      <c r="A17" s="11" t="s">
        <v>29</v>
      </c>
      <c r="B17" s="16"/>
      <c r="C17" s="22">
        <v>0</v>
      </c>
      <c r="D17" s="40">
        <v>0</v>
      </c>
      <c r="E17" s="40">
        <v>0</v>
      </c>
      <c r="F17" s="40">
        <v>0</v>
      </c>
      <c r="G17" s="40">
        <v>0</v>
      </c>
      <c r="H17" s="22">
        <v>0</v>
      </c>
      <c r="I17" s="22">
        <v>0</v>
      </c>
      <c r="J17" s="40">
        <v>0</v>
      </c>
      <c r="K17" s="64">
        <v>0</v>
      </c>
    </row>
    <row r="18" spans="1:11" s="42" customFormat="1" ht="13.5" x14ac:dyDescent="0.25">
      <c r="A18" s="25" t="s">
        <v>7</v>
      </c>
      <c r="B18" s="114"/>
      <c r="C18" s="86">
        <f>SUM(C9:C17)</f>
        <v>0</v>
      </c>
      <c r="D18" s="87">
        <f t="shared" ref="D18:K18" si="0">SUM(D9:D17)</f>
        <v>0</v>
      </c>
      <c r="E18" s="87">
        <f t="shared" si="0"/>
        <v>0</v>
      </c>
      <c r="F18" s="87">
        <f t="shared" si="0"/>
        <v>0</v>
      </c>
      <c r="G18" s="87">
        <f t="shared" si="0"/>
        <v>0</v>
      </c>
      <c r="H18" s="89">
        <f t="shared" si="0"/>
        <v>0</v>
      </c>
      <c r="I18" s="87">
        <f t="shared" si="0"/>
        <v>0</v>
      </c>
      <c r="J18" s="87">
        <f t="shared" si="0"/>
        <v>0</v>
      </c>
      <c r="K18" s="88">
        <f t="shared" si="0"/>
        <v>0</v>
      </c>
    </row>
    <row r="19" spans="1:11" ht="6" customHeight="1" x14ac:dyDescent="0.25">
      <c r="A19" s="11"/>
      <c r="B19" s="16"/>
      <c r="C19" s="22"/>
      <c r="D19" s="40"/>
      <c r="E19" s="40"/>
      <c r="F19" s="40"/>
      <c r="G19" s="40"/>
      <c r="H19" s="22"/>
      <c r="I19" s="22"/>
      <c r="J19" s="40"/>
      <c r="K19" s="64"/>
    </row>
    <row r="20" spans="1:11" x14ac:dyDescent="0.25">
      <c r="A20" s="11" t="s">
        <v>25</v>
      </c>
      <c r="B20" s="16"/>
      <c r="C20" s="22">
        <v>0</v>
      </c>
      <c r="D20" s="40">
        <v>0</v>
      </c>
      <c r="E20" s="40">
        <v>0</v>
      </c>
      <c r="F20" s="40">
        <v>0</v>
      </c>
      <c r="G20" s="40">
        <v>0</v>
      </c>
      <c r="H20" s="22">
        <f t="shared" ref="H20:H44" si="1">SUM(C20:G20)</f>
        <v>0</v>
      </c>
      <c r="I20" s="22">
        <v>0</v>
      </c>
      <c r="J20" s="40">
        <v>0</v>
      </c>
      <c r="K20" s="64">
        <f t="shared" ref="K20:K35" si="2">SUM(H20:J20)</f>
        <v>0</v>
      </c>
    </row>
    <row r="21" spans="1:11" x14ac:dyDescent="0.25">
      <c r="A21" s="11" t="s">
        <v>26</v>
      </c>
      <c r="B21" s="16"/>
      <c r="C21" s="22">
        <v>0</v>
      </c>
      <c r="D21" s="40">
        <v>0</v>
      </c>
      <c r="E21" s="40">
        <v>0</v>
      </c>
      <c r="F21" s="40">
        <v>0</v>
      </c>
      <c r="G21" s="40">
        <v>0</v>
      </c>
      <c r="H21" s="22">
        <f t="shared" si="1"/>
        <v>0</v>
      </c>
      <c r="I21" s="22">
        <v>0</v>
      </c>
      <c r="J21" s="40">
        <v>0</v>
      </c>
      <c r="K21" s="64">
        <f t="shared" si="2"/>
        <v>0</v>
      </c>
    </row>
    <row r="22" spans="1:11" x14ac:dyDescent="0.25">
      <c r="A22" s="11" t="s">
        <v>32</v>
      </c>
      <c r="B22" s="16"/>
      <c r="C22" s="22">
        <v>0</v>
      </c>
      <c r="D22" s="40">
        <v>0</v>
      </c>
      <c r="E22" s="40">
        <v>0</v>
      </c>
      <c r="F22" s="40">
        <v>0</v>
      </c>
      <c r="G22" s="40">
        <v>0</v>
      </c>
      <c r="H22" s="22">
        <f t="shared" si="1"/>
        <v>0</v>
      </c>
      <c r="I22" s="22">
        <v>0</v>
      </c>
      <c r="J22" s="40">
        <v>0</v>
      </c>
      <c r="K22" s="64">
        <f t="shared" si="2"/>
        <v>0</v>
      </c>
    </row>
    <row r="23" spans="1:11" x14ac:dyDescent="0.25">
      <c r="A23" s="11" t="s">
        <v>30</v>
      </c>
      <c r="B23" s="16"/>
      <c r="C23" s="22">
        <v>0</v>
      </c>
      <c r="D23" s="40">
        <v>0</v>
      </c>
      <c r="E23" s="40">
        <v>0</v>
      </c>
      <c r="F23" s="40">
        <v>0</v>
      </c>
      <c r="G23" s="40">
        <v>0</v>
      </c>
      <c r="H23" s="22">
        <f t="shared" si="1"/>
        <v>0</v>
      </c>
      <c r="I23" s="22">
        <v>0</v>
      </c>
      <c r="J23" s="40">
        <v>0</v>
      </c>
      <c r="K23" s="64">
        <f t="shared" si="2"/>
        <v>0</v>
      </c>
    </row>
    <row r="24" spans="1:11" x14ac:dyDescent="0.25">
      <c r="A24" s="11" t="s">
        <v>31</v>
      </c>
      <c r="B24" s="16"/>
      <c r="C24" s="22">
        <v>0</v>
      </c>
      <c r="D24" s="40">
        <v>0</v>
      </c>
      <c r="E24" s="40">
        <v>0</v>
      </c>
      <c r="F24" s="40">
        <v>0</v>
      </c>
      <c r="G24" s="40">
        <v>0</v>
      </c>
      <c r="H24" s="22">
        <f t="shared" si="1"/>
        <v>0</v>
      </c>
      <c r="I24" s="22">
        <v>0</v>
      </c>
      <c r="J24" s="40">
        <v>0</v>
      </c>
      <c r="K24" s="64">
        <f t="shared" si="2"/>
        <v>0</v>
      </c>
    </row>
    <row r="25" spans="1:11" x14ac:dyDescent="0.25">
      <c r="A25" s="11" t="s">
        <v>33</v>
      </c>
      <c r="B25" s="16"/>
      <c r="C25" s="22">
        <v>0</v>
      </c>
      <c r="D25" s="40">
        <v>0</v>
      </c>
      <c r="E25" s="40">
        <v>0</v>
      </c>
      <c r="F25" s="40">
        <v>0</v>
      </c>
      <c r="G25" s="40">
        <v>0</v>
      </c>
      <c r="H25" s="22">
        <f t="shared" si="1"/>
        <v>0</v>
      </c>
      <c r="I25" s="22">
        <v>0</v>
      </c>
      <c r="J25" s="40">
        <v>0</v>
      </c>
      <c r="K25" s="64">
        <f t="shared" si="2"/>
        <v>0</v>
      </c>
    </row>
    <row r="26" spans="1:11" s="42" customFormat="1" ht="14.25" thickBot="1" x14ac:dyDescent="0.3">
      <c r="A26" s="25" t="s">
        <v>8</v>
      </c>
      <c r="B26" s="112"/>
      <c r="C26" s="86">
        <f>SUM(C20:C25)</f>
        <v>0</v>
      </c>
      <c r="D26" s="87">
        <f t="shared" ref="D26:K26" si="3">SUM(D20:D25)</f>
        <v>0</v>
      </c>
      <c r="E26" s="87">
        <f t="shared" si="3"/>
        <v>0</v>
      </c>
      <c r="F26" s="87">
        <f t="shared" si="3"/>
        <v>0</v>
      </c>
      <c r="G26" s="87">
        <f t="shared" si="3"/>
        <v>0</v>
      </c>
      <c r="H26" s="89">
        <f t="shared" si="3"/>
        <v>0</v>
      </c>
      <c r="I26" s="87">
        <f t="shared" si="3"/>
        <v>0</v>
      </c>
      <c r="J26" s="87">
        <f t="shared" si="3"/>
        <v>0</v>
      </c>
      <c r="K26" s="88">
        <f t="shared" si="3"/>
        <v>0</v>
      </c>
    </row>
    <row r="27" spans="1:11" ht="9.75" customHeight="1" x14ac:dyDescent="0.25">
      <c r="A27" s="11"/>
      <c r="B27" s="94"/>
      <c r="C27" s="40"/>
      <c r="D27" s="40"/>
      <c r="E27" s="40"/>
      <c r="F27" s="40"/>
      <c r="G27" s="40"/>
      <c r="H27" s="22"/>
      <c r="I27" s="22"/>
      <c r="J27" s="40"/>
      <c r="K27" s="64"/>
    </row>
    <row r="28" spans="1:11" x14ac:dyDescent="0.25">
      <c r="A28" s="11" t="s">
        <v>34</v>
      </c>
      <c r="B28" s="9"/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98">
        <f t="shared" si="1"/>
        <v>0</v>
      </c>
      <c r="I28" s="40">
        <v>0</v>
      </c>
      <c r="J28" s="40">
        <v>0</v>
      </c>
      <c r="K28" s="64">
        <f t="shared" si="2"/>
        <v>0</v>
      </c>
    </row>
    <row r="29" spans="1:11" x14ac:dyDescent="0.25">
      <c r="A29" s="11" t="s">
        <v>35</v>
      </c>
      <c r="B29" s="9"/>
      <c r="C29" s="40">
        <v>0</v>
      </c>
      <c r="D29" s="40">
        <v>0</v>
      </c>
      <c r="E29" s="40">
        <v>0</v>
      </c>
      <c r="F29" s="40">
        <v>0</v>
      </c>
      <c r="G29" s="40">
        <v>0</v>
      </c>
      <c r="H29" s="98">
        <f t="shared" si="1"/>
        <v>0</v>
      </c>
      <c r="I29" s="40">
        <v>0</v>
      </c>
      <c r="J29" s="40">
        <v>0</v>
      </c>
      <c r="K29" s="64">
        <f t="shared" si="2"/>
        <v>0</v>
      </c>
    </row>
    <row r="30" spans="1:11" ht="13.5" x14ac:dyDescent="0.25">
      <c r="A30" s="11" t="s">
        <v>36</v>
      </c>
      <c r="B30" s="97"/>
      <c r="C30" s="103">
        <v>0</v>
      </c>
      <c r="D30" s="103">
        <v>0</v>
      </c>
      <c r="E30" s="103">
        <v>0</v>
      </c>
      <c r="F30" s="103">
        <v>0</v>
      </c>
      <c r="G30" s="103">
        <v>0</v>
      </c>
      <c r="H30" s="98">
        <f t="shared" si="1"/>
        <v>0</v>
      </c>
      <c r="I30" s="103">
        <v>0</v>
      </c>
      <c r="J30" s="103">
        <v>0</v>
      </c>
      <c r="K30" s="64">
        <f t="shared" si="2"/>
        <v>0</v>
      </c>
    </row>
    <row r="31" spans="1:11" x14ac:dyDescent="0.25">
      <c r="A31" s="11" t="s">
        <v>37</v>
      </c>
      <c r="B31" s="9"/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98">
        <f t="shared" si="1"/>
        <v>0</v>
      </c>
      <c r="I31" s="40">
        <v>0</v>
      </c>
      <c r="J31" s="40">
        <v>0</v>
      </c>
      <c r="K31" s="64">
        <f t="shared" si="2"/>
        <v>0</v>
      </c>
    </row>
    <row r="32" spans="1:11" x14ac:dyDescent="0.25">
      <c r="A32" s="11" t="s">
        <v>38</v>
      </c>
      <c r="B32" s="9"/>
      <c r="C32" s="65">
        <v>0</v>
      </c>
      <c r="D32" s="65">
        <v>0</v>
      </c>
      <c r="E32" s="65">
        <v>0</v>
      </c>
      <c r="F32" s="65">
        <v>0</v>
      </c>
      <c r="G32" s="65">
        <v>0</v>
      </c>
      <c r="H32" s="98">
        <f t="shared" si="1"/>
        <v>0</v>
      </c>
      <c r="I32" s="65">
        <v>0</v>
      </c>
      <c r="J32" s="65">
        <v>0</v>
      </c>
      <c r="K32" s="64">
        <f t="shared" si="2"/>
        <v>0</v>
      </c>
    </row>
    <row r="33" spans="1:11" x14ac:dyDescent="0.25">
      <c r="A33" s="11" t="s">
        <v>39</v>
      </c>
      <c r="B33" s="9"/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98">
        <f t="shared" si="1"/>
        <v>0</v>
      </c>
      <c r="I33" s="40">
        <v>0</v>
      </c>
      <c r="J33" s="40">
        <v>0</v>
      </c>
      <c r="K33" s="64">
        <f t="shared" si="2"/>
        <v>0</v>
      </c>
    </row>
    <row r="34" spans="1:11" x14ac:dyDescent="0.25">
      <c r="A34" s="11" t="s">
        <v>40</v>
      </c>
      <c r="B34" s="9"/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98">
        <f t="shared" si="1"/>
        <v>0</v>
      </c>
      <c r="I34" s="40">
        <v>0</v>
      </c>
      <c r="J34" s="40">
        <v>0</v>
      </c>
      <c r="K34" s="64">
        <f t="shared" si="2"/>
        <v>0</v>
      </c>
    </row>
    <row r="35" spans="1:11" x14ac:dyDescent="0.25">
      <c r="A35" s="11" t="s">
        <v>41</v>
      </c>
      <c r="B35" s="9"/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98">
        <f t="shared" si="1"/>
        <v>0</v>
      </c>
      <c r="I35" s="40">
        <v>0</v>
      </c>
      <c r="J35" s="40">
        <v>0</v>
      </c>
      <c r="K35" s="64">
        <f t="shared" si="2"/>
        <v>0</v>
      </c>
    </row>
    <row r="36" spans="1:11" x14ac:dyDescent="0.25">
      <c r="A36" s="11" t="s">
        <v>100</v>
      </c>
      <c r="B36" s="9"/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99">
        <f>SUM(C36:G36)</f>
        <v>0</v>
      </c>
      <c r="I36" s="40">
        <v>0</v>
      </c>
      <c r="J36" s="40">
        <v>0</v>
      </c>
      <c r="K36" s="64">
        <f>SUM(H36:J36)</f>
        <v>0</v>
      </c>
    </row>
    <row r="37" spans="1:11" s="42" customFormat="1" ht="13.5" x14ac:dyDescent="0.25">
      <c r="A37" s="25" t="s">
        <v>9</v>
      </c>
      <c r="B37" s="113"/>
      <c r="C37" s="104">
        <f t="shared" ref="C37:K37" si="4">SUM(C28:C35)</f>
        <v>0</v>
      </c>
      <c r="D37" s="104">
        <f t="shared" si="4"/>
        <v>0</v>
      </c>
      <c r="E37" s="104">
        <f t="shared" si="4"/>
        <v>0</v>
      </c>
      <c r="F37" s="104">
        <f t="shared" si="4"/>
        <v>0</v>
      </c>
      <c r="G37" s="104">
        <f t="shared" si="4"/>
        <v>0</v>
      </c>
      <c r="H37" s="105">
        <f t="shared" si="4"/>
        <v>0</v>
      </c>
      <c r="I37" s="104">
        <f t="shared" si="4"/>
        <v>0</v>
      </c>
      <c r="J37" s="104">
        <f t="shared" si="4"/>
        <v>0</v>
      </c>
      <c r="K37" s="106">
        <f t="shared" si="4"/>
        <v>0</v>
      </c>
    </row>
    <row r="38" spans="1:11" x14ac:dyDescent="0.25">
      <c r="A38" s="11"/>
      <c r="B38" s="16"/>
      <c r="C38" s="22"/>
      <c r="D38" s="40"/>
      <c r="E38" s="40"/>
      <c r="F38" s="40"/>
      <c r="G38" s="40"/>
      <c r="H38" s="98"/>
      <c r="I38" s="22"/>
      <c r="J38" s="40"/>
      <c r="K38" s="64"/>
    </row>
    <row r="39" spans="1:11" x14ac:dyDescent="0.25">
      <c r="A39" s="11" t="s">
        <v>42</v>
      </c>
      <c r="B39" s="92"/>
      <c r="C39" s="22">
        <v>0</v>
      </c>
      <c r="D39" s="40">
        <v>0</v>
      </c>
      <c r="E39" s="40">
        <v>0</v>
      </c>
      <c r="F39" s="40">
        <v>0</v>
      </c>
      <c r="G39" s="40">
        <v>0</v>
      </c>
      <c r="H39" s="98">
        <f t="shared" si="1"/>
        <v>0</v>
      </c>
      <c r="I39" s="40">
        <v>0</v>
      </c>
      <c r="J39" s="40">
        <v>0</v>
      </c>
      <c r="K39" s="64">
        <f t="shared" ref="K39:K44" si="5">SUM(H39:J39)</f>
        <v>0</v>
      </c>
    </row>
    <row r="40" spans="1:11" x14ac:dyDescent="0.25">
      <c r="A40" s="11" t="s">
        <v>43</v>
      </c>
      <c r="B40" s="16"/>
      <c r="C40" s="100">
        <v>0</v>
      </c>
      <c r="D40" s="101">
        <v>0</v>
      </c>
      <c r="E40" s="101">
        <v>0</v>
      </c>
      <c r="F40" s="101">
        <v>0</v>
      </c>
      <c r="G40" s="101">
        <v>0</v>
      </c>
      <c r="H40" s="98">
        <f t="shared" si="1"/>
        <v>0</v>
      </c>
      <c r="I40" s="101">
        <v>0</v>
      </c>
      <c r="J40" s="101">
        <v>0</v>
      </c>
      <c r="K40" s="64">
        <f t="shared" si="5"/>
        <v>0</v>
      </c>
    </row>
    <row r="41" spans="1:11" s="66" customFormat="1" ht="13.5" x14ac:dyDescent="0.25">
      <c r="A41" s="11" t="s">
        <v>65</v>
      </c>
      <c r="B41" s="91"/>
      <c r="C41" s="102">
        <v>0</v>
      </c>
      <c r="D41" s="103">
        <v>0</v>
      </c>
      <c r="E41" s="103">
        <v>0</v>
      </c>
      <c r="F41" s="103">
        <v>0</v>
      </c>
      <c r="G41" s="103">
        <v>0</v>
      </c>
      <c r="H41" s="98">
        <f t="shared" si="1"/>
        <v>0</v>
      </c>
      <c r="I41" s="103">
        <v>0</v>
      </c>
      <c r="J41" s="103">
        <v>0</v>
      </c>
      <c r="K41" s="64">
        <f t="shared" si="5"/>
        <v>0</v>
      </c>
    </row>
    <row r="42" spans="1:11" x14ac:dyDescent="0.25">
      <c r="A42" s="11" t="s">
        <v>66</v>
      </c>
      <c r="B42" s="16"/>
      <c r="C42" s="22">
        <v>0</v>
      </c>
      <c r="D42" s="40">
        <v>0</v>
      </c>
      <c r="E42" s="40">
        <v>0</v>
      </c>
      <c r="F42" s="40">
        <v>0</v>
      </c>
      <c r="G42" s="40">
        <v>0</v>
      </c>
      <c r="H42" s="98">
        <f t="shared" si="1"/>
        <v>0</v>
      </c>
      <c r="I42" s="40">
        <v>0</v>
      </c>
      <c r="J42" s="40">
        <v>0</v>
      </c>
      <c r="K42" s="64">
        <f t="shared" si="5"/>
        <v>0</v>
      </c>
    </row>
    <row r="43" spans="1:11" x14ac:dyDescent="0.25">
      <c r="A43" s="11" t="s">
        <v>44</v>
      </c>
      <c r="B43" s="16"/>
      <c r="C43" s="22">
        <v>0</v>
      </c>
      <c r="D43" s="40">
        <v>0</v>
      </c>
      <c r="E43" s="40">
        <v>0</v>
      </c>
      <c r="F43" s="40">
        <v>0</v>
      </c>
      <c r="G43" s="40">
        <v>0</v>
      </c>
      <c r="H43" s="98">
        <f t="shared" si="1"/>
        <v>0</v>
      </c>
      <c r="I43" s="40">
        <v>0</v>
      </c>
      <c r="J43" s="40">
        <v>0</v>
      </c>
      <c r="K43" s="64">
        <f t="shared" si="5"/>
        <v>0</v>
      </c>
    </row>
    <row r="44" spans="1:11" x14ac:dyDescent="0.25">
      <c r="A44" s="11" t="s">
        <v>45</v>
      </c>
      <c r="B44" s="16"/>
      <c r="C44" s="22">
        <v>0</v>
      </c>
      <c r="D44" s="40">
        <v>0</v>
      </c>
      <c r="E44" s="40">
        <v>0</v>
      </c>
      <c r="F44" s="40">
        <v>0</v>
      </c>
      <c r="G44" s="40">
        <v>0</v>
      </c>
      <c r="H44" s="98">
        <f t="shared" si="1"/>
        <v>0</v>
      </c>
      <c r="I44" s="40">
        <v>0</v>
      </c>
      <c r="J44" s="40">
        <v>0</v>
      </c>
      <c r="K44" s="251">
        <f t="shared" si="5"/>
        <v>0</v>
      </c>
    </row>
    <row r="45" spans="1:11" s="42" customFormat="1" ht="13.5" x14ac:dyDescent="0.25">
      <c r="A45" s="25" t="s">
        <v>10</v>
      </c>
      <c r="B45" s="112"/>
      <c r="C45" s="107">
        <f>SUM(C39:C44)</f>
        <v>0</v>
      </c>
      <c r="D45" s="104">
        <f>SUM(D39:D44)</f>
        <v>0</v>
      </c>
      <c r="E45" s="104">
        <f>SUM(E39:E44)</f>
        <v>0</v>
      </c>
      <c r="F45" s="104">
        <f>SUM(F39:F44)</f>
        <v>0</v>
      </c>
      <c r="G45" s="104">
        <f>SUM(G39:G44)</f>
        <v>0</v>
      </c>
      <c r="H45" s="105">
        <f>SUM(H37:H44)</f>
        <v>0</v>
      </c>
      <c r="I45" s="104">
        <f>SUM(I39:I44)</f>
        <v>0</v>
      </c>
      <c r="J45" s="104">
        <f>SUM(J39:J44)</f>
        <v>0</v>
      </c>
      <c r="K45" s="106">
        <f>SUM(K37:K44)</f>
        <v>0</v>
      </c>
    </row>
    <row r="46" spans="1:11" x14ac:dyDescent="0.25">
      <c r="A46" s="11"/>
      <c r="B46" s="16"/>
      <c r="C46" s="22"/>
      <c r="D46" s="40"/>
      <c r="E46" s="40"/>
      <c r="F46" s="40"/>
      <c r="G46" s="40"/>
      <c r="H46" s="22"/>
      <c r="I46" s="22"/>
      <c r="J46" s="40"/>
      <c r="K46" s="64"/>
    </row>
    <row r="47" spans="1:11" x14ac:dyDescent="0.25">
      <c r="A47" s="11" t="s">
        <v>74</v>
      </c>
      <c r="B47" s="16"/>
      <c r="C47" s="22">
        <v>0</v>
      </c>
      <c r="D47" s="40">
        <v>0</v>
      </c>
      <c r="E47" s="40">
        <v>0</v>
      </c>
      <c r="F47" s="40">
        <v>0</v>
      </c>
      <c r="G47" s="40">
        <v>0</v>
      </c>
      <c r="H47" s="98">
        <f t="shared" ref="H47:H65" si="6">SUM(C47:G47)</f>
        <v>0</v>
      </c>
      <c r="I47" s="40">
        <v>0</v>
      </c>
      <c r="J47" s="40">
        <v>0</v>
      </c>
      <c r="K47" s="64">
        <f t="shared" ref="K47:K65" si="7">SUM(H47:J47)</f>
        <v>0</v>
      </c>
    </row>
    <row r="48" spans="1:11" x14ac:dyDescent="0.25">
      <c r="A48" s="11" t="s">
        <v>101</v>
      </c>
      <c r="B48" s="16"/>
      <c r="C48" s="100">
        <v>0</v>
      </c>
      <c r="D48" s="101">
        <v>0</v>
      </c>
      <c r="E48" s="101">
        <v>0</v>
      </c>
      <c r="F48" s="101">
        <v>0</v>
      </c>
      <c r="G48" s="101">
        <v>0</v>
      </c>
      <c r="H48" s="98">
        <f t="shared" si="6"/>
        <v>0</v>
      </c>
      <c r="I48" s="101">
        <v>0</v>
      </c>
      <c r="J48" s="101">
        <v>0</v>
      </c>
      <c r="K48" s="64">
        <f t="shared" si="7"/>
        <v>0</v>
      </c>
    </row>
    <row r="49" spans="1:14" ht="13.5" x14ac:dyDescent="0.25">
      <c r="A49" s="11" t="s">
        <v>102</v>
      </c>
      <c r="B49" s="16"/>
      <c r="C49" s="115">
        <v>0</v>
      </c>
      <c r="D49" s="116">
        <v>0</v>
      </c>
      <c r="E49" s="116">
        <v>0</v>
      </c>
      <c r="F49" s="116">
        <v>0</v>
      </c>
      <c r="G49" s="116">
        <v>0</v>
      </c>
      <c r="H49" s="98">
        <f t="shared" si="6"/>
        <v>0</v>
      </c>
      <c r="I49" s="116">
        <v>0</v>
      </c>
      <c r="J49" s="116">
        <v>0</v>
      </c>
      <c r="K49" s="64">
        <f t="shared" si="7"/>
        <v>0</v>
      </c>
    </row>
    <row r="50" spans="1:14" x14ac:dyDescent="0.25">
      <c r="A50" s="11" t="s">
        <v>103</v>
      </c>
      <c r="B50" s="16"/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98">
        <f t="shared" si="6"/>
        <v>0</v>
      </c>
      <c r="I50" s="40">
        <v>0</v>
      </c>
      <c r="J50" s="40">
        <v>0</v>
      </c>
      <c r="K50" s="64">
        <f t="shared" si="7"/>
        <v>0</v>
      </c>
    </row>
    <row r="51" spans="1:14" x14ac:dyDescent="0.25">
      <c r="A51" s="11" t="s">
        <v>104</v>
      </c>
      <c r="B51" s="16"/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98">
        <f t="shared" si="6"/>
        <v>0</v>
      </c>
      <c r="I51" s="41">
        <v>0</v>
      </c>
      <c r="J51" s="41">
        <v>0</v>
      </c>
      <c r="K51" s="64">
        <f t="shared" si="7"/>
        <v>0</v>
      </c>
    </row>
    <row r="52" spans="1:14" x14ac:dyDescent="0.25">
      <c r="A52" s="11" t="s">
        <v>105</v>
      </c>
      <c r="B52" s="16"/>
      <c r="C52" s="41">
        <v>0</v>
      </c>
      <c r="D52" s="41">
        <v>0</v>
      </c>
      <c r="E52" s="41">
        <v>0</v>
      </c>
      <c r="F52" s="41">
        <v>0</v>
      </c>
      <c r="G52" s="41">
        <v>0</v>
      </c>
      <c r="H52" s="98">
        <f t="shared" si="6"/>
        <v>0</v>
      </c>
      <c r="I52" s="41">
        <v>0</v>
      </c>
      <c r="J52" s="41">
        <v>0</v>
      </c>
      <c r="K52" s="64">
        <f t="shared" si="7"/>
        <v>0</v>
      </c>
      <c r="L52" s="44"/>
      <c r="M52" s="67"/>
      <c r="N52" s="44"/>
    </row>
    <row r="53" spans="1:14" x14ac:dyDescent="0.25">
      <c r="A53" s="11" t="s">
        <v>69</v>
      </c>
      <c r="B53" s="16"/>
      <c r="C53" s="41">
        <v>0</v>
      </c>
      <c r="D53" s="41">
        <v>0</v>
      </c>
      <c r="E53" s="41">
        <v>0</v>
      </c>
      <c r="F53" s="41">
        <v>0</v>
      </c>
      <c r="G53" s="41">
        <v>0</v>
      </c>
      <c r="H53" s="98">
        <f t="shared" si="6"/>
        <v>0</v>
      </c>
      <c r="I53" s="41">
        <v>0</v>
      </c>
      <c r="J53" s="41">
        <v>0</v>
      </c>
      <c r="K53" s="64">
        <f t="shared" si="7"/>
        <v>0</v>
      </c>
      <c r="L53" s="44"/>
      <c r="M53" s="67"/>
      <c r="N53" s="44"/>
    </row>
    <row r="54" spans="1:14" x14ac:dyDescent="0.25">
      <c r="A54" s="11" t="s">
        <v>68</v>
      </c>
      <c r="B54" s="16"/>
      <c r="C54" s="41">
        <v>0</v>
      </c>
      <c r="D54" s="41">
        <v>0</v>
      </c>
      <c r="E54" s="41">
        <v>0</v>
      </c>
      <c r="F54" s="41">
        <v>0</v>
      </c>
      <c r="G54" s="41">
        <v>0</v>
      </c>
      <c r="H54" s="98">
        <f t="shared" si="6"/>
        <v>0</v>
      </c>
      <c r="I54" s="41">
        <v>0</v>
      </c>
      <c r="J54" s="41">
        <v>0</v>
      </c>
      <c r="K54" s="64">
        <f t="shared" si="7"/>
        <v>0</v>
      </c>
      <c r="L54" s="44"/>
      <c r="M54" s="67"/>
      <c r="N54" s="44"/>
    </row>
    <row r="55" spans="1:14" x14ac:dyDescent="0.25">
      <c r="A55" s="11" t="s">
        <v>67</v>
      </c>
      <c r="B55" s="16"/>
      <c r="C55" s="117">
        <v>0</v>
      </c>
      <c r="D55" s="117">
        <v>0</v>
      </c>
      <c r="E55" s="117">
        <v>0</v>
      </c>
      <c r="F55" s="117">
        <v>0</v>
      </c>
      <c r="G55" s="117">
        <v>0</v>
      </c>
      <c r="H55" s="98">
        <f t="shared" si="6"/>
        <v>0</v>
      </c>
      <c r="I55" s="117">
        <v>0</v>
      </c>
      <c r="J55" s="117">
        <v>0</v>
      </c>
      <c r="K55" s="64">
        <f t="shared" si="7"/>
        <v>0</v>
      </c>
      <c r="L55" s="44"/>
      <c r="M55" s="67"/>
      <c r="N55" s="44"/>
    </row>
    <row r="56" spans="1:14" x14ac:dyDescent="0.25">
      <c r="A56" s="11" t="s">
        <v>46</v>
      </c>
      <c r="B56" s="16"/>
      <c r="C56" s="117">
        <v>0</v>
      </c>
      <c r="D56" s="117">
        <v>0</v>
      </c>
      <c r="E56" s="117">
        <v>0</v>
      </c>
      <c r="F56" s="117">
        <v>0</v>
      </c>
      <c r="G56" s="117">
        <v>0</v>
      </c>
      <c r="H56" s="98">
        <f t="shared" si="6"/>
        <v>0</v>
      </c>
      <c r="I56" s="117">
        <v>0</v>
      </c>
      <c r="J56" s="117">
        <v>0</v>
      </c>
      <c r="K56" s="64">
        <f t="shared" si="7"/>
        <v>0</v>
      </c>
      <c r="L56" s="44"/>
      <c r="M56" s="67"/>
      <c r="N56" s="44"/>
    </row>
    <row r="57" spans="1:14" x14ac:dyDescent="0.25">
      <c r="A57" s="11" t="s">
        <v>47</v>
      </c>
      <c r="B57" s="16"/>
      <c r="C57" s="117">
        <v>0</v>
      </c>
      <c r="D57" s="117">
        <v>0</v>
      </c>
      <c r="E57" s="117">
        <v>0</v>
      </c>
      <c r="F57" s="117">
        <v>0</v>
      </c>
      <c r="G57" s="117">
        <v>0</v>
      </c>
      <c r="H57" s="98">
        <f t="shared" si="6"/>
        <v>0</v>
      </c>
      <c r="I57" s="117">
        <v>0</v>
      </c>
      <c r="J57" s="117">
        <v>0</v>
      </c>
      <c r="K57" s="64">
        <f t="shared" si="7"/>
        <v>0</v>
      </c>
      <c r="L57" s="44"/>
      <c r="M57" s="44" t="s">
        <v>85</v>
      </c>
      <c r="N57" s="44"/>
    </row>
    <row r="58" spans="1:14" x14ac:dyDescent="0.25">
      <c r="A58" s="11" t="s">
        <v>48</v>
      </c>
      <c r="B58" s="16"/>
      <c r="C58" s="117">
        <v>0</v>
      </c>
      <c r="D58" s="117">
        <v>0</v>
      </c>
      <c r="E58" s="117">
        <v>0</v>
      </c>
      <c r="F58" s="117">
        <v>0</v>
      </c>
      <c r="G58" s="117">
        <v>0</v>
      </c>
      <c r="H58" s="98">
        <f t="shared" si="6"/>
        <v>0</v>
      </c>
      <c r="I58" s="117">
        <v>0</v>
      </c>
      <c r="J58" s="117">
        <v>0</v>
      </c>
      <c r="K58" s="64">
        <f t="shared" si="7"/>
        <v>0</v>
      </c>
    </row>
    <row r="59" spans="1:14" x14ac:dyDescent="0.25">
      <c r="A59" s="11" t="s">
        <v>63</v>
      </c>
      <c r="B59" s="16"/>
      <c r="C59" s="117">
        <v>0</v>
      </c>
      <c r="D59" s="117">
        <v>0</v>
      </c>
      <c r="E59" s="117">
        <v>0</v>
      </c>
      <c r="F59" s="117">
        <v>0</v>
      </c>
      <c r="G59" s="117">
        <v>0</v>
      </c>
      <c r="H59" s="98">
        <f t="shared" si="6"/>
        <v>0</v>
      </c>
      <c r="I59" s="117">
        <v>0</v>
      </c>
      <c r="J59" s="117">
        <v>0</v>
      </c>
      <c r="K59" s="64">
        <f t="shared" si="7"/>
        <v>0</v>
      </c>
    </row>
    <row r="60" spans="1:14" x14ac:dyDescent="0.25">
      <c r="A60" s="11" t="s">
        <v>49</v>
      </c>
      <c r="B60" s="16"/>
      <c r="C60" s="117">
        <v>0</v>
      </c>
      <c r="D60" s="117">
        <v>0</v>
      </c>
      <c r="E60" s="117">
        <v>0</v>
      </c>
      <c r="F60" s="117">
        <v>0</v>
      </c>
      <c r="G60" s="117">
        <v>0</v>
      </c>
      <c r="H60" s="98">
        <f t="shared" si="6"/>
        <v>0</v>
      </c>
      <c r="I60" s="117">
        <v>0</v>
      </c>
      <c r="J60" s="117">
        <v>0</v>
      </c>
      <c r="K60" s="64">
        <f t="shared" si="7"/>
        <v>0</v>
      </c>
    </row>
    <row r="61" spans="1:14" x14ac:dyDescent="0.25">
      <c r="A61" s="11" t="s">
        <v>50</v>
      </c>
      <c r="B61" s="16"/>
      <c r="C61" s="117">
        <v>0</v>
      </c>
      <c r="D61" s="117">
        <v>0</v>
      </c>
      <c r="E61" s="117">
        <v>0</v>
      </c>
      <c r="F61" s="117">
        <v>0</v>
      </c>
      <c r="G61" s="117">
        <v>0</v>
      </c>
      <c r="H61" s="98">
        <f t="shared" si="6"/>
        <v>0</v>
      </c>
      <c r="I61" s="117">
        <v>0</v>
      </c>
      <c r="J61" s="117">
        <v>0</v>
      </c>
      <c r="K61" s="64">
        <f t="shared" si="7"/>
        <v>0</v>
      </c>
    </row>
    <row r="62" spans="1:14" x14ac:dyDescent="0.25">
      <c r="A62" s="11" t="s">
        <v>71</v>
      </c>
      <c r="B62" s="16"/>
      <c r="C62" s="117">
        <v>0</v>
      </c>
      <c r="D62" s="117">
        <v>0</v>
      </c>
      <c r="E62" s="117">
        <v>0</v>
      </c>
      <c r="F62" s="117">
        <v>0</v>
      </c>
      <c r="G62" s="117">
        <v>0</v>
      </c>
      <c r="H62" s="98">
        <f t="shared" si="6"/>
        <v>0</v>
      </c>
      <c r="I62" s="117">
        <v>0</v>
      </c>
      <c r="J62" s="117">
        <v>0</v>
      </c>
      <c r="K62" s="64">
        <f t="shared" si="7"/>
        <v>0</v>
      </c>
    </row>
    <row r="63" spans="1:14" x14ac:dyDescent="0.25">
      <c r="A63" s="11" t="s">
        <v>73</v>
      </c>
      <c r="B63" s="16"/>
      <c r="C63" s="117">
        <v>0</v>
      </c>
      <c r="D63" s="117">
        <v>0</v>
      </c>
      <c r="E63" s="117">
        <v>0</v>
      </c>
      <c r="F63" s="117">
        <v>0</v>
      </c>
      <c r="G63" s="117">
        <v>0</v>
      </c>
      <c r="H63" s="98">
        <f t="shared" si="6"/>
        <v>0</v>
      </c>
      <c r="I63" s="117">
        <v>0</v>
      </c>
      <c r="J63" s="117">
        <v>0</v>
      </c>
      <c r="K63" s="64">
        <f t="shared" si="7"/>
        <v>0</v>
      </c>
    </row>
    <row r="64" spans="1:14" x14ac:dyDescent="0.25">
      <c r="A64" s="29" t="s">
        <v>72</v>
      </c>
      <c r="B64" s="16"/>
      <c r="C64" s="117">
        <v>0</v>
      </c>
      <c r="D64" s="117">
        <v>0</v>
      </c>
      <c r="E64" s="117">
        <v>0</v>
      </c>
      <c r="F64" s="117">
        <v>0</v>
      </c>
      <c r="G64" s="117">
        <v>0</v>
      </c>
      <c r="H64" s="98">
        <f t="shared" si="6"/>
        <v>0</v>
      </c>
      <c r="I64" s="117">
        <v>0</v>
      </c>
      <c r="J64" s="117">
        <v>0</v>
      </c>
      <c r="K64" s="64">
        <f t="shared" si="7"/>
        <v>0</v>
      </c>
    </row>
    <row r="65" spans="1:11" x14ac:dyDescent="0.25">
      <c r="A65" s="29" t="s">
        <v>11</v>
      </c>
      <c r="B65" s="16"/>
      <c r="C65" s="117">
        <v>0</v>
      </c>
      <c r="D65" s="117">
        <v>0</v>
      </c>
      <c r="E65" s="117">
        <v>0</v>
      </c>
      <c r="F65" s="117">
        <v>0</v>
      </c>
      <c r="G65" s="117">
        <v>0</v>
      </c>
      <c r="H65" s="98">
        <f t="shared" si="6"/>
        <v>0</v>
      </c>
      <c r="I65" s="117">
        <v>0</v>
      </c>
      <c r="J65" s="117">
        <v>0</v>
      </c>
      <c r="K65" s="64">
        <f t="shared" si="7"/>
        <v>0</v>
      </c>
    </row>
    <row r="66" spans="1:11" s="42" customFormat="1" ht="13.5" x14ac:dyDescent="0.25">
      <c r="A66" s="25" t="s">
        <v>12</v>
      </c>
      <c r="B66" s="112"/>
      <c r="C66" s="120">
        <f t="shared" ref="C66:K66" si="8">SUM(C47:C65)+C45+C37+C26+C18</f>
        <v>0</v>
      </c>
      <c r="D66" s="121">
        <f t="shared" si="8"/>
        <v>0</v>
      </c>
      <c r="E66" s="121">
        <f t="shared" si="8"/>
        <v>0</v>
      </c>
      <c r="F66" s="121">
        <f t="shared" si="8"/>
        <v>0</v>
      </c>
      <c r="G66" s="121">
        <f t="shared" si="8"/>
        <v>0</v>
      </c>
      <c r="H66" s="122">
        <f t="shared" si="8"/>
        <v>0</v>
      </c>
      <c r="I66" s="121">
        <f t="shared" si="8"/>
        <v>0</v>
      </c>
      <c r="J66" s="121">
        <f t="shared" si="8"/>
        <v>0</v>
      </c>
      <c r="K66" s="123">
        <f t="shared" si="8"/>
        <v>0</v>
      </c>
    </row>
    <row r="67" spans="1:11" x14ac:dyDescent="0.25">
      <c r="A67" s="52" t="s">
        <v>84</v>
      </c>
      <c r="C67" s="117"/>
      <c r="D67" s="117"/>
      <c r="E67" s="117"/>
      <c r="F67" s="117"/>
      <c r="G67" s="117"/>
      <c r="H67" s="117"/>
      <c r="I67" s="117"/>
      <c r="J67" s="117"/>
      <c r="K67" s="117"/>
    </row>
    <row r="68" spans="1:11" x14ac:dyDescent="0.25">
      <c r="C68" s="117"/>
      <c r="D68" s="117"/>
      <c r="E68" s="117"/>
      <c r="F68" s="117"/>
      <c r="G68" s="117"/>
      <c r="H68" s="117"/>
      <c r="I68" s="117"/>
      <c r="J68" s="117"/>
      <c r="K68" s="117"/>
    </row>
    <row r="69" spans="1:11" x14ac:dyDescent="0.25">
      <c r="C69" s="117"/>
      <c r="D69" s="117"/>
      <c r="E69" s="117"/>
      <c r="F69" s="117"/>
      <c r="G69" s="117"/>
      <c r="H69" s="117"/>
      <c r="I69" s="117"/>
      <c r="J69" s="117"/>
      <c r="K69" s="117"/>
    </row>
    <row r="70" spans="1:11" x14ac:dyDescent="0.25">
      <c r="C70" s="118"/>
      <c r="D70" s="40"/>
      <c r="E70" s="67"/>
      <c r="F70" s="118"/>
      <c r="G70" s="40"/>
      <c r="H70" s="40"/>
      <c r="I70" s="40"/>
      <c r="J70" s="117"/>
      <c r="K70" s="117"/>
    </row>
    <row r="71" spans="1:11" x14ac:dyDescent="0.25">
      <c r="C71" s="118"/>
      <c r="D71" s="40"/>
      <c r="E71" s="67"/>
      <c r="F71" s="118"/>
      <c r="G71" s="40"/>
      <c r="H71" s="118"/>
      <c r="I71" s="40"/>
      <c r="J71" s="117"/>
      <c r="K71" s="117"/>
    </row>
    <row r="72" spans="1:11" x14ac:dyDescent="0.25">
      <c r="C72" s="118"/>
      <c r="D72" s="40"/>
      <c r="E72" s="67"/>
      <c r="F72" s="40"/>
      <c r="G72" s="40"/>
      <c r="H72" s="118"/>
      <c r="I72" s="40"/>
      <c r="J72" s="117"/>
      <c r="K72" s="117"/>
    </row>
    <row r="73" spans="1:11" x14ac:dyDescent="0.25">
      <c r="C73" s="118"/>
      <c r="D73" s="118"/>
      <c r="E73" s="67"/>
      <c r="F73" s="118"/>
      <c r="G73" s="118"/>
      <c r="H73" s="118"/>
      <c r="I73" s="40"/>
      <c r="J73" s="117"/>
      <c r="K73" s="117"/>
    </row>
    <row r="74" spans="1:11" x14ac:dyDescent="0.25">
      <c r="C74" s="118"/>
      <c r="D74" s="118"/>
      <c r="E74" s="118"/>
      <c r="F74" s="118"/>
      <c r="G74" s="118"/>
      <c r="H74" s="118"/>
      <c r="I74" s="40"/>
      <c r="J74" s="117"/>
      <c r="K74" s="117"/>
    </row>
    <row r="75" spans="1:11" x14ac:dyDescent="0.25">
      <c r="C75" s="118"/>
      <c r="D75" s="118"/>
      <c r="E75" s="118"/>
      <c r="F75" s="118"/>
      <c r="G75" s="118"/>
      <c r="H75" s="118"/>
      <c r="I75" s="119"/>
      <c r="J75" s="117"/>
      <c r="K75" s="117"/>
    </row>
    <row r="76" spans="1:11" x14ac:dyDescent="0.25">
      <c r="C76" s="118"/>
      <c r="D76" s="118"/>
      <c r="E76" s="118"/>
      <c r="F76" s="118"/>
      <c r="G76" s="118"/>
      <c r="H76" s="118"/>
      <c r="I76" s="118"/>
      <c r="J76" s="117"/>
      <c r="K76" s="117"/>
    </row>
    <row r="77" spans="1:11" x14ac:dyDescent="0.25">
      <c r="C77" s="117"/>
      <c r="D77" s="117"/>
      <c r="E77" s="117"/>
      <c r="F77" s="117"/>
      <c r="G77" s="117"/>
      <c r="H77" s="117"/>
      <c r="I77" s="117"/>
      <c r="J77" s="117"/>
      <c r="K77" s="117"/>
    </row>
    <row r="78" spans="1:11" x14ac:dyDescent="0.25">
      <c r="C78" s="117"/>
      <c r="D78" s="117"/>
      <c r="E78" s="117"/>
      <c r="F78" s="117"/>
      <c r="G78" s="117"/>
      <c r="H78" s="117"/>
      <c r="I78" s="117"/>
      <c r="J78" s="117"/>
      <c r="K78" s="117"/>
    </row>
    <row r="79" spans="1:11" x14ac:dyDescent="0.25">
      <c r="C79" s="117"/>
      <c r="D79" s="117"/>
      <c r="E79" s="117"/>
      <c r="F79" s="117"/>
      <c r="G79" s="117"/>
      <c r="H79" s="117"/>
      <c r="I79" s="117"/>
      <c r="J79" s="117"/>
      <c r="K79" s="117"/>
    </row>
    <row r="80" spans="1:11" x14ac:dyDescent="0.25">
      <c r="C80" s="117"/>
      <c r="D80" s="117"/>
      <c r="E80" s="117"/>
      <c r="F80" s="117"/>
      <c r="G80" s="117"/>
      <c r="H80" s="117"/>
      <c r="I80" s="117"/>
      <c r="J80" s="117"/>
      <c r="K80" s="117"/>
    </row>
    <row r="81" spans="3:11" x14ac:dyDescent="0.25">
      <c r="C81" s="117"/>
      <c r="D81" s="117"/>
      <c r="E81" s="117"/>
      <c r="F81" s="117"/>
      <c r="G81" s="117"/>
      <c r="H81" s="117"/>
      <c r="I81" s="117"/>
      <c r="J81" s="117"/>
      <c r="K81" s="117"/>
    </row>
    <row r="82" spans="3:11" x14ac:dyDescent="0.25">
      <c r="C82" s="117"/>
      <c r="D82" s="117"/>
      <c r="E82" s="117"/>
      <c r="F82" s="117"/>
      <c r="G82" s="117"/>
      <c r="H82" s="117"/>
      <c r="I82" s="117"/>
      <c r="J82" s="117"/>
      <c r="K82" s="117"/>
    </row>
    <row r="83" spans="3:11" x14ac:dyDescent="0.25">
      <c r="C83" s="117"/>
      <c r="D83" s="117"/>
      <c r="E83" s="117"/>
      <c r="F83" s="117"/>
      <c r="G83" s="117"/>
      <c r="H83" s="117"/>
      <c r="I83" s="117"/>
      <c r="J83" s="117"/>
      <c r="K83" s="117"/>
    </row>
    <row r="84" spans="3:11" x14ac:dyDescent="0.25">
      <c r="C84" s="117"/>
      <c r="D84" s="117"/>
      <c r="E84" s="117"/>
      <c r="F84" s="117"/>
      <c r="G84" s="117"/>
      <c r="H84" s="117"/>
      <c r="I84" s="117"/>
      <c r="J84" s="117"/>
      <c r="K84" s="117"/>
    </row>
    <row r="85" spans="3:11" x14ac:dyDescent="0.25">
      <c r="C85" s="117"/>
      <c r="D85" s="117"/>
      <c r="E85" s="117"/>
      <c r="F85" s="117"/>
      <c r="G85" s="117"/>
      <c r="H85" s="117"/>
      <c r="I85" s="117"/>
      <c r="J85" s="117"/>
      <c r="K85" s="117"/>
    </row>
    <row r="86" spans="3:11" x14ac:dyDescent="0.25">
      <c r="C86" s="117"/>
      <c r="D86" s="117"/>
      <c r="E86" s="117"/>
      <c r="F86" s="117"/>
      <c r="G86" s="117"/>
      <c r="H86" s="117"/>
      <c r="I86" s="117"/>
      <c r="J86" s="117"/>
      <c r="K86" s="117"/>
    </row>
    <row r="87" spans="3:11" x14ac:dyDescent="0.25">
      <c r="C87" s="117"/>
      <c r="D87" s="117"/>
      <c r="E87" s="117"/>
      <c r="F87" s="117"/>
      <c r="G87" s="117"/>
      <c r="H87" s="117"/>
      <c r="I87" s="117"/>
      <c r="J87" s="117"/>
      <c r="K87" s="117"/>
    </row>
    <row r="88" spans="3:11" x14ac:dyDescent="0.25">
      <c r="C88" s="117"/>
      <c r="D88" s="117"/>
      <c r="E88" s="117"/>
      <c r="F88" s="117"/>
      <c r="G88" s="117"/>
      <c r="H88" s="117"/>
      <c r="I88" s="117"/>
      <c r="J88" s="117"/>
      <c r="K88" s="117"/>
    </row>
    <row r="89" spans="3:11" x14ac:dyDescent="0.25">
      <c r="C89" s="117"/>
      <c r="D89" s="117"/>
      <c r="E89" s="117"/>
      <c r="F89" s="117"/>
      <c r="G89" s="117"/>
      <c r="H89" s="117"/>
      <c r="I89" s="117"/>
      <c r="J89" s="117"/>
      <c r="K89" s="117"/>
    </row>
    <row r="90" spans="3:11" x14ac:dyDescent="0.25">
      <c r="C90" s="117"/>
      <c r="D90" s="117"/>
      <c r="E90" s="117"/>
      <c r="F90" s="117"/>
      <c r="G90" s="117"/>
      <c r="H90" s="117"/>
      <c r="I90" s="117"/>
      <c r="J90" s="117"/>
      <c r="K90" s="117"/>
    </row>
    <row r="91" spans="3:11" x14ac:dyDescent="0.25">
      <c r="C91" s="117"/>
      <c r="D91" s="117"/>
      <c r="E91" s="117"/>
      <c r="F91" s="117"/>
      <c r="G91" s="117"/>
      <c r="H91" s="117"/>
      <c r="I91" s="117"/>
      <c r="J91" s="117"/>
      <c r="K91" s="117"/>
    </row>
    <row r="92" spans="3:11" x14ac:dyDescent="0.25">
      <c r="C92" s="117"/>
      <c r="D92" s="117"/>
      <c r="E92" s="117"/>
      <c r="F92" s="117"/>
      <c r="G92" s="117"/>
      <c r="H92" s="117"/>
      <c r="I92" s="117"/>
      <c r="J92" s="117"/>
      <c r="K92" s="117"/>
    </row>
    <row r="93" spans="3:11" x14ac:dyDescent="0.25">
      <c r="C93" s="117"/>
      <c r="D93" s="117"/>
      <c r="E93" s="117"/>
      <c r="F93" s="117"/>
      <c r="G93" s="117"/>
      <c r="H93" s="117"/>
      <c r="I93" s="117"/>
      <c r="J93" s="117"/>
      <c r="K93" s="117"/>
    </row>
    <row r="94" spans="3:11" x14ac:dyDescent="0.25">
      <c r="C94" s="117"/>
      <c r="D94" s="117"/>
      <c r="E94" s="117"/>
      <c r="F94" s="117"/>
      <c r="G94" s="117"/>
      <c r="H94" s="117"/>
      <c r="I94" s="117"/>
      <c r="J94" s="117"/>
      <c r="K94" s="117"/>
    </row>
    <row r="95" spans="3:11" x14ac:dyDescent="0.25">
      <c r="C95" s="117"/>
      <c r="D95" s="117"/>
      <c r="E95" s="117"/>
      <c r="F95" s="117"/>
      <c r="G95" s="117"/>
      <c r="H95" s="117"/>
      <c r="I95" s="117"/>
      <c r="J95" s="117"/>
      <c r="K95" s="117"/>
    </row>
    <row r="96" spans="3:11" x14ac:dyDescent="0.25">
      <c r="C96" s="117"/>
      <c r="D96" s="117"/>
      <c r="E96" s="117"/>
      <c r="F96" s="117"/>
      <c r="G96" s="117"/>
      <c r="H96" s="117"/>
      <c r="I96" s="117"/>
      <c r="J96" s="117"/>
      <c r="K96" s="117"/>
    </row>
    <row r="97" spans="3:11" x14ac:dyDescent="0.25">
      <c r="C97" s="117"/>
      <c r="D97" s="117"/>
      <c r="E97" s="117"/>
      <c r="F97" s="117"/>
      <c r="G97" s="117"/>
      <c r="H97" s="117"/>
      <c r="I97" s="117"/>
      <c r="J97" s="117"/>
      <c r="K97" s="117"/>
    </row>
    <row r="98" spans="3:11" x14ac:dyDescent="0.25">
      <c r="C98" s="117"/>
      <c r="D98" s="117"/>
      <c r="E98" s="117"/>
      <c r="F98" s="117"/>
      <c r="G98" s="117"/>
      <c r="H98" s="117"/>
      <c r="I98" s="117"/>
      <c r="J98" s="117"/>
      <c r="K98" s="117"/>
    </row>
    <row r="99" spans="3:11" x14ac:dyDescent="0.25">
      <c r="C99" s="117"/>
      <c r="D99" s="117"/>
      <c r="E99" s="117"/>
      <c r="F99" s="117"/>
      <c r="G99" s="117"/>
      <c r="H99" s="117"/>
      <c r="I99" s="117"/>
      <c r="J99" s="117"/>
      <c r="K99" s="117"/>
    </row>
    <row r="100" spans="3:11" x14ac:dyDescent="0.25">
      <c r="C100" s="117"/>
      <c r="D100" s="117"/>
      <c r="E100" s="117"/>
      <c r="F100" s="117"/>
      <c r="G100" s="117"/>
      <c r="H100" s="117"/>
      <c r="I100" s="117"/>
      <c r="J100" s="117"/>
      <c r="K100" s="117"/>
    </row>
    <row r="101" spans="3:11" x14ac:dyDescent="0.25">
      <c r="C101" s="117"/>
      <c r="D101" s="117"/>
      <c r="E101" s="117"/>
      <c r="F101" s="117"/>
      <c r="G101" s="117"/>
      <c r="H101" s="117"/>
      <c r="I101" s="117"/>
      <c r="J101" s="117"/>
      <c r="K101" s="117"/>
    </row>
    <row r="102" spans="3:11" x14ac:dyDescent="0.25">
      <c r="C102" s="117"/>
      <c r="D102" s="117"/>
      <c r="E102" s="117"/>
      <c r="F102" s="117"/>
      <c r="G102" s="117"/>
      <c r="H102" s="117"/>
      <c r="I102" s="117"/>
      <c r="J102" s="117"/>
      <c r="K102" s="117"/>
    </row>
    <row r="103" spans="3:11" x14ac:dyDescent="0.25">
      <c r="C103" s="117"/>
      <c r="D103" s="117"/>
      <c r="E103" s="117"/>
      <c r="F103" s="117"/>
      <c r="G103" s="117"/>
      <c r="H103" s="117"/>
      <c r="I103" s="117"/>
      <c r="J103" s="117"/>
      <c r="K103" s="117"/>
    </row>
    <row r="104" spans="3:11" x14ac:dyDescent="0.25">
      <c r="C104" s="117"/>
      <c r="D104" s="117"/>
      <c r="E104" s="117"/>
      <c r="F104" s="117"/>
      <c r="G104" s="117"/>
      <c r="H104" s="117"/>
      <c r="I104" s="117"/>
      <c r="J104" s="117"/>
      <c r="K104" s="117"/>
    </row>
    <row r="105" spans="3:11" x14ac:dyDescent="0.25">
      <c r="C105" s="117"/>
      <c r="D105" s="117"/>
      <c r="E105" s="117"/>
      <c r="F105" s="117"/>
      <c r="G105" s="117"/>
      <c r="H105" s="117"/>
      <c r="I105" s="117"/>
      <c r="J105" s="117"/>
      <c r="K105" s="117"/>
    </row>
    <row r="106" spans="3:11" x14ac:dyDescent="0.25">
      <c r="C106" s="117"/>
      <c r="D106" s="117"/>
      <c r="E106" s="117"/>
      <c r="F106" s="117"/>
      <c r="G106" s="117"/>
      <c r="H106" s="117"/>
      <c r="I106" s="117"/>
      <c r="J106" s="117"/>
      <c r="K106" s="117"/>
    </row>
    <row r="107" spans="3:11" x14ac:dyDescent="0.25">
      <c r="C107" s="117"/>
      <c r="D107" s="117"/>
      <c r="E107" s="117"/>
      <c r="F107" s="117"/>
      <c r="G107" s="117"/>
      <c r="H107" s="117"/>
      <c r="I107" s="117"/>
      <c r="J107" s="117"/>
      <c r="K107" s="117"/>
    </row>
    <row r="108" spans="3:11" x14ac:dyDescent="0.25">
      <c r="C108" s="117"/>
      <c r="D108" s="117"/>
      <c r="E108" s="117"/>
      <c r="F108" s="117"/>
      <c r="G108" s="117"/>
      <c r="H108" s="117"/>
      <c r="I108" s="117"/>
      <c r="J108" s="117"/>
      <c r="K108" s="117"/>
    </row>
    <row r="109" spans="3:11" x14ac:dyDescent="0.25">
      <c r="C109" s="117"/>
      <c r="D109" s="117"/>
      <c r="E109" s="117"/>
      <c r="F109" s="117"/>
      <c r="G109" s="117"/>
      <c r="H109" s="117"/>
      <c r="I109" s="117"/>
      <c r="J109" s="117"/>
      <c r="K109" s="117"/>
    </row>
    <row r="110" spans="3:11" x14ac:dyDescent="0.25">
      <c r="C110" s="117"/>
      <c r="D110" s="117"/>
      <c r="E110" s="117"/>
      <c r="F110" s="117"/>
      <c r="G110" s="117"/>
      <c r="H110" s="117"/>
      <c r="I110" s="117"/>
      <c r="J110" s="117"/>
      <c r="K110" s="117"/>
    </row>
    <row r="111" spans="3:11" x14ac:dyDescent="0.25">
      <c r="C111" s="117"/>
      <c r="D111" s="117"/>
      <c r="E111" s="117"/>
      <c r="F111" s="117"/>
      <c r="G111" s="117"/>
      <c r="H111" s="117"/>
      <c r="I111" s="117"/>
      <c r="J111" s="117"/>
      <c r="K111" s="117"/>
    </row>
    <row r="112" spans="3:11" x14ac:dyDescent="0.25">
      <c r="C112" s="117"/>
      <c r="D112" s="117"/>
      <c r="E112" s="117"/>
      <c r="F112" s="117"/>
      <c r="G112" s="117"/>
      <c r="H112" s="117"/>
      <c r="I112" s="117"/>
      <c r="J112" s="117"/>
      <c r="K112" s="117"/>
    </row>
    <row r="113" spans="3:11" x14ac:dyDescent="0.25">
      <c r="C113" s="117"/>
      <c r="D113" s="117"/>
      <c r="E113" s="117"/>
      <c r="F113" s="117"/>
      <c r="G113" s="117"/>
      <c r="H113" s="117"/>
      <c r="I113" s="117"/>
      <c r="J113" s="117"/>
      <c r="K113" s="117"/>
    </row>
    <row r="114" spans="3:11" x14ac:dyDescent="0.25">
      <c r="C114" s="117"/>
      <c r="D114" s="117"/>
      <c r="E114" s="117"/>
      <c r="F114" s="117"/>
      <c r="G114" s="117"/>
      <c r="H114" s="117"/>
      <c r="I114" s="117"/>
      <c r="J114" s="117"/>
      <c r="K114" s="117"/>
    </row>
    <row r="115" spans="3:11" x14ac:dyDescent="0.25">
      <c r="C115" s="117"/>
      <c r="D115" s="117"/>
      <c r="E115" s="117"/>
      <c r="F115" s="117"/>
      <c r="G115" s="117"/>
      <c r="H115" s="117"/>
      <c r="I115" s="117"/>
      <c r="J115" s="117"/>
      <c r="K115" s="117"/>
    </row>
    <row r="116" spans="3:11" x14ac:dyDescent="0.25">
      <c r="C116" s="117"/>
      <c r="D116" s="117"/>
      <c r="E116" s="117"/>
      <c r="F116" s="117"/>
      <c r="G116" s="117"/>
      <c r="H116" s="117"/>
      <c r="I116" s="117"/>
      <c r="J116" s="117"/>
      <c r="K116" s="117"/>
    </row>
    <row r="117" spans="3:11" x14ac:dyDescent="0.25">
      <c r="C117" s="117"/>
      <c r="D117" s="117"/>
      <c r="E117" s="117"/>
      <c r="F117" s="117"/>
      <c r="G117" s="117"/>
      <c r="H117" s="117"/>
      <c r="I117" s="117"/>
      <c r="J117" s="117"/>
      <c r="K117" s="117"/>
    </row>
    <row r="118" spans="3:11" x14ac:dyDescent="0.25">
      <c r="C118" s="117"/>
      <c r="D118" s="117"/>
      <c r="E118" s="117"/>
      <c r="F118" s="117"/>
      <c r="G118" s="117"/>
      <c r="H118" s="117"/>
      <c r="I118" s="117"/>
      <c r="J118" s="117"/>
      <c r="K118" s="117"/>
    </row>
    <row r="119" spans="3:11" x14ac:dyDescent="0.25">
      <c r="C119" s="117"/>
      <c r="D119" s="117"/>
      <c r="E119" s="117"/>
      <c r="F119" s="117"/>
      <c r="G119" s="117"/>
      <c r="H119" s="117"/>
      <c r="I119" s="117"/>
      <c r="J119" s="117"/>
      <c r="K119" s="117"/>
    </row>
    <row r="120" spans="3:11" x14ac:dyDescent="0.25">
      <c r="C120" s="117"/>
      <c r="D120" s="117"/>
      <c r="E120" s="117"/>
      <c r="F120" s="117"/>
      <c r="G120" s="117"/>
      <c r="H120" s="117"/>
      <c r="I120" s="117"/>
      <c r="J120" s="117"/>
      <c r="K120" s="117"/>
    </row>
    <row r="121" spans="3:11" x14ac:dyDescent="0.25">
      <c r="C121" s="117"/>
      <c r="D121" s="117"/>
      <c r="E121" s="117"/>
      <c r="F121" s="117"/>
      <c r="G121" s="117"/>
      <c r="H121" s="117"/>
      <c r="I121" s="117"/>
      <c r="J121" s="117"/>
      <c r="K121" s="117"/>
    </row>
    <row r="122" spans="3:11" x14ac:dyDescent="0.25">
      <c r="C122" s="117"/>
      <c r="D122" s="117"/>
      <c r="E122" s="117"/>
      <c r="F122" s="117"/>
      <c r="G122" s="117"/>
      <c r="H122" s="117"/>
      <c r="I122" s="117"/>
      <c r="J122" s="117"/>
      <c r="K122" s="117"/>
    </row>
    <row r="123" spans="3:11" x14ac:dyDescent="0.25">
      <c r="C123" s="117"/>
      <c r="D123" s="117"/>
      <c r="E123" s="117"/>
      <c r="F123" s="117"/>
      <c r="G123" s="117"/>
      <c r="H123" s="117"/>
      <c r="I123" s="117"/>
      <c r="J123" s="117"/>
      <c r="K123" s="117"/>
    </row>
    <row r="124" spans="3:11" x14ac:dyDescent="0.25">
      <c r="C124" s="117"/>
      <c r="D124" s="117"/>
      <c r="E124" s="117"/>
      <c r="F124" s="117"/>
      <c r="G124" s="117"/>
      <c r="H124" s="117"/>
      <c r="I124" s="117"/>
      <c r="J124" s="117"/>
      <c r="K124" s="117"/>
    </row>
    <row r="125" spans="3:11" x14ac:dyDescent="0.25">
      <c r="C125" s="117"/>
      <c r="D125" s="117"/>
      <c r="E125" s="117"/>
      <c r="F125" s="117"/>
      <c r="G125" s="117"/>
      <c r="H125" s="117"/>
      <c r="I125" s="117"/>
      <c r="J125" s="117"/>
      <c r="K125" s="117"/>
    </row>
    <row r="126" spans="3:11" x14ac:dyDescent="0.25">
      <c r="C126" s="117"/>
      <c r="D126" s="117"/>
      <c r="E126" s="117"/>
      <c r="F126" s="117"/>
      <c r="G126" s="117"/>
      <c r="H126" s="117"/>
      <c r="I126" s="117"/>
      <c r="J126" s="117"/>
      <c r="K126" s="117"/>
    </row>
    <row r="127" spans="3:11" x14ac:dyDescent="0.25">
      <c r="C127" s="117"/>
      <c r="D127" s="117"/>
      <c r="E127" s="117"/>
      <c r="F127" s="117"/>
      <c r="G127" s="117"/>
      <c r="H127" s="117"/>
      <c r="I127" s="117"/>
      <c r="J127" s="117"/>
      <c r="K127" s="117"/>
    </row>
    <row r="128" spans="3:11" x14ac:dyDescent="0.25">
      <c r="C128" s="117"/>
      <c r="D128" s="117"/>
      <c r="E128" s="117"/>
      <c r="F128" s="117"/>
      <c r="G128" s="117"/>
      <c r="H128" s="117"/>
      <c r="I128" s="117"/>
      <c r="J128" s="117"/>
      <c r="K128" s="117"/>
    </row>
    <row r="129" spans="3:11" x14ac:dyDescent="0.25">
      <c r="C129" s="117"/>
      <c r="D129" s="117"/>
      <c r="E129" s="117"/>
      <c r="F129" s="117"/>
      <c r="G129" s="117"/>
      <c r="H129" s="117"/>
      <c r="I129" s="117"/>
      <c r="J129" s="117"/>
      <c r="K129" s="117"/>
    </row>
    <row r="130" spans="3:11" x14ac:dyDescent="0.25">
      <c r="C130" s="117"/>
      <c r="D130" s="117"/>
      <c r="E130" s="117"/>
      <c r="F130" s="117"/>
      <c r="G130" s="117"/>
      <c r="H130" s="117"/>
      <c r="I130" s="117"/>
      <c r="J130" s="117"/>
      <c r="K130" s="117"/>
    </row>
    <row r="131" spans="3:11" x14ac:dyDescent="0.25">
      <c r="C131" s="117"/>
      <c r="D131" s="117"/>
      <c r="E131" s="117"/>
      <c r="F131" s="117"/>
      <c r="G131" s="117"/>
      <c r="H131" s="117"/>
      <c r="I131" s="117"/>
      <c r="J131" s="117"/>
      <c r="K131" s="117"/>
    </row>
    <row r="132" spans="3:11" x14ac:dyDescent="0.25">
      <c r="C132" s="117"/>
      <c r="D132" s="117"/>
      <c r="E132" s="117"/>
      <c r="F132" s="117"/>
      <c r="G132" s="117"/>
      <c r="H132" s="117"/>
      <c r="I132" s="117"/>
      <c r="J132" s="117"/>
      <c r="K132" s="117"/>
    </row>
    <row r="133" spans="3:11" x14ac:dyDescent="0.25">
      <c r="C133" s="117"/>
      <c r="D133" s="117"/>
      <c r="E133" s="117"/>
      <c r="F133" s="117"/>
      <c r="G133" s="117"/>
      <c r="H133" s="117"/>
      <c r="I133" s="117"/>
      <c r="J133" s="117"/>
      <c r="K133" s="117"/>
    </row>
    <row r="134" spans="3:11" x14ac:dyDescent="0.25">
      <c r="C134" s="117"/>
      <c r="D134" s="117"/>
      <c r="E134" s="117"/>
      <c r="F134" s="117"/>
      <c r="G134" s="117"/>
      <c r="H134" s="117"/>
      <c r="I134" s="117"/>
      <c r="J134" s="117"/>
      <c r="K134" s="117"/>
    </row>
    <row r="135" spans="3:11" x14ac:dyDescent="0.25">
      <c r="C135" s="117"/>
      <c r="D135" s="117"/>
      <c r="E135" s="117"/>
      <c r="F135" s="117"/>
      <c r="G135" s="117"/>
      <c r="H135" s="117"/>
      <c r="I135" s="117"/>
      <c r="J135" s="117"/>
      <c r="K135" s="117"/>
    </row>
    <row r="136" spans="3:11" x14ac:dyDescent="0.25">
      <c r="C136" s="117"/>
      <c r="D136" s="117"/>
      <c r="E136" s="117"/>
      <c r="F136" s="117"/>
      <c r="G136" s="117"/>
      <c r="H136" s="117"/>
      <c r="I136" s="117"/>
      <c r="J136" s="117"/>
      <c r="K136" s="117"/>
    </row>
    <row r="137" spans="3:11" x14ac:dyDescent="0.25">
      <c r="C137" s="117"/>
      <c r="D137" s="117"/>
      <c r="E137" s="117"/>
      <c r="F137" s="117"/>
      <c r="G137" s="117"/>
      <c r="H137" s="117"/>
      <c r="I137" s="117"/>
      <c r="J137" s="117"/>
      <c r="K137" s="117"/>
    </row>
    <row r="138" spans="3:11" x14ac:dyDescent="0.25">
      <c r="C138" s="117"/>
      <c r="D138" s="117"/>
      <c r="E138" s="117"/>
      <c r="F138" s="117"/>
      <c r="G138" s="117"/>
      <c r="H138" s="117"/>
      <c r="I138" s="117"/>
      <c r="J138" s="117"/>
      <c r="K138" s="117"/>
    </row>
    <row r="139" spans="3:11" x14ac:dyDescent="0.25">
      <c r="C139" s="117"/>
      <c r="D139" s="117"/>
      <c r="E139" s="117"/>
      <c r="F139" s="117"/>
      <c r="G139" s="117"/>
      <c r="H139" s="117"/>
      <c r="I139" s="117"/>
      <c r="J139" s="117"/>
      <c r="K139" s="117"/>
    </row>
    <row r="140" spans="3:11" x14ac:dyDescent="0.25">
      <c r="C140" s="117"/>
      <c r="D140" s="117"/>
      <c r="E140" s="117"/>
      <c r="F140" s="117"/>
      <c r="G140" s="117"/>
      <c r="H140" s="117"/>
      <c r="I140" s="117"/>
      <c r="J140" s="117"/>
      <c r="K140" s="117"/>
    </row>
    <row r="141" spans="3:11" x14ac:dyDescent="0.25">
      <c r="C141" s="117"/>
      <c r="D141" s="117"/>
      <c r="E141" s="117"/>
      <c r="F141" s="117"/>
      <c r="G141" s="117"/>
      <c r="H141" s="117"/>
      <c r="I141" s="117"/>
      <c r="J141" s="117"/>
      <c r="K141" s="117"/>
    </row>
    <row r="142" spans="3:11" x14ac:dyDescent="0.25">
      <c r="C142" s="117"/>
      <c r="D142" s="117"/>
      <c r="E142" s="117"/>
      <c r="F142" s="117"/>
      <c r="G142" s="117"/>
      <c r="H142" s="117"/>
      <c r="I142" s="117"/>
      <c r="J142" s="117"/>
      <c r="K142" s="117"/>
    </row>
    <row r="143" spans="3:11" x14ac:dyDescent="0.25">
      <c r="C143" s="117"/>
      <c r="D143" s="117"/>
      <c r="E143" s="117"/>
      <c r="F143" s="117"/>
      <c r="G143" s="117"/>
      <c r="H143" s="117"/>
      <c r="I143" s="117"/>
      <c r="J143" s="117"/>
      <c r="K143" s="117"/>
    </row>
    <row r="144" spans="3:11" x14ac:dyDescent="0.25">
      <c r="C144" s="117"/>
      <c r="D144" s="117"/>
      <c r="E144" s="117"/>
      <c r="F144" s="117"/>
      <c r="G144" s="117"/>
      <c r="H144" s="117"/>
      <c r="I144" s="117"/>
      <c r="J144" s="117"/>
      <c r="K144" s="117"/>
    </row>
    <row r="145" spans="3:11" x14ac:dyDescent="0.25">
      <c r="C145" s="117"/>
      <c r="D145" s="117"/>
      <c r="E145" s="117"/>
      <c r="F145" s="117"/>
      <c r="G145" s="117"/>
      <c r="H145" s="117"/>
      <c r="I145" s="117"/>
      <c r="J145" s="117"/>
      <c r="K145" s="117"/>
    </row>
    <row r="146" spans="3:11" x14ac:dyDescent="0.25">
      <c r="C146" s="117"/>
      <c r="D146" s="117"/>
      <c r="E146" s="117"/>
      <c r="F146" s="117"/>
      <c r="G146" s="117"/>
      <c r="H146" s="117"/>
      <c r="I146" s="117"/>
      <c r="J146" s="117"/>
      <c r="K146" s="117"/>
    </row>
    <row r="147" spans="3:11" x14ac:dyDescent="0.25">
      <c r="C147" s="117"/>
      <c r="D147" s="117"/>
      <c r="E147" s="117"/>
      <c r="F147" s="117"/>
      <c r="G147" s="117"/>
      <c r="H147" s="117"/>
      <c r="I147" s="117"/>
      <c r="J147" s="117"/>
      <c r="K147" s="117"/>
    </row>
    <row r="148" spans="3:11" x14ac:dyDescent="0.25">
      <c r="C148" s="117"/>
      <c r="D148" s="117"/>
      <c r="E148" s="117"/>
      <c r="F148" s="117"/>
      <c r="G148" s="117"/>
      <c r="H148" s="117"/>
      <c r="I148" s="117"/>
      <c r="J148" s="117"/>
      <c r="K148" s="117"/>
    </row>
    <row r="149" spans="3:11" x14ac:dyDescent="0.25">
      <c r="C149" s="117"/>
      <c r="D149" s="117"/>
      <c r="E149" s="117"/>
      <c r="F149" s="117"/>
      <c r="G149" s="117"/>
      <c r="H149" s="117"/>
      <c r="I149" s="117"/>
      <c r="J149" s="117"/>
      <c r="K149" s="117"/>
    </row>
    <row r="150" spans="3:11" x14ac:dyDescent="0.25">
      <c r="C150" s="117"/>
      <c r="D150" s="117"/>
      <c r="E150" s="117"/>
      <c r="F150" s="117"/>
      <c r="G150" s="117"/>
      <c r="H150" s="117"/>
      <c r="I150" s="117"/>
      <c r="J150" s="117"/>
      <c r="K150" s="117"/>
    </row>
    <row r="151" spans="3:11" x14ac:dyDescent="0.25">
      <c r="C151" s="117"/>
      <c r="D151" s="117"/>
      <c r="E151" s="117"/>
      <c r="F151" s="117"/>
      <c r="G151" s="117"/>
      <c r="H151" s="117"/>
      <c r="I151" s="117"/>
      <c r="J151" s="117"/>
      <c r="K151" s="117"/>
    </row>
    <row r="152" spans="3:11" x14ac:dyDescent="0.25">
      <c r="C152" s="117"/>
      <c r="D152" s="117"/>
      <c r="E152" s="117"/>
      <c r="F152" s="117"/>
      <c r="G152" s="117"/>
      <c r="H152" s="117"/>
      <c r="I152" s="117"/>
      <c r="J152" s="117"/>
      <c r="K152" s="117"/>
    </row>
    <row r="153" spans="3:11" x14ac:dyDescent="0.25">
      <c r="C153" s="117"/>
      <c r="D153" s="117"/>
      <c r="E153" s="117"/>
      <c r="F153" s="117"/>
      <c r="G153" s="117"/>
      <c r="H153" s="117"/>
      <c r="I153" s="117"/>
      <c r="J153" s="117"/>
      <c r="K153" s="117"/>
    </row>
    <row r="154" spans="3:11" x14ac:dyDescent="0.25">
      <c r="C154" s="117"/>
      <c r="D154" s="117"/>
      <c r="E154" s="117"/>
      <c r="F154" s="117"/>
      <c r="G154" s="117"/>
      <c r="H154" s="117"/>
      <c r="I154" s="117"/>
      <c r="J154" s="117"/>
      <c r="K154" s="117"/>
    </row>
    <row r="155" spans="3:11" x14ac:dyDescent="0.25">
      <c r="C155" s="117"/>
      <c r="D155" s="117"/>
      <c r="E155" s="117"/>
      <c r="F155" s="117"/>
      <c r="G155" s="117"/>
      <c r="H155" s="117"/>
      <c r="I155" s="117"/>
      <c r="J155" s="117"/>
      <c r="K155" s="117"/>
    </row>
    <row r="156" spans="3:11" x14ac:dyDescent="0.25">
      <c r="C156" s="117"/>
      <c r="D156" s="117"/>
      <c r="E156" s="117"/>
      <c r="F156" s="117"/>
      <c r="G156" s="117"/>
      <c r="H156" s="117"/>
      <c r="I156" s="117"/>
      <c r="J156" s="117"/>
      <c r="K156" s="117"/>
    </row>
    <row r="157" spans="3:11" x14ac:dyDescent="0.25">
      <c r="C157" s="117"/>
      <c r="D157" s="117"/>
      <c r="E157" s="117"/>
      <c r="F157" s="117"/>
      <c r="G157" s="117"/>
      <c r="H157" s="117"/>
      <c r="I157" s="117"/>
      <c r="J157" s="117"/>
      <c r="K157" s="117"/>
    </row>
    <row r="158" spans="3:11" x14ac:dyDescent="0.25">
      <c r="C158" s="117"/>
      <c r="D158" s="117"/>
      <c r="E158" s="117"/>
      <c r="F158" s="117"/>
      <c r="G158" s="117"/>
      <c r="H158" s="117"/>
      <c r="I158" s="117"/>
      <c r="J158" s="117"/>
      <c r="K158" s="117"/>
    </row>
    <row r="159" spans="3:11" x14ac:dyDescent="0.25">
      <c r="C159" s="117"/>
      <c r="D159" s="117"/>
      <c r="E159" s="117"/>
      <c r="F159" s="117"/>
      <c r="G159" s="117"/>
      <c r="H159" s="117"/>
      <c r="I159" s="117"/>
      <c r="J159" s="117"/>
      <c r="K159" s="117"/>
    </row>
    <row r="160" spans="3:11" x14ac:dyDescent="0.25">
      <c r="C160" s="117"/>
      <c r="D160" s="117"/>
      <c r="E160" s="117"/>
      <c r="F160" s="117"/>
      <c r="G160" s="117"/>
      <c r="H160" s="117"/>
      <c r="I160" s="117"/>
      <c r="J160" s="117"/>
      <c r="K160" s="117"/>
    </row>
    <row r="161" spans="3:11" x14ac:dyDescent="0.25">
      <c r="C161" s="117"/>
      <c r="D161" s="117"/>
      <c r="E161" s="117"/>
      <c r="F161" s="117"/>
      <c r="G161" s="117"/>
      <c r="H161" s="117"/>
      <c r="I161" s="117"/>
      <c r="J161" s="117"/>
      <c r="K161" s="117"/>
    </row>
    <row r="162" spans="3:11" x14ac:dyDescent="0.25">
      <c r="C162" s="117"/>
      <c r="D162" s="117"/>
      <c r="E162" s="117"/>
      <c r="F162" s="117"/>
      <c r="G162" s="117"/>
      <c r="H162" s="117"/>
      <c r="I162" s="117"/>
      <c r="J162" s="117"/>
      <c r="K162" s="117"/>
    </row>
    <row r="163" spans="3:11" x14ac:dyDescent="0.25">
      <c r="C163" s="117"/>
      <c r="D163" s="117"/>
      <c r="E163" s="117"/>
      <c r="F163" s="117"/>
      <c r="G163" s="117"/>
      <c r="H163" s="117"/>
      <c r="I163" s="117"/>
      <c r="J163" s="117"/>
      <c r="K163" s="117"/>
    </row>
    <row r="164" spans="3:11" x14ac:dyDescent="0.25">
      <c r="C164" s="117"/>
      <c r="D164" s="117"/>
      <c r="E164" s="117"/>
      <c r="F164" s="117"/>
      <c r="G164" s="117"/>
      <c r="H164" s="117"/>
      <c r="I164" s="117"/>
      <c r="J164" s="117"/>
      <c r="K164" s="117"/>
    </row>
    <row r="165" spans="3:11" x14ac:dyDescent="0.25">
      <c r="C165" s="117"/>
      <c r="D165" s="117"/>
      <c r="E165" s="117"/>
      <c r="F165" s="117"/>
      <c r="G165" s="117"/>
      <c r="H165" s="117"/>
      <c r="I165" s="117"/>
      <c r="J165" s="117"/>
      <c r="K165" s="117"/>
    </row>
    <row r="166" spans="3:11" x14ac:dyDescent="0.25">
      <c r="C166" s="117"/>
      <c r="D166" s="117"/>
      <c r="E166" s="117"/>
      <c r="F166" s="117"/>
      <c r="G166" s="117"/>
      <c r="H166" s="117"/>
      <c r="I166" s="117"/>
      <c r="J166" s="117"/>
      <c r="K166" s="117"/>
    </row>
    <row r="167" spans="3:11" x14ac:dyDescent="0.25">
      <c r="C167" s="117"/>
      <c r="D167" s="117"/>
      <c r="E167" s="117"/>
      <c r="F167" s="117"/>
      <c r="G167" s="117"/>
      <c r="H167" s="117"/>
      <c r="I167" s="117"/>
      <c r="J167" s="117"/>
      <c r="K167" s="117"/>
    </row>
    <row r="168" spans="3:11" x14ac:dyDescent="0.25">
      <c r="C168" s="117"/>
      <c r="D168" s="117"/>
      <c r="E168" s="117"/>
      <c r="F168" s="117"/>
      <c r="G168" s="117"/>
      <c r="H168" s="117"/>
      <c r="I168" s="117"/>
      <c r="J168" s="117"/>
      <c r="K168" s="117"/>
    </row>
    <row r="169" spans="3:11" x14ac:dyDescent="0.25">
      <c r="C169" s="117"/>
      <c r="D169" s="117"/>
      <c r="E169" s="117"/>
      <c r="F169" s="117"/>
      <c r="G169" s="117"/>
      <c r="H169" s="117"/>
      <c r="I169" s="117"/>
      <c r="J169" s="117"/>
      <c r="K169" s="117"/>
    </row>
    <row r="170" spans="3:11" x14ac:dyDescent="0.25">
      <c r="C170" s="117"/>
      <c r="D170" s="117"/>
      <c r="E170" s="117"/>
      <c r="F170" s="117"/>
      <c r="G170" s="117"/>
      <c r="H170" s="117"/>
      <c r="I170" s="117"/>
      <c r="J170" s="117"/>
      <c r="K170" s="117"/>
    </row>
    <row r="171" spans="3:11" x14ac:dyDescent="0.25">
      <c r="C171" s="117"/>
      <c r="D171" s="117"/>
      <c r="E171" s="117"/>
      <c r="F171" s="117"/>
      <c r="G171" s="117"/>
      <c r="H171" s="117"/>
      <c r="I171" s="117"/>
      <c r="J171" s="117"/>
      <c r="K171" s="117"/>
    </row>
    <row r="172" spans="3:11" x14ac:dyDescent="0.25">
      <c r="C172" s="117"/>
      <c r="D172" s="117"/>
      <c r="E172" s="117"/>
      <c r="F172" s="117"/>
      <c r="G172" s="117"/>
      <c r="H172" s="117"/>
      <c r="I172" s="117"/>
      <c r="J172" s="117"/>
      <c r="K172" s="117"/>
    </row>
    <row r="173" spans="3:11" x14ac:dyDescent="0.25">
      <c r="C173" s="117"/>
      <c r="D173" s="117"/>
      <c r="E173" s="117"/>
      <c r="F173" s="117"/>
      <c r="G173" s="117"/>
      <c r="H173" s="117"/>
      <c r="I173" s="117"/>
      <c r="J173" s="117"/>
      <c r="K173" s="117"/>
    </row>
    <row r="174" spans="3:11" x14ac:dyDescent="0.25">
      <c r="C174" s="117"/>
      <c r="D174" s="117"/>
      <c r="E174" s="117"/>
      <c r="F174" s="117"/>
      <c r="G174" s="117"/>
      <c r="H174" s="117"/>
      <c r="I174" s="117"/>
      <c r="J174" s="117"/>
      <c r="K174" s="117"/>
    </row>
    <row r="175" spans="3:11" x14ac:dyDescent="0.25">
      <c r="C175" s="117"/>
      <c r="D175" s="117"/>
      <c r="E175" s="117"/>
      <c r="F175" s="117"/>
      <c r="G175" s="117"/>
      <c r="H175" s="117"/>
      <c r="I175" s="117"/>
      <c r="J175" s="117"/>
      <c r="K175" s="117"/>
    </row>
    <row r="176" spans="3:11" x14ac:dyDescent="0.25">
      <c r="C176" s="117"/>
      <c r="D176" s="117"/>
      <c r="E176" s="117"/>
      <c r="F176" s="117"/>
      <c r="G176" s="117"/>
      <c r="H176" s="117"/>
      <c r="I176" s="117"/>
      <c r="J176" s="117"/>
      <c r="K176" s="117"/>
    </row>
    <row r="177" spans="3:11" x14ac:dyDescent="0.25">
      <c r="C177" s="117"/>
      <c r="D177" s="117"/>
      <c r="E177" s="117"/>
      <c r="F177" s="117"/>
      <c r="G177" s="117"/>
      <c r="H177" s="117"/>
      <c r="I177" s="117"/>
      <c r="J177" s="117"/>
      <c r="K177" s="117"/>
    </row>
    <row r="178" spans="3:11" x14ac:dyDescent="0.25">
      <c r="C178" s="117"/>
      <c r="D178" s="117"/>
      <c r="E178" s="117"/>
      <c r="F178" s="117"/>
      <c r="G178" s="117"/>
      <c r="H178" s="117"/>
      <c r="I178" s="117"/>
      <c r="J178" s="117"/>
      <c r="K178" s="117"/>
    </row>
    <row r="179" spans="3:11" x14ac:dyDescent="0.25">
      <c r="C179" s="117"/>
      <c r="D179" s="117"/>
      <c r="E179" s="117"/>
      <c r="F179" s="117"/>
      <c r="G179" s="117"/>
      <c r="H179" s="117"/>
      <c r="I179" s="117"/>
      <c r="J179" s="117"/>
      <c r="K179" s="117"/>
    </row>
    <row r="180" spans="3:11" x14ac:dyDescent="0.25">
      <c r="C180" s="117"/>
      <c r="D180" s="117"/>
      <c r="E180" s="117"/>
      <c r="F180" s="117"/>
      <c r="G180" s="117"/>
      <c r="H180" s="117"/>
      <c r="I180" s="117"/>
      <c r="J180" s="117"/>
      <c r="K180" s="117"/>
    </row>
    <row r="181" spans="3:11" x14ac:dyDescent="0.25">
      <c r="C181" s="117"/>
      <c r="D181" s="117"/>
      <c r="E181" s="117"/>
      <c r="F181" s="117"/>
      <c r="G181" s="117"/>
      <c r="H181" s="117"/>
      <c r="I181" s="117"/>
      <c r="J181" s="117"/>
      <c r="K181" s="117"/>
    </row>
    <row r="182" spans="3:11" x14ac:dyDescent="0.25">
      <c r="C182" s="117"/>
      <c r="D182" s="117"/>
      <c r="E182" s="117"/>
      <c r="F182" s="117"/>
      <c r="G182" s="117"/>
      <c r="H182" s="117"/>
      <c r="I182" s="117"/>
      <c r="J182" s="117"/>
      <c r="K182" s="117"/>
    </row>
    <row r="183" spans="3:11" x14ac:dyDescent="0.25">
      <c r="C183" s="117"/>
      <c r="D183" s="117"/>
      <c r="E183" s="117"/>
      <c r="F183" s="117"/>
      <c r="G183" s="117"/>
      <c r="H183" s="117"/>
      <c r="I183" s="117"/>
      <c r="J183" s="117"/>
      <c r="K183" s="117"/>
    </row>
    <row r="184" spans="3:11" x14ac:dyDescent="0.25">
      <c r="C184" s="117"/>
      <c r="D184" s="117"/>
      <c r="E184" s="117"/>
      <c r="F184" s="117"/>
      <c r="G184" s="117"/>
      <c r="H184" s="117"/>
      <c r="I184" s="117"/>
      <c r="J184" s="117"/>
      <c r="K184" s="117"/>
    </row>
    <row r="185" spans="3:11" x14ac:dyDescent="0.25">
      <c r="C185" s="117"/>
      <c r="D185" s="117"/>
      <c r="E185" s="117"/>
      <c r="F185" s="117"/>
      <c r="G185" s="117"/>
      <c r="H185" s="117"/>
      <c r="I185" s="117"/>
      <c r="J185" s="117"/>
      <c r="K185" s="117"/>
    </row>
    <row r="186" spans="3:11" x14ac:dyDescent="0.25">
      <c r="C186" s="117"/>
      <c r="D186" s="117"/>
      <c r="E186" s="117"/>
      <c r="F186" s="117"/>
      <c r="G186" s="117"/>
      <c r="H186" s="117"/>
      <c r="I186" s="117"/>
      <c r="J186" s="117"/>
      <c r="K186" s="117"/>
    </row>
    <row r="187" spans="3:11" x14ac:dyDescent="0.25">
      <c r="C187" s="117"/>
      <c r="D187" s="117"/>
      <c r="E187" s="117"/>
      <c r="F187" s="117"/>
      <c r="G187" s="117"/>
      <c r="H187" s="117"/>
      <c r="I187" s="117"/>
      <c r="J187" s="117"/>
      <c r="K187" s="117"/>
    </row>
    <row r="188" spans="3:11" x14ac:dyDescent="0.25">
      <c r="C188" s="117"/>
      <c r="D188" s="117"/>
      <c r="E188" s="117"/>
      <c r="F188" s="117"/>
      <c r="G188" s="117"/>
      <c r="H188" s="117"/>
      <c r="I188" s="117"/>
      <c r="J188" s="117"/>
      <c r="K188" s="117"/>
    </row>
    <row r="189" spans="3:11" x14ac:dyDescent="0.25">
      <c r="C189" s="117"/>
      <c r="D189" s="117"/>
      <c r="E189" s="117"/>
      <c r="F189" s="117"/>
      <c r="G189" s="117"/>
      <c r="H189" s="117"/>
      <c r="I189" s="117"/>
      <c r="J189" s="117"/>
      <c r="K189" s="117"/>
    </row>
    <row r="190" spans="3:11" x14ac:dyDescent="0.25">
      <c r="C190" s="117"/>
      <c r="D190" s="117"/>
      <c r="E190" s="117"/>
      <c r="F190" s="117"/>
      <c r="G190" s="117"/>
      <c r="H190" s="117"/>
      <c r="I190" s="117"/>
      <c r="J190" s="117"/>
      <c r="K190" s="117"/>
    </row>
    <row r="191" spans="3:11" x14ac:dyDescent="0.25">
      <c r="C191" s="117"/>
      <c r="D191" s="117"/>
      <c r="E191" s="117"/>
      <c r="F191" s="117"/>
      <c r="G191" s="117"/>
      <c r="H191" s="117"/>
      <c r="I191" s="117"/>
      <c r="J191" s="117"/>
      <c r="K191" s="117"/>
    </row>
    <row r="192" spans="3:11" x14ac:dyDescent="0.25">
      <c r="C192" s="117"/>
      <c r="D192" s="117"/>
      <c r="E192" s="117"/>
      <c r="F192" s="117"/>
      <c r="G192" s="117"/>
      <c r="H192" s="117"/>
      <c r="I192" s="117"/>
      <c r="J192" s="117"/>
      <c r="K192" s="117"/>
    </row>
    <row r="193" spans="3:11" x14ac:dyDescent="0.25">
      <c r="C193" s="117"/>
      <c r="D193" s="117"/>
      <c r="E193" s="117"/>
      <c r="F193" s="117"/>
      <c r="G193" s="117"/>
      <c r="H193" s="117"/>
      <c r="I193" s="117"/>
      <c r="J193" s="117"/>
      <c r="K193" s="117"/>
    </row>
    <row r="194" spans="3:11" x14ac:dyDescent="0.25">
      <c r="C194" s="117"/>
      <c r="D194" s="117"/>
      <c r="E194" s="117"/>
      <c r="F194" s="117"/>
      <c r="G194" s="117"/>
      <c r="H194" s="117"/>
      <c r="I194" s="117"/>
      <c r="J194" s="117"/>
      <c r="K194" s="117"/>
    </row>
    <row r="195" spans="3:11" x14ac:dyDescent="0.25">
      <c r="C195" s="117"/>
      <c r="D195" s="117"/>
      <c r="E195" s="117"/>
      <c r="F195" s="117"/>
      <c r="G195" s="117"/>
      <c r="H195" s="117"/>
      <c r="I195" s="117"/>
      <c r="J195" s="117"/>
      <c r="K195" s="117"/>
    </row>
    <row r="196" spans="3:11" x14ac:dyDescent="0.25">
      <c r="C196" s="117"/>
      <c r="D196" s="117"/>
      <c r="E196" s="117"/>
      <c r="F196" s="117"/>
      <c r="G196" s="117"/>
      <c r="H196" s="117"/>
      <c r="I196" s="117"/>
      <c r="J196" s="117"/>
      <c r="K196" s="117"/>
    </row>
    <row r="197" spans="3:11" x14ac:dyDescent="0.25">
      <c r="C197" s="117"/>
      <c r="D197" s="117"/>
      <c r="E197" s="117"/>
      <c r="F197" s="117"/>
      <c r="G197" s="117"/>
      <c r="H197" s="117"/>
      <c r="I197" s="117"/>
      <c r="J197" s="117"/>
      <c r="K197" s="117"/>
    </row>
    <row r="198" spans="3:11" x14ac:dyDescent="0.25">
      <c r="C198" s="117"/>
      <c r="D198" s="117"/>
      <c r="E198" s="117"/>
      <c r="F198" s="117"/>
      <c r="G198" s="117"/>
      <c r="H198" s="117"/>
      <c r="I198" s="117"/>
      <c r="J198" s="117"/>
      <c r="K198" s="117"/>
    </row>
    <row r="199" spans="3:11" x14ac:dyDescent="0.25">
      <c r="C199" s="117"/>
      <c r="D199" s="117"/>
      <c r="E199" s="117"/>
      <c r="F199" s="117"/>
      <c r="G199" s="117"/>
      <c r="H199" s="117"/>
      <c r="I199" s="117"/>
      <c r="J199" s="117"/>
      <c r="K199" s="117"/>
    </row>
    <row r="200" spans="3:11" x14ac:dyDescent="0.25">
      <c r="C200" s="117"/>
      <c r="D200" s="117"/>
      <c r="E200" s="117"/>
      <c r="F200" s="117"/>
      <c r="G200" s="117"/>
      <c r="H200" s="117"/>
      <c r="I200" s="117"/>
      <c r="J200" s="117"/>
      <c r="K200" s="117"/>
    </row>
    <row r="201" spans="3:11" x14ac:dyDescent="0.25">
      <c r="C201" s="117"/>
      <c r="D201" s="117"/>
      <c r="E201" s="117"/>
      <c r="F201" s="117"/>
      <c r="G201" s="117"/>
      <c r="H201" s="117"/>
      <c r="I201" s="117"/>
      <c r="J201" s="117"/>
      <c r="K201" s="117"/>
    </row>
    <row r="202" spans="3:11" x14ac:dyDescent="0.25">
      <c r="C202" s="117"/>
      <c r="D202" s="117"/>
      <c r="E202" s="117"/>
      <c r="F202" s="117"/>
      <c r="G202" s="117"/>
      <c r="H202" s="117"/>
      <c r="I202" s="117"/>
      <c r="J202" s="117"/>
      <c r="K202" s="117"/>
    </row>
    <row r="203" spans="3:11" x14ac:dyDescent="0.25">
      <c r="C203" s="117"/>
      <c r="D203" s="117"/>
      <c r="E203" s="117"/>
      <c r="F203" s="117"/>
      <c r="G203" s="117"/>
      <c r="H203" s="117"/>
      <c r="I203" s="117"/>
      <c r="J203" s="117"/>
      <c r="K203" s="117"/>
    </row>
    <row r="204" spans="3:11" x14ac:dyDescent="0.25">
      <c r="C204" s="117"/>
      <c r="D204" s="117"/>
      <c r="E204" s="117"/>
      <c r="F204" s="117"/>
      <c r="G204" s="117"/>
      <c r="H204" s="117"/>
      <c r="I204" s="117"/>
      <c r="J204" s="117"/>
      <c r="K204" s="117"/>
    </row>
    <row r="205" spans="3:11" x14ac:dyDescent="0.25">
      <c r="C205" s="117"/>
      <c r="D205" s="117"/>
      <c r="E205" s="117"/>
      <c r="F205" s="117"/>
      <c r="G205" s="117"/>
      <c r="H205" s="117"/>
      <c r="I205" s="117"/>
      <c r="J205" s="117"/>
      <c r="K205" s="117"/>
    </row>
    <row r="206" spans="3:11" x14ac:dyDescent="0.25">
      <c r="C206" s="117"/>
      <c r="D206" s="117"/>
      <c r="E206" s="117"/>
      <c r="F206" s="117"/>
      <c r="G206" s="117"/>
      <c r="H206" s="117"/>
      <c r="I206" s="117"/>
      <c r="J206" s="117"/>
      <c r="K206" s="117"/>
    </row>
    <row r="207" spans="3:11" x14ac:dyDescent="0.25">
      <c r="C207" s="117"/>
      <c r="D207" s="117"/>
      <c r="E207" s="117"/>
      <c r="F207" s="117"/>
      <c r="G207" s="117"/>
      <c r="H207" s="117"/>
      <c r="I207" s="117"/>
      <c r="J207" s="117"/>
      <c r="K207" s="117"/>
    </row>
    <row r="208" spans="3:11" x14ac:dyDescent="0.25">
      <c r="C208" s="117"/>
      <c r="D208" s="117"/>
      <c r="E208" s="117"/>
      <c r="F208" s="117"/>
      <c r="G208" s="117"/>
      <c r="H208" s="117"/>
      <c r="I208" s="117"/>
      <c r="J208" s="117"/>
      <c r="K208" s="117"/>
    </row>
    <row r="209" spans="3:11" x14ac:dyDescent="0.25">
      <c r="C209" s="117"/>
      <c r="D209" s="117"/>
      <c r="E209" s="117"/>
      <c r="F209" s="117"/>
      <c r="G209" s="117"/>
      <c r="H209" s="117"/>
      <c r="I209" s="117"/>
      <c r="J209" s="117"/>
      <c r="K209" s="117"/>
    </row>
    <row r="210" spans="3:11" x14ac:dyDescent="0.25">
      <c r="C210" s="117"/>
      <c r="D210" s="117"/>
      <c r="E210" s="117"/>
      <c r="F210" s="117"/>
      <c r="G210" s="117"/>
      <c r="H210" s="117"/>
      <c r="I210" s="117"/>
      <c r="J210" s="117"/>
      <c r="K210" s="117"/>
    </row>
    <row r="211" spans="3:11" x14ac:dyDescent="0.25">
      <c r="C211" s="117"/>
      <c r="D211" s="117"/>
      <c r="E211" s="117"/>
      <c r="F211" s="117"/>
      <c r="G211" s="117"/>
      <c r="H211" s="117"/>
      <c r="I211" s="117"/>
      <c r="J211" s="117"/>
      <c r="K211" s="117"/>
    </row>
    <row r="212" spans="3:11" x14ac:dyDescent="0.25">
      <c r="C212" s="117"/>
      <c r="D212" s="117"/>
      <c r="E212" s="117"/>
      <c r="F212" s="117"/>
      <c r="G212" s="117"/>
      <c r="H212" s="117"/>
      <c r="I212" s="117"/>
      <c r="J212" s="117"/>
      <c r="K212" s="117"/>
    </row>
    <row r="213" spans="3:11" x14ac:dyDescent="0.25">
      <c r="C213" s="117"/>
      <c r="D213" s="117"/>
      <c r="E213" s="117"/>
      <c r="F213" s="117"/>
      <c r="G213" s="117"/>
      <c r="H213" s="117"/>
      <c r="I213" s="117"/>
      <c r="J213" s="117"/>
      <c r="K213" s="117"/>
    </row>
    <row r="214" spans="3:11" x14ac:dyDescent="0.25">
      <c r="C214" s="117"/>
      <c r="D214" s="117"/>
      <c r="E214" s="117"/>
      <c r="F214" s="117"/>
      <c r="G214" s="117"/>
      <c r="H214" s="117"/>
      <c r="I214" s="117"/>
      <c r="J214" s="117"/>
      <c r="K214" s="117"/>
    </row>
    <row r="215" spans="3:11" x14ac:dyDescent="0.25">
      <c r="C215" s="117"/>
      <c r="D215" s="117"/>
      <c r="E215" s="117"/>
      <c r="F215" s="117"/>
      <c r="G215" s="117"/>
      <c r="H215" s="117"/>
      <c r="I215" s="117"/>
      <c r="J215" s="117"/>
      <c r="K215" s="117"/>
    </row>
    <row r="216" spans="3:11" x14ac:dyDescent="0.25">
      <c r="C216" s="117"/>
      <c r="D216" s="117"/>
      <c r="E216" s="117"/>
      <c r="F216" s="117"/>
      <c r="G216" s="117"/>
      <c r="H216" s="117"/>
      <c r="I216" s="117"/>
      <c r="J216" s="117"/>
      <c r="K216" s="117"/>
    </row>
    <row r="217" spans="3:11" x14ac:dyDescent="0.25">
      <c r="C217" s="117"/>
      <c r="D217" s="117"/>
      <c r="E217" s="117"/>
      <c r="F217" s="117"/>
      <c r="G217" s="117"/>
      <c r="H217" s="117"/>
      <c r="I217" s="117"/>
      <c r="J217" s="117"/>
      <c r="K217" s="117"/>
    </row>
    <row r="218" spans="3:11" x14ac:dyDescent="0.25">
      <c r="C218" s="117"/>
      <c r="D218" s="117"/>
      <c r="E218" s="117"/>
      <c r="F218" s="117"/>
      <c r="G218" s="117"/>
      <c r="H218" s="117"/>
      <c r="I218" s="117"/>
      <c r="J218" s="117"/>
      <c r="K218" s="117"/>
    </row>
    <row r="219" spans="3:11" x14ac:dyDescent="0.25">
      <c r="C219" s="117"/>
      <c r="D219" s="117"/>
      <c r="E219" s="117"/>
      <c r="F219" s="117"/>
      <c r="G219" s="117"/>
      <c r="H219" s="117"/>
      <c r="I219" s="117"/>
      <c r="J219" s="117"/>
      <c r="K219" s="117"/>
    </row>
    <row r="220" spans="3:11" x14ac:dyDescent="0.25">
      <c r="C220" s="117"/>
      <c r="D220" s="117"/>
      <c r="E220" s="117"/>
      <c r="F220" s="117"/>
      <c r="G220" s="117"/>
      <c r="H220" s="117"/>
      <c r="I220" s="117"/>
      <c r="J220" s="117"/>
      <c r="K220" s="117"/>
    </row>
    <row r="221" spans="3:11" x14ac:dyDescent="0.25">
      <c r="C221" s="117"/>
      <c r="D221" s="117"/>
      <c r="E221" s="117"/>
      <c r="F221" s="117"/>
      <c r="G221" s="117"/>
      <c r="H221" s="117"/>
      <c r="I221" s="117"/>
      <c r="J221" s="117"/>
      <c r="K221" s="117"/>
    </row>
    <row r="222" spans="3:11" x14ac:dyDescent="0.25">
      <c r="C222" s="117"/>
      <c r="D222" s="117"/>
      <c r="E222" s="117"/>
      <c r="F222" s="117"/>
      <c r="G222" s="117"/>
      <c r="H222" s="117"/>
      <c r="I222" s="117"/>
      <c r="J222" s="117"/>
      <c r="K222" s="117"/>
    </row>
    <row r="223" spans="3:11" x14ac:dyDescent="0.25">
      <c r="C223" s="117"/>
      <c r="D223" s="117"/>
      <c r="E223" s="117"/>
      <c r="F223" s="117"/>
      <c r="G223" s="117"/>
      <c r="H223" s="117"/>
      <c r="I223" s="117"/>
      <c r="J223" s="117"/>
      <c r="K223" s="117"/>
    </row>
    <row r="224" spans="3:11" x14ac:dyDescent="0.25">
      <c r="C224" s="117"/>
      <c r="D224" s="117"/>
      <c r="E224" s="117"/>
      <c r="F224" s="117"/>
      <c r="G224" s="117"/>
      <c r="H224" s="117"/>
      <c r="I224" s="117"/>
      <c r="J224" s="117"/>
      <c r="K224" s="117"/>
    </row>
    <row r="225" spans="3:11" x14ac:dyDescent="0.25">
      <c r="C225" s="117"/>
      <c r="D225" s="117"/>
      <c r="E225" s="117"/>
      <c r="F225" s="117"/>
      <c r="G225" s="117"/>
      <c r="H225" s="117"/>
      <c r="I225" s="117"/>
      <c r="J225" s="117"/>
      <c r="K225" s="117"/>
    </row>
    <row r="226" spans="3:11" x14ac:dyDescent="0.25">
      <c r="C226" s="117"/>
      <c r="D226" s="117"/>
      <c r="E226" s="117"/>
      <c r="F226" s="117"/>
      <c r="G226" s="117"/>
      <c r="H226" s="117"/>
      <c r="I226" s="117"/>
      <c r="J226" s="117"/>
      <c r="K226" s="117"/>
    </row>
    <row r="227" spans="3:11" x14ac:dyDescent="0.25">
      <c r="C227" s="117"/>
      <c r="D227" s="117"/>
      <c r="E227" s="117"/>
      <c r="F227" s="117"/>
      <c r="G227" s="117"/>
      <c r="H227" s="117"/>
      <c r="I227" s="117"/>
      <c r="J227" s="117"/>
      <c r="K227" s="117"/>
    </row>
    <row r="228" spans="3:11" x14ac:dyDescent="0.25">
      <c r="C228" s="117"/>
      <c r="D228" s="117"/>
      <c r="E228" s="117"/>
      <c r="F228" s="117"/>
      <c r="G228" s="117"/>
      <c r="H228" s="117"/>
      <c r="I228" s="117"/>
      <c r="J228" s="117"/>
      <c r="K228" s="117"/>
    </row>
    <row r="229" spans="3:11" x14ac:dyDescent="0.25">
      <c r="C229" s="117"/>
      <c r="D229" s="117"/>
      <c r="E229" s="117"/>
      <c r="F229" s="117"/>
      <c r="G229" s="117"/>
      <c r="H229" s="117"/>
      <c r="I229" s="117"/>
      <c r="J229" s="117"/>
      <c r="K229" s="117"/>
    </row>
    <row r="230" spans="3:11" x14ac:dyDescent="0.25">
      <c r="C230" s="117"/>
      <c r="D230" s="117"/>
      <c r="E230" s="117"/>
      <c r="F230" s="117"/>
      <c r="G230" s="117"/>
      <c r="H230" s="117"/>
      <c r="I230" s="117"/>
      <c r="J230" s="117"/>
      <c r="K230" s="117"/>
    </row>
    <row r="231" spans="3:11" x14ac:dyDescent="0.25">
      <c r="C231" s="117"/>
      <c r="D231" s="117"/>
      <c r="E231" s="117"/>
      <c r="F231" s="117"/>
      <c r="G231" s="117"/>
      <c r="H231" s="117"/>
      <c r="I231" s="117"/>
      <c r="J231" s="117"/>
      <c r="K231" s="117"/>
    </row>
    <row r="232" spans="3:11" x14ac:dyDescent="0.25">
      <c r="C232" s="117"/>
      <c r="D232" s="117"/>
      <c r="E232" s="117"/>
      <c r="F232" s="117"/>
      <c r="G232" s="117"/>
      <c r="H232" s="117"/>
      <c r="I232" s="117"/>
      <c r="J232" s="117"/>
      <c r="K232" s="117"/>
    </row>
    <row r="233" spans="3:11" x14ac:dyDescent="0.25">
      <c r="C233" s="117"/>
      <c r="D233" s="117"/>
      <c r="E233" s="117"/>
      <c r="F233" s="117"/>
      <c r="G233" s="117"/>
      <c r="H233" s="117"/>
      <c r="I233" s="117"/>
      <c r="J233" s="117"/>
      <c r="K233" s="117"/>
    </row>
    <row r="234" spans="3:11" x14ac:dyDescent="0.25">
      <c r="C234" s="117"/>
      <c r="D234" s="117"/>
      <c r="E234" s="117"/>
      <c r="F234" s="117"/>
      <c r="G234" s="117"/>
      <c r="H234" s="117"/>
      <c r="I234" s="117"/>
      <c r="J234" s="117"/>
      <c r="K234" s="117"/>
    </row>
    <row r="235" spans="3:11" x14ac:dyDescent="0.25">
      <c r="C235" s="117"/>
      <c r="D235" s="117"/>
      <c r="E235" s="117"/>
      <c r="F235" s="117"/>
      <c r="G235" s="117"/>
      <c r="H235" s="117"/>
      <c r="I235" s="117"/>
      <c r="J235" s="117"/>
      <c r="K235" s="117"/>
    </row>
    <row r="236" spans="3:11" x14ac:dyDescent="0.25">
      <c r="C236" s="117"/>
      <c r="D236" s="117"/>
      <c r="E236" s="117"/>
      <c r="F236" s="117"/>
      <c r="G236" s="117"/>
      <c r="H236" s="117"/>
      <c r="I236" s="117"/>
      <c r="J236" s="117"/>
      <c r="K236" s="117"/>
    </row>
    <row r="237" spans="3:11" x14ac:dyDescent="0.25">
      <c r="C237" s="117"/>
      <c r="D237" s="117"/>
      <c r="E237" s="117"/>
      <c r="F237" s="117"/>
      <c r="G237" s="117"/>
      <c r="H237" s="117"/>
      <c r="I237" s="117"/>
      <c r="J237" s="117"/>
      <c r="K237" s="117"/>
    </row>
    <row r="238" spans="3:11" x14ac:dyDescent="0.25">
      <c r="C238" s="117"/>
      <c r="D238" s="117"/>
      <c r="E238" s="117"/>
      <c r="F238" s="117"/>
      <c r="G238" s="117"/>
      <c r="H238" s="117"/>
      <c r="I238" s="117"/>
      <c r="J238" s="117"/>
      <c r="K238" s="117"/>
    </row>
    <row r="239" spans="3:11" x14ac:dyDescent="0.25">
      <c r="C239" s="117"/>
      <c r="D239" s="117"/>
      <c r="E239" s="117"/>
      <c r="F239" s="117"/>
      <c r="G239" s="117"/>
      <c r="H239" s="117"/>
      <c r="I239" s="117"/>
      <c r="J239" s="117"/>
      <c r="K239" s="117"/>
    </row>
    <row r="240" spans="3:11" x14ac:dyDescent="0.25">
      <c r="C240" s="117"/>
      <c r="D240" s="117"/>
      <c r="E240" s="117"/>
      <c r="F240" s="117"/>
      <c r="G240" s="117"/>
      <c r="H240" s="117"/>
      <c r="I240" s="117"/>
      <c r="J240" s="117"/>
      <c r="K240" s="117"/>
    </row>
    <row r="241" spans="3:11" x14ac:dyDescent="0.25">
      <c r="C241" s="117"/>
      <c r="D241" s="117"/>
      <c r="E241" s="117"/>
      <c r="F241" s="117"/>
      <c r="G241" s="117"/>
      <c r="H241" s="117"/>
      <c r="I241" s="117"/>
      <c r="J241" s="117"/>
      <c r="K241" s="117"/>
    </row>
    <row r="242" spans="3:11" x14ac:dyDescent="0.25">
      <c r="C242" s="117"/>
      <c r="D242" s="117"/>
      <c r="E242" s="117"/>
      <c r="F242" s="117"/>
      <c r="G242" s="117"/>
      <c r="H242" s="117"/>
      <c r="I242" s="117"/>
      <c r="J242" s="117"/>
      <c r="K242" s="117"/>
    </row>
    <row r="243" spans="3:11" x14ac:dyDescent="0.25">
      <c r="C243" s="117"/>
      <c r="D243" s="117"/>
      <c r="E243" s="117"/>
      <c r="F243" s="117"/>
      <c r="G243" s="117"/>
      <c r="H243" s="117"/>
      <c r="I243" s="117"/>
      <c r="J243" s="117"/>
      <c r="K243" s="117"/>
    </row>
    <row r="244" spans="3:11" x14ac:dyDescent="0.25">
      <c r="C244" s="117"/>
      <c r="D244" s="117"/>
      <c r="E244" s="117"/>
      <c r="F244" s="117"/>
      <c r="G244" s="117"/>
      <c r="H244" s="117"/>
      <c r="I244" s="117"/>
      <c r="J244" s="117"/>
      <c r="K244" s="117"/>
    </row>
    <row r="245" spans="3:11" x14ac:dyDescent="0.25">
      <c r="C245" s="117"/>
      <c r="D245" s="117"/>
      <c r="E245" s="117"/>
      <c r="F245" s="117"/>
      <c r="G245" s="117"/>
      <c r="H245" s="117"/>
      <c r="I245" s="117"/>
      <c r="J245" s="117"/>
      <c r="K245" s="117"/>
    </row>
    <row r="246" spans="3:11" x14ac:dyDescent="0.25">
      <c r="C246" s="117"/>
      <c r="D246" s="117"/>
      <c r="E246" s="117"/>
      <c r="F246" s="117"/>
      <c r="G246" s="117"/>
      <c r="H246" s="117"/>
      <c r="I246" s="117"/>
      <c r="J246" s="117"/>
      <c r="K246" s="117"/>
    </row>
    <row r="247" spans="3:11" x14ac:dyDescent="0.25">
      <c r="C247" s="117"/>
      <c r="D247" s="117"/>
      <c r="E247" s="117"/>
      <c r="F247" s="117"/>
      <c r="G247" s="117"/>
      <c r="H247" s="117"/>
      <c r="I247" s="117"/>
      <c r="J247" s="117"/>
      <c r="K247" s="117"/>
    </row>
    <row r="248" spans="3:11" x14ac:dyDescent="0.25">
      <c r="C248" s="117"/>
      <c r="D248" s="117"/>
      <c r="E248" s="117"/>
      <c r="F248" s="117"/>
      <c r="G248" s="117"/>
      <c r="H248" s="117"/>
      <c r="I248" s="117"/>
      <c r="J248" s="117"/>
      <c r="K248" s="117"/>
    </row>
    <row r="249" spans="3:11" x14ac:dyDescent="0.25">
      <c r="C249" s="117"/>
      <c r="D249" s="117"/>
      <c r="E249" s="117"/>
      <c r="F249" s="117"/>
      <c r="G249" s="117"/>
      <c r="H249" s="117"/>
      <c r="I249" s="117"/>
      <c r="J249" s="117"/>
      <c r="K249" s="117"/>
    </row>
    <row r="250" spans="3:11" x14ac:dyDescent="0.25">
      <c r="C250" s="117"/>
      <c r="D250" s="117"/>
      <c r="E250" s="117"/>
      <c r="F250" s="117"/>
      <c r="G250" s="117"/>
      <c r="H250" s="117"/>
      <c r="I250" s="117"/>
      <c r="J250" s="117"/>
      <c r="K250" s="117"/>
    </row>
    <row r="251" spans="3:11" x14ac:dyDescent="0.25">
      <c r="C251" s="117"/>
      <c r="D251" s="117"/>
      <c r="E251" s="117"/>
      <c r="F251" s="117"/>
      <c r="G251" s="117"/>
      <c r="H251" s="117"/>
      <c r="I251" s="117"/>
      <c r="J251" s="117"/>
      <c r="K251" s="117"/>
    </row>
    <row r="252" spans="3:11" x14ac:dyDescent="0.25">
      <c r="C252" s="117"/>
      <c r="D252" s="117"/>
      <c r="E252" s="117"/>
      <c r="F252" s="117"/>
      <c r="G252" s="117"/>
      <c r="H252" s="117"/>
      <c r="I252" s="117"/>
      <c r="J252" s="117"/>
      <c r="K252" s="117"/>
    </row>
    <row r="253" spans="3:11" x14ac:dyDescent="0.25">
      <c r="C253" s="117"/>
      <c r="D253" s="117"/>
      <c r="E253" s="117"/>
      <c r="F253" s="117"/>
      <c r="G253" s="117"/>
      <c r="H253" s="117"/>
      <c r="I253" s="117"/>
      <c r="J253" s="117"/>
      <c r="K253" s="117"/>
    </row>
    <row r="254" spans="3:11" x14ac:dyDescent="0.25">
      <c r="C254" s="117"/>
      <c r="D254" s="117"/>
      <c r="E254" s="117"/>
      <c r="F254" s="117"/>
      <c r="G254" s="117"/>
      <c r="H254" s="117"/>
      <c r="I254" s="117"/>
      <c r="J254" s="117"/>
      <c r="K254" s="117"/>
    </row>
    <row r="255" spans="3:11" x14ac:dyDescent="0.25">
      <c r="C255" s="117"/>
      <c r="D255" s="117"/>
      <c r="E255" s="117"/>
      <c r="F255" s="117"/>
      <c r="G255" s="117"/>
      <c r="H255" s="117"/>
      <c r="I255" s="117"/>
      <c r="J255" s="117"/>
      <c r="K255" s="117"/>
    </row>
    <row r="256" spans="3:11" x14ac:dyDescent="0.25">
      <c r="C256" s="117"/>
      <c r="D256" s="117"/>
      <c r="E256" s="117"/>
      <c r="F256" s="117"/>
      <c r="G256" s="117"/>
      <c r="H256" s="117"/>
      <c r="I256" s="117"/>
      <c r="J256" s="117"/>
      <c r="K256" s="117"/>
    </row>
    <row r="257" spans="3:11" x14ac:dyDescent="0.25">
      <c r="C257" s="117"/>
      <c r="D257" s="117"/>
      <c r="E257" s="117"/>
      <c r="F257" s="117"/>
      <c r="G257" s="117"/>
      <c r="H257" s="117"/>
      <c r="I257" s="117"/>
      <c r="J257" s="117"/>
      <c r="K257" s="117"/>
    </row>
    <row r="258" spans="3:11" x14ac:dyDescent="0.25">
      <c r="C258" s="117"/>
      <c r="D258" s="117"/>
      <c r="E258" s="117"/>
      <c r="F258" s="117"/>
      <c r="G258" s="117"/>
      <c r="H258" s="117"/>
      <c r="I258" s="117"/>
      <c r="J258" s="117"/>
      <c r="K258" s="117"/>
    </row>
    <row r="259" spans="3:11" x14ac:dyDescent="0.25">
      <c r="C259" s="117"/>
      <c r="D259" s="117"/>
      <c r="E259" s="117"/>
      <c r="F259" s="117"/>
      <c r="G259" s="117"/>
      <c r="H259" s="117"/>
      <c r="I259" s="117"/>
      <c r="J259" s="117"/>
      <c r="K259" s="117"/>
    </row>
    <row r="260" spans="3:11" x14ac:dyDescent="0.25">
      <c r="C260" s="117"/>
      <c r="D260" s="117"/>
      <c r="E260" s="117"/>
      <c r="F260" s="117"/>
      <c r="G260" s="117"/>
      <c r="H260" s="117"/>
      <c r="I260" s="117"/>
      <c r="J260" s="117"/>
      <c r="K260" s="117"/>
    </row>
    <row r="261" spans="3:11" x14ac:dyDescent="0.25">
      <c r="C261" s="117"/>
      <c r="D261" s="117"/>
      <c r="E261" s="117"/>
      <c r="F261" s="117"/>
      <c r="G261" s="117"/>
      <c r="H261" s="117"/>
      <c r="I261" s="117"/>
      <c r="J261" s="117"/>
      <c r="K261" s="117"/>
    </row>
    <row r="262" spans="3:11" x14ac:dyDescent="0.25">
      <c r="C262" s="117"/>
      <c r="D262" s="117"/>
      <c r="E262" s="117"/>
      <c r="F262" s="117"/>
      <c r="G262" s="117"/>
      <c r="H262" s="117"/>
      <c r="I262" s="117"/>
      <c r="J262" s="117"/>
      <c r="K262" s="117"/>
    </row>
    <row r="263" spans="3:11" x14ac:dyDescent="0.25">
      <c r="C263" s="117"/>
      <c r="D263" s="117"/>
      <c r="E263" s="117"/>
      <c r="F263" s="117"/>
      <c r="G263" s="117"/>
      <c r="H263" s="117"/>
      <c r="I263" s="117"/>
      <c r="J263" s="117"/>
      <c r="K263" s="117"/>
    </row>
    <row r="264" spans="3:11" x14ac:dyDescent="0.25">
      <c r="C264" s="117"/>
      <c r="D264" s="117"/>
      <c r="E264" s="117"/>
      <c r="F264" s="117"/>
      <c r="G264" s="117"/>
      <c r="H264" s="117"/>
      <c r="I264" s="117"/>
      <c r="J264" s="117"/>
      <c r="K264" s="117"/>
    </row>
  </sheetData>
  <mergeCells count="3">
    <mergeCell ref="A1:K1"/>
    <mergeCell ref="A2:K2"/>
    <mergeCell ref="A3:K3"/>
  </mergeCells>
  <phoneticPr fontId="0" type="noConversion"/>
  <printOptions horizontalCentered="1"/>
  <pageMargins left="0" right="0" top="0.25" bottom="0.5" header="0.25" footer="0.25"/>
  <pageSetup scale="88" orientation="portrait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89"/>
  <sheetViews>
    <sheetView workbookViewId="0">
      <pane ySplit="8" topLeftCell="A9" activePane="bottomLeft" state="frozen"/>
      <selection activeCell="A4" sqref="A4"/>
      <selection pane="bottomLeft" activeCell="A9" sqref="A9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9.140625" style="10"/>
    <col min="6" max="6" width="9.28515625" style="195" customWidth="1"/>
    <col min="7" max="7" width="9" style="195" customWidth="1"/>
    <col min="8" max="10" width="8.7109375" style="195" customWidth="1"/>
    <col min="11" max="11" width="8.85546875" style="195" customWidth="1"/>
    <col min="12" max="12" width="0.85546875" style="10" customWidth="1"/>
    <col min="13" max="13" width="8.7109375" style="10" customWidth="1"/>
    <col min="14" max="17" width="7.7109375" style="10" customWidth="1"/>
    <col min="18" max="19" width="8.7109375" style="10" customWidth="1"/>
    <col min="20" max="20" width="0.85546875" style="10" customWidth="1"/>
    <col min="21" max="16384" width="9.140625" style="10"/>
  </cols>
  <sheetData>
    <row r="1" spans="1:20" s="2" customFormat="1" ht="9.9499999999999993" customHeight="1" x14ac:dyDescent="0.25">
      <c r="A1"/>
      <c r="B1"/>
      <c r="C1"/>
      <c r="D1"/>
      <c r="E1"/>
      <c r="F1" s="162"/>
      <c r="G1" s="162"/>
      <c r="H1" s="162"/>
      <c r="I1" s="162"/>
      <c r="J1" s="162"/>
      <c r="K1" s="162"/>
      <c r="L1"/>
      <c r="M1"/>
      <c r="N1"/>
      <c r="O1"/>
      <c r="P1"/>
      <c r="Q1"/>
      <c r="R1"/>
      <c r="S1"/>
      <c r="T1" s="1"/>
    </row>
    <row r="2" spans="1:20" s="5" customFormat="1" ht="29.25" customHeight="1" x14ac:dyDescent="0.4">
      <c r="A2" s="420" t="s">
        <v>70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"/>
      <c r="M2" s="4"/>
      <c r="N2" s="4"/>
      <c r="O2" s="4"/>
      <c r="P2" s="4"/>
      <c r="Q2" s="4"/>
      <c r="R2" s="4"/>
      <c r="T2" s="6"/>
    </row>
    <row r="3" spans="1:20" s="2" customFormat="1" ht="15.75" customHeight="1" x14ac:dyDescent="0.3">
      <c r="A3" s="421" t="s">
        <v>156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  <c r="L3"/>
      <c r="M3"/>
      <c r="N3"/>
      <c r="O3"/>
      <c r="P3"/>
      <c r="Q3"/>
      <c r="R3"/>
      <c r="T3" s="6"/>
    </row>
    <row r="4" spans="1:20" s="2" customFormat="1" ht="15.75" customHeight="1" x14ac:dyDescent="0.3">
      <c r="A4" s="421" t="str">
        <f>'QTD Mgmt Summary'!Q3</f>
        <v>Results based on activity through Aug 3, 2001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/>
      <c r="M4"/>
      <c r="N4"/>
      <c r="O4"/>
      <c r="P4"/>
      <c r="Q4"/>
      <c r="R4"/>
      <c r="T4" s="6"/>
    </row>
    <row r="5" spans="1:20" s="2" customFormat="1" ht="15" customHeight="1" thickBot="1" x14ac:dyDescent="0.3">
      <c r="A5"/>
      <c r="B5"/>
      <c r="C5"/>
      <c r="D5"/>
      <c r="E5"/>
      <c r="F5" s="162"/>
      <c r="G5" s="162"/>
      <c r="H5" s="162"/>
      <c r="I5" s="162"/>
      <c r="J5" s="162"/>
      <c r="K5" s="162"/>
      <c r="L5"/>
      <c r="M5"/>
      <c r="N5"/>
      <c r="O5"/>
      <c r="P5"/>
      <c r="Q5"/>
      <c r="R5"/>
      <c r="S5"/>
      <c r="T5" s="7"/>
    </row>
    <row r="6" spans="1:20" s="8" customFormat="1" ht="15" customHeight="1" x14ac:dyDescent="0.25">
      <c r="A6" s="45"/>
      <c r="B6" s="276"/>
      <c r="C6" s="398" t="s">
        <v>155</v>
      </c>
      <c r="D6" s="399"/>
      <c r="E6" s="399"/>
      <c r="F6" s="399"/>
      <c r="G6" s="399"/>
      <c r="H6" s="400"/>
      <c r="I6" s="404"/>
      <c r="J6" s="405"/>
      <c r="K6" s="406"/>
    </row>
    <row r="7" spans="1:20" s="8" customFormat="1" ht="14.25" customHeight="1" x14ac:dyDescent="0.25">
      <c r="A7" s="224" t="s">
        <v>2</v>
      </c>
      <c r="B7" s="229"/>
      <c r="C7" s="422"/>
      <c r="D7" s="423"/>
      <c r="E7" s="423"/>
      <c r="F7" s="423"/>
      <c r="G7" s="423"/>
      <c r="H7" s="424"/>
      <c r="I7" s="288" t="s">
        <v>3</v>
      </c>
      <c r="J7" s="218"/>
      <c r="K7" s="283"/>
    </row>
    <row r="8" spans="1:20" ht="18" customHeight="1" thickBot="1" x14ac:dyDescent="0.3">
      <c r="A8" s="46"/>
      <c r="B8" s="284"/>
      <c r="C8" s="222" t="s">
        <v>122</v>
      </c>
      <c r="D8" s="285" t="s">
        <v>123</v>
      </c>
      <c r="E8" s="285" t="s">
        <v>121</v>
      </c>
      <c r="F8" s="286" t="s">
        <v>79</v>
      </c>
      <c r="G8" s="286" t="s">
        <v>80</v>
      </c>
      <c r="H8" s="287" t="s">
        <v>81</v>
      </c>
      <c r="I8" s="220" t="s">
        <v>0</v>
      </c>
      <c r="J8" s="286" t="s">
        <v>4</v>
      </c>
      <c r="K8" s="287" t="s">
        <v>5</v>
      </c>
    </row>
    <row r="9" spans="1:20" s="18" customFormat="1" ht="12.75" customHeight="1" x14ac:dyDescent="0.25">
      <c r="A9" s="11" t="str">
        <f>'QTD Mgmt Summary'!A9</f>
        <v>Norteast Trading (Davis)</v>
      </c>
      <c r="B9" s="274"/>
      <c r="C9" s="146">
        <v>15627</v>
      </c>
      <c r="D9" s="161">
        <v>0</v>
      </c>
      <c r="E9" s="161">
        <v>0</v>
      </c>
      <c r="F9" s="161">
        <v>0</v>
      </c>
      <c r="G9" s="161">
        <v>0</v>
      </c>
      <c r="H9" s="161">
        <v>0</v>
      </c>
      <c r="I9" s="146">
        <f>SUM(C9:H9)</f>
        <v>15627</v>
      </c>
      <c r="J9" s="161">
        <v>12500</v>
      </c>
      <c r="K9" s="301">
        <f>I9-J9</f>
        <v>3127</v>
      </c>
    </row>
    <row r="10" spans="1:20" s="18" customFormat="1" ht="12.75" customHeight="1" x14ac:dyDescent="0.25">
      <c r="A10" s="11" t="str">
        <f>'QTD Mgmt Summary'!A10</f>
        <v>Northeast Origination (Llodia)</v>
      </c>
      <c r="B10" s="274"/>
      <c r="C10" s="305">
        <v>0</v>
      </c>
      <c r="D10" s="306">
        <v>0</v>
      </c>
      <c r="E10" s="40">
        <v>175</v>
      </c>
      <c r="F10" s="306">
        <v>0</v>
      </c>
      <c r="G10" s="306">
        <v>0</v>
      </c>
      <c r="H10" s="306">
        <v>0</v>
      </c>
      <c r="I10" s="21">
        <f t="shared" ref="I10:I22" si="0">SUM(C10:H10)</f>
        <v>175</v>
      </c>
      <c r="J10" s="40">
        <v>7500</v>
      </c>
      <c r="K10" s="258">
        <f t="shared" ref="K10:K22" si="1">I10-J10</f>
        <v>-7325</v>
      </c>
    </row>
    <row r="11" spans="1:20" ht="12.75" customHeight="1" x14ac:dyDescent="0.25">
      <c r="A11" s="11" t="str">
        <f>'QTD Mgmt Summary'!A11</f>
        <v>Midwest Trading (Sturm/Baughman)</v>
      </c>
      <c r="B11" s="15"/>
      <c r="C11" s="281">
        <v>-15094</v>
      </c>
      <c r="D11" s="273">
        <v>0</v>
      </c>
      <c r="E11" s="40">
        <v>0</v>
      </c>
      <c r="F11" s="273">
        <v>0</v>
      </c>
      <c r="G11" s="273">
        <v>0</v>
      </c>
      <c r="H11" s="280">
        <v>0</v>
      </c>
      <c r="I11" s="180">
        <f t="shared" si="0"/>
        <v>-15094</v>
      </c>
      <c r="J11" s="257">
        <v>12500</v>
      </c>
      <c r="K11" s="258">
        <f t="shared" si="1"/>
        <v>-27594</v>
      </c>
    </row>
    <row r="12" spans="1:20" ht="12.75" customHeight="1" x14ac:dyDescent="0.25">
      <c r="A12" s="11" t="str">
        <f>'QTD Mgmt Summary'!A12</f>
        <v>Midwest Origination (Sturm/Baughman)</v>
      </c>
      <c r="B12" s="15"/>
      <c r="C12" s="281">
        <v>0</v>
      </c>
      <c r="D12" s="273">
        <v>0</v>
      </c>
      <c r="E12" s="40">
        <v>265</v>
      </c>
      <c r="F12" s="273">
        <v>0</v>
      </c>
      <c r="G12" s="273">
        <v>0</v>
      </c>
      <c r="H12" s="280">
        <v>0</v>
      </c>
      <c r="I12" s="180">
        <f t="shared" si="0"/>
        <v>265</v>
      </c>
      <c r="J12" s="257">
        <v>7500</v>
      </c>
      <c r="K12" s="258">
        <f t="shared" si="1"/>
        <v>-7235</v>
      </c>
    </row>
    <row r="13" spans="1:20" ht="12.75" customHeight="1" x14ac:dyDescent="0.25">
      <c r="A13" s="11" t="str">
        <f>'QTD Mgmt Summary'!A13</f>
        <v xml:space="preserve">Southeast Trading (Herndon/Kroll) </v>
      </c>
      <c r="B13" s="15"/>
      <c r="C13" s="281">
        <v>-1120</v>
      </c>
      <c r="D13" s="273">
        <v>0</v>
      </c>
      <c r="E13" s="40">
        <v>0</v>
      </c>
      <c r="F13" s="273">
        <v>0</v>
      </c>
      <c r="G13" s="273">
        <v>0</v>
      </c>
      <c r="H13" s="280">
        <v>0</v>
      </c>
      <c r="I13" s="180">
        <f>SUM(C13:H13)</f>
        <v>-1120</v>
      </c>
      <c r="J13" s="257">
        <v>7500</v>
      </c>
      <c r="K13" s="258">
        <f t="shared" si="1"/>
        <v>-8620</v>
      </c>
    </row>
    <row r="14" spans="1:20" ht="12.75" customHeight="1" x14ac:dyDescent="0.25">
      <c r="A14" s="11" t="str">
        <f>'QTD Mgmt Summary'!A14</f>
        <v xml:space="preserve">Southeast Orig (Herndon/Kroll) </v>
      </c>
      <c r="B14" s="15"/>
      <c r="C14" s="281">
        <v>0</v>
      </c>
      <c r="D14" s="273">
        <v>0</v>
      </c>
      <c r="E14" s="40">
        <v>1667</v>
      </c>
      <c r="F14" s="273">
        <v>0</v>
      </c>
      <c r="G14" s="273">
        <v>0</v>
      </c>
      <c r="H14" s="280">
        <v>0</v>
      </c>
      <c r="I14" s="180">
        <f t="shared" si="0"/>
        <v>1667</v>
      </c>
      <c r="J14" s="257">
        <v>12500</v>
      </c>
      <c r="K14" s="258">
        <f t="shared" si="1"/>
        <v>-10833</v>
      </c>
    </row>
    <row r="15" spans="1:20" ht="12.75" customHeight="1" x14ac:dyDescent="0.25">
      <c r="A15" s="11" t="str">
        <f>'QTD Mgmt Summary'!A15</f>
        <v>ERCOT Trading (Smith/Corry)</v>
      </c>
      <c r="B15" s="15"/>
      <c r="C15" s="281">
        <v>-2325</v>
      </c>
      <c r="D15" s="273">
        <v>0</v>
      </c>
      <c r="E15" s="40">
        <v>0</v>
      </c>
      <c r="F15" s="273">
        <v>0</v>
      </c>
      <c r="G15" s="273">
        <v>0</v>
      </c>
      <c r="H15" s="280">
        <v>0</v>
      </c>
      <c r="I15" s="180">
        <f t="shared" si="0"/>
        <v>-2325</v>
      </c>
      <c r="J15" s="257">
        <v>4375</v>
      </c>
      <c r="K15" s="258">
        <f t="shared" si="1"/>
        <v>-6700</v>
      </c>
    </row>
    <row r="16" spans="1:20" ht="12.75" customHeight="1" x14ac:dyDescent="0.25">
      <c r="A16" s="11" t="str">
        <f>'QTD Mgmt Summary'!A16</f>
        <v>ERCOT Orig (Smith/Corry)</v>
      </c>
      <c r="B16" s="15"/>
      <c r="C16" s="281">
        <v>0</v>
      </c>
      <c r="D16" s="273">
        <v>0</v>
      </c>
      <c r="E16" s="40">
        <v>70</v>
      </c>
      <c r="F16" s="273">
        <v>0</v>
      </c>
      <c r="G16" s="273">
        <v>0</v>
      </c>
      <c r="H16" s="280">
        <v>0</v>
      </c>
      <c r="I16" s="180">
        <f t="shared" si="0"/>
        <v>70</v>
      </c>
      <c r="J16" s="257">
        <v>4375</v>
      </c>
      <c r="K16" s="258">
        <f t="shared" si="1"/>
        <v>-4305</v>
      </c>
    </row>
    <row r="17" spans="1:11" ht="12.75" customHeight="1" x14ac:dyDescent="0.25">
      <c r="A17" s="11" t="str">
        <f>'QTD Mgmt Summary'!A17</f>
        <v>Options (Arora)</v>
      </c>
      <c r="B17" s="15"/>
      <c r="C17" s="281">
        <v>3846</v>
      </c>
      <c r="D17" s="273">
        <v>0</v>
      </c>
      <c r="E17" s="40">
        <v>0</v>
      </c>
      <c r="F17" s="273">
        <v>0</v>
      </c>
      <c r="G17" s="273">
        <v>0</v>
      </c>
      <c r="H17" s="280">
        <v>0</v>
      </c>
      <c r="I17" s="180">
        <f t="shared" si="0"/>
        <v>3846</v>
      </c>
      <c r="J17" s="257">
        <v>0</v>
      </c>
      <c r="K17" s="258">
        <f t="shared" si="1"/>
        <v>3846</v>
      </c>
    </row>
    <row r="18" spans="1:11" ht="12.75" customHeight="1" x14ac:dyDescent="0.25">
      <c r="A18" s="11" t="str">
        <f>'QTD Mgmt Summary'!A18</f>
        <v>Management  Book (Presto)</v>
      </c>
      <c r="B18" s="15"/>
      <c r="C18" s="281">
        <v>-25456</v>
      </c>
      <c r="D18" s="273">
        <v>0</v>
      </c>
      <c r="E18" s="40">
        <v>0</v>
      </c>
      <c r="F18" s="273">
        <v>0</v>
      </c>
      <c r="G18" s="273">
        <v>0</v>
      </c>
      <c r="H18" s="280">
        <v>0</v>
      </c>
      <c r="I18" s="180">
        <f t="shared" si="0"/>
        <v>-25456</v>
      </c>
      <c r="J18" s="257">
        <v>4200</v>
      </c>
      <c r="K18" s="258">
        <f t="shared" si="1"/>
        <v>-29656</v>
      </c>
    </row>
    <row r="19" spans="1:11" ht="12.75" customHeight="1" x14ac:dyDescent="0.25">
      <c r="A19" s="11" t="str">
        <f>'QTD Mgmt Summary'!A19</f>
        <v>Services (Will)</v>
      </c>
      <c r="B19" s="15"/>
      <c r="C19" s="281">
        <v>82</v>
      </c>
      <c r="D19" s="273">
        <v>0</v>
      </c>
      <c r="E19" s="40">
        <v>0</v>
      </c>
      <c r="F19" s="273">
        <v>0</v>
      </c>
      <c r="G19" s="273">
        <v>0</v>
      </c>
      <c r="H19" s="280">
        <v>0</v>
      </c>
      <c r="I19" s="180">
        <f t="shared" si="0"/>
        <v>82</v>
      </c>
      <c r="J19" s="257">
        <v>0</v>
      </c>
      <c r="K19" s="258">
        <f t="shared" si="1"/>
        <v>82</v>
      </c>
    </row>
    <row r="20" spans="1:11" ht="12.75" customHeight="1" x14ac:dyDescent="0.25">
      <c r="A20" s="11" t="str">
        <f>'QTD Mgmt Summary'!A20</f>
        <v>Development (Jacoby)</v>
      </c>
      <c r="B20" s="15"/>
      <c r="C20" s="281">
        <v>0</v>
      </c>
      <c r="D20" s="273">
        <v>0</v>
      </c>
      <c r="E20" s="40">
        <v>0</v>
      </c>
      <c r="F20" s="273">
        <v>0</v>
      </c>
      <c r="G20" s="273">
        <v>0</v>
      </c>
      <c r="H20" s="280">
        <v>2438</v>
      </c>
      <c r="I20" s="180">
        <f t="shared" si="0"/>
        <v>2438</v>
      </c>
      <c r="J20" s="257">
        <v>6000</v>
      </c>
      <c r="K20" s="258">
        <f t="shared" si="1"/>
        <v>-3562</v>
      </c>
    </row>
    <row r="21" spans="1:11" ht="12.75" customHeight="1" x14ac:dyDescent="0.25">
      <c r="A21" s="11" t="str">
        <f>'QTD Mgmt Summary'!A21</f>
        <v>Generation Investments (Duran)</v>
      </c>
      <c r="B21" s="15"/>
      <c r="C21" s="281">
        <v>0</v>
      </c>
      <c r="D21" s="273">
        <v>0</v>
      </c>
      <c r="E21" s="40">
        <v>0</v>
      </c>
      <c r="F21" s="273">
        <v>-2516</v>
      </c>
      <c r="G21" s="273">
        <v>0</v>
      </c>
      <c r="H21" s="280">
        <v>1000</v>
      </c>
      <c r="I21" s="180">
        <f t="shared" si="0"/>
        <v>-1516</v>
      </c>
      <c r="J21" s="257">
        <v>20000</v>
      </c>
      <c r="K21" s="258">
        <f t="shared" si="1"/>
        <v>-21516</v>
      </c>
    </row>
    <row r="22" spans="1:11" ht="12.75" customHeight="1" thickBot="1" x14ac:dyDescent="0.3">
      <c r="A22" s="11" t="str">
        <f>'QTD Mgmt Summary'!A22</f>
        <v>Structuring/Fundamentals (Meyn/Will)</v>
      </c>
      <c r="B22" s="15"/>
      <c r="C22" s="281">
        <v>0</v>
      </c>
      <c r="D22" s="273">
        <v>0</v>
      </c>
      <c r="E22" s="40">
        <v>0</v>
      </c>
      <c r="F22" s="273">
        <v>0</v>
      </c>
      <c r="G22" s="273">
        <v>0</v>
      </c>
      <c r="H22" s="280">
        <v>0</v>
      </c>
      <c r="I22" s="302">
        <f t="shared" si="0"/>
        <v>0</v>
      </c>
      <c r="J22" s="303">
        <v>0</v>
      </c>
      <c r="K22" s="258">
        <f t="shared" si="1"/>
        <v>0</v>
      </c>
    </row>
    <row r="23" spans="1:11" s="42" customFormat="1" ht="12.75" customHeight="1" thickBot="1" x14ac:dyDescent="0.3">
      <c r="A23" s="35" t="s">
        <v>7</v>
      </c>
      <c r="B23" s="277"/>
      <c r="C23" s="292">
        <f t="shared" ref="C23:K23" si="2">SUM(C9:C22)</f>
        <v>-24440</v>
      </c>
      <c r="D23" s="293">
        <f t="shared" si="2"/>
        <v>0</v>
      </c>
      <c r="E23" s="293">
        <f t="shared" si="2"/>
        <v>2177</v>
      </c>
      <c r="F23" s="294">
        <f t="shared" si="2"/>
        <v>-2516</v>
      </c>
      <c r="G23" s="294">
        <f t="shared" si="2"/>
        <v>0</v>
      </c>
      <c r="H23" s="295">
        <f t="shared" si="2"/>
        <v>3438</v>
      </c>
      <c r="I23" s="296">
        <f t="shared" si="2"/>
        <v>-21341</v>
      </c>
      <c r="J23" s="294">
        <f t="shared" si="2"/>
        <v>98950</v>
      </c>
      <c r="K23" s="295">
        <f t="shared" si="2"/>
        <v>-120291</v>
      </c>
    </row>
    <row r="24" spans="1:11" ht="12.75" customHeight="1" x14ac:dyDescent="0.25">
      <c r="A24" s="11" t="str">
        <f>'QTD Mgmt Summary'!A24</f>
        <v>Trading (Belden)</v>
      </c>
      <c r="B24" s="229"/>
      <c r="C24" s="21">
        <v>54403</v>
      </c>
      <c r="D24" s="273">
        <v>0</v>
      </c>
      <c r="E24" s="40">
        <v>0</v>
      </c>
      <c r="F24" s="273">
        <v>0</v>
      </c>
      <c r="G24" s="273">
        <v>0</v>
      </c>
      <c r="H24" s="280">
        <v>0</v>
      </c>
      <c r="I24" s="281">
        <f t="shared" ref="I24:I30" si="3">SUM(C24:H24)</f>
        <v>54403</v>
      </c>
      <c r="J24" s="257">
        <v>62499</v>
      </c>
      <c r="K24" s="280">
        <f t="shared" ref="K24:K30" si="4">I24-J24</f>
        <v>-8096</v>
      </c>
    </row>
    <row r="25" spans="1:11" ht="12.75" customHeight="1" x14ac:dyDescent="0.25">
      <c r="A25" s="11" t="str">
        <f>'QTD Mgmt Summary'!A25</f>
        <v>Services (Foster/Wolfe)</v>
      </c>
      <c r="B25" s="229"/>
      <c r="C25" s="21">
        <v>0</v>
      </c>
      <c r="D25" s="273">
        <v>0</v>
      </c>
      <c r="E25" s="40">
        <v>0</v>
      </c>
      <c r="F25" s="273">
        <v>0</v>
      </c>
      <c r="G25" s="273">
        <v>0</v>
      </c>
      <c r="H25" s="280">
        <v>0</v>
      </c>
      <c r="I25" s="281">
        <f t="shared" si="3"/>
        <v>0</v>
      </c>
      <c r="J25" s="257">
        <v>0</v>
      </c>
      <c r="K25" s="280">
        <f t="shared" si="4"/>
        <v>0</v>
      </c>
    </row>
    <row r="26" spans="1:11" ht="12.75" customHeight="1" x14ac:dyDescent="0.25">
      <c r="A26" s="11" t="str">
        <f>'QTD Mgmt Summary'!A26</f>
        <v>Middle Market Originations (Foster)</v>
      </c>
      <c r="B26" s="229"/>
      <c r="C26" s="21">
        <v>0</v>
      </c>
      <c r="D26" s="273">
        <v>6407</v>
      </c>
      <c r="E26" s="40">
        <v>0</v>
      </c>
      <c r="F26" s="273">
        <v>0</v>
      </c>
      <c r="G26" s="273">
        <v>0</v>
      </c>
      <c r="H26" s="280">
        <v>0</v>
      </c>
      <c r="I26" s="281">
        <f t="shared" si="3"/>
        <v>6407</v>
      </c>
      <c r="J26" s="257">
        <v>12499</v>
      </c>
      <c r="K26" s="280">
        <f t="shared" si="4"/>
        <v>-6092</v>
      </c>
    </row>
    <row r="27" spans="1:11" ht="12.75" customHeight="1" x14ac:dyDescent="0.25">
      <c r="A27" s="11" t="str">
        <f>'QTD Mgmt Summary'!A27</f>
        <v>Orginations (Thomas/McDonald)</v>
      </c>
      <c r="B27" s="229"/>
      <c r="C27" s="21">
        <v>0</v>
      </c>
      <c r="D27" s="273">
        <v>0</v>
      </c>
      <c r="E27" s="40">
        <v>3</v>
      </c>
      <c r="F27" s="273">
        <v>0</v>
      </c>
      <c r="G27" s="273">
        <v>0</v>
      </c>
      <c r="H27" s="280">
        <v>0</v>
      </c>
      <c r="I27" s="281">
        <f>SUM(C27:H27)</f>
        <v>3</v>
      </c>
      <c r="J27" s="257">
        <v>20958</v>
      </c>
      <c r="K27" s="280">
        <f t="shared" si="4"/>
        <v>-20955</v>
      </c>
    </row>
    <row r="28" spans="1:11" ht="12.75" customHeight="1" x14ac:dyDescent="0.25">
      <c r="A28" s="11" t="str">
        <f>'QTD Mgmt Summary'!A28</f>
        <v>Executive (Calger)</v>
      </c>
      <c r="B28" s="229"/>
      <c r="C28" s="21">
        <v>0</v>
      </c>
      <c r="D28" s="273">
        <v>0</v>
      </c>
      <c r="E28" s="40">
        <v>0</v>
      </c>
      <c r="F28" s="273">
        <v>0</v>
      </c>
      <c r="G28" s="273">
        <v>0</v>
      </c>
      <c r="H28" s="280">
        <v>0</v>
      </c>
      <c r="I28" s="281">
        <f>SUM(C28:H28)</f>
        <v>0</v>
      </c>
      <c r="J28" s="257">
        <v>5250</v>
      </c>
      <c r="K28" s="280">
        <f t="shared" si="4"/>
        <v>-5250</v>
      </c>
    </row>
    <row r="29" spans="1:11" ht="12.75" customHeight="1" x14ac:dyDescent="0.25">
      <c r="A29" s="11" t="str">
        <f>'QTD Mgmt Summary'!A29</f>
        <v>Generation (Parquet)</v>
      </c>
      <c r="B29" s="229"/>
      <c r="C29" s="21">
        <v>0</v>
      </c>
      <c r="D29" s="273">
        <v>0</v>
      </c>
      <c r="E29" s="40">
        <v>0</v>
      </c>
      <c r="F29" s="273">
        <v>663</v>
      </c>
      <c r="G29" s="273">
        <v>0</v>
      </c>
      <c r="H29" s="280">
        <v>683</v>
      </c>
      <c r="I29" s="281">
        <f>SUM(C29:H29)</f>
        <v>1346</v>
      </c>
      <c r="J29" s="257">
        <v>-1001</v>
      </c>
      <c r="K29" s="280">
        <f t="shared" si="4"/>
        <v>2347</v>
      </c>
    </row>
    <row r="30" spans="1:11" ht="12.75" customHeight="1" thickBot="1" x14ac:dyDescent="0.3">
      <c r="A30" s="11" t="str">
        <f>'QTD Mgmt Summary'!A30</f>
        <v>Fundamentals (Heizenreiker)</v>
      </c>
      <c r="B30" s="229"/>
      <c r="C30" s="21">
        <v>0</v>
      </c>
      <c r="D30" s="257">
        <v>0</v>
      </c>
      <c r="E30" s="40">
        <v>0</v>
      </c>
      <c r="F30" s="273">
        <v>0</v>
      </c>
      <c r="G30" s="273">
        <v>0</v>
      </c>
      <c r="H30" s="280">
        <v>0</v>
      </c>
      <c r="I30" s="281">
        <f t="shared" si="3"/>
        <v>0</v>
      </c>
      <c r="J30" s="257">
        <v>0</v>
      </c>
      <c r="K30" s="280">
        <f t="shared" si="4"/>
        <v>0</v>
      </c>
    </row>
    <row r="31" spans="1:11" s="42" customFormat="1" ht="12.75" customHeight="1" thickBot="1" x14ac:dyDescent="0.3">
      <c r="A31" s="35" t="s">
        <v>8</v>
      </c>
      <c r="B31" s="277"/>
      <c r="C31" s="292">
        <f t="shared" ref="C31:K31" si="5">SUM(C24:C30)</f>
        <v>54403</v>
      </c>
      <c r="D31" s="293">
        <f t="shared" si="5"/>
        <v>6407</v>
      </c>
      <c r="E31" s="293">
        <f t="shared" si="5"/>
        <v>3</v>
      </c>
      <c r="F31" s="294">
        <f t="shared" si="5"/>
        <v>663</v>
      </c>
      <c r="G31" s="294">
        <f t="shared" si="5"/>
        <v>0</v>
      </c>
      <c r="H31" s="295">
        <f t="shared" si="5"/>
        <v>683</v>
      </c>
      <c r="I31" s="296">
        <f t="shared" si="5"/>
        <v>62159</v>
      </c>
      <c r="J31" s="294">
        <f t="shared" si="5"/>
        <v>100205</v>
      </c>
      <c r="K31" s="295">
        <f t="shared" si="5"/>
        <v>-38046</v>
      </c>
    </row>
    <row r="32" spans="1:11" ht="12.75" customHeight="1" x14ac:dyDescent="0.25">
      <c r="A32" s="11" t="str">
        <f>'QTD Mgmt Summary'!A32</f>
        <v>East Trading (Neal)</v>
      </c>
      <c r="B32" s="229"/>
      <c r="C32" s="21">
        <v>7825</v>
      </c>
      <c r="D32" s="273">
        <v>0</v>
      </c>
      <c r="E32" s="40">
        <v>0</v>
      </c>
      <c r="F32" s="346">
        <v>0</v>
      </c>
      <c r="G32" s="346">
        <v>0</v>
      </c>
      <c r="H32" s="350">
        <v>0</v>
      </c>
      <c r="I32" s="345">
        <f t="shared" ref="I32:I44" si="6">SUM(C32:H32)</f>
        <v>7825</v>
      </c>
      <c r="J32" s="349">
        <v>15000</v>
      </c>
      <c r="K32" s="350">
        <f t="shared" ref="K32:K44" si="7">I32-J32</f>
        <v>-7175</v>
      </c>
    </row>
    <row r="33" spans="1:14" ht="12.75" customHeight="1" x14ac:dyDescent="0.25">
      <c r="A33" s="11" t="str">
        <f>'QTD Mgmt Summary'!A33</f>
        <v>East Origination (Vickors)</v>
      </c>
      <c r="B33" s="229"/>
      <c r="C33" s="21">
        <v>0</v>
      </c>
      <c r="D33" s="273">
        <v>214</v>
      </c>
      <c r="E33" s="40">
        <v>0</v>
      </c>
      <c r="F33" s="273">
        <v>0</v>
      </c>
      <c r="G33" s="273">
        <v>0</v>
      </c>
      <c r="H33" s="280">
        <v>0</v>
      </c>
      <c r="I33" s="345">
        <f t="shared" si="6"/>
        <v>214</v>
      </c>
      <c r="J33" s="257">
        <v>6000</v>
      </c>
      <c r="K33" s="280">
        <f t="shared" si="7"/>
        <v>-5786</v>
      </c>
    </row>
    <row r="34" spans="1:14" ht="12.75" customHeight="1" x14ac:dyDescent="0.25">
      <c r="A34" s="11" t="str">
        <f>'QTD Mgmt Summary'!A34</f>
        <v>Central Trading (Shively)</v>
      </c>
      <c r="B34" s="229"/>
      <c r="C34" s="21">
        <v>-7034</v>
      </c>
      <c r="D34" s="273">
        <v>0</v>
      </c>
      <c r="E34" s="40">
        <v>0</v>
      </c>
      <c r="F34" s="346">
        <v>0</v>
      </c>
      <c r="G34" s="346">
        <v>0</v>
      </c>
      <c r="H34" s="350">
        <v>0</v>
      </c>
      <c r="I34" s="345">
        <f t="shared" si="6"/>
        <v>-7034</v>
      </c>
      <c r="J34" s="349">
        <v>15750</v>
      </c>
      <c r="K34" s="350">
        <f t="shared" si="7"/>
        <v>-22784</v>
      </c>
    </row>
    <row r="35" spans="1:14" ht="12.75" customHeight="1" x14ac:dyDescent="0.25">
      <c r="A35" s="11" t="str">
        <f>'QTD Mgmt Summary'!A35</f>
        <v>Central Origination (Luce)</v>
      </c>
      <c r="B35" s="229"/>
      <c r="C35" s="21">
        <v>0</v>
      </c>
      <c r="D35" s="273">
        <v>120</v>
      </c>
      <c r="E35" s="40">
        <v>0</v>
      </c>
      <c r="F35" s="273">
        <v>0</v>
      </c>
      <c r="G35" s="273">
        <v>0</v>
      </c>
      <c r="H35" s="280">
        <v>0</v>
      </c>
      <c r="I35" s="345">
        <f t="shared" si="6"/>
        <v>120</v>
      </c>
      <c r="J35" s="257">
        <v>6500</v>
      </c>
      <c r="K35" s="280">
        <f t="shared" si="7"/>
        <v>-6380</v>
      </c>
    </row>
    <row r="36" spans="1:14" ht="12.75" customHeight="1" x14ac:dyDescent="0.25">
      <c r="A36" s="11" t="str">
        <f>'QTD Mgmt Summary'!A36</f>
        <v>Texas Trading (Martin)</v>
      </c>
      <c r="B36" s="229"/>
      <c r="C36" s="180">
        <v>-1577</v>
      </c>
      <c r="D36" s="257">
        <v>0</v>
      </c>
      <c r="E36" s="40">
        <v>0</v>
      </c>
      <c r="F36" s="273">
        <v>0</v>
      </c>
      <c r="G36" s="273">
        <v>0</v>
      </c>
      <c r="H36" s="280">
        <v>0</v>
      </c>
      <c r="I36" s="345">
        <f t="shared" si="6"/>
        <v>-1577</v>
      </c>
      <c r="J36" s="257">
        <v>10000</v>
      </c>
      <c r="K36" s="280">
        <f t="shared" si="7"/>
        <v>-11577</v>
      </c>
    </row>
    <row r="37" spans="1:14" ht="12.75" customHeight="1" x14ac:dyDescent="0.25">
      <c r="A37" s="11" t="str">
        <f>'QTD Mgmt Summary'!A37</f>
        <v>Texas Origination (Redmond)</v>
      </c>
      <c r="B37" s="229"/>
      <c r="C37" s="180">
        <v>0</v>
      </c>
      <c r="D37" s="257">
        <v>0</v>
      </c>
      <c r="E37" s="40">
        <v>0</v>
      </c>
      <c r="F37" s="273">
        <v>0</v>
      </c>
      <c r="G37" s="273">
        <v>0</v>
      </c>
      <c r="H37" s="280">
        <v>0</v>
      </c>
      <c r="I37" s="345">
        <f t="shared" si="6"/>
        <v>0</v>
      </c>
      <c r="J37" s="257">
        <v>0</v>
      </c>
      <c r="K37" s="280">
        <f t="shared" si="7"/>
        <v>0</v>
      </c>
    </row>
    <row r="38" spans="1:14" ht="12.75" customHeight="1" x14ac:dyDescent="0.25">
      <c r="A38" s="11" t="str">
        <f>'QTD Mgmt Summary'!A38</f>
        <v>West Trading (Allen)</v>
      </c>
      <c r="B38" s="229"/>
      <c r="C38" s="180">
        <v>-28957</v>
      </c>
      <c r="D38" s="257">
        <v>0</v>
      </c>
      <c r="E38" s="40">
        <v>0</v>
      </c>
      <c r="F38" s="273">
        <v>0</v>
      </c>
      <c r="G38" s="273">
        <v>0</v>
      </c>
      <c r="H38" s="280">
        <v>0</v>
      </c>
      <c r="I38" s="345">
        <f t="shared" si="6"/>
        <v>-28957</v>
      </c>
      <c r="J38" s="257">
        <v>26500</v>
      </c>
      <c r="K38" s="280">
        <f t="shared" si="7"/>
        <v>-55457</v>
      </c>
    </row>
    <row r="39" spans="1:14" ht="12.75" customHeight="1" x14ac:dyDescent="0.25">
      <c r="A39" s="11" t="str">
        <f>'QTD Mgmt Summary'!A39</f>
        <v>West Origination (Tycholiz)</v>
      </c>
      <c r="B39" s="229"/>
      <c r="C39" s="180">
        <v>0</v>
      </c>
      <c r="D39" s="257">
        <v>3248</v>
      </c>
      <c r="E39" s="40">
        <v>0</v>
      </c>
      <c r="F39" s="273">
        <v>0</v>
      </c>
      <c r="G39" s="273">
        <v>0</v>
      </c>
      <c r="H39" s="280">
        <v>0</v>
      </c>
      <c r="I39" s="345">
        <f t="shared" si="6"/>
        <v>3248</v>
      </c>
      <c r="J39" s="257">
        <v>5000</v>
      </c>
      <c r="K39" s="280">
        <f t="shared" si="7"/>
        <v>-1752</v>
      </c>
    </row>
    <row r="40" spans="1:14" ht="12.75" customHeight="1" x14ac:dyDescent="0.25">
      <c r="A40" s="11" t="str">
        <f>'QTD Mgmt Summary'!A40</f>
        <v>Financial Gas (Arnold)</v>
      </c>
      <c r="B40" s="229"/>
      <c r="C40" s="180">
        <v>56219</v>
      </c>
      <c r="D40" s="257">
        <v>0</v>
      </c>
      <c r="E40" s="40">
        <v>0</v>
      </c>
      <c r="F40" s="273">
        <v>0</v>
      </c>
      <c r="G40" s="273">
        <v>0</v>
      </c>
      <c r="H40" s="280">
        <v>0</v>
      </c>
      <c r="I40" s="345">
        <f t="shared" si="6"/>
        <v>56219</v>
      </c>
      <c r="J40" s="257">
        <v>31250</v>
      </c>
      <c r="K40" s="280">
        <f t="shared" si="7"/>
        <v>24969</v>
      </c>
    </row>
    <row r="41" spans="1:14" ht="12.75" customHeight="1" x14ac:dyDescent="0.25">
      <c r="A41" s="11" t="str">
        <f>'QTD Mgmt Summary'!A41</f>
        <v>Derivative (Lagrasta)</v>
      </c>
      <c r="B41" s="229"/>
      <c r="C41" s="180">
        <v>0</v>
      </c>
      <c r="D41" s="257">
        <v>2937</v>
      </c>
      <c r="E41" s="40">
        <v>0</v>
      </c>
      <c r="F41" s="273">
        <v>0</v>
      </c>
      <c r="G41" s="273">
        <v>0</v>
      </c>
      <c r="H41" s="280">
        <v>0</v>
      </c>
      <c r="I41" s="345">
        <f t="shared" si="6"/>
        <v>2937</v>
      </c>
      <c r="J41" s="257">
        <v>6250</v>
      </c>
      <c r="K41" s="280">
        <f t="shared" si="7"/>
        <v>-3313</v>
      </c>
    </row>
    <row r="42" spans="1:14" ht="12.75" customHeight="1" x14ac:dyDescent="0.25">
      <c r="A42" s="11" t="str">
        <f>'QTD Mgmt Summary'!A42</f>
        <v>NG Structuring (McMichael)</v>
      </c>
      <c r="B42" s="229"/>
      <c r="C42" s="180">
        <v>0</v>
      </c>
      <c r="D42" s="257">
        <v>0</v>
      </c>
      <c r="E42" s="40">
        <v>0</v>
      </c>
      <c r="F42" s="273">
        <v>0</v>
      </c>
      <c r="G42" s="273">
        <v>0</v>
      </c>
      <c r="H42" s="280">
        <v>0</v>
      </c>
      <c r="I42" s="345">
        <f t="shared" si="6"/>
        <v>0</v>
      </c>
      <c r="J42" s="257">
        <v>0</v>
      </c>
      <c r="K42" s="280">
        <f t="shared" si="7"/>
        <v>0</v>
      </c>
    </row>
    <row r="43" spans="1:14" ht="12.75" customHeight="1" x14ac:dyDescent="0.25">
      <c r="A43" s="11" t="str">
        <f>'QTD Mgmt Summary'!A43</f>
        <v>NG Fundamentals (Gaskill)</v>
      </c>
      <c r="B43" s="229"/>
      <c r="C43" s="180">
        <v>0</v>
      </c>
      <c r="D43" s="257">
        <v>0</v>
      </c>
      <c r="E43" s="40">
        <v>0</v>
      </c>
      <c r="F43" s="273">
        <v>0</v>
      </c>
      <c r="G43" s="273">
        <v>0</v>
      </c>
      <c r="H43" s="280">
        <v>0</v>
      </c>
      <c r="I43" s="345">
        <f t="shared" si="6"/>
        <v>0</v>
      </c>
      <c r="J43" s="257">
        <v>0</v>
      </c>
      <c r="K43" s="280">
        <f t="shared" si="7"/>
        <v>0</v>
      </c>
    </row>
    <row r="44" spans="1:14" ht="12.75" customHeight="1" thickBot="1" x14ac:dyDescent="0.3">
      <c r="A44" s="11" t="str">
        <f>'QTD Mgmt Summary'!A44</f>
        <v>Management</v>
      </c>
      <c r="B44" s="229"/>
      <c r="C44" s="180">
        <v>0</v>
      </c>
      <c r="D44" s="257">
        <v>0</v>
      </c>
      <c r="E44" s="40">
        <v>0</v>
      </c>
      <c r="F44" s="273">
        <v>0</v>
      </c>
      <c r="G44" s="273">
        <v>0</v>
      </c>
      <c r="H44" s="280">
        <v>0</v>
      </c>
      <c r="I44" s="345">
        <f t="shared" si="6"/>
        <v>0</v>
      </c>
      <c r="J44" s="257">
        <v>0</v>
      </c>
      <c r="K44" s="280">
        <f t="shared" si="7"/>
        <v>0</v>
      </c>
    </row>
    <row r="45" spans="1:14" s="42" customFormat="1" ht="12.75" customHeight="1" thickBot="1" x14ac:dyDescent="0.3">
      <c r="A45" s="35" t="s">
        <v>9</v>
      </c>
      <c r="B45" s="277"/>
      <c r="C45" s="292">
        <f t="shared" ref="C45:K45" si="8">SUM(C32:C44)</f>
        <v>26476</v>
      </c>
      <c r="D45" s="293">
        <f t="shared" si="8"/>
        <v>6519</v>
      </c>
      <c r="E45" s="293">
        <f t="shared" si="8"/>
        <v>0</v>
      </c>
      <c r="F45" s="294">
        <f t="shared" si="8"/>
        <v>0</v>
      </c>
      <c r="G45" s="294">
        <f t="shared" si="8"/>
        <v>0</v>
      </c>
      <c r="H45" s="295">
        <f t="shared" si="8"/>
        <v>0</v>
      </c>
      <c r="I45" s="296">
        <f t="shared" si="8"/>
        <v>32995</v>
      </c>
      <c r="J45" s="294">
        <f t="shared" si="8"/>
        <v>122250</v>
      </c>
      <c r="K45" s="295">
        <f t="shared" si="8"/>
        <v>-89255</v>
      </c>
      <c r="N45" s="117"/>
    </row>
    <row r="46" spans="1:14" ht="12.75" customHeight="1" x14ac:dyDescent="0.25">
      <c r="A46" s="11" t="str">
        <f>'QTD Mgmt Summary'!A46</f>
        <v>Natural Gas Trading (Zufferli)</v>
      </c>
      <c r="B46" s="229"/>
      <c r="C46" s="21">
        <v>1232</v>
      </c>
      <c r="D46" s="273">
        <v>0</v>
      </c>
      <c r="E46" s="40">
        <v>0</v>
      </c>
      <c r="F46" s="346">
        <v>0</v>
      </c>
      <c r="G46" s="346">
        <v>0</v>
      </c>
      <c r="H46" s="350">
        <v>0</v>
      </c>
      <c r="I46" s="345">
        <f t="shared" ref="I46:I51" si="9">SUM(C46:H46)</f>
        <v>1232</v>
      </c>
      <c r="J46" s="349">
        <v>6250</v>
      </c>
      <c r="K46" s="350">
        <f t="shared" ref="K46:K51" si="10">I46-J46</f>
        <v>-5018</v>
      </c>
    </row>
    <row r="47" spans="1:14" ht="12.75" customHeight="1" x14ac:dyDescent="0.25">
      <c r="A47" s="11" t="str">
        <f>'QTD Mgmt Summary'!A47</f>
        <v>Natural Gas Origination (LeDain)</v>
      </c>
      <c r="B47" s="229"/>
      <c r="C47" s="21">
        <v>0</v>
      </c>
      <c r="D47" s="273">
        <v>913</v>
      </c>
      <c r="E47" s="40">
        <v>0</v>
      </c>
      <c r="F47" s="273">
        <v>0</v>
      </c>
      <c r="G47" s="273">
        <v>0</v>
      </c>
      <c r="H47" s="280">
        <v>0</v>
      </c>
      <c r="I47" s="180">
        <f t="shared" si="9"/>
        <v>913</v>
      </c>
      <c r="J47" s="257">
        <v>6250</v>
      </c>
      <c r="K47" s="280">
        <f t="shared" si="10"/>
        <v>-5337</v>
      </c>
    </row>
    <row r="48" spans="1:14" ht="12.75" customHeight="1" x14ac:dyDescent="0.25">
      <c r="A48" s="11" t="str">
        <f>'QTD Mgmt Summary'!A48</f>
        <v>Finance (Kitagawa)</v>
      </c>
      <c r="B48" s="229"/>
      <c r="C48" s="21">
        <v>0</v>
      </c>
      <c r="D48" s="273">
        <v>0</v>
      </c>
      <c r="E48" s="40">
        <v>0</v>
      </c>
      <c r="F48" s="346">
        <v>183</v>
      </c>
      <c r="G48" s="346">
        <v>0</v>
      </c>
      <c r="H48" s="350">
        <v>0</v>
      </c>
      <c r="I48" s="355">
        <f t="shared" si="9"/>
        <v>183</v>
      </c>
      <c r="J48" s="349">
        <v>5000</v>
      </c>
      <c r="K48" s="350">
        <f t="shared" si="10"/>
        <v>-4817</v>
      </c>
    </row>
    <row r="49" spans="1:11" ht="12.75" customHeight="1" x14ac:dyDescent="0.25">
      <c r="A49" s="11" t="str">
        <f>'QTD Mgmt Summary'!A49</f>
        <v>Alberta Power (Zufferli/Davies)</v>
      </c>
      <c r="B49" s="229"/>
      <c r="C49" s="21">
        <v>9072</v>
      </c>
      <c r="D49" s="273">
        <v>0</v>
      </c>
      <c r="E49" s="40">
        <v>188</v>
      </c>
      <c r="F49" s="273">
        <v>0</v>
      </c>
      <c r="G49" s="273">
        <v>0</v>
      </c>
      <c r="H49" s="280">
        <v>0</v>
      </c>
      <c r="I49" s="180">
        <f t="shared" si="9"/>
        <v>9260</v>
      </c>
      <c r="J49" s="257">
        <v>38750</v>
      </c>
      <c r="K49" s="280">
        <f t="shared" si="10"/>
        <v>-29490</v>
      </c>
    </row>
    <row r="50" spans="1:11" ht="12.75" customHeight="1" x14ac:dyDescent="0.25">
      <c r="A50" s="11" t="str">
        <f>'QTD Mgmt Summary'!A50</f>
        <v>Ontario Power (Devries)</v>
      </c>
      <c r="B50" s="229"/>
      <c r="C50" s="21">
        <v>0</v>
      </c>
      <c r="D50" s="273">
        <v>0</v>
      </c>
      <c r="E50" s="40">
        <v>0</v>
      </c>
      <c r="F50" s="273">
        <v>0</v>
      </c>
      <c r="G50" s="273">
        <v>0</v>
      </c>
      <c r="H50" s="280">
        <v>0</v>
      </c>
      <c r="I50" s="180">
        <f t="shared" si="9"/>
        <v>0</v>
      </c>
      <c r="J50" s="257">
        <v>12500</v>
      </c>
      <c r="K50" s="280">
        <f t="shared" si="10"/>
        <v>-12500</v>
      </c>
    </row>
    <row r="51" spans="1:11" ht="12.75" customHeight="1" thickBot="1" x14ac:dyDescent="0.3">
      <c r="A51" s="11" t="str">
        <f>'QTD Mgmt Summary'!A51</f>
        <v>Executive (Milnthorp)</v>
      </c>
      <c r="B51" s="229"/>
      <c r="C51" s="21">
        <v>0</v>
      </c>
      <c r="D51" s="273">
        <v>0</v>
      </c>
      <c r="E51" s="40">
        <f>-D51+C51</f>
        <v>0</v>
      </c>
      <c r="F51" s="273">
        <v>0</v>
      </c>
      <c r="G51" s="273">
        <v>0</v>
      </c>
      <c r="H51" s="280">
        <v>0</v>
      </c>
      <c r="I51" s="180">
        <f t="shared" si="9"/>
        <v>0</v>
      </c>
      <c r="J51" s="257">
        <v>2500</v>
      </c>
      <c r="K51" s="280">
        <f t="shared" si="10"/>
        <v>-2500</v>
      </c>
    </row>
    <row r="52" spans="1:11" s="42" customFormat="1" ht="12.75" customHeight="1" thickBot="1" x14ac:dyDescent="0.3">
      <c r="A52" s="35" t="s">
        <v>10</v>
      </c>
      <c r="B52" s="277"/>
      <c r="C52" s="292">
        <f t="shared" ref="C52:K52" si="11">SUM(C46:C51)</f>
        <v>10304</v>
      </c>
      <c r="D52" s="293">
        <f t="shared" si="11"/>
        <v>913</v>
      </c>
      <c r="E52" s="293">
        <f t="shared" si="11"/>
        <v>188</v>
      </c>
      <c r="F52" s="293">
        <f t="shared" si="11"/>
        <v>183</v>
      </c>
      <c r="G52" s="293">
        <f t="shared" si="11"/>
        <v>0</v>
      </c>
      <c r="H52" s="297">
        <f t="shared" si="11"/>
        <v>0</v>
      </c>
      <c r="I52" s="292">
        <f t="shared" si="11"/>
        <v>11588</v>
      </c>
      <c r="J52" s="293">
        <f t="shared" si="11"/>
        <v>71250</v>
      </c>
      <c r="K52" s="297">
        <f t="shared" si="11"/>
        <v>-59662</v>
      </c>
    </row>
    <row r="53" spans="1:11" ht="12.75" customHeight="1" x14ac:dyDescent="0.25">
      <c r="A53" s="11" t="str">
        <f>'QTD Mgmt Summary'!A53</f>
        <v>Upstream Products (Mrha)</v>
      </c>
      <c r="B53" s="229"/>
      <c r="C53" s="21">
        <v>418</v>
      </c>
      <c r="D53" s="40">
        <v>0</v>
      </c>
      <c r="E53" s="40">
        <v>0</v>
      </c>
      <c r="F53" s="257">
        <v>474</v>
      </c>
      <c r="G53" s="257">
        <v>514</v>
      </c>
      <c r="H53" s="280">
        <v>0</v>
      </c>
      <c r="I53" s="180">
        <f>SUM(C53:H53)</f>
        <v>1406</v>
      </c>
      <c r="J53" s="257">
        <f>7496+302</f>
        <v>7798</v>
      </c>
      <c r="K53" s="280">
        <f t="shared" ref="K53:K64" si="12">I53-J53</f>
        <v>-6392</v>
      </c>
    </row>
    <row r="54" spans="1:11" ht="12.75" customHeight="1" x14ac:dyDescent="0.25">
      <c r="A54" s="11" t="str">
        <f>'QTD Mgmt Summary'!A54</f>
        <v>Bridgeline (Redmond)</v>
      </c>
      <c r="B54" s="229"/>
      <c r="C54" s="180">
        <v>0</v>
      </c>
      <c r="D54" s="257">
        <v>0</v>
      </c>
      <c r="E54" s="40">
        <v>0</v>
      </c>
      <c r="F54" s="257">
        <v>0</v>
      </c>
      <c r="G54" s="257">
        <v>2687</v>
      </c>
      <c r="H54" s="280">
        <v>0</v>
      </c>
      <c r="I54" s="180">
        <f t="shared" ref="I54:I62" si="13">SUM(C54:H54)</f>
        <v>2687</v>
      </c>
      <c r="J54" s="257">
        <v>2909</v>
      </c>
      <c r="K54" s="280">
        <f t="shared" si="12"/>
        <v>-222</v>
      </c>
    </row>
    <row r="55" spans="1:11" ht="12.75" customHeight="1" x14ac:dyDescent="0.25">
      <c r="A55" s="11" t="str">
        <f>'QTD Mgmt Summary'!A55</f>
        <v>HPL (Redmond)</v>
      </c>
      <c r="B55" s="229"/>
      <c r="C55" s="180">
        <v>0</v>
      </c>
      <c r="D55" s="257">
        <v>0</v>
      </c>
      <c r="E55" s="40">
        <v>248</v>
      </c>
      <c r="F55" s="257">
        <v>108</v>
      </c>
      <c r="G55" s="257">
        <v>5942</v>
      </c>
      <c r="H55" s="280">
        <v>0</v>
      </c>
      <c r="I55" s="180">
        <f t="shared" si="13"/>
        <v>6298</v>
      </c>
      <c r="J55" s="257">
        <v>6372</v>
      </c>
      <c r="K55" s="280">
        <f t="shared" si="12"/>
        <v>-74</v>
      </c>
    </row>
    <row r="56" spans="1:11" ht="12.75" customHeight="1" x14ac:dyDescent="0.25">
      <c r="A56" s="11" t="str">
        <f>'QTD Mgmt Summary'!A56</f>
        <v>Mexico (Irvin/Williams)</v>
      </c>
      <c r="B56" s="229"/>
      <c r="C56" s="180">
        <v>0</v>
      </c>
      <c r="D56" s="257">
        <v>0</v>
      </c>
      <c r="E56" s="40">
        <v>505</v>
      </c>
      <c r="F56" s="349">
        <v>0</v>
      </c>
      <c r="G56" s="349">
        <v>0</v>
      </c>
      <c r="H56" s="350">
        <v>0</v>
      </c>
      <c r="I56" s="355">
        <f t="shared" si="13"/>
        <v>505</v>
      </c>
      <c r="J56" s="349">
        <v>15000</v>
      </c>
      <c r="K56" s="280">
        <f t="shared" si="12"/>
        <v>-14495</v>
      </c>
    </row>
    <row r="57" spans="1:11" ht="12.75" customHeight="1" x14ac:dyDescent="0.25">
      <c r="A57" s="11" t="str">
        <f>'QTD Mgmt Summary'!A57</f>
        <v>Energy Capital Svcs (Thompson/Josey)</v>
      </c>
      <c r="B57" s="229"/>
      <c r="C57" s="180">
        <v>0</v>
      </c>
      <c r="D57" s="257">
        <v>0</v>
      </c>
      <c r="E57" s="40">
        <v>0</v>
      </c>
      <c r="F57" s="349">
        <v>623</v>
      </c>
      <c r="G57" s="349">
        <v>-290</v>
      </c>
      <c r="H57" s="350">
        <v>0</v>
      </c>
      <c r="I57" s="355">
        <f t="shared" si="13"/>
        <v>333</v>
      </c>
      <c r="J57" s="349">
        <f>14750+925</f>
        <v>15675</v>
      </c>
      <c r="K57" s="280">
        <f t="shared" si="12"/>
        <v>-15342</v>
      </c>
    </row>
    <row r="58" spans="1:11" ht="12.75" customHeight="1" x14ac:dyDescent="0.25">
      <c r="A58" s="11" t="str">
        <f>'QTD Mgmt Summary'!A58</f>
        <v>Mariner</v>
      </c>
      <c r="B58" s="229"/>
      <c r="C58" s="180">
        <v>0</v>
      </c>
      <c r="D58" s="257">
        <v>0</v>
      </c>
      <c r="E58" s="40">
        <v>0</v>
      </c>
      <c r="F58" s="349">
        <v>2358</v>
      </c>
      <c r="G58" s="349">
        <v>4304</v>
      </c>
      <c r="H58" s="350">
        <v>0</v>
      </c>
      <c r="I58" s="355">
        <f t="shared" si="13"/>
        <v>6662</v>
      </c>
      <c r="J58" s="349">
        <v>0</v>
      </c>
      <c r="K58" s="280">
        <f t="shared" si="12"/>
        <v>6662</v>
      </c>
    </row>
    <row r="59" spans="1:11" ht="12.75" customHeight="1" x14ac:dyDescent="0.25">
      <c r="A59" s="11" t="str">
        <f>'QTD Mgmt Summary'!A59</f>
        <v>Asset Marketing (D. Miller)</v>
      </c>
      <c r="B59" s="15"/>
      <c r="C59" s="180">
        <v>0</v>
      </c>
      <c r="D59" s="257">
        <v>0</v>
      </c>
      <c r="E59" s="40">
        <v>0</v>
      </c>
      <c r="F59" s="257">
        <v>0</v>
      </c>
      <c r="G59" s="257">
        <v>0</v>
      </c>
      <c r="H59" s="280">
        <v>0</v>
      </c>
      <c r="I59" s="180">
        <f t="shared" si="13"/>
        <v>0</v>
      </c>
      <c r="J59" s="257">
        <v>5000</v>
      </c>
      <c r="K59" s="280">
        <f t="shared" si="12"/>
        <v>-5000</v>
      </c>
    </row>
    <row r="60" spans="1:11" ht="12.75" customHeight="1" x14ac:dyDescent="0.25">
      <c r="A60" s="11" t="str">
        <f>'QTD Mgmt Summary'!A60</f>
        <v>Sold Peakers</v>
      </c>
      <c r="B60" s="15"/>
      <c r="C60" s="180">
        <v>0</v>
      </c>
      <c r="D60" s="257">
        <v>0</v>
      </c>
      <c r="E60" s="40">
        <v>0</v>
      </c>
      <c r="F60" s="257">
        <v>0</v>
      </c>
      <c r="G60" s="257">
        <v>0</v>
      </c>
      <c r="H60" s="280">
        <v>-402</v>
      </c>
      <c r="I60" s="180">
        <f t="shared" si="13"/>
        <v>-402</v>
      </c>
      <c r="J60" s="257">
        <v>0</v>
      </c>
      <c r="K60" s="280">
        <f t="shared" si="12"/>
        <v>-402</v>
      </c>
    </row>
    <row r="61" spans="1:11" ht="12.75" customHeight="1" x14ac:dyDescent="0.25">
      <c r="A61" s="11" t="str">
        <f>'QTD Mgmt Summary'!A61</f>
        <v>Cross Commodity (Lavorato)</v>
      </c>
      <c r="B61" s="15"/>
      <c r="C61" s="180">
        <v>3915</v>
      </c>
      <c r="D61" s="257">
        <v>0</v>
      </c>
      <c r="E61" s="40">
        <v>0</v>
      </c>
      <c r="F61" s="257">
        <v>0</v>
      </c>
      <c r="G61" s="257">
        <v>0</v>
      </c>
      <c r="H61" s="280">
        <v>0</v>
      </c>
      <c r="I61" s="180">
        <f t="shared" si="13"/>
        <v>3915</v>
      </c>
      <c r="J61" s="257">
        <v>0</v>
      </c>
      <c r="K61" s="280">
        <f t="shared" si="12"/>
        <v>3915</v>
      </c>
    </row>
    <row r="62" spans="1:11" ht="12.75" customHeight="1" x14ac:dyDescent="0.25">
      <c r="A62" s="11" t="str">
        <f>'QTD Mgmt Summary'!A62</f>
        <v>Office of the Chairman (Lavorato/Kitchen)</v>
      </c>
      <c r="B62" s="229"/>
      <c r="C62" s="180">
        <v>0</v>
      </c>
      <c r="D62" s="257">
        <v>0</v>
      </c>
      <c r="E62" s="40">
        <v>0</v>
      </c>
      <c r="F62" s="257">
        <v>0</v>
      </c>
      <c r="G62" s="257">
        <v>0</v>
      </c>
      <c r="H62" s="280">
        <v>-1188</v>
      </c>
      <c r="I62" s="180">
        <f t="shared" si="13"/>
        <v>-1188</v>
      </c>
      <c r="J62" s="257">
        <v>-90004</v>
      </c>
      <c r="K62" s="280">
        <f t="shared" si="12"/>
        <v>88816</v>
      </c>
    </row>
    <row r="63" spans="1:11" ht="12.75" customHeight="1" x14ac:dyDescent="0.25">
      <c r="A63" s="11" t="str">
        <f>'QTD Mgmt Summary'!A63</f>
        <v>TVA Settlement</v>
      </c>
      <c r="B63" s="229"/>
      <c r="C63" s="180">
        <v>0</v>
      </c>
      <c r="D63" s="257">
        <v>0</v>
      </c>
      <c r="E63" s="40">
        <v>0</v>
      </c>
      <c r="F63" s="257">
        <v>0</v>
      </c>
      <c r="G63" s="257">
        <v>0</v>
      </c>
      <c r="H63" s="280">
        <v>0</v>
      </c>
      <c r="I63" s="180">
        <f>SUM(C63:H63)</f>
        <v>0</v>
      </c>
      <c r="J63" s="257">
        <v>0</v>
      </c>
      <c r="K63" s="280">
        <f t="shared" si="12"/>
        <v>0</v>
      </c>
    </row>
    <row r="64" spans="1:11" ht="12.75" customHeight="1" thickBot="1" x14ac:dyDescent="0.3">
      <c r="A64" s="11" t="str">
        <f>'QTD Mgmt Summary'!A64</f>
        <v>Other *</v>
      </c>
      <c r="B64" s="229"/>
      <c r="C64" s="180">
        <v>0</v>
      </c>
      <c r="D64" s="257">
        <v>0</v>
      </c>
      <c r="E64" s="40">
        <v>0</v>
      </c>
      <c r="F64" s="349">
        <v>-2395</v>
      </c>
      <c r="G64" s="349">
        <v>0</v>
      </c>
      <c r="H64" s="350">
        <v>0</v>
      </c>
      <c r="I64" s="355">
        <f>SUM(C64:H64)</f>
        <v>-2395</v>
      </c>
      <c r="J64" s="349">
        <v>0</v>
      </c>
      <c r="K64" s="280">
        <f t="shared" si="12"/>
        <v>-2395</v>
      </c>
    </row>
    <row r="65" spans="1:14" s="150" customFormat="1" ht="12.75" customHeight="1" thickBot="1" x14ac:dyDescent="0.25">
      <c r="A65" s="35" t="s">
        <v>12</v>
      </c>
      <c r="B65" s="277"/>
      <c r="C65" s="292">
        <f t="shared" ref="C65:H65" si="14">SUM(C53:C64)+C52+C45+C31+C23</f>
        <v>71076</v>
      </c>
      <c r="D65" s="293">
        <f t="shared" si="14"/>
        <v>13839</v>
      </c>
      <c r="E65" s="293">
        <f t="shared" si="14"/>
        <v>3121</v>
      </c>
      <c r="F65" s="293">
        <f t="shared" si="14"/>
        <v>-502</v>
      </c>
      <c r="G65" s="293">
        <f t="shared" si="14"/>
        <v>13157</v>
      </c>
      <c r="H65" s="297">
        <f t="shared" si="14"/>
        <v>2531</v>
      </c>
      <c r="I65" s="294">
        <f>(SUM(I53:I64))+I23+I31+I45+I52</f>
        <v>103222</v>
      </c>
      <c r="J65" s="294">
        <f>SUM(J53:J64)+J52+J45+J31+J23</f>
        <v>355405</v>
      </c>
      <c r="K65" s="295">
        <f>I65-J65</f>
        <v>-252183</v>
      </c>
      <c r="N65" s="268"/>
    </row>
    <row r="66" spans="1:14" ht="7.5" customHeight="1" thickBot="1" x14ac:dyDescent="0.3">
      <c r="A66" s="29"/>
      <c r="B66" s="229"/>
      <c r="C66" s="30"/>
      <c r="D66" s="65"/>
      <c r="E66" s="279"/>
      <c r="F66" s="252"/>
      <c r="G66" s="252"/>
      <c r="H66" s="282"/>
      <c r="I66" s="187"/>
      <c r="J66" s="252"/>
      <c r="K66" s="290"/>
    </row>
    <row r="67" spans="1:14" ht="12.75" hidden="1" customHeight="1" x14ac:dyDescent="0.25">
      <c r="A67" s="29" t="s">
        <v>51</v>
      </c>
      <c r="B67" s="229"/>
      <c r="C67" s="180">
        <v>0</v>
      </c>
      <c r="D67" s="257">
        <v>0</v>
      </c>
      <c r="E67" s="40">
        <v>0</v>
      </c>
      <c r="F67" s="273">
        <v>0</v>
      </c>
      <c r="G67" s="273">
        <v>0</v>
      </c>
      <c r="H67" s="280">
        <v>0</v>
      </c>
      <c r="I67" s="180">
        <f>SUM(C67:H67)</f>
        <v>0</v>
      </c>
      <c r="J67" s="257">
        <v>0</v>
      </c>
      <c r="K67" s="280">
        <f>I67-J67</f>
        <v>0</v>
      </c>
    </row>
    <row r="68" spans="1:14" ht="12.75" hidden="1" customHeight="1" x14ac:dyDescent="0.25">
      <c r="A68" s="29" t="s">
        <v>52</v>
      </c>
      <c r="B68" s="229"/>
      <c r="C68" s="180">
        <v>0</v>
      </c>
      <c r="D68" s="257">
        <v>0</v>
      </c>
      <c r="E68" s="40">
        <v>0</v>
      </c>
      <c r="F68" s="273">
        <v>0</v>
      </c>
      <c r="G68" s="273">
        <v>0</v>
      </c>
      <c r="H68" s="280">
        <v>0</v>
      </c>
      <c r="I68" s="180">
        <f>SUM(C68:H68)</f>
        <v>0</v>
      </c>
      <c r="J68" s="257">
        <v>0</v>
      </c>
      <c r="K68" s="280">
        <f>I68-J68</f>
        <v>0</v>
      </c>
    </row>
    <row r="69" spans="1:14" ht="12.75" hidden="1" customHeight="1" x14ac:dyDescent="0.25">
      <c r="A69" s="29" t="s">
        <v>106</v>
      </c>
      <c r="B69" s="229"/>
      <c r="C69" s="180">
        <v>0</v>
      </c>
      <c r="D69" s="257">
        <v>0</v>
      </c>
      <c r="E69" s="40">
        <v>0</v>
      </c>
      <c r="F69" s="273">
        <v>0</v>
      </c>
      <c r="G69" s="273">
        <v>0</v>
      </c>
      <c r="H69" s="280">
        <v>0</v>
      </c>
      <c r="I69" s="180">
        <f t="shared" ref="I69:I80" si="15">SUM(C69:H69)</f>
        <v>0</v>
      </c>
      <c r="J69" s="257">
        <v>0</v>
      </c>
      <c r="K69" s="280">
        <f t="shared" ref="K69:K80" si="16">I69-J69</f>
        <v>0</v>
      </c>
    </row>
    <row r="70" spans="1:14" ht="12.75" hidden="1" customHeight="1" x14ac:dyDescent="0.25">
      <c r="A70" s="29" t="s">
        <v>53</v>
      </c>
      <c r="B70" s="229"/>
      <c r="C70" s="180">
        <v>0</v>
      </c>
      <c r="D70" s="257">
        <v>0</v>
      </c>
      <c r="E70" s="40">
        <v>0</v>
      </c>
      <c r="F70" s="273">
        <v>0</v>
      </c>
      <c r="G70" s="273">
        <v>0</v>
      </c>
      <c r="H70" s="280">
        <v>0</v>
      </c>
      <c r="I70" s="180">
        <f t="shared" si="15"/>
        <v>0</v>
      </c>
      <c r="J70" s="257">
        <v>0</v>
      </c>
      <c r="K70" s="280">
        <f t="shared" si="16"/>
        <v>0</v>
      </c>
    </row>
    <row r="71" spans="1:14" ht="12.75" hidden="1" customHeight="1" x14ac:dyDescent="0.25">
      <c r="A71" s="29" t="s">
        <v>54</v>
      </c>
      <c r="B71" s="229"/>
      <c r="C71" s="180">
        <v>0</v>
      </c>
      <c r="D71" s="257">
        <v>0</v>
      </c>
      <c r="E71" s="40">
        <v>0</v>
      </c>
      <c r="F71" s="273">
        <v>0</v>
      </c>
      <c r="G71" s="273">
        <v>0</v>
      </c>
      <c r="H71" s="280">
        <v>0</v>
      </c>
      <c r="I71" s="180">
        <f t="shared" si="15"/>
        <v>0</v>
      </c>
      <c r="J71" s="257">
        <v>0</v>
      </c>
      <c r="K71" s="280">
        <f t="shared" si="16"/>
        <v>0</v>
      </c>
    </row>
    <row r="72" spans="1:14" ht="12.75" hidden="1" customHeight="1" x14ac:dyDescent="0.25">
      <c r="A72" s="29" t="s">
        <v>55</v>
      </c>
      <c r="B72" s="229"/>
      <c r="C72" s="180">
        <v>0</v>
      </c>
      <c r="D72" s="257">
        <v>0</v>
      </c>
      <c r="E72" s="40">
        <v>0</v>
      </c>
      <c r="F72" s="273">
        <v>0</v>
      </c>
      <c r="G72" s="273">
        <v>0</v>
      </c>
      <c r="H72" s="280">
        <v>0</v>
      </c>
      <c r="I72" s="180">
        <f t="shared" si="15"/>
        <v>0</v>
      </c>
      <c r="J72" s="257">
        <v>0</v>
      </c>
      <c r="K72" s="280">
        <f t="shared" si="16"/>
        <v>0</v>
      </c>
    </row>
    <row r="73" spans="1:14" ht="12.75" hidden="1" customHeight="1" x14ac:dyDescent="0.25">
      <c r="A73" s="29" t="s">
        <v>56</v>
      </c>
      <c r="B73" s="229"/>
      <c r="C73" s="180">
        <v>0</v>
      </c>
      <c r="D73" s="257">
        <v>0</v>
      </c>
      <c r="E73" s="40">
        <v>0</v>
      </c>
      <c r="F73" s="273">
        <v>0</v>
      </c>
      <c r="G73" s="273">
        <v>0</v>
      </c>
      <c r="H73" s="280">
        <v>0</v>
      </c>
      <c r="I73" s="180">
        <f t="shared" si="15"/>
        <v>0</v>
      </c>
      <c r="J73" s="257">
        <v>0</v>
      </c>
      <c r="K73" s="280">
        <f t="shared" si="16"/>
        <v>0</v>
      </c>
    </row>
    <row r="74" spans="1:14" ht="12.75" hidden="1" customHeight="1" x14ac:dyDescent="0.25">
      <c r="A74" s="29" t="s">
        <v>57</v>
      </c>
      <c r="B74" s="229"/>
      <c r="C74" s="180">
        <v>0</v>
      </c>
      <c r="D74" s="257">
        <v>0</v>
      </c>
      <c r="E74" s="40">
        <v>0</v>
      </c>
      <c r="F74" s="273">
        <v>0</v>
      </c>
      <c r="G74" s="273">
        <v>0</v>
      </c>
      <c r="H74" s="280">
        <v>0</v>
      </c>
      <c r="I74" s="180">
        <f t="shared" si="15"/>
        <v>0</v>
      </c>
      <c r="J74" s="257">
        <v>0</v>
      </c>
      <c r="K74" s="280">
        <f t="shared" si="16"/>
        <v>0</v>
      </c>
    </row>
    <row r="75" spans="1:14" ht="12.75" hidden="1" customHeight="1" x14ac:dyDescent="0.25">
      <c r="A75" s="29" t="s">
        <v>59</v>
      </c>
      <c r="B75" s="229"/>
      <c r="C75" s="180">
        <v>0</v>
      </c>
      <c r="D75" s="257">
        <v>0</v>
      </c>
      <c r="E75" s="40">
        <v>0</v>
      </c>
      <c r="F75" s="273">
        <v>0</v>
      </c>
      <c r="G75" s="273">
        <v>0</v>
      </c>
      <c r="H75" s="280">
        <v>0</v>
      </c>
      <c r="I75" s="180">
        <f t="shared" si="15"/>
        <v>0</v>
      </c>
      <c r="J75" s="257">
        <v>0</v>
      </c>
      <c r="K75" s="280">
        <f t="shared" si="16"/>
        <v>0</v>
      </c>
    </row>
    <row r="76" spans="1:14" ht="12.75" hidden="1" customHeight="1" x14ac:dyDescent="0.25">
      <c r="A76" s="29" t="s">
        <v>60</v>
      </c>
      <c r="B76" s="229"/>
      <c r="C76" s="180">
        <v>0</v>
      </c>
      <c r="D76" s="257">
        <v>0</v>
      </c>
      <c r="E76" s="40">
        <v>0</v>
      </c>
      <c r="F76" s="273">
        <v>0</v>
      </c>
      <c r="G76" s="273">
        <v>0</v>
      </c>
      <c r="H76" s="280">
        <v>0</v>
      </c>
      <c r="I76" s="180">
        <f t="shared" si="15"/>
        <v>0</v>
      </c>
      <c r="J76" s="257">
        <v>0</v>
      </c>
      <c r="K76" s="280">
        <f t="shared" si="16"/>
        <v>0</v>
      </c>
    </row>
    <row r="77" spans="1:14" ht="12.75" hidden="1" customHeight="1" x14ac:dyDescent="0.25">
      <c r="A77" s="29" t="s">
        <v>61</v>
      </c>
      <c r="B77" s="229"/>
      <c r="C77" s="180">
        <v>0</v>
      </c>
      <c r="D77" s="257">
        <v>0</v>
      </c>
      <c r="E77" s="40">
        <v>0</v>
      </c>
      <c r="F77" s="273">
        <v>0</v>
      </c>
      <c r="G77" s="273">
        <v>0</v>
      </c>
      <c r="H77" s="280">
        <v>0</v>
      </c>
      <c r="I77" s="180">
        <f t="shared" si="15"/>
        <v>0</v>
      </c>
      <c r="J77" s="257">
        <v>0</v>
      </c>
      <c r="K77" s="280">
        <f t="shared" si="16"/>
        <v>0</v>
      </c>
    </row>
    <row r="78" spans="1:14" ht="12.75" hidden="1" customHeight="1" x14ac:dyDescent="0.25">
      <c r="A78" s="29" t="s">
        <v>62</v>
      </c>
      <c r="B78" s="229"/>
      <c r="C78" s="180">
        <v>0</v>
      </c>
      <c r="D78" s="257">
        <v>0</v>
      </c>
      <c r="E78" s="40">
        <v>0</v>
      </c>
      <c r="F78" s="273">
        <v>0</v>
      </c>
      <c r="G78" s="273">
        <v>0</v>
      </c>
      <c r="H78" s="280">
        <v>0</v>
      </c>
      <c r="I78" s="180">
        <f t="shared" si="15"/>
        <v>0</v>
      </c>
      <c r="J78" s="257">
        <v>0</v>
      </c>
      <c r="K78" s="280">
        <f t="shared" si="16"/>
        <v>0</v>
      </c>
    </row>
    <row r="79" spans="1:14" ht="12.75" hidden="1" customHeight="1" x14ac:dyDescent="0.25">
      <c r="A79" s="29" t="s">
        <v>58</v>
      </c>
      <c r="B79" s="229"/>
      <c r="C79" s="180">
        <v>0</v>
      </c>
      <c r="D79" s="257">
        <v>0</v>
      </c>
      <c r="E79" s="40">
        <v>0</v>
      </c>
      <c r="F79" s="273">
        <v>0</v>
      </c>
      <c r="G79" s="273">
        <v>0</v>
      </c>
      <c r="H79" s="280">
        <v>0</v>
      </c>
      <c r="I79" s="180">
        <f t="shared" si="15"/>
        <v>0</v>
      </c>
      <c r="J79" s="257">
        <v>0</v>
      </c>
      <c r="K79" s="280">
        <f t="shared" si="16"/>
        <v>0</v>
      </c>
    </row>
    <row r="80" spans="1:14" ht="12.75" hidden="1" customHeight="1" thickBot="1" x14ac:dyDescent="0.3">
      <c r="A80" s="29" t="s">
        <v>17</v>
      </c>
      <c r="B80" s="229"/>
      <c r="C80" s="180">
        <v>0</v>
      </c>
      <c r="D80" s="257">
        <v>0</v>
      </c>
      <c r="E80" s="40">
        <v>0</v>
      </c>
      <c r="F80" s="273">
        <v>0</v>
      </c>
      <c r="G80" s="273">
        <v>0</v>
      </c>
      <c r="H80" s="280">
        <v>0</v>
      </c>
      <c r="I80" s="180">
        <f t="shared" si="15"/>
        <v>0</v>
      </c>
      <c r="J80" s="257">
        <v>0</v>
      </c>
      <c r="K80" s="280">
        <f t="shared" si="16"/>
        <v>0</v>
      </c>
    </row>
    <row r="81" spans="1:11" s="150" customFormat="1" ht="12.75" customHeight="1" thickBot="1" x14ac:dyDescent="0.25">
      <c r="A81" s="35" t="s">
        <v>13</v>
      </c>
      <c r="B81" s="277"/>
      <c r="C81" s="292">
        <f t="shared" ref="C81:K81" si="17">SUM(C67:C80)</f>
        <v>0</v>
      </c>
      <c r="D81" s="293">
        <f t="shared" si="17"/>
        <v>0</v>
      </c>
      <c r="E81" s="293">
        <f t="shared" si="17"/>
        <v>0</v>
      </c>
      <c r="F81" s="294">
        <f t="shared" si="17"/>
        <v>0</v>
      </c>
      <c r="G81" s="294">
        <f t="shared" si="17"/>
        <v>0</v>
      </c>
      <c r="H81" s="295">
        <f t="shared" si="17"/>
        <v>0</v>
      </c>
      <c r="I81" s="296">
        <f t="shared" si="17"/>
        <v>0</v>
      </c>
      <c r="J81" s="294">
        <f t="shared" si="17"/>
        <v>0</v>
      </c>
      <c r="K81" s="295">
        <f t="shared" si="17"/>
        <v>0</v>
      </c>
    </row>
    <row r="82" spans="1:11" s="33" customFormat="1" ht="12.75" customHeight="1" x14ac:dyDescent="0.25">
      <c r="A82" s="163" t="str">
        <f>'QTD Mgmt Summary'!A82</f>
        <v>Prepay Expenses</v>
      </c>
      <c r="B82" s="229"/>
      <c r="C82" s="180">
        <v>0</v>
      </c>
      <c r="D82" s="257">
        <v>0</v>
      </c>
      <c r="E82" s="40">
        <v>0</v>
      </c>
      <c r="F82" s="273">
        <v>0</v>
      </c>
      <c r="G82" s="273">
        <v>0</v>
      </c>
      <c r="H82" s="280">
        <v>0</v>
      </c>
      <c r="I82" s="180">
        <f>SUM(C82:H82)</f>
        <v>0</v>
      </c>
      <c r="J82" s="257">
        <v>0</v>
      </c>
      <c r="K82" s="280">
        <f>I82-J82</f>
        <v>0</v>
      </c>
    </row>
    <row r="83" spans="1:11" s="33" customFormat="1" ht="12.75" customHeight="1" x14ac:dyDescent="0.25">
      <c r="A83" s="163" t="str">
        <f>'QTD Mgmt Summary'!A83</f>
        <v>U.S. Drift</v>
      </c>
      <c r="B83" s="229"/>
      <c r="C83" s="30">
        <v>14894</v>
      </c>
      <c r="D83" s="257">
        <v>0</v>
      </c>
      <c r="E83" s="40">
        <v>0</v>
      </c>
      <c r="F83" s="273">
        <v>0</v>
      </c>
      <c r="G83" s="273">
        <v>0</v>
      </c>
      <c r="H83" s="280">
        <v>0</v>
      </c>
      <c r="I83" s="180">
        <f>SUM(C83:H83)</f>
        <v>14894</v>
      </c>
      <c r="J83" s="257">
        <v>28610</v>
      </c>
      <c r="K83" s="280">
        <f>I83-J83</f>
        <v>-13716</v>
      </c>
    </row>
    <row r="84" spans="1:11" s="33" customFormat="1" ht="12.75" customHeight="1" x14ac:dyDescent="0.25">
      <c r="A84" s="163" t="str">
        <f>'QTD Mgmt Summary'!A84</f>
        <v>Facility Costs</v>
      </c>
      <c r="B84" s="229"/>
      <c r="C84" s="180">
        <v>0</v>
      </c>
      <c r="D84" s="257">
        <v>0</v>
      </c>
      <c r="E84" s="40">
        <v>0</v>
      </c>
      <c r="F84" s="273">
        <v>0</v>
      </c>
      <c r="G84" s="273">
        <v>-10934</v>
      </c>
      <c r="H84" s="280">
        <v>0</v>
      </c>
      <c r="I84" s="180">
        <f>SUM(C84:H84)</f>
        <v>-10934</v>
      </c>
      <c r="J84" s="257">
        <v>-13000</v>
      </c>
      <c r="K84" s="280">
        <f>I84-J84</f>
        <v>2066</v>
      </c>
    </row>
    <row r="85" spans="1:11" ht="12.75" customHeight="1" thickBot="1" x14ac:dyDescent="0.3">
      <c r="A85" s="163" t="str">
        <f>'QTD Mgmt Summary'!A85</f>
        <v>Capital Charge Offset</v>
      </c>
      <c r="B85" s="229"/>
      <c r="C85" s="180">
        <v>0</v>
      </c>
      <c r="D85" s="257">
        <v>0</v>
      </c>
      <c r="E85" s="40">
        <v>0</v>
      </c>
      <c r="F85" s="273">
        <v>0</v>
      </c>
      <c r="G85" s="273">
        <v>0</v>
      </c>
      <c r="H85" s="280">
        <v>2883</v>
      </c>
      <c r="I85" s="281">
        <f>SUM(C85:H85)</f>
        <v>2883</v>
      </c>
      <c r="J85" s="273">
        <v>0</v>
      </c>
      <c r="K85" s="280">
        <f>I85-J85</f>
        <v>2883</v>
      </c>
    </row>
    <row r="86" spans="1:11" s="150" customFormat="1" ht="12.75" customHeight="1" thickBot="1" x14ac:dyDescent="0.25">
      <c r="A86" s="35" t="s">
        <v>173</v>
      </c>
      <c r="B86" s="277"/>
      <c r="C86" s="292">
        <f t="shared" ref="C86:J86" si="18">C65+C81+C82+C83+C84+C85</f>
        <v>85970</v>
      </c>
      <c r="D86" s="293">
        <f t="shared" si="18"/>
        <v>13839</v>
      </c>
      <c r="E86" s="293">
        <f t="shared" si="18"/>
        <v>3121</v>
      </c>
      <c r="F86" s="293">
        <f t="shared" si="18"/>
        <v>-502</v>
      </c>
      <c r="G86" s="293">
        <f>G65+G81+G82+G83+G84+G85</f>
        <v>2223</v>
      </c>
      <c r="H86" s="297">
        <f t="shared" si="18"/>
        <v>5414</v>
      </c>
      <c r="I86" s="292">
        <f t="shared" si="18"/>
        <v>110065</v>
      </c>
      <c r="J86" s="293">
        <f t="shared" si="18"/>
        <v>371015</v>
      </c>
      <c r="K86" s="297">
        <f>I86-J86</f>
        <v>-260950</v>
      </c>
    </row>
    <row r="87" spans="1:11" ht="3" customHeight="1" x14ac:dyDescent="0.25">
      <c r="A87" s="38"/>
      <c r="C87" s="39"/>
      <c r="D87" s="40"/>
      <c r="E87" s="38"/>
    </row>
    <row r="89" spans="1:11" x14ac:dyDescent="0.25">
      <c r="A89" s="10" t="s">
        <v>202</v>
      </c>
    </row>
  </sheetData>
  <mergeCells count="5">
    <mergeCell ref="A2:K2"/>
    <mergeCell ref="A3:K3"/>
    <mergeCell ref="A4:K4"/>
    <mergeCell ref="I6:K6"/>
    <mergeCell ref="C6:H7"/>
  </mergeCells>
  <phoneticPr fontId="0" type="noConversion"/>
  <printOptions horizontalCentered="1"/>
  <pageMargins left="0.25" right="0.25" top="0.2" bottom="0.16" header="0.17" footer="0.18"/>
  <pageSetup scale="80" orientation="portrait" r:id="rId1"/>
  <headerFooter alignWithMargins="0">
    <oddFooter>&amp;L&amp;D&amp;T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86"/>
  <sheetViews>
    <sheetView workbookViewId="0">
      <selection activeCell="A98" sqref="A98"/>
    </sheetView>
  </sheetViews>
  <sheetFormatPr defaultRowHeight="12.75" x14ac:dyDescent="0.2"/>
  <cols>
    <col min="1" max="1" width="26.85546875" customWidth="1"/>
    <col min="2" max="2" width="2.42578125" customWidth="1"/>
    <col min="6" max="6" width="2.28515625" customWidth="1"/>
    <col min="7" max="7" width="17.7109375" customWidth="1"/>
    <col min="8" max="8" width="15.140625" customWidth="1"/>
    <col min="9" max="10" width="14.140625" customWidth="1"/>
  </cols>
  <sheetData>
    <row r="1" spans="1:10" ht="15.75" x14ac:dyDescent="0.25">
      <c r="A1" s="428" t="s">
        <v>75</v>
      </c>
      <c r="B1" s="428"/>
      <c r="C1" s="428"/>
      <c r="D1" s="428"/>
      <c r="E1" s="428"/>
      <c r="F1" s="428"/>
      <c r="G1" s="428"/>
      <c r="H1" s="428"/>
      <c r="I1" s="428"/>
      <c r="J1" s="428"/>
    </row>
    <row r="2" spans="1:10" ht="15" x14ac:dyDescent="0.25">
      <c r="A2" s="429" t="s">
        <v>109</v>
      </c>
      <c r="B2" s="429"/>
      <c r="C2" s="429"/>
      <c r="D2" s="429"/>
      <c r="E2" s="429"/>
      <c r="F2" s="429"/>
      <c r="G2" s="429"/>
      <c r="H2" s="429"/>
      <c r="I2" s="429"/>
      <c r="J2" s="429"/>
    </row>
    <row r="3" spans="1:10" x14ac:dyDescent="0.2">
      <c r="A3" s="430" t="e">
        <f>#REF!</f>
        <v>#REF!</v>
      </c>
      <c r="B3" s="430"/>
      <c r="C3" s="430"/>
      <c r="D3" s="430"/>
      <c r="E3" s="430"/>
      <c r="F3" s="430"/>
      <c r="G3" s="430"/>
      <c r="H3" s="430"/>
      <c r="I3" s="430"/>
      <c r="J3" s="430"/>
    </row>
    <row r="5" spans="1:10" x14ac:dyDescent="0.2">
      <c r="A5" s="125"/>
      <c r="C5" s="431" t="s">
        <v>96</v>
      </c>
      <c r="D5" s="432"/>
      <c r="E5" s="433"/>
      <c r="F5" s="129"/>
      <c r="G5" s="130"/>
      <c r="H5" s="131"/>
      <c r="I5" s="131"/>
      <c r="J5" s="132"/>
    </row>
    <row r="6" spans="1:10" x14ac:dyDescent="0.2">
      <c r="A6" s="133" t="s">
        <v>2</v>
      </c>
      <c r="C6" s="126" t="s">
        <v>6</v>
      </c>
      <c r="D6" s="127" t="s">
        <v>4</v>
      </c>
      <c r="E6" s="128" t="s">
        <v>5</v>
      </c>
      <c r="F6" s="129"/>
      <c r="G6" s="425" t="s">
        <v>97</v>
      </c>
      <c r="H6" s="426"/>
      <c r="I6" s="426"/>
      <c r="J6" s="427"/>
    </row>
    <row r="7" spans="1:10" ht="6" customHeight="1" x14ac:dyDescent="0.2">
      <c r="A7" s="138"/>
      <c r="C7" s="139"/>
      <c r="D7" s="140"/>
      <c r="E7" s="141"/>
      <c r="G7" s="142"/>
      <c r="H7" s="143"/>
      <c r="I7" s="143"/>
      <c r="J7" s="134"/>
    </row>
    <row r="8" spans="1:10" ht="13.5" x14ac:dyDescent="0.25">
      <c r="A8" s="135" t="s">
        <v>20</v>
      </c>
      <c r="C8" s="144">
        <v>0</v>
      </c>
      <c r="D8" s="145" t="e">
        <f>(ROUND((#REF!/4),0))</f>
        <v>#REF!</v>
      </c>
      <c r="E8" s="159" t="e">
        <f>C8-D8</f>
        <v>#REF!</v>
      </c>
      <c r="G8" s="139"/>
      <c r="H8" s="140"/>
      <c r="I8" s="140"/>
      <c r="J8" s="141"/>
    </row>
    <row r="9" spans="1:10" ht="13.5" x14ac:dyDescent="0.25">
      <c r="A9" s="135" t="s">
        <v>21</v>
      </c>
      <c r="C9" s="144">
        <v>0</v>
      </c>
      <c r="D9" s="145" t="e">
        <f>(ROUND((#REF!/4),0))</f>
        <v>#REF!</v>
      </c>
      <c r="E9" s="159" t="e">
        <f t="shared" ref="E9:E16" si="0">C9-D9</f>
        <v>#REF!</v>
      </c>
      <c r="G9" s="139"/>
      <c r="H9" s="140"/>
      <c r="I9" s="140"/>
      <c r="J9" s="141"/>
    </row>
    <row r="10" spans="1:10" ht="13.5" x14ac:dyDescent="0.25">
      <c r="A10" s="135" t="s">
        <v>22</v>
      </c>
      <c r="C10" s="144">
        <v>0</v>
      </c>
      <c r="D10" s="145" t="e">
        <f>(ROUND((#REF!/4),0))</f>
        <v>#REF!</v>
      </c>
      <c r="E10" s="159" t="e">
        <f t="shared" si="0"/>
        <v>#REF!</v>
      </c>
      <c r="G10" s="139"/>
      <c r="H10" s="140"/>
      <c r="I10" s="140"/>
      <c r="J10" s="141"/>
    </row>
    <row r="11" spans="1:10" ht="13.5" x14ac:dyDescent="0.25">
      <c r="A11" s="135" t="s">
        <v>23</v>
      </c>
      <c r="C11" s="144">
        <v>0</v>
      </c>
      <c r="D11" s="145" t="e">
        <f>(ROUND((#REF!/4),0))</f>
        <v>#REF!</v>
      </c>
      <c r="E11" s="159" t="e">
        <f t="shared" si="0"/>
        <v>#REF!</v>
      </c>
      <c r="G11" s="139"/>
      <c r="H11" s="140"/>
      <c r="I11" s="140"/>
      <c r="J11" s="141"/>
    </row>
    <row r="12" spans="1:10" ht="13.5" x14ac:dyDescent="0.25">
      <c r="A12" s="135" t="s">
        <v>24</v>
      </c>
      <c r="C12" s="144">
        <v>0</v>
      </c>
      <c r="D12" s="145" t="e">
        <f>(ROUND((#REF!/4),0))</f>
        <v>#REF!</v>
      </c>
      <c r="E12" s="159" t="e">
        <f t="shared" si="0"/>
        <v>#REF!</v>
      </c>
      <c r="G12" s="139"/>
      <c r="H12" s="140"/>
      <c r="I12" s="140"/>
      <c r="J12" s="141"/>
    </row>
    <row r="13" spans="1:10" ht="13.5" x14ac:dyDescent="0.25">
      <c r="A13" s="135" t="s">
        <v>64</v>
      </c>
      <c r="C13" s="144">
        <v>0</v>
      </c>
      <c r="D13" s="145" t="e">
        <f>(ROUND((#REF!/4),0))</f>
        <v>#REF!</v>
      </c>
      <c r="E13" s="159" t="e">
        <f t="shared" si="0"/>
        <v>#REF!</v>
      </c>
      <c r="G13" s="139"/>
      <c r="H13" s="140"/>
      <c r="I13" s="140"/>
      <c r="J13" s="141"/>
    </row>
    <row r="14" spans="1:10" ht="13.5" x14ac:dyDescent="0.25">
      <c r="A14" s="135" t="s">
        <v>27</v>
      </c>
      <c r="C14" s="144">
        <v>0</v>
      </c>
      <c r="D14" s="145" t="e">
        <f>(ROUND((#REF!/4),0))</f>
        <v>#REF!</v>
      </c>
      <c r="E14" s="159" t="e">
        <f t="shared" si="0"/>
        <v>#REF!</v>
      </c>
      <c r="G14" s="139"/>
      <c r="H14" s="140"/>
      <c r="I14" s="140"/>
      <c r="J14" s="141"/>
    </row>
    <row r="15" spans="1:10" ht="13.5" x14ac:dyDescent="0.25">
      <c r="A15" s="135" t="s">
        <v>28</v>
      </c>
      <c r="C15" s="144">
        <v>0</v>
      </c>
      <c r="D15" s="145" t="e">
        <f>(ROUND((#REF!/4),0))</f>
        <v>#REF!</v>
      </c>
      <c r="E15" s="159" t="e">
        <f t="shared" si="0"/>
        <v>#REF!</v>
      </c>
      <c r="G15" s="139"/>
      <c r="H15" s="140"/>
      <c r="I15" s="140"/>
      <c r="J15" s="141"/>
    </row>
    <row r="16" spans="1:10" ht="13.5" x14ac:dyDescent="0.25">
      <c r="A16" s="135" t="s">
        <v>29</v>
      </c>
      <c r="C16" s="144">
        <v>0</v>
      </c>
      <c r="D16" s="145" t="e">
        <f>(ROUND((#REF!/4),0))</f>
        <v>#REF!</v>
      </c>
      <c r="E16" s="159" t="e">
        <f t="shared" si="0"/>
        <v>#REF!</v>
      </c>
      <c r="G16" s="139"/>
      <c r="H16" s="140"/>
      <c r="I16" s="140"/>
      <c r="J16" s="141"/>
    </row>
    <row r="17" spans="1:10" s="153" customFormat="1" ht="13.5" x14ac:dyDescent="0.2">
      <c r="A17" s="136" t="s">
        <v>7</v>
      </c>
      <c r="C17" s="154">
        <f>SUM(C8:C16)</f>
        <v>0</v>
      </c>
      <c r="D17" s="155" t="e">
        <f>SUM(D8:D16)</f>
        <v>#REF!</v>
      </c>
      <c r="E17" s="160" t="e">
        <f>SUM(E8:E16)</f>
        <v>#REF!</v>
      </c>
      <c r="G17" s="156"/>
      <c r="H17" s="157"/>
      <c r="I17" s="157"/>
      <c r="J17" s="158"/>
    </row>
    <row r="18" spans="1:10" ht="6.75" customHeight="1" x14ac:dyDescent="0.25">
      <c r="A18" s="135"/>
      <c r="C18" s="144"/>
      <c r="D18" s="145"/>
      <c r="E18" s="159"/>
      <c r="G18" s="139"/>
      <c r="H18" s="140"/>
      <c r="I18" s="140"/>
      <c r="J18" s="141"/>
    </row>
    <row r="19" spans="1:10" ht="13.5" x14ac:dyDescent="0.25">
      <c r="A19" s="135" t="s">
        <v>25</v>
      </c>
      <c r="C19" s="144">
        <v>0</v>
      </c>
      <c r="D19" s="145" t="e">
        <f>(ROUND((#REF!/4),0))</f>
        <v>#REF!</v>
      </c>
      <c r="E19" s="159" t="e">
        <f t="shared" ref="E19:E24" si="1">C19-D19</f>
        <v>#REF!</v>
      </c>
      <c r="G19" s="139"/>
      <c r="H19" s="140"/>
      <c r="I19" s="140"/>
      <c r="J19" s="141"/>
    </row>
    <row r="20" spans="1:10" ht="13.5" x14ac:dyDescent="0.25">
      <c r="A20" s="135" t="s">
        <v>26</v>
      </c>
      <c r="C20" s="144">
        <v>0</v>
      </c>
      <c r="D20" s="145" t="e">
        <f>(ROUND((#REF!/4),0))</f>
        <v>#REF!</v>
      </c>
      <c r="E20" s="159" t="e">
        <f t="shared" si="1"/>
        <v>#REF!</v>
      </c>
      <c r="G20" s="139"/>
      <c r="H20" s="140"/>
      <c r="I20" s="140"/>
      <c r="J20" s="141"/>
    </row>
    <row r="21" spans="1:10" ht="13.5" x14ac:dyDescent="0.25">
      <c r="A21" s="135" t="s">
        <v>32</v>
      </c>
      <c r="C21" s="144">
        <v>0</v>
      </c>
      <c r="D21" s="145" t="e">
        <f>(ROUND((#REF!/4),0))</f>
        <v>#REF!</v>
      </c>
      <c r="E21" s="159" t="e">
        <f t="shared" si="1"/>
        <v>#REF!</v>
      </c>
      <c r="G21" s="139"/>
      <c r="H21" s="140"/>
      <c r="I21" s="140"/>
      <c r="J21" s="141"/>
    </row>
    <row r="22" spans="1:10" ht="13.5" x14ac:dyDescent="0.25">
      <c r="A22" s="135" t="s">
        <v>30</v>
      </c>
      <c r="C22" s="144">
        <v>0</v>
      </c>
      <c r="D22" s="145" t="e">
        <f>(ROUND((#REF!/4),0))</f>
        <v>#REF!</v>
      </c>
      <c r="E22" s="159" t="e">
        <f t="shared" si="1"/>
        <v>#REF!</v>
      </c>
      <c r="G22" s="139"/>
      <c r="H22" s="140"/>
      <c r="I22" s="140"/>
      <c r="J22" s="141"/>
    </row>
    <row r="23" spans="1:10" ht="13.5" x14ac:dyDescent="0.25">
      <c r="A23" s="135" t="s">
        <v>31</v>
      </c>
      <c r="C23" s="144">
        <v>0</v>
      </c>
      <c r="D23" s="145" t="e">
        <f>(ROUND((#REF!/4),0))</f>
        <v>#REF!</v>
      </c>
      <c r="E23" s="159" t="e">
        <f t="shared" si="1"/>
        <v>#REF!</v>
      </c>
      <c r="G23" s="139"/>
      <c r="H23" s="140"/>
      <c r="I23" s="140"/>
      <c r="J23" s="141"/>
    </row>
    <row r="24" spans="1:10" ht="13.5" x14ac:dyDescent="0.25">
      <c r="A24" s="135" t="s">
        <v>33</v>
      </c>
      <c r="C24" s="144">
        <v>0</v>
      </c>
      <c r="D24" s="145" t="e">
        <f>(ROUND((#REF!/4),0))</f>
        <v>#REF!</v>
      </c>
      <c r="E24" s="159" t="e">
        <f t="shared" si="1"/>
        <v>#REF!</v>
      </c>
      <c r="G24" s="139"/>
      <c r="H24" s="140"/>
      <c r="I24" s="140"/>
      <c r="J24" s="141"/>
    </row>
    <row r="25" spans="1:10" s="153" customFormat="1" ht="13.5" x14ac:dyDescent="0.2">
      <c r="A25" s="136" t="s">
        <v>8</v>
      </c>
      <c r="C25" s="154">
        <f>SUM(C19:C24)</f>
        <v>0</v>
      </c>
      <c r="D25" s="155" t="e">
        <f>SUM(D19:D24)</f>
        <v>#REF!</v>
      </c>
      <c r="E25" s="160" t="e">
        <f>SUM(E19:E24)</f>
        <v>#REF!</v>
      </c>
      <c r="G25" s="156"/>
      <c r="H25" s="157"/>
      <c r="I25" s="157"/>
      <c r="J25" s="158"/>
    </row>
    <row r="26" spans="1:10" ht="8.25" customHeight="1" x14ac:dyDescent="0.25">
      <c r="A26" s="135"/>
      <c r="C26" s="144"/>
      <c r="D26" s="145"/>
      <c r="E26" s="159"/>
      <c r="G26" s="139"/>
      <c r="H26" s="140"/>
      <c r="I26" s="140"/>
      <c r="J26" s="141"/>
    </row>
    <row r="27" spans="1:10" ht="13.5" x14ac:dyDescent="0.25">
      <c r="A27" s="135" t="s">
        <v>34</v>
      </c>
      <c r="C27" s="144">
        <v>0</v>
      </c>
      <c r="D27" s="145" t="e">
        <f>(ROUND((#REF!/4),0))</f>
        <v>#REF!</v>
      </c>
      <c r="E27" s="159" t="e">
        <f t="shared" ref="E27:E34" si="2">C27-D27</f>
        <v>#REF!</v>
      </c>
      <c r="G27" s="139"/>
      <c r="H27" s="140"/>
      <c r="I27" s="140"/>
      <c r="J27" s="141"/>
    </row>
    <row r="28" spans="1:10" ht="13.5" x14ac:dyDescent="0.25">
      <c r="A28" s="135" t="s">
        <v>35</v>
      </c>
      <c r="C28" s="144">
        <v>0</v>
      </c>
      <c r="D28" s="145" t="e">
        <f>(ROUND((#REF!/4),0))</f>
        <v>#REF!</v>
      </c>
      <c r="E28" s="159" t="e">
        <f t="shared" si="2"/>
        <v>#REF!</v>
      </c>
      <c r="G28" s="139"/>
      <c r="H28" s="140"/>
      <c r="I28" s="140"/>
      <c r="J28" s="141"/>
    </row>
    <row r="29" spans="1:10" ht="13.5" x14ac:dyDescent="0.25">
      <c r="A29" s="135" t="s">
        <v>36</v>
      </c>
      <c r="C29" s="144">
        <v>0</v>
      </c>
      <c r="D29" s="145" t="e">
        <f>(ROUND((#REF!/4),0))</f>
        <v>#REF!</v>
      </c>
      <c r="E29" s="159" t="e">
        <f t="shared" si="2"/>
        <v>#REF!</v>
      </c>
      <c r="G29" s="139"/>
      <c r="H29" s="140"/>
      <c r="I29" s="140"/>
      <c r="J29" s="141"/>
    </row>
    <row r="30" spans="1:10" ht="13.5" x14ac:dyDescent="0.25">
      <c r="A30" s="135" t="s">
        <v>37</v>
      </c>
      <c r="C30" s="144">
        <v>0</v>
      </c>
      <c r="D30" s="145" t="e">
        <f>(ROUND((#REF!/4),0))</f>
        <v>#REF!</v>
      </c>
      <c r="E30" s="159" t="e">
        <f t="shared" si="2"/>
        <v>#REF!</v>
      </c>
      <c r="G30" s="139"/>
      <c r="H30" s="140"/>
      <c r="I30" s="140"/>
      <c r="J30" s="141"/>
    </row>
    <row r="31" spans="1:10" ht="13.5" x14ac:dyDescent="0.25">
      <c r="A31" s="135" t="s">
        <v>38</v>
      </c>
      <c r="C31" s="144">
        <v>0</v>
      </c>
      <c r="D31" s="145" t="e">
        <f>(ROUND((#REF!/4),0))</f>
        <v>#REF!</v>
      </c>
      <c r="E31" s="159" t="e">
        <f t="shared" si="2"/>
        <v>#REF!</v>
      </c>
      <c r="G31" s="139"/>
      <c r="H31" s="140"/>
      <c r="I31" s="140"/>
      <c r="J31" s="141"/>
    </row>
    <row r="32" spans="1:10" ht="13.5" x14ac:dyDescent="0.25">
      <c r="A32" s="135" t="s">
        <v>39</v>
      </c>
      <c r="C32" s="144">
        <v>0</v>
      </c>
      <c r="D32" s="145" t="e">
        <f>(ROUND((#REF!/4),0))</f>
        <v>#REF!</v>
      </c>
      <c r="E32" s="159" t="e">
        <f t="shared" si="2"/>
        <v>#REF!</v>
      </c>
      <c r="G32" s="139"/>
      <c r="H32" s="140"/>
      <c r="I32" s="140"/>
      <c r="J32" s="141"/>
    </row>
    <row r="33" spans="1:10" ht="13.5" x14ac:dyDescent="0.25">
      <c r="A33" s="135" t="s">
        <v>40</v>
      </c>
      <c r="C33" s="144">
        <v>0</v>
      </c>
      <c r="D33" s="145" t="e">
        <f>(ROUND((#REF!/4),0))</f>
        <v>#REF!</v>
      </c>
      <c r="E33" s="159" t="e">
        <f t="shared" si="2"/>
        <v>#REF!</v>
      </c>
      <c r="G33" s="139"/>
      <c r="H33" s="140"/>
      <c r="I33" s="140"/>
      <c r="J33" s="141"/>
    </row>
    <row r="34" spans="1:10" ht="13.5" x14ac:dyDescent="0.25">
      <c r="A34" s="135" t="s">
        <v>41</v>
      </c>
      <c r="C34" s="144">
        <v>0</v>
      </c>
      <c r="D34" s="145" t="e">
        <f>(ROUND((#REF!/4),0))</f>
        <v>#REF!</v>
      </c>
      <c r="E34" s="159" t="e">
        <f t="shared" si="2"/>
        <v>#REF!</v>
      </c>
      <c r="G34" s="139"/>
      <c r="H34" s="140"/>
      <c r="I34" s="140"/>
      <c r="J34" s="141"/>
    </row>
    <row r="35" spans="1:10" ht="13.5" x14ac:dyDescent="0.25">
      <c r="A35" s="135" t="s">
        <v>100</v>
      </c>
      <c r="C35" s="144"/>
      <c r="D35" s="145" t="e">
        <f>(ROUND((#REF!/4),0))</f>
        <v>#REF!</v>
      </c>
      <c r="E35" s="159"/>
      <c r="G35" s="139"/>
      <c r="H35" s="140"/>
      <c r="I35" s="140"/>
      <c r="J35" s="141"/>
    </row>
    <row r="36" spans="1:10" s="153" customFormat="1" ht="13.5" x14ac:dyDescent="0.2">
      <c r="A36" s="136" t="s">
        <v>9</v>
      </c>
      <c r="C36" s="154">
        <f>SUM(C27:C34)</f>
        <v>0</v>
      </c>
      <c r="D36" s="155" t="e">
        <f>SUM(D27:D34)</f>
        <v>#REF!</v>
      </c>
      <c r="E36" s="160" t="e">
        <f>SUM(E27:E34)</f>
        <v>#REF!</v>
      </c>
      <c r="G36" s="156"/>
      <c r="H36" s="157"/>
      <c r="I36" s="157"/>
      <c r="J36" s="158"/>
    </row>
    <row r="37" spans="1:10" ht="9" customHeight="1" x14ac:dyDescent="0.25">
      <c r="A37" s="135"/>
      <c r="C37" s="144"/>
      <c r="D37" s="145"/>
      <c r="E37" s="159"/>
      <c r="G37" s="139"/>
      <c r="H37" s="140"/>
      <c r="I37" s="140"/>
      <c r="J37" s="141"/>
    </row>
    <row r="38" spans="1:10" ht="13.5" x14ac:dyDescent="0.25">
      <c r="A38" s="135" t="s">
        <v>42</v>
      </c>
      <c r="C38" s="144">
        <v>0</v>
      </c>
      <c r="D38" s="145" t="e">
        <f>(ROUND((#REF!/4),0))</f>
        <v>#REF!</v>
      </c>
      <c r="E38" s="159" t="e">
        <f t="shared" ref="E38:E43" si="3">C38-D38</f>
        <v>#REF!</v>
      </c>
      <c r="G38" s="139"/>
      <c r="H38" s="140"/>
      <c r="I38" s="140"/>
      <c r="J38" s="141"/>
    </row>
    <row r="39" spans="1:10" ht="13.5" x14ac:dyDescent="0.25">
      <c r="A39" s="135" t="s">
        <v>43</v>
      </c>
      <c r="C39" s="144">
        <v>0</v>
      </c>
      <c r="D39" s="145" t="e">
        <f>(ROUND((#REF!/4),0))</f>
        <v>#REF!</v>
      </c>
      <c r="E39" s="159" t="e">
        <f t="shared" si="3"/>
        <v>#REF!</v>
      </c>
      <c r="G39" s="139"/>
      <c r="H39" s="140"/>
      <c r="I39" s="140"/>
      <c r="J39" s="141"/>
    </row>
    <row r="40" spans="1:10" ht="13.5" x14ac:dyDescent="0.25">
      <c r="A40" s="135" t="s">
        <v>65</v>
      </c>
      <c r="C40" s="144">
        <v>0</v>
      </c>
      <c r="D40" s="145" t="e">
        <f>(ROUND((#REF!/4),0))</f>
        <v>#REF!</v>
      </c>
      <c r="E40" s="159" t="e">
        <f t="shared" si="3"/>
        <v>#REF!</v>
      </c>
      <c r="G40" s="139"/>
      <c r="H40" s="140"/>
      <c r="I40" s="140"/>
      <c r="J40" s="141"/>
    </row>
    <row r="41" spans="1:10" ht="13.5" x14ac:dyDescent="0.25">
      <c r="A41" s="135" t="s">
        <v>66</v>
      </c>
      <c r="C41" s="144">
        <v>0</v>
      </c>
      <c r="D41" s="145" t="e">
        <f>(ROUND((#REF!/4),0))</f>
        <v>#REF!</v>
      </c>
      <c r="E41" s="159" t="e">
        <f t="shared" si="3"/>
        <v>#REF!</v>
      </c>
      <c r="G41" s="139"/>
      <c r="H41" s="140"/>
      <c r="I41" s="140"/>
      <c r="J41" s="141"/>
    </row>
    <row r="42" spans="1:10" ht="13.5" x14ac:dyDescent="0.25">
      <c r="A42" s="135" t="s">
        <v>44</v>
      </c>
      <c r="C42" s="144">
        <v>0</v>
      </c>
      <c r="D42" s="145" t="e">
        <f>(ROUND((#REF!/4),0))</f>
        <v>#REF!</v>
      </c>
      <c r="E42" s="159" t="e">
        <f t="shared" si="3"/>
        <v>#REF!</v>
      </c>
      <c r="G42" s="139"/>
      <c r="H42" s="140"/>
      <c r="I42" s="140"/>
      <c r="J42" s="141"/>
    </row>
    <row r="43" spans="1:10" ht="13.5" x14ac:dyDescent="0.25">
      <c r="A43" s="135" t="s">
        <v>45</v>
      </c>
      <c r="C43" s="144">
        <v>0</v>
      </c>
      <c r="D43" s="145" t="e">
        <f>(ROUND((#REF!/4),0))</f>
        <v>#REF!</v>
      </c>
      <c r="E43" s="159" t="e">
        <f t="shared" si="3"/>
        <v>#REF!</v>
      </c>
      <c r="G43" s="139"/>
      <c r="H43" s="140"/>
      <c r="I43" s="140"/>
      <c r="J43" s="141"/>
    </row>
    <row r="44" spans="1:10" s="153" customFormat="1" ht="13.5" x14ac:dyDescent="0.2">
      <c r="A44" s="136" t="s">
        <v>10</v>
      </c>
      <c r="C44" s="154">
        <f>SUM(C38:C43)</f>
        <v>0</v>
      </c>
      <c r="D44" s="155" t="e">
        <f>SUM(D38:D43)</f>
        <v>#REF!</v>
      </c>
      <c r="E44" s="160" t="e">
        <f>SUM(E38:E43)</f>
        <v>#REF!</v>
      </c>
      <c r="G44" s="156"/>
      <c r="H44" s="157"/>
      <c r="I44" s="157"/>
      <c r="J44" s="158"/>
    </row>
    <row r="45" spans="1:10" ht="7.5" customHeight="1" x14ac:dyDescent="0.25">
      <c r="A45" s="135"/>
      <c r="C45" s="144"/>
      <c r="D45" s="145"/>
      <c r="E45" s="159"/>
      <c r="G45" s="139"/>
      <c r="H45" s="140"/>
      <c r="I45" s="140"/>
      <c r="J45" s="141"/>
    </row>
    <row r="46" spans="1:10" ht="13.5" x14ac:dyDescent="0.25">
      <c r="A46" s="135" t="s">
        <v>74</v>
      </c>
      <c r="C46" s="144">
        <v>0</v>
      </c>
      <c r="D46" s="145" t="e">
        <f>(ROUND((#REF!/4),0))</f>
        <v>#REF!</v>
      </c>
      <c r="E46" s="159" t="e">
        <f t="shared" ref="E46:E64" si="4">C46-D46</f>
        <v>#REF!</v>
      </c>
      <c r="G46" s="139"/>
      <c r="H46" s="140"/>
      <c r="I46" s="140"/>
      <c r="J46" s="141"/>
    </row>
    <row r="47" spans="1:10" ht="13.5" x14ac:dyDescent="0.25">
      <c r="A47" s="135" t="s">
        <v>101</v>
      </c>
      <c r="C47" s="144">
        <v>0</v>
      </c>
      <c r="D47" s="145" t="e">
        <f>(ROUND((#REF!/4),0))</f>
        <v>#REF!</v>
      </c>
      <c r="E47" s="159" t="e">
        <f t="shared" si="4"/>
        <v>#REF!</v>
      </c>
      <c r="G47" s="139"/>
      <c r="H47" s="140"/>
      <c r="I47" s="140"/>
      <c r="J47" s="141"/>
    </row>
    <row r="48" spans="1:10" ht="13.5" x14ac:dyDescent="0.25">
      <c r="A48" s="135" t="s">
        <v>102</v>
      </c>
      <c r="C48" s="144">
        <v>0</v>
      </c>
      <c r="D48" s="145" t="e">
        <f>(ROUND((#REF!/4),0))</f>
        <v>#REF!</v>
      </c>
      <c r="E48" s="159" t="e">
        <f t="shared" si="4"/>
        <v>#REF!</v>
      </c>
      <c r="G48" s="139"/>
      <c r="H48" s="140"/>
      <c r="I48" s="140"/>
      <c r="J48" s="141"/>
    </row>
    <row r="49" spans="1:10" ht="13.5" x14ac:dyDescent="0.25">
      <c r="A49" s="135" t="s">
        <v>103</v>
      </c>
      <c r="C49" s="144">
        <v>0</v>
      </c>
      <c r="D49" s="145" t="e">
        <f>(ROUND((#REF!/4),0))</f>
        <v>#REF!</v>
      </c>
      <c r="E49" s="159" t="e">
        <f t="shared" si="4"/>
        <v>#REF!</v>
      </c>
      <c r="G49" s="139"/>
      <c r="H49" s="140"/>
      <c r="I49" s="140"/>
      <c r="J49" s="141"/>
    </row>
    <row r="50" spans="1:10" ht="13.5" x14ac:dyDescent="0.25">
      <c r="A50" s="135" t="s">
        <v>104</v>
      </c>
      <c r="C50" s="144">
        <v>0</v>
      </c>
      <c r="D50" s="145" t="e">
        <f>(ROUND((#REF!/4),0))</f>
        <v>#REF!</v>
      </c>
      <c r="E50" s="159" t="e">
        <f t="shared" si="4"/>
        <v>#REF!</v>
      </c>
      <c r="G50" s="139"/>
      <c r="H50" s="140"/>
      <c r="I50" s="140"/>
      <c r="J50" s="141"/>
    </row>
    <row r="51" spans="1:10" ht="13.5" x14ac:dyDescent="0.25">
      <c r="A51" s="135" t="s">
        <v>105</v>
      </c>
      <c r="C51" s="144">
        <v>0</v>
      </c>
      <c r="D51" s="145" t="e">
        <f>(ROUND((#REF!/4),0))</f>
        <v>#REF!</v>
      </c>
      <c r="E51" s="159" t="e">
        <f t="shared" si="4"/>
        <v>#REF!</v>
      </c>
      <c r="G51" s="139"/>
      <c r="H51" s="140"/>
      <c r="I51" s="140"/>
      <c r="J51" s="141"/>
    </row>
    <row r="52" spans="1:10" ht="13.5" x14ac:dyDescent="0.25">
      <c r="A52" s="135" t="s">
        <v>69</v>
      </c>
      <c r="C52" s="144">
        <v>0</v>
      </c>
      <c r="D52" s="145" t="e">
        <f>(ROUND((#REF!/4),0))</f>
        <v>#REF!</v>
      </c>
      <c r="E52" s="159" t="e">
        <f t="shared" si="4"/>
        <v>#REF!</v>
      </c>
      <c r="G52" s="139"/>
      <c r="H52" s="140"/>
      <c r="I52" s="140"/>
      <c r="J52" s="141"/>
    </row>
    <row r="53" spans="1:10" ht="13.5" x14ac:dyDescent="0.25">
      <c r="A53" s="135" t="s">
        <v>68</v>
      </c>
      <c r="C53" s="144">
        <v>0</v>
      </c>
      <c r="D53" s="145" t="e">
        <f>(ROUND((#REF!/4),0))</f>
        <v>#REF!</v>
      </c>
      <c r="E53" s="159" t="e">
        <f t="shared" si="4"/>
        <v>#REF!</v>
      </c>
      <c r="G53" s="139"/>
      <c r="H53" s="140"/>
      <c r="I53" s="140"/>
      <c r="J53" s="141"/>
    </row>
    <row r="54" spans="1:10" ht="13.5" x14ac:dyDescent="0.25">
      <c r="A54" s="135" t="s">
        <v>67</v>
      </c>
      <c r="C54" s="144">
        <v>0</v>
      </c>
      <c r="D54" s="145" t="e">
        <f>(ROUND((#REF!/4),0))</f>
        <v>#REF!</v>
      </c>
      <c r="E54" s="159" t="e">
        <f t="shared" si="4"/>
        <v>#REF!</v>
      </c>
      <c r="G54" s="139"/>
      <c r="H54" s="140"/>
      <c r="I54" s="140"/>
      <c r="J54" s="141"/>
    </row>
    <row r="55" spans="1:10" ht="13.5" x14ac:dyDescent="0.25">
      <c r="A55" s="135" t="s">
        <v>46</v>
      </c>
      <c r="C55" s="144">
        <v>0</v>
      </c>
      <c r="D55" s="145" t="e">
        <f>(ROUND((#REF!/4),0))</f>
        <v>#REF!</v>
      </c>
      <c r="E55" s="159" t="e">
        <f t="shared" si="4"/>
        <v>#REF!</v>
      </c>
      <c r="G55" s="139"/>
      <c r="H55" s="140"/>
      <c r="I55" s="140"/>
      <c r="J55" s="141"/>
    </row>
    <row r="56" spans="1:10" ht="13.5" x14ac:dyDescent="0.25">
      <c r="A56" s="135" t="s">
        <v>47</v>
      </c>
      <c r="C56" s="144">
        <v>0</v>
      </c>
      <c r="D56" s="145" t="e">
        <f>(ROUND((#REF!/4),0))</f>
        <v>#REF!</v>
      </c>
      <c r="E56" s="159" t="e">
        <f t="shared" si="4"/>
        <v>#REF!</v>
      </c>
      <c r="G56" s="139"/>
      <c r="H56" s="140"/>
      <c r="I56" s="140"/>
      <c r="J56" s="141"/>
    </row>
    <row r="57" spans="1:10" ht="13.5" x14ac:dyDescent="0.25">
      <c r="A57" s="135" t="s">
        <v>48</v>
      </c>
      <c r="C57" s="144">
        <v>0</v>
      </c>
      <c r="D57" s="145" t="e">
        <f>(ROUND((#REF!/4),0))</f>
        <v>#REF!</v>
      </c>
      <c r="E57" s="159" t="e">
        <f t="shared" si="4"/>
        <v>#REF!</v>
      </c>
      <c r="G57" s="139"/>
      <c r="H57" s="140"/>
      <c r="I57" s="140"/>
      <c r="J57" s="141"/>
    </row>
    <row r="58" spans="1:10" ht="13.5" x14ac:dyDescent="0.25">
      <c r="A58" s="135" t="s">
        <v>63</v>
      </c>
      <c r="C58" s="144">
        <v>0</v>
      </c>
      <c r="D58" s="145" t="e">
        <f>(ROUND((#REF!/4),0))</f>
        <v>#REF!</v>
      </c>
      <c r="E58" s="159" t="e">
        <f t="shared" si="4"/>
        <v>#REF!</v>
      </c>
      <c r="G58" s="139"/>
      <c r="H58" s="140"/>
      <c r="I58" s="140"/>
      <c r="J58" s="141"/>
    </row>
    <row r="59" spans="1:10" ht="13.5" x14ac:dyDescent="0.25">
      <c r="A59" s="135" t="s">
        <v>49</v>
      </c>
      <c r="C59" s="144">
        <v>0</v>
      </c>
      <c r="D59" s="145" t="e">
        <f>(ROUND((#REF!/4),0))</f>
        <v>#REF!</v>
      </c>
      <c r="E59" s="159" t="e">
        <f t="shared" si="4"/>
        <v>#REF!</v>
      </c>
      <c r="G59" s="139"/>
      <c r="H59" s="140"/>
      <c r="I59" s="140"/>
      <c r="J59" s="141"/>
    </row>
    <row r="60" spans="1:10" ht="13.5" x14ac:dyDescent="0.25">
      <c r="A60" s="135" t="s">
        <v>50</v>
      </c>
      <c r="C60" s="144">
        <v>0</v>
      </c>
      <c r="D60" s="145" t="e">
        <f>(ROUND((#REF!/4),0))</f>
        <v>#REF!</v>
      </c>
      <c r="E60" s="159" t="e">
        <f t="shared" si="4"/>
        <v>#REF!</v>
      </c>
      <c r="G60" s="139"/>
      <c r="H60" s="140"/>
      <c r="I60" s="140"/>
      <c r="J60" s="141"/>
    </row>
    <row r="61" spans="1:10" ht="13.5" x14ac:dyDescent="0.25">
      <c r="A61" s="135" t="s">
        <v>71</v>
      </c>
      <c r="C61" s="144">
        <v>0</v>
      </c>
      <c r="D61" s="145" t="e">
        <f>(ROUND((#REF!/4),0))</f>
        <v>#REF!</v>
      </c>
      <c r="E61" s="159" t="e">
        <f t="shared" si="4"/>
        <v>#REF!</v>
      </c>
      <c r="G61" s="139"/>
      <c r="H61" s="140"/>
      <c r="I61" s="140"/>
      <c r="J61" s="141"/>
    </row>
    <row r="62" spans="1:10" ht="13.5" x14ac:dyDescent="0.25">
      <c r="A62" s="135" t="s">
        <v>73</v>
      </c>
      <c r="C62" s="144">
        <v>0</v>
      </c>
      <c r="D62" s="145" t="e">
        <f>(ROUND((#REF!/4),0))</f>
        <v>#REF!</v>
      </c>
      <c r="E62" s="159" t="e">
        <f t="shared" si="4"/>
        <v>#REF!</v>
      </c>
      <c r="G62" s="139"/>
      <c r="H62" s="140"/>
      <c r="I62" s="140"/>
      <c r="J62" s="141"/>
    </row>
    <row r="63" spans="1:10" ht="13.5" x14ac:dyDescent="0.25">
      <c r="A63" s="137" t="s">
        <v>72</v>
      </c>
      <c r="C63" s="144">
        <v>0</v>
      </c>
      <c r="D63" s="145" t="e">
        <f>(ROUND((#REF!/4),0))</f>
        <v>#REF!</v>
      </c>
      <c r="E63" s="159" t="e">
        <f t="shared" si="4"/>
        <v>#REF!</v>
      </c>
      <c r="G63" s="139"/>
      <c r="H63" s="140"/>
      <c r="I63" s="140"/>
      <c r="J63" s="141"/>
    </row>
    <row r="64" spans="1:10" ht="13.5" x14ac:dyDescent="0.25">
      <c r="A64" s="137" t="s">
        <v>11</v>
      </c>
      <c r="C64" s="144">
        <v>0</v>
      </c>
      <c r="D64" s="145" t="e">
        <f>(ROUND((#REF!/4),0))</f>
        <v>#REF!</v>
      </c>
      <c r="E64" s="159" t="e">
        <f t="shared" si="4"/>
        <v>#REF!</v>
      </c>
      <c r="G64" s="139"/>
      <c r="H64" s="140"/>
      <c r="I64" s="140"/>
      <c r="J64" s="141"/>
    </row>
    <row r="65" spans="1:10" s="153" customFormat="1" ht="13.5" x14ac:dyDescent="0.2">
      <c r="A65" s="136" t="s">
        <v>12</v>
      </c>
      <c r="C65" s="154">
        <f>SUM(C46:C64)+C44+C36+C25+C17</f>
        <v>0</v>
      </c>
      <c r="D65" s="155" t="e">
        <f>SUM(D46:D64)+D44+D36+D25+D17</f>
        <v>#REF!</v>
      </c>
      <c r="E65" s="160" t="e">
        <f>SUM(E46:E64)+E44+E36+E25+E17</f>
        <v>#REF!</v>
      </c>
      <c r="G65" s="156"/>
      <c r="H65" s="157"/>
      <c r="I65" s="157"/>
      <c r="J65" s="158"/>
    </row>
    <row r="66" spans="1:10" ht="7.5" customHeight="1" x14ac:dyDescent="0.25">
      <c r="A66" s="137"/>
      <c r="C66" s="144"/>
      <c r="D66" s="145"/>
      <c r="E66" s="159"/>
      <c r="G66" s="139"/>
      <c r="H66" s="140"/>
      <c r="I66" s="140"/>
      <c r="J66" s="141"/>
    </row>
    <row r="67" spans="1:10" ht="13.5" x14ac:dyDescent="0.25">
      <c r="A67" s="137" t="s">
        <v>51</v>
      </c>
      <c r="C67" s="144">
        <v>0</v>
      </c>
      <c r="D67" s="145" t="e">
        <f>(ROUND((#REF!/4),0))</f>
        <v>#REF!</v>
      </c>
      <c r="E67" s="159" t="e">
        <f t="shared" ref="E67:E80" si="5">C67-D67</f>
        <v>#REF!</v>
      </c>
      <c r="G67" s="139"/>
      <c r="H67" s="140"/>
      <c r="I67" s="140"/>
      <c r="J67" s="141"/>
    </row>
    <row r="68" spans="1:10" ht="13.5" x14ac:dyDescent="0.25">
      <c r="A68" s="137" t="s">
        <v>52</v>
      </c>
      <c r="C68" s="144">
        <v>0</v>
      </c>
      <c r="D68" s="145" t="e">
        <f>(ROUND((#REF!/4),0))</f>
        <v>#REF!</v>
      </c>
      <c r="E68" s="159" t="e">
        <f t="shared" si="5"/>
        <v>#REF!</v>
      </c>
      <c r="G68" s="139"/>
      <c r="H68" s="140"/>
      <c r="I68" s="140"/>
      <c r="J68" s="141"/>
    </row>
    <row r="69" spans="1:10" ht="13.5" x14ac:dyDescent="0.25">
      <c r="A69" s="137" t="s">
        <v>106</v>
      </c>
      <c r="C69" s="144">
        <v>0</v>
      </c>
      <c r="D69" s="145" t="e">
        <f>(ROUND((#REF!/4),0))</f>
        <v>#REF!</v>
      </c>
      <c r="E69" s="159" t="e">
        <f t="shared" si="5"/>
        <v>#REF!</v>
      </c>
      <c r="G69" s="139"/>
      <c r="H69" s="140"/>
      <c r="I69" s="140"/>
      <c r="J69" s="141"/>
    </row>
    <row r="70" spans="1:10" ht="13.5" x14ac:dyDescent="0.25">
      <c r="A70" s="137" t="s">
        <v>53</v>
      </c>
      <c r="C70" s="144">
        <v>0</v>
      </c>
      <c r="D70" s="145" t="e">
        <f>(ROUND((#REF!/4),0))</f>
        <v>#REF!</v>
      </c>
      <c r="E70" s="159" t="e">
        <f t="shared" si="5"/>
        <v>#REF!</v>
      </c>
      <c r="G70" s="139"/>
      <c r="H70" s="140"/>
      <c r="I70" s="140"/>
      <c r="J70" s="141"/>
    </row>
    <row r="71" spans="1:10" ht="13.5" x14ac:dyDescent="0.25">
      <c r="A71" s="137" t="s">
        <v>54</v>
      </c>
      <c r="C71" s="144">
        <v>0</v>
      </c>
      <c r="D71" s="145" t="e">
        <f>(ROUND((#REF!/4),0))</f>
        <v>#REF!</v>
      </c>
      <c r="E71" s="159" t="e">
        <f t="shared" si="5"/>
        <v>#REF!</v>
      </c>
      <c r="G71" s="139"/>
      <c r="H71" s="140"/>
      <c r="I71" s="140"/>
      <c r="J71" s="141"/>
    </row>
    <row r="72" spans="1:10" ht="13.5" x14ac:dyDescent="0.25">
      <c r="A72" s="137" t="s">
        <v>55</v>
      </c>
      <c r="C72" s="144">
        <v>0</v>
      </c>
      <c r="D72" s="145" t="e">
        <f>(ROUND((#REF!/4),0))</f>
        <v>#REF!</v>
      </c>
      <c r="E72" s="159" t="e">
        <f t="shared" si="5"/>
        <v>#REF!</v>
      </c>
      <c r="G72" s="139"/>
      <c r="H72" s="140"/>
      <c r="I72" s="140"/>
      <c r="J72" s="141"/>
    </row>
    <row r="73" spans="1:10" ht="13.5" x14ac:dyDescent="0.25">
      <c r="A73" s="137" t="s">
        <v>56</v>
      </c>
      <c r="C73" s="144">
        <v>0</v>
      </c>
      <c r="D73" s="145" t="e">
        <f>(ROUND((#REF!/4),0))</f>
        <v>#REF!</v>
      </c>
      <c r="E73" s="159" t="e">
        <f t="shared" si="5"/>
        <v>#REF!</v>
      </c>
      <c r="G73" s="139"/>
      <c r="H73" s="140"/>
      <c r="I73" s="140"/>
      <c r="J73" s="141"/>
    </row>
    <row r="74" spans="1:10" ht="13.5" x14ac:dyDescent="0.25">
      <c r="A74" s="137" t="s">
        <v>57</v>
      </c>
      <c r="C74" s="144">
        <v>0</v>
      </c>
      <c r="D74" s="145" t="e">
        <f>(ROUND((#REF!/4),0))</f>
        <v>#REF!</v>
      </c>
      <c r="E74" s="159" t="e">
        <f t="shared" si="5"/>
        <v>#REF!</v>
      </c>
      <c r="G74" s="139"/>
      <c r="H74" s="140"/>
      <c r="I74" s="140"/>
      <c r="J74" s="141"/>
    </row>
    <row r="75" spans="1:10" ht="13.5" x14ac:dyDescent="0.25">
      <c r="A75" s="137" t="s">
        <v>59</v>
      </c>
      <c r="C75" s="144">
        <v>0</v>
      </c>
      <c r="D75" s="145" t="e">
        <f>(ROUND((#REF!/4),0))</f>
        <v>#REF!</v>
      </c>
      <c r="E75" s="159" t="e">
        <f t="shared" si="5"/>
        <v>#REF!</v>
      </c>
      <c r="G75" s="139"/>
      <c r="H75" s="140"/>
      <c r="I75" s="140"/>
      <c r="J75" s="141"/>
    </row>
    <row r="76" spans="1:10" ht="13.5" x14ac:dyDescent="0.25">
      <c r="A76" s="137" t="s">
        <v>60</v>
      </c>
      <c r="C76" s="144">
        <v>0</v>
      </c>
      <c r="D76" s="145" t="e">
        <f>(ROUND((#REF!/4),0))</f>
        <v>#REF!</v>
      </c>
      <c r="E76" s="159" t="e">
        <f t="shared" si="5"/>
        <v>#REF!</v>
      </c>
      <c r="G76" s="139"/>
      <c r="H76" s="140"/>
      <c r="I76" s="140"/>
      <c r="J76" s="141"/>
    </row>
    <row r="77" spans="1:10" ht="13.5" x14ac:dyDescent="0.25">
      <c r="A77" s="137" t="s">
        <v>61</v>
      </c>
      <c r="C77" s="144">
        <v>0</v>
      </c>
      <c r="D77" s="145" t="e">
        <f>(ROUND((#REF!/4),0))</f>
        <v>#REF!</v>
      </c>
      <c r="E77" s="159" t="e">
        <f t="shared" si="5"/>
        <v>#REF!</v>
      </c>
      <c r="G77" s="139"/>
      <c r="H77" s="140"/>
      <c r="I77" s="140"/>
      <c r="J77" s="141"/>
    </row>
    <row r="78" spans="1:10" ht="13.5" x14ac:dyDescent="0.25">
      <c r="A78" s="137" t="s">
        <v>62</v>
      </c>
      <c r="C78" s="144">
        <v>0</v>
      </c>
      <c r="D78" s="145" t="e">
        <f>(ROUND((#REF!/4),0))</f>
        <v>#REF!</v>
      </c>
      <c r="E78" s="159" t="e">
        <f t="shared" si="5"/>
        <v>#REF!</v>
      </c>
      <c r="G78" s="139"/>
      <c r="H78" s="140"/>
      <c r="I78" s="140"/>
      <c r="J78" s="141"/>
    </row>
    <row r="79" spans="1:10" ht="13.5" x14ac:dyDescent="0.25">
      <c r="A79" s="137" t="s">
        <v>58</v>
      </c>
      <c r="C79" s="144">
        <v>0</v>
      </c>
      <c r="D79" s="145" t="e">
        <f>(ROUND((#REF!/4),0))</f>
        <v>#REF!</v>
      </c>
      <c r="E79" s="159" t="e">
        <f t="shared" si="5"/>
        <v>#REF!</v>
      </c>
      <c r="G79" s="139"/>
      <c r="H79" s="140"/>
      <c r="I79" s="140"/>
      <c r="J79" s="141"/>
    </row>
    <row r="80" spans="1:10" ht="13.5" x14ac:dyDescent="0.25">
      <c r="A80" s="137" t="s">
        <v>17</v>
      </c>
      <c r="C80" s="144">
        <v>0</v>
      </c>
      <c r="D80" s="145" t="e">
        <f>(ROUND((#REF!/4),0))</f>
        <v>#REF!</v>
      </c>
      <c r="E80" s="159" t="e">
        <f t="shared" si="5"/>
        <v>#REF!</v>
      </c>
      <c r="G80" s="139"/>
      <c r="H80" s="140"/>
      <c r="I80" s="140"/>
      <c r="J80" s="141"/>
    </row>
    <row r="81" spans="1:10" s="153" customFormat="1" ht="13.5" x14ac:dyDescent="0.2">
      <c r="A81" s="136" t="s">
        <v>13</v>
      </c>
      <c r="C81" s="154">
        <f>SUM(C67:C80)</f>
        <v>0</v>
      </c>
      <c r="D81" s="155" t="e">
        <f>SUM(D67:D80)</f>
        <v>#REF!</v>
      </c>
      <c r="E81" s="160" t="e">
        <f>SUM(E67:E80)</f>
        <v>#REF!</v>
      </c>
      <c r="G81" s="156"/>
      <c r="H81" s="157"/>
      <c r="I81" s="157"/>
      <c r="J81" s="158"/>
    </row>
    <row r="82" spans="1:10" ht="13.5" x14ac:dyDescent="0.25">
      <c r="A82" s="137" t="s">
        <v>19</v>
      </c>
      <c r="C82" s="144">
        <v>0</v>
      </c>
      <c r="D82" s="145" t="e">
        <f>(ROUND((#REF!/4),0))</f>
        <v>#REF!</v>
      </c>
      <c r="E82" s="159" t="e">
        <f>C82-D82</f>
        <v>#REF!</v>
      </c>
      <c r="G82" s="139"/>
      <c r="H82" s="140"/>
      <c r="I82" s="140"/>
      <c r="J82" s="141"/>
    </row>
    <row r="83" spans="1:10" ht="13.5" x14ac:dyDescent="0.25">
      <c r="A83" s="137" t="s">
        <v>18</v>
      </c>
      <c r="C83" s="144">
        <v>0</v>
      </c>
      <c r="D83" s="145" t="e">
        <f>(ROUND((#REF!/4),0))</f>
        <v>#REF!</v>
      </c>
      <c r="E83" s="159" t="e">
        <f>C83-D83</f>
        <v>#REF!</v>
      </c>
      <c r="G83" s="139"/>
      <c r="H83" s="140"/>
      <c r="I83" s="140"/>
      <c r="J83" s="141"/>
    </row>
    <row r="84" spans="1:10" s="153" customFormat="1" ht="13.5" x14ac:dyDescent="0.2">
      <c r="A84" s="25" t="s">
        <v>14</v>
      </c>
      <c r="C84" s="154">
        <f>C83+C82+C81+C65</f>
        <v>0</v>
      </c>
      <c r="D84" s="155" t="e">
        <f>D83+D82+D81+D65</f>
        <v>#REF!</v>
      </c>
      <c r="E84" s="160" t="e">
        <f>E83+E82+E81+E65</f>
        <v>#REF!</v>
      </c>
      <c r="G84" s="156"/>
      <c r="H84" s="157"/>
      <c r="I84" s="157"/>
      <c r="J84" s="158"/>
    </row>
    <row r="85" spans="1:10" ht="13.5" x14ac:dyDescent="0.25">
      <c r="A85" s="137" t="s">
        <v>15</v>
      </c>
      <c r="C85" s="144">
        <v>0</v>
      </c>
      <c r="D85" s="145" t="e">
        <f>(ROUND((#REF!/4),0))</f>
        <v>#REF!</v>
      </c>
      <c r="E85" s="159" t="e">
        <f>C85-D85</f>
        <v>#REF!</v>
      </c>
      <c r="G85" s="139"/>
      <c r="H85" s="140"/>
      <c r="I85" s="140"/>
      <c r="J85" s="141"/>
    </row>
    <row r="86" spans="1:10" s="153" customFormat="1" ht="13.5" x14ac:dyDescent="0.2">
      <c r="A86" s="96" t="s">
        <v>98</v>
      </c>
      <c r="C86" s="154">
        <f>C85+C84</f>
        <v>0</v>
      </c>
      <c r="D86" s="155" t="e">
        <f>D85+D84</f>
        <v>#REF!</v>
      </c>
      <c r="E86" s="160" t="e">
        <f>E85+E84</f>
        <v>#REF!</v>
      </c>
      <c r="G86" s="156"/>
      <c r="H86" s="157"/>
      <c r="I86" s="157"/>
      <c r="J86" s="158"/>
    </row>
  </sheetData>
  <mergeCells count="5">
    <mergeCell ref="G6:J6"/>
    <mergeCell ref="A1:J1"/>
    <mergeCell ref="A2:J2"/>
    <mergeCell ref="A3:J3"/>
    <mergeCell ref="C5:E5"/>
  </mergeCells>
  <phoneticPr fontId="0" type="noConversion"/>
  <printOptions horizontalCentered="1"/>
  <pageMargins left="0.75" right="0.75" top="0.5" bottom="0.75" header="0.5" footer="0.5"/>
  <pageSetup scale="63" orientation="portrait" r:id="rId1"/>
  <headerFooter alignWithMargins="0">
    <oddFooter>&amp;L&amp;8&amp;A
&amp;D&amp;T&amp;R&amp;8&amp;F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T91"/>
  <sheetViews>
    <sheetView workbookViewId="0">
      <pane ySplit="8" topLeftCell="A9" activePane="bottomLeft" state="frozen"/>
      <selection activeCell="A4" sqref="A4"/>
      <selection pane="bottomLeft" activeCell="A9" sqref="A9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9.140625" style="10"/>
    <col min="6" max="6" width="9.28515625" style="195" customWidth="1"/>
    <col min="7" max="7" width="9" style="195" customWidth="1"/>
    <col min="8" max="10" width="8.7109375" style="195" customWidth="1"/>
    <col min="11" max="11" width="25.5703125" style="195" customWidth="1"/>
    <col min="12" max="12" width="0.85546875" style="10" customWidth="1"/>
    <col min="13" max="13" width="8.7109375" style="10" customWidth="1"/>
    <col min="14" max="17" width="7.7109375" style="10" customWidth="1"/>
    <col min="18" max="19" width="8.7109375" style="10" customWidth="1"/>
    <col min="20" max="20" width="0.85546875" style="10" customWidth="1"/>
    <col min="21" max="16384" width="9.140625" style="10"/>
  </cols>
  <sheetData>
    <row r="1" spans="1:20" s="2" customFormat="1" ht="9.9499999999999993" customHeight="1" x14ac:dyDescent="0.25">
      <c r="A1"/>
      <c r="B1"/>
      <c r="C1"/>
      <c r="D1"/>
      <c r="E1"/>
      <c r="F1" s="162"/>
      <c r="G1" s="162"/>
      <c r="H1" s="162"/>
      <c r="I1" s="162"/>
      <c r="J1" s="162"/>
      <c r="K1" s="162"/>
      <c r="L1"/>
      <c r="M1"/>
      <c r="N1"/>
      <c r="O1"/>
      <c r="P1"/>
      <c r="Q1"/>
      <c r="R1"/>
      <c r="S1"/>
      <c r="T1" s="1"/>
    </row>
    <row r="2" spans="1:20" s="5" customFormat="1" ht="29.25" customHeight="1" x14ac:dyDescent="0.4">
      <c r="A2" s="420" t="s">
        <v>70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"/>
      <c r="M2" s="4"/>
      <c r="N2" s="4"/>
      <c r="O2" s="4"/>
      <c r="P2" s="4"/>
      <c r="Q2" s="4"/>
      <c r="R2" s="4"/>
      <c r="T2" s="6"/>
    </row>
    <row r="3" spans="1:20" s="2" customFormat="1" ht="15.75" customHeight="1" x14ac:dyDescent="0.3">
      <c r="A3" s="421" t="s">
        <v>165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  <c r="L3"/>
      <c r="M3"/>
      <c r="N3"/>
      <c r="O3"/>
      <c r="P3"/>
      <c r="Q3"/>
      <c r="R3"/>
      <c r="T3" s="6"/>
    </row>
    <row r="4" spans="1:20" s="2" customFormat="1" ht="15.75" customHeight="1" x14ac:dyDescent="0.3">
      <c r="A4" s="421" t="str">
        <f>'QTD Mgmt Summary'!Q3</f>
        <v>Results based on activity through Aug 3, 2001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/>
      <c r="M4"/>
      <c r="N4"/>
      <c r="O4"/>
      <c r="P4"/>
      <c r="Q4"/>
      <c r="R4"/>
      <c r="T4" s="6"/>
    </row>
    <row r="5" spans="1:20" s="2" customFormat="1" ht="15" customHeight="1" thickBot="1" x14ac:dyDescent="0.3">
      <c r="A5"/>
      <c r="B5"/>
      <c r="C5"/>
      <c r="D5"/>
      <c r="E5"/>
      <c r="F5" s="162"/>
      <c r="G5" s="162"/>
      <c r="H5" s="162"/>
      <c r="I5" s="162"/>
      <c r="J5" s="162"/>
      <c r="K5" s="162"/>
      <c r="L5"/>
      <c r="M5"/>
      <c r="N5"/>
      <c r="O5"/>
      <c r="P5"/>
      <c r="Q5"/>
      <c r="R5"/>
      <c r="S5"/>
      <c r="T5" s="7"/>
    </row>
    <row r="6" spans="1:20" s="8" customFormat="1" ht="15" customHeight="1" x14ac:dyDescent="0.25">
      <c r="A6" s="45"/>
      <c r="B6" s="276"/>
      <c r="C6" s="398" t="s">
        <v>96</v>
      </c>
      <c r="D6" s="399"/>
      <c r="E6" s="400"/>
      <c r="F6" s="398" t="s">
        <v>112</v>
      </c>
      <c r="G6" s="399"/>
      <c r="H6" s="400"/>
      <c r="I6" s="404" t="s">
        <v>164</v>
      </c>
      <c r="J6" s="405"/>
      <c r="K6" s="406"/>
    </row>
    <row r="7" spans="1:20" s="8" customFormat="1" ht="14.25" customHeight="1" x14ac:dyDescent="0.25">
      <c r="A7" s="224" t="s">
        <v>2</v>
      </c>
      <c r="B7" s="229"/>
      <c r="C7" s="422"/>
      <c r="D7" s="423"/>
      <c r="E7" s="424"/>
      <c r="F7" s="422"/>
      <c r="G7" s="423"/>
      <c r="H7" s="424"/>
      <c r="I7" s="408"/>
      <c r="J7" s="409"/>
      <c r="K7" s="410"/>
    </row>
    <row r="8" spans="1:20" ht="18" customHeight="1" thickBot="1" x14ac:dyDescent="0.3">
      <c r="A8" s="46"/>
      <c r="B8" s="284"/>
      <c r="C8" s="222" t="s">
        <v>3</v>
      </c>
      <c r="D8" s="285" t="s">
        <v>4</v>
      </c>
      <c r="E8" s="316" t="s">
        <v>5</v>
      </c>
      <c r="F8" s="286" t="s">
        <v>3</v>
      </c>
      <c r="G8" s="286" t="s">
        <v>4</v>
      </c>
      <c r="H8" s="287" t="s">
        <v>5</v>
      </c>
      <c r="I8" s="220"/>
      <c r="J8" s="286"/>
      <c r="K8" s="287"/>
    </row>
    <row r="9" spans="1:20" s="18" customFormat="1" ht="12.75" customHeight="1" x14ac:dyDescent="0.25">
      <c r="A9" s="11" t="str">
        <f>'QTD Mgmt Summary'!A9</f>
        <v>Norteast Trading (Davis)</v>
      </c>
      <c r="B9" s="274"/>
      <c r="C9" s="146">
        <f t="shared" ref="C9:C16" si="0">D9</f>
        <v>815</v>
      </c>
      <c r="D9" s="161">
        <v>815</v>
      </c>
      <c r="E9" s="258">
        <f>D9-C9</f>
        <v>0</v>
      </c>
      <c r="F9" s="161">
        <v>0</v>
      </c>
      <c r="G9" s="161">
        <v>0</v>
      </c>
      <c r="H9" s="258">
        <f>G9-F9</f>
        <v>0</v>
      </c>
      <c r="I9" s="446"/>
      <c r="J9" s="447"/>
      <c r="K9" s="448"/>
    </row>
    <row r="10" spans="1:20" s="18" customFormat="1" ht="12.75" customHeight="1" x14ac:dyDescent="0.25">
      <c r="A10" s="11" t="str">
        <f>'QTD Mgmt Summary'!A10</f>
        <v>Northeast Origination (Llodia)</v>
      </c>
      <c r="B10" s="274"/>
      <c r="C10" s="146">
        <f t="shared" si="0"/>
        <v>990</v>
      </c>
      <c r="D10" s="40">
        <v>990</v>
      </c>
      <c r="E10" s="258">
        <f t="shared" ref="E10:E22" si="1">D10-C10</f>
        <v>0</v>
      </c>
      <c r="F10" s="306">
        <v>0</v>
      </c>
      <c r="G10" s="306">
        <v>0</v>
      </c>
      <c r="H10" s="258">
        <f t="shared" ref="H10:H22" si="2">G10-F10</f>
        <v>0</v>
      </c>
      <c r="I10" s="437"/>
      <c r="J10" s="438"/>
      <c r="K10" s="439"/>
    </row>
    <row r="11" spans="1:20" ht="12.75" customHeight="1" x14ac:dyDescent="0.25">
      <c r="A11" s="11" t="str">
        <f>'QTD Mgmt Summary'!A11</f>
        <v>Midwest Trading (Sturm/Baughman)</v>
      </c>
      <c r="B11" s="15"/>
      <c r="C11" s="21">
        <f t="shared" si="0"/>
        <v>529</v>
      </c>
      <c r="D11" s="273">
        <v>529</v>
      </c>
      <c r="E11" s="258">
        <f t="shared" si="1"/>
        <v>0</v>
      </c>
      <c r="F11" s="273">
        <v>0</v>
      </c>
      <c r="G11" s="273">
        <v>0</v>
      </c>
      <c r="H11" s="258">
        <f t="shared" si="2"/>
        <v>0</v>
      </c>
      <c r="I11" s="437"/>
      <c r="J11" s="438"/>
      <c r="K11" s="439"/>
    </row>
    <row r="12" spans="1:20" ht="12.75" customHeight="1" x14ac:dyDescent="0.25">
      <c r="A12" s="11" t="str">
        <f>'QTD Mgmt Summary'!A12</f>
        <v>Midwest Origination (Sturm/Baughman)</v>
      </c>
      <c r="B12" s="15"/>
      <c r="C12" s="21">
        <f t="shared" si="0"/>
        <v>1067</v>
      </c>
      <c r="D12" s="273">
        <v>1067</v>
      </c>
      <c r="E12" s="258">
        <f t="shared" si="1"/>
        <v>0</v>
      </c>
      <c r="F12" s="273">
        <v>0</v>
      </c>
      <c r="G12" s="273">
        <v>0</v>
      </c>
      <c r="H12" s="258">
        <f t="shared" si="2"/>
        <v>0</v>
      </c>
      <c r="I12" s="437"/>
      <c r="J12" s="438"/>
      <c r="K12" s="439"/>
    </row>
    <row r="13" spans="1:20" ht="12.75" customHeight="1" x14ac:dyDescent="0.25">
      <c r="A13" s="11" t="str">
        <f>'QTD Mgmt Summary'!A13</f>
        <v xml:space="preserve">Southeast Trading (Herndon/Kroll) </v>
      </c>
      <c r="B13" s="15"/>
      <c r="C13" s="21">
        <f t="shared" si="0"/>
        <v>465</v>
      </c>
      <c r="D13" s="273">
        <v>465</v>
      </c>
      <c r="E13" s="258">
        <f t="shared" si="1"/>
        <v>0</v>
      </c>
      <c r="F13" s="273">
        <v>0</v>
      </c>
      <c r="G13" s="273">
        <v>0</v>
      </c>
      <c r="H13" s="258">
        <v>0</v>
      </c>
      <c r="I13" s="443"/>
      <c r="J13" s="444"/>
      <c r="K13" s="445"/>
    </row>
    <row r="14" spans="1:20" ht="12.75" customHeight="1" x14ac:dyDescent="0.25">
      <c r="A14" s="11" t="str">
        <f>'QTD Mgmt Summary'!A14</f>
        <v xml:space="preserve">Southeast Orig (Herndon/Kroll) </v>
      </c>
      <c r="B14" s="15"/>
      <c r="C14" s="21">
        <f t="shared" si="0"/>
        <v>968</v>
      </c>
      <c r="D14" s="273">
        <v>968</v>
      </c>
      <c r="E14" s="258">
        <f t="shared" si="1"/>
        <v>0</v>
      </c>
      <c r="F14" s="273">
        <v>0</v>
      </c>
      <c r="G14" s="273">
        <v>0</v>
      </c>
      <c r="H14" s="258">
        <f t="shared" si="2"/>
        <v>0</v>
      </c>
      <c r="I14" s="437"/>
      <c r="J14" s="438"/>
      <c r="K14" s="439"/>
    </row>
    <row r="15" spans="1:20" ht="12.75" customHeight="1" x14ac:dyDescent="0.25">
      <c r="A15" s="11" t="str">
        <f>'QTD Mgmt Summary'!A15</f>
        <v>ERCOT Trading (Smith/Corry)</v>
      </c>
      <c r="B15" s="15"/>
      <c r="C15" s="21">
        <f t="shared" si="0"/>
        <v>200</v>
      </c>
      <c r="D15" s="273">
        <v>200</v>
      </c>
      <c r="E15" s="258">
        <f t="shared" si="1"/>
        <v>0</v>
      </c>
      <c r="F15" s="273">
        <v>0</v>
      </c>
      <c r="G15" s="273">
        <v>0</v>
      </c>
      <c r="H15" s="258">
        <f t="shared" si="2"/>
        <v>0</v>
      </c>
      <c r="I15" s="437"/>
      <c r="J15" s="438"/>
      <c r="K15" s="439"/>
    </row>
    <row r="16" spans="1:20" ht="12.75" customHeight="1" x14ac:dyDescent="0.25">
      <c r="A16" s="11" t="str">
        <f>'QTD Mgmt Summary'!A16</f>
        <v>ERCOT Orig (Smith/Corry)</v>
      </c>
      <c r="B16" s="15"/>
      <c r="C16" s="21">
        <f t="shared" si="0"/>
        <v>727</v>
      </c>
      <c r="D16" s="273">
        <v>727</v>
      </c>
      <c r="E16" s="258">
        <f t="shared" si="1"/>
        <v>0</v>
      </c>
      <c r="F16" s="273">
        <v>0</v>
      </c>
      <c r="G16" s="273">
        <v>0</v>
      </c>
      <c r="H16" s="258">
        <f t="shared" si="2"/>
        <v>0</v>
      </c>
      <c r="I16" s="437"/>
      <c r="J16" s="438"/>
      <c r="K16" s="439"/>
    </row>
    <row r="17" spans="1:11" ht="12.75" customHeight="1" x14ac:dyDescent="0.25">
      <c r="A17" s="11" t="str">
        <f>'QTD Mgmt Summary'!A17</f>
        <v>Options (Arora)</v>
      </c>
      <c r="B17" s="15"/>
      <c r="C17" s="281">
        <v>254</v>
      </c>
      <c r="D17" s="273">
        <v>0</v>
      </c>
      <c r="E17" s="258">
        <f t="shared" si="1"/>
        <v>-254</v>
      </c>
      <c r="F17" s="273">
        <v>0</v>
      </c>
      <c r="G17" s="273">
        <v>0</v>
      </c>
      <c r="H17" s="258">
        <f t="shared" si="2"/>
        <v>0</v>
      </c>
      <c r="I17" s="437"/>
      <c r="J17" s="438"/>
      <c r="K17" s="439"/>
    </row>
    <row r="18" spans="1:11" ht="12.75" customHeight="1" x14ac:dyDescent="0.25">
      <c r="A18" s="11" t="str">
        <f>'QTD Mgmt Summary'!A18</f>
        <v>Management  Book (Presto)</v>
      </c>
      <c r="B18" s="15"/>
      <c r="C18" s="21">
        <f>D18</f>
        <v>2628</v>
      </c>
      <c r="D18" s="273">
        <v>2628</v>
      </c>
      <c r="E18" s="258">
        <f t="shared" si="1"/>
        <v>0</v>
      </c>
      <c r="F18" s="273">
        <v>0</v>
      </c>
      <c r="G18" s="273">
        <v>0</v>
      </c>
      <c r="H18" s="258">
        <f t="shared" si="2"/>
        <v>0</v>
      </c>
      <c r="I18" s="437"/>
      <c r="J18" s="438"/>
      <c r="K18" s="439"/>
    </row>
    <row r="19" spans="1:11" ht="12.75" customHeight="1" x14ac:dyDescent="0.25">
      <c r="A19" s="11" t="str">
        <f>'QTD Mgmt Summary'!A19</f>
        <v>Services (Will)</v>
      </c>
      <c r="B19" s="15"/>
      <c r="C19" s="281">
        <v>112</v>
      </c>
      <c r="D19" s="273">
        <v>0</v>
      </c>
      <c r="E19" s="258">
        <f t="shared" si="1"/>
        <v>-112</v>
      </c>
      <c r="F19" s="273">
        <v>0</v>
      </c>
      <c r="G19" s="273">
        <v>0</v>
      </c>
      <c r="H19" s="258">
        <f t="shared" si="2"/>
        <v>0</v>
      </c>
      <c r="I19" s="437"/>
      <c r="J19" s="438"/>
      <c r="K19" s="439"/>
    </row>
    <row r="20" spans="1:11" ht="12.75" customHeight="1" x14ac:dyDescent="0.25">
      <c r="A20" s="11" t="str">
        <f>'QTD Mgmt Summary'!A20</f>
        <v>Development (Jacoby)</v>
      </c>
      <c r="B20" s="15"/>
      <c r="C20" s="21">
        <f>D20</f>
        <v>2096</v>
      </c>
      <c r="D20" s="273">
        <v>2096</v>
      </c>
      <c r="E20" s="258">
        <f t="shared" si="1"/>
        <v>0</v>
      </c>
      <c r="F20" s="273">
        <v>0</v>
      </c>
      <c r="G20" s="273">
        <v>0</v>
      </c>
      <c r="H20" s="258">
        <f t="shared" si="2"/>
        <v>0</v>
      </c>
      <c r="I20" s="437"/>
      <c r="J20" s="438"/>
      <c r="K20" s="439"/>
    </row>
    <row r="21" spans="1:11" ht="12.75" customHeight="1" x14ac:dyDescent="0.25">
      <c r="A21" s="11" t="str">
        <f>'QTD Mgmt Summary'!A21</f>
        <v>Generation Investments (Duran)</v>
      </c>
      <c r="B21" s="15"/>
      <c r="C21" s="21">
        <f>D21</f>
        <v>1770</v>
      </c>
      <c r="D21" s="273">
        <v>1770</v>
      </c>
      <c r="E21" s="258">
        <f t="shared" si="1"/>
        <v>0</v>
      </c>
      <c r="F21" s="273">
        <v>0</v>
      </c>
      <c r="G21" s="273">
        <v>0</v>
      </c>
      <c r="H21" s="258">
        <f t="shared" si="2"/>
        <v>0</v>
      </c>
      <c r="I21" s="437"/>
      <c r="J21" s="438"/>
      <c r="K21" s="439"/>
    </row>
    <row r="22" spans="1:11" ht="12.75" customHeight="1" thickBot="1" x14ac:dyDescent="0.3">
      <c r="A22" s="11" t="str">
        <f>'QTD Mgmt Summary'!A22</f>
        <v>Structuring/Fundamentals (Meyn/Will)</v>
      </c>
      <c r="B22" s="15"/>
      <c r="C22" s="21">
        <f>D22</f>
        <v>1404</v>
      </c>
      <c r="D22" s="273">
        <v>1404</v>
      </c>
      <c r="E22" s="258">
        <f t="shared" si="1"/>
        <v>0</v>
      </c>
      <c r="F22" s="273">
        <v>0</v>
      </c>
      <c r="G22" s="273">
        <v>0</v>
      </c>
      <c r="H22" s="258">
        <f t="shared" si="2"/>
        <v>0</v>
      </c>
      <c r="I22" s="437"/>
      <c r="J22" s="438"/>
      <c r="K22" s="439"/>
    </row>
    <row r="23" spans="1:11" s="42" customFormat="1" ht="12.75" customHeight="1" thickBot="1" x14ac:dyDescent="0.3">
      <c r="A23" s="35" t="s">
        <v>7</v>
      </c>
      <c r="B23" s="277"/>
      <c r="C23" s="292">
        <f t="shared" ref="C23:H23" si="3">SUM(C9:C22)</f>
        <v>14025</v>
      </c>
      <c r="D23" s="293">
        <f t="shared" si="3"/>
        <v>13659</v>
      </c>
      <c r="E23" s="297">
        <f t="shared" si="3"/>
        <v>-366</v>
      </c>
      <c r="F23" s="294">
        <f t="shared" si="3"/>
        <v>0</v>
      </c>
      <c r="G23" s="294">
        <f t="shared" si="3"/>
        <v>0</v>
      </c>
      <c r="H23" s="295">
        <f t="shared" si="3"/>
        <v>0</v>
      </c>
      <c r="I23" s="296"/>
      <c r="J23" s="294"/>
      <c r="K23" s="295"/>
    </row>
    <row r="24" spans="1:11" ht="12.75" customHeight="1" x14ac:dyDescent="0.25">
      <c r="A24" s="11" t="str">
        <f>'QTD Mgmt Summary'!A25</f>
        <v>Services (Foster/Wolfe)</v>
      </c>
      <c r="B24" s="229"/>
      <c r="C24" s="21">
        <f>D24</f>
        <v>134</v>
      </c>
      <c r="D24" s="273">
        <v>134</v>
      </c>
      <c r="E24" s="258">
        <f>D24-C24</f>
        <v>0</v>
      </c>
      <c r="F24" s="273">
        <v>0</v>
      </c>
      <c r="G24" s="273">
        <v>0</v>
      </c>
      <c r="H24" s="280">
        <f t="shared" ref="H24:H30" si="4">G24-F24</f>
        <v>0</v>
      </c>
      <c r="I24" s="440"/>
      <c r="J24" s="441"/>
      <c r="K24" s="442"/>
    </row>
    <row r="25" spans="1:11" ht="12.75" customHeight="1" x14ac:dyDescent="0.25">
      <c r="A25" s="11" t="str">
        <f>'QTD Mgmt Summary'!A24</f>
        <v>Trading (Belden)</v>
      </c>
      <c r="B25" s="229"/>
      <c r="C25" s="21">
        <f t="shared" ref="C25:C30" si="5">D25</f>
        <v>2627</v>
      </c>
      <c r="D25" s="273">
        <v>2627</v>
      </c>
      <c r="E25" s="258">
        <f t="shared" ref="E25:E30" si="6">D25-C25</f>
        <v>0</v>
      </c>
      <c r="F25" s="273">
        <v>0</v>
      </c>
      <c r="G25" s="273">
        <v>0</v>
      </c>
      <c r="H25" s="280">
        <f t="shared" si="4"/>
        <v>0</v>
      </c>
      <c r="I25" s="434"/>
      <c r="J25" s="435"/>
      <c r="K25" s="436"/>
    </row>
    <row r="26" spans="1:11" ht="12.75" customHeight="1" x14ac:dyDescent="0.25">
      <c r="A26" s="11" t="str">
        <f>'QTD Mgmt Summary'!A26</f>
        <v>Middle Market Originations (Foster)</v>
      </c>
      <c r="B26" s="229"/>
      <c r="C26" s="21">
        <f t="shared" si="5"/>
        <v>293</v>
      </c>
      <c r="D26" s="273">
        <v>293</v>
      </c>
      <c r="E26" s="258">
        <f t="shared" si="6"/>
        <v>0</v>
      </c>
      <c r="F26" s="273">
        <v>0</v>
      </c>
      <c r="G26" s="273">
        <v>0</v>
      </c>
      <c r="H26" s="280">
        <f t="shared" si="4"/>
        <v>0</v>
      </c>
      <c r="I26" s="434"/>
      <c r="J26" s="435"/>
      <c r="K26" s="436"/>
    </row>
    <row r="27" spans="1:11" ht="12.75" customHeight="1" x14ac:dyDescent="0.25">
      <c r="A27" s="11" t="str">
        <f>'QTD Mgmt Summary'!A27</f>
        <v>Orginations (Thomas/McDonald)</v>
      </c>
      <c r="B27" s="229"/>
      <c r="C27" s="21">
        <f t="shared" si="5"/>
        <v>1458</v>
      </c>
      <c r="D27" s="273">
        <v>1458</v>
      </c>
      <c r="E27" s="258">
        <f t="shared" si="6"/>
        <v>0</v>
      </c>
      <c r="F27" s="273">
        <v>0</v>
      </c>
      <c r="G27" s="273">
        <v>0</v>
      </c>
      <c r="H27" s="280">
        <f t="shared" si="4"/>
        <v>0</v>
      </c>
      <c r="I27" s="343"/>
      <c r="J27" s="343"/>
      <c r="K27" s="344"/>
    </row>
    <row r="28" spans="1:11" ht="12.75" customHeight="1" x14ac:dyDescent="0.25">
      <c r="A28" s="11" t="str">
        <f>'QTD Mgmt Summary'!A28</f>
        <v>Executive (Calger)</v>
      </c>
      <c r="B28" s="229"/>
      <c r="C28" s="21">
        <f t="shared" si="5"/>
        <v>530</v>
      </c>
      <c r="D28" s="273">
        <v>530</v>
      </c>
      <c r="E28" s="258">
        <f t="shared" si="6"/>
        <v>0</v>
      </c>
      <c r="F28" s="273">
        <v>0</v>
      </c>
      <c r="G28" s="273">
        <v>0</v>
      </c>
      <c r="H28" s="280">
        <f t="shared" si="4"/>
        <v>0</v>
      </c>
      <c r="I28" s="434"/>
      <c r="J28" s="435"/>
      <c r="K28" s="436"/>
    </row>
    <row r="29" spans="1:11" ht="12.75" customHeight="1" x14ac:dyDescent="0.25">
      <c r="A29" s="11" t="str">
        <f>'QTD Mgmt Summary'!A29</f>
        <v>Generation (Parquet)</v>
      </c>
      <c r="B29" s="229"/>
      <c r="C29" s="21">
        <f t="shared" si="5"/>
        <v>2094</v>
      </c>
      <c r="D29" s="273">
        <v>2094</v>
      </c>
      <c r="E29" s="258">
        <f t="shared" si="6"/>
        <v>0</v>
      </c>
      <c r="F29" s="273">
        <v>0</v>
      </c>
      <c r="G29" s="273">
        <v>0</v>
      </c>
      <c r="H29" s="280">
        <f t="shared" si="4"/>
        <v>0</v>
      </c>
      <c r="I29" s="343"/>
      <c r="J29" s="343"/>
      <c r="K29" s="344"/>
    </row>
    <row r="30" spans="1:11" ht="12.75" customHeight="1" thickBot="1" x14ac:dyDescent="0.3">
      <c r="A30" s="11" t="str">
        <f>'QTD Mgmt Summary'!A30</f>
        <v>Fundamentals (Heizenreiker)</v>
      </c>
      <c r="B30" s="229"/>
      <c r="C30" s="21">
        <f t="shared" si="5"/>
        <v>273</v>
      </c>
      <c r="D30" s="257">
        <v>273</v>
      </c>
      <c r="E30" s="258">
        <f t="shared" si="6"/>
        <v>0</v>
      </c>
      <c r="F30" s="273">
        <v>0</v>
      </c>
      <c r="G30" s="273">
        <v>0</v>
      </c>
      <c r="H30" s="280">
        <f t="shared" si="4"/>
        <v>0</v>
      </c>
      <c r="I30" s="434"/>
      <c r="J30" s="435"/>
      <c r="K30" s="436"/>
    </row>
    <row r="31" spans="1:11" s="42" customFormat="1" ht="12.75" customHeight="1" thickBot="1" x14ac:dyDescent="0.3">
      <c r="A31" s="35" t="s">
        <v>8</v>
      </c>
      <c r="B31" s="277"/>
      <c r="C31" s="292">
        <f>SUM(C24:C30)</f>
        <v>7409</v>
      </c>
      <c r="D31" s="293">
        <f>SUM(D24:D30)</f>
        <v>7409</v>
      </c>
      <c r="E31" s="297">
        <f>SUM(E25:E30)</f>
        <v>0</v>
      </c>
      <c r="F31" s="294">
        <f>SUM(F25:F30)</f>
        <v>0</v>
      </c>
      <c r="G31" s="294">
        <f>SUM(G25:G30)</f>
        <v>0</v>
      </c>
      <c r="H31" s="295">
        <f>SUM(H25:H30)</f>
        <v>0</v>
      </c>
      <c r="I31" s="296"/>
      <c r="J31" s="294"/>
      <c r="K31" s="295"/>
    </row>
    <row r="32" spans="1:11" ht="12.75" customHeight="1" x14ac:dyDescent="0.25">
      <c r="A32" s="11" t="str">
        <f>'QTD Mgmt Summary'!A32</f>
        <v>East Trading (Neal)</v>
      </c>
      <c r="B32" s="229"/>
      <c r="C32" s="21">
        <v>1902</v>
      </c>
      <c r="D32" s="273">
        <v>1902</v>
      </c>
      <c r="E32" s="258">
        <f>D32-C32</f>
        <v>0</v>
      </c>
      <c r="F32" s="347"/>
      <c r="G32" s="346">
        <v>0</v>
      </c>
      <c r="H32" s="348">
        <f t="shared" ref="H32:H37" si="7">G32-F32</f>
        <v>0</v>
      </c>
      <c r="I32" s="345"/>
      <c r="J32" s="349"/>
      <c r="K32" s="350"/>
    </row>
    <row r="33" spans="1:11" ht="12.75" customHeight="1" x14ac:dyDescent="0.25">
      <c r="A33" s="11" t="str">
        <f>'QTD Mgmt Summary'!A33</f>
        <v>East Origination (Vickors)</v>
      </c>
      <c r="B33" s="229"/>
      <c r="C33" s="21">
        <v>976</v>
      </c>
      <c r="D33" s="273">
        <v>976</v>
      </c>
      <c r="E33" s="258">
        <f t="shared" ref="E33:E44" si="8">D33-C33</f>
        <v>0</v>
      </c>
      <c r="F33" s="21"/>
      <c r="G33" s="273">
        <v>0</v>
      </c>
      <c r="H33" s="258">
        <f t="shared" si="7"/>
        <v>0</v>
      </c>
      <c r="I33" s="281"/>
      <c r="J33" s="257"/>
      <c r="K33" s="280"/>
    </row>
    <row r="34" spans="1:11" ht="12.75" customHeight="1" x14ac:dyDescent="0.25">
      <c r="A34" s="11" t="str">
        <f>'QTD Mgmt Summary'!A34</f>
        <v>Central Trading (Shively)</v>
      </c>
      <c r="B34" s="229"/>
      <c r="C34" s="21">
        <v>1640</v>
      </c>
      <c r="D34" s="273">
        <v>1640</v>
      </c>
      <c r="E34" s="258">
        <f t="shared" si="8"/>
        <v>0</v>
      </c>
      <c r="F34" s="347"/>
      <c r="G34" s="346">
        <v>0</v>
      </c>
      <c r="H34" s="348">
        <f t="shared" si="7"/>
        <v>0</v>
      </c>
      <c r="I34" s="345"/>
      <c r="J34" s="349"/>
      <c r="K34" s="350"/>
    </row>
    <row r="35" spans="1:11" ht="12.75" customHeight="1" x14ac:dyDescent="0.25">
      <c r="A35" s="11" t="str">
        <f>'QTD Mgmt Summary'!A35</f>
        <v>Central Origination (Luce)</v>
      </c>
      <c r="B35" s="229"/>
      <c r="C35" s="21">
        <v>813</v>
      </c>
      <c r="D35" s="273">
        <v>813</v>
      </c>
      <c r="E35" s="258">
        <f t="shared" si="8"/>
        <v>0</v>
      </c>
      <c r="F35" s="21"/>
      <c r="G35" s="273">
        <v>0</v>
      </c>
      <c r="H35" s="258">
        <f t="shared" si="7"/>
        <v>0</v>
      </c>
      <c r="I35" s="281"/>
      <c r="J35" s="257"/>
      <c r="K35" s="280"/>
    </row>
    <row r="36" spans="1:11" ht="12.75" customHeight="1" x14ac:dyDescent="0.25">
      <c r="A36" s="11" t="str">
        <f>'QTD Mgmt Summary'!A36</f>
        <v>Texas Trading (Martin)</v>
      </c>
      <c r="B36" s="229"/>
      <c r="C36" s="180">
        <v>1082</v>
      </c>
      <c r="D36" s="257">
        <v>1082</v>
      </c>
      <c r="E36" s="258">
        <f t="shared" si="8"/>
        <v>0</v>
      </c>
      <c r="F36" s="180">
        <v>0</v>
      </c>
      <c r="G36" s="257">
        <v>0</v>
      </c>
      <c r="H36" s="258">
        <f t="shared" si="7"/>
        <v>0</v>
      </c>
      <c r="I36" s="281"/>
      <c r="J36" s="257"/>
      <c r="K36" s="280"/>
    </row>
    <row r="37" spans="1:11" ht="12.75" customHeight="1" x14ac:dyDescent="0.25">
      <c r="A37" s="11" t="str">
        <f>'QTD Mgmt Summary'!A37</f>
        <v>Texas Origination (Redmond)</v>
      </c>
      <c r="B37" s="229"/>
      <c r="C37" s="180">
        <v>0</v>
      </c>
      <c r="D37" s="257">
        <v>0</v>
      </c>
      <c r="E37" s="258">
        <f t="shared" si="8"/>
        <v>0</v>
      </c>
      <c r="F37" s="180">
        <v>0</v>
      </c>
      <c r="G37" s="257">
        <v>0</v>
      </c>
      <c r="H37" s="258">
        <f t="shared" si="7"/>
        <v>0</v>
      </c>
      <c r="I37" s="281"/>
      <c r="J37" s="257"/>
      <c r="K37" s="280"/>
    </row>
    <row r="38" spans="1:11" ht="12.75" customHeight="1" x14ac:dyDescent="0.25">
      <c r="A38" s="11" t="str">
        <f>'QTD Mgmt Summary'!A38</f>
        <v>West Trading (Allen)</v>
      </c>
      <c r="B38" s="229"/>
      <c r="C38" s="180">
        <v>1106</v>
      </c>
      <c r="D38" s="257">
        <v>1106</v>
      </c>
      <c r="E38" s="258">
        <f t="shared" si="8"/>
        <v>0</v>
      </c>
      <c r="F38" s="180">
        <v>0</v>
      </c>
      <c r="G38" s="257">
        <v>0</v>
      </c>
      <c r="H38" s="258">
        <f t="shared" ref="H38:H44" si="9">G38-F38</f>
        <v>0</v>
      </c>
      <c r="I38" s="281"/>
      <c r="J38" s="257"/>
      <c r="K38" s="280"/>
    </row>
    <row r="39" spans="1:11" ht="12.75" customHeight="1" x14ac:dyDescent="0.25">
      <c r="A39" s="11" t="str">
        <f>'QTD Mgmt Summary'!A39</f>
        <v>West Origination (Tycholiz)</v>
      </c>
      <c r="B39" s="229"/>
      <c r="C39" s="180">
        <v>624</v>
      </c>
      <c r="D39" s="257">
        <v>624</v>
      </c>
      <c r="E39" s="258">
        <f t="shared" si="8"/>
        <v>0</v>
      </c>
      <c r="F39" s="180">
        <v>0</v>
      </c>
      <c r="G39" s="257">
        <v>0</v>
      </c>
      <c r="H39" s="258">
        <f t="shared" si="9"/>
        <v>0</v>
      </c>
      <c r="I39" s="281"/>
      <c r="J39" s="257"/>
      <c r="K39" s="280"/>
    </row>
    <row r="40" spans="1:11" ht="12.75" customHeight="1" x14ac:dyDescent="0.25">
      <c r="A40" s="11" t="str">
        <f>'QTD Mgmt Summary'!A40</f>
        <v>Financial Gas (Arnold)</v>
      </c>
      <c r="B40" s="229"/>
      <c r="C40" s="180">
        <v>402</v>
      </c>
      <c r="D40" s="257">
        <v>402</v>
      </c>
      <c r="E40" s="258">
        <f t="shared" si="8"/>
        <v>0</v>
      </c>
      <c r="F40" s="180">
        <v>0</v>
      </c>
      <c r="G40" s="257">
        <v>0</v>
      </c>
      <c r="H40" s="258">
        <f t="shared" si="9"/>
        <v>0</v>
      </c>
      <c r="I40" s="281"/>
      <c r="J40" s="257"/>
      <c r="K40" s="280"/>
    </row>
    <row r="41" spans="1:11" ht="12.75" customHeight="1" x14ac:dyDescent="0.25">
      <c r="A41" s="11" t="str">
        <f>'QTD Mgmt Summary'!A41</f>
        <v>Derivative (Lagrasta)</v>
      </c>
      <c r="B41" s="229"/>
      <c r="C41" s="180">
        <v>1084</v>
      </c>
      <c r="D41" s="257">
        <v>1084</v>
      </c>
      <c r="E41" s="258">
        <f t="shared" si="8"/>
        <v>0</v>
      </c>
      <c r="F41" s="180">
        <v>0</v>
      </c>
      <c r="G41" s="257">
        <v>0</v>
      </c>
      <c r="H41" s="258">
        <f t="shared" si="9"/>
        <v>0</v>
      </c>
      <c r="I41" s="281"/>
      <c r="J41" s="257"/>
      <c r="K41" s="280"/>
    </row>
    <row r="42" spans="1:11" ht="12.75" customHeight="1" x14ac:dyDescent="0.25">
      <c r="A42" s="11" t="str">
        <f>'QTD Mgmt Summary'!A42</f>
        <v>NG Structuring (McMichael)</v>
      </c>
      <c r="B42" s="229"/>
      <c r="C42" s="180">
        <v>734</v>
      </c>
      <c r="D42" s="257">
        <v>734</v>
      </c>
      <c r="E42" s="258">
        <f t="shared" si="8"/>
        <v>0</v>
      </c>
      <c r="F42" s="180">
        <v>0</v>
      </c>
      <c r="G42" s="257">
        <v>0</v>
      </c>
      <c r="H42" s="258">
        <f t="shared" si="9"/>
        <v>0</v>
      </c>
      <c r="I42" s="281"/>
      <c r="J42" s="257"/>
      <c r="K42" s="280"/>
    </row>
    <row r="43" spans="1:11" ht="12.75" customHeight="1" x14ac:dyDescent="0.25">
      <c r="A43" s="11" t="str">
        <f>'QTD Mgmt Summary'!A43</f>
        <v>NG Fundamentals (Gaskill)</v>
      </c>
      <c r="B43" s="229"/>
      <c r="C43" s="180">
        <v>508</v>
      </c>
      <c r="D43" s="257">
        <v>508</v>
      </c>
      <c r="E43" s="258">
        <f t="shared" si="8"/>
        <v>0</v>
      </c>
      <c r="F43" s="180">
        <v>0</v>
      </c>
      <c r="G43" s="257">
        <v>0</v>
      </c>
      <c r="H43" s="258">
        <f t="shared" si="9"/>
        <v>0</v>
      </c>
      <c r="I43" s="281"/>
      <c r="J43" s="257"/>
      <c r="K43" s="280"/>
    </row>
    <row r="44" spans="1:11" ht="12.75" customHeight="1" thickBot="1" x14ac:dyDescent="0.3">
      <c r="A44" s="11" t="str">
        <f>'QTD Mgmt Summary'!A44</f>
        <v>Management</v>
      </c>
      <c r="B44" s="229"/>
      <c r="C44" s="180">
        <v>0</v>
      </c>
      <c r="D44" s="257"/>
      <c r="E44" s="258">
        <f t="shared" si="8"/>
        <v>0</v>
      </c>
      <c r="F44" s="180">
        <v>0</v>
      </c>
      <c r="G44" s="257"/>
      <c r="H44" s="258">
        <f t="shared" si="9"/>
        <v>0</v>
      </c>
      <c r="I44" s="281"/>
      <c r="J44" s="257"/>
      <c r="K44" s="280"/>
    </row>
    <row r="45" spans="1:11" s="42" customFormat="1" ht="12.75" customHeight="1" thickBot="1" x14ac:dyDescent="0.3">
      <c r="A45" s="35" t="s">
        <v>9</v>
      </c>
      <c r="B45" s="277"/>
      <c r="C45" s="292">
        <f t="shared" ref="C45:H45" si="10">SUM(C32:C44)</f>
        <v>10871</v>
      </c>
      <c r="D45" s="293">
        <f t="shared" si="10"/>
        <v>10871</v>
      </c>
      <c r="E45" s="297">
        <f t="shared" si="10"/>
        <v>0</v>
      </c>
      <c r="F45" s="294">
        <f t="shared" si="10"/>
        <v>0</v>
      </c>
      <c r="G45" s="294">
        <f t="shared" si="10"/>
        <v>0</v>
      </c>
      <c r="H45" s="295">
        <f t="shared" si="10"/>
        <v>0</v>
      </c>
      <c r="I45" s="296"/>
      <c r="J45" s="294"/>
      <c r="K45" s="295"/>
    </row>
    <row r="46" spans="1:11" ht="12.75" customHeight="1" x14ac:dyDescent="0.25">
      <c r="A46" s="11" t="str">
        <f>'QTD Mgmt Summary'!A46</f>
        <v>Natural Gas Trading (Zufferli)</v>
      </c>
      <c r="B46" s="229"/>
      <c r="C46" s="21">
        <v>730</v>
      </c>
      <c r="D46" s="273">
        <v>730</v>
      </c>
      <c r="E46" s="258">
        <f t="shared" ref="E46:E51" si="11">D46-C46</f>
        <v>0</v>
      </c>
      <c r="F46" s="347">
        <v>0</v>
      </c>
      <c r="G46" s="346">
        <v>0</v>
      </c>
      <c r="H46" s="348">
        <f t="shared" ref="H46:H51" si="12">G46-F46</f>
        <v>0</v>
      </c>
      <c r="I46" s="345"/>
      <c r="J46" s="349"/>
      <c r="K46" s="350"/>
    </row>
    <row r="47" spans="1:11" ht="12.75" customHeight="1" x14ac:dyDescent="0.25">
      <c r="A47" s="11" t="str">
        <f>'QTD Mgmt Summary'!A47</f>
        <v>Natural Gas Origination (LeDain)</v>
      </c>
      <c r="B47" s="229"/>
      <c r="C47" s="21">
        <v>487</v>
      </c>
      <c r="D47" s="273">
        <v>487</v>
      </c>
      <c r="E47" s="258">
        <f t="shared" si="11"/>
        <v>0</v>
      </c>
      <c r="F47" s="273">
        <v>0</v>
      </c>
      <c r="G47" s="273">
        <v>0</v>
      </c>
      <c r="H47" s="258">
        <f t="shared" si="12"/>
        <v>0</v>
      </c>
      <c r="I47" s="281"/>
      <c r="J47" s="257"/>
      <c r="K47" s="280"/>
    </row>
    <row r="48" spans="1:11" ht="12.75" customHeight="1" x14ac:dyDescent="0.25">
      <c r="A48" s="11" t="str">
        <f>'QTD Mgmt Summary'!A48</f>
        <v>Finance (Kitagawa)</v>
      </c>
      <c r="B48" s="229"/>
      <c r="C48" s="21">
        <v>423</v>
      </c>
      <c r="D48" s="273">
        <v>423</v>
      </c>
      <c r="E48" s="258">
        <f t="shared" si="11"/>
        <v>0</v>
      </c>
      <c r="F48" s="346">
        <v>0</v>
      </c>
      <c r="G48" s="346">
        <v>0</v>
      </c>
      <c r="H48" s="348">
        <f t="shared" si="12"/>
        <v>0</v>
      </c>
      <c r="I48" s="345"/>
      <c r="J48" s="349"/>
      <c r="K48" s="350"/>
    </row>
    <row r="49" spans="1:11" ht="12.75" customHeight="1" x14ac:dyDescent="0.25">
      <c r="A49" s="11" t="str">
        <f>'QTD Mgmt Summary'!A49</f>
        <v>Alberta Power (Zufferli/Davies)</v>
      </c>
      <c r="B49" s="229"/>
      <c r="C49" s="21">
        <v>574</v>
      </c>
      <c r="D49" s="273">
        <v>574</v>
      </c>
      <c r="E49" s="258">
        <f t="shared" si="11"/>
        <v>0</v>
      </c>
      <c r="F49" s="273">
        <v>0</v>
      </c>
      <c r="G49" s="273">
        <v>0</v>
      </c>
      <c r="H49" s="258">
        <f t="shared" si="12"/>
        <v>0</v>
      </c>
      <c r="I49" s="180"/>
      <c r="J49" s="257"/>
      <c r="K49" s="280"/>
    </row>
    <row r="50" spans="1:11" ht="12.75" customHeight="1" x14ac:dyDescent="0.25">
      <c r="A50" s="11" t="str">
        <f>'QTD Mgmt Summary'!A50</f>
        <v>Ontario Power (Devries)</v>
      </c>
      <c r="B50" s="229"/>
      <c r="C50" s="21">
        <v>1155</v>
      </c>
      <c r="D50" s="273">
        <v>1155</v>
      </c>
      <c r="E50" s="258">
        <f t="shared" si="11"/>
        <v>0</v>
      </c>
      <c r="F50" s="273">
        <v>0</v>
      </c>
      <c r="G50" s="273">
        <v>0</v>
      </c>
      <c r="H50" s="258">
        <f t="shared" si="12"/>
        <v>0</v>
      </c>
      <c r="I50" s="180"/>
      <c r="J50" s="257"/>
      <c r="K50" s="280"/>
    </row>
    <row r="51" spans="1:11" ht="12.75" customHeight="1" thickBot="1" x14ac:dyDescent="0.3">
      <c r="A51" s="11" t="str">
        <f>'QTD Mgmt Summary'!A51</f>
        <v>Executive (Milnthorp)</v>
      </c>
      <c r="B51" s="229"/>
      <c r="C51" s="21">
        <v>1314</v>
      </c>
      <c r="D51" s="273">
        <v>1314</v>
      </c>
      <c r="E51" s="258">
        <f t="shared" si="11"/>
        <v>0</v>
      </c>
      <c r="F51" s="273">
        <v>0</v>
      </c>
      <c r="G51" s="273">
        <v>0</v>
      </c>
      <c r="H51" s="258">
        <f t="shared" si="12"/>
        <v>0</v>
      </c>
      <c r="I51" s="281"/>
      <c r="J51" s="257"/>
      <c r="K51" s="280"/>
    </row>
    <row r="52" spans="1:11" s="42" customFormat="1" ht="12.75" customHeight="1" thickBot="1" x14ac:dyDescent="0.3">
      <c r="A52" s="35" t="s">
        <v>10</v>
      </c>
      <c r="B52" s="277"/>
      <c r="C52" s="292">
        <f t="shared" ref="C52:H52" si="13">SUM(C46:C51)</f>
        <v>4683</v>
      </c>
      <c r="D52" s="293">
        <f t="shared" si="13"/>
        <v>4683</v>
      </c>
      <c r="E52" s="297">
        <f t="shared" si="13"/>
        <v>0</v>
      </c>
      <c r="F52" s="293">
        <f t="shared" si="13"/>
        <v>0</v>
      </c>
      <c r="G52" s="293">
        <f t="shared" si="13"/>
        <v>0</v>
      </c>
      <c r="H52" s="297">
        <f t="shared" si="13"/>
        <v>0</v>
      </c>
      <c r="I52" s="292"/>
      <c r="J52" s="293"/>
      <c r="K52" s="297"/>
    </row>
    <row r="53" spans="1:11" ht="12.75" customHeight="1" x14ac:dyDescent="0.25">
      <c r="A53" s="11" t="str">
        <f>'QTD Mgmt Summary'!A53</f>
        <v>Upstream Products (Mrha)</v>
      </c>
      <c r="B53" s="229"/>
      <c r="C53" s="21">
        <v>1646</v>
      </c>
      <c r="D53" s="40">
        <v>1646</v>
      </c>
      <c r="E53" s="258">
        <f>D53-C53</f>
        <v>0</v>
      </c>
      <c r="F53" s="257">
        <v>302</v>
      </c>
      <c r="G53" s="257">
        <v>302</v>
      </c>
      <c r="H53" s="280">
        <f>G53-F53</f>
        <v>0</v>
      </c>
      <c r="I53" s="180"/>
      <c r="J53" s="257"/>
      <c r="K53" s="289"/>
    </row>
    <row r="54" spans="1:11" ht="12.75" customHeight="1" x14ac:dyDescent="0.25">
      <c r="A54" s="11" t="str">
        <f>'QTD Mgmt Summary'!A54</f>
        <v>Bridgeline (Redmond)</v>
      </c>
      <c r="B54" s="229"/>
      <c r="C54" s="21">
        <v>0</v>
      </c>
      <c r="D54" s="40">
        <v>0</v>
      </c>
      <c r="E54" s="258">
        <f t="shared" ref="E54:E64" si="14">D54-C54</f>
        <v>0</v>
      </c>
      <c r="F54" s="257">
        <v>0</v>
      </c>
      <c r="G54" s="257">
        <v>0</v>
      </c>
      <c r="H54" s="280">
        <f>G54-F54</f>
        <v>0</v>
      </c>
      <c r="I54" s="281"/>
      <c r="J54" s="257"/>
      <c r="K54" s="280"/>
    </row>
    <row r="55" spans="1:11" ht="12.75" customHeight="1" x14ac:dyDescent="0.25">
      <c r="A55" s="11" t="str">
        <f>'QTD Mgmt Summary'!A55</f>
        <v>HPL (Redmond)</v>
      </c>
      <c r="B55" s="229"/>
      <c r="C55" s="21">
        <v>507</v>
      </c>
      <c r="D55" s="40">
        <v>94</v>
      </c>
      <c r="E55" s="258">
        <f t="shared" si="14"/>
        <v>-413</v>
      </c>
      <c r="F55" s="257">
        <v>17825</v>
      </c>
      <c r="G55" s="257">
        <v>11763</v>
      </c>
      <c r="H55" s="280">
        <f>G55-F55</f>
        <v>-6062</v>
      </c>
      <c r="I55" s="281"/>
      <c r="J55" s="257"/>
      <c r="K55" s="280"/>
    </row>
    <row r="56" spans="1:11" ht="12.75" customHeight="1" x14ac:dyDescent="0.25">
      <c r="A56" s="11" t="str">
        <f>'QTD Mgmt Summary'!A56</f>
        <v>Mexico (Irvin/Williams)</v>
      </c>
      <c r="B56" s="229"/>
      <c r="C56" s="21">
        <v>1311</v>
      </c>
      <c r="D56" s="40">
        <v>1311</v>
      </c>
      <c r="E56" s="258">
        <f t="shared" si="14"/>
        <v>0</v>
      </c>
      <c r="F56" s="257">
        <v>0</v>
      </c>
      <c r="G56" s="257">
        <v>0</v>
      </c>
      <c r="H56" s="280">
        <f t="shared" ref="H56:H64" si="15">G56-F56</f>
        <v>0</v>
      </c>
      <c r="I56" s="355"/>
      <c r="J56" s="349"/>
      <c r="K56" s="350"/>
    </row>
    <row r="57" spans="1:11" ht="12.75" customHeight="1" x14ac:dyDescent="0.25">
      <c r="A57" s="11" t="str">
        <f>'QTD Mgmt Summary'!A57</f>
        <v>Energy Capital Svcs (Thompson/Josey)</v>
      </c>
      <c r="B57" s="229"/>
      <c r="C57" s="21">
        <f>D57</f>
        <v>1945</v>
      </c>
      <c r="D57" s="40">
        <v>1945</v>
      </c>
      <c r="E57" s="258">
        <f t="shared" si="14"/>
        <v>0</v>
      </c>
      <c r="F57" s="257">
        <v>0</v>
      </c>
      <c r="G57" s="257">
        <v>0</v>
      </c>
      <c r="H57" s="280">
        <f t="shared" si="15"/>
        <v>0</v>
      </c>
      <c r="I57" s="345"/>
      <c r="J57" s="349"/>
      <c r="K57" s="350"/>
    </row>
    <row r="58" spans="1:11" ht="12.75" customHeight="1" x14ac:dyDescent="0.25">
      <c r="A58" s="11" t="str">
        <f>'QTD Mgmt Summary'!A58</f>
        <v>Mariner</v>
      </c>
      <c r="B58" s="229"/>
      <c r="C58" s="21">
        <v>0</v>
      </c>
      <c r="D58" s="40">
        <v>0</v>
      </c>
      <c r="E58" s="258">
        <f t="shared" si="14"/>
        <v>0</v>
      </c>
      <c r="F58" s="257">
        <v>0</v>
      </c>
      <c r="G58" s="257">
        <v>0</v>
      </c>
      <c r="H58" s="280">
        <f t="shared" si="15"/>
        <v>0</v>
      </c>
      <c r="I58" s="345"/>
      <c r="J58" s="349"/>
      <c r="K58" s="350"/>
    </row>
    <row r="59" spans="1:11" ht="12.75" customHeight="1" x14ac:dyDescent="0.25">
      <c r="A59" s="11" t="str">
        <f>'QTD Mgmt Summary'!A59</f>
        <v>Asset Marketing (D. Miller)</v>
      </c>
      <c r="B59" s="15"/>
      <c r="C59" s="21">
        <v>336</v>
      </c>
      <c r="D59" s="40">
        <v>336</v>
      </c>
      <c r="E59" s="258">
        <f t="shared" si="14"/>
        <v>0</v>
      </c>
      <c r="F59" s="257">
        <v>0</v>
      </c>
      <c r="G59" s="257">
        <v>0</v>
      </c>
      <c r="H59" s="280">
        <f t="shared" si="15"/>
        <v>0</v>
      </c>
      <c r="I59" s="281"/>
      <c r="J59" s="257"/>
      <c r="K59" s="280"/>
    </row>
    <row r="60" spans="1:11" ht="12.75" customHeight="1" x14ac:dyDescent="0.25">
      <c r="A60" s="11" t="str">
        <f>'QTD Mgmt Summary'!A60</f>
        <v>Sold Peakers</v>
      </c>
      <c r="B60" s="15"/>
      <c r="C60" s="21">
        <v>994</v>
      </c>
      <c r="D60" s="40">
        <v>994</v>
      </c>
      <c r="E60" s="258">
        <f t="shared" si="14"/>
        <v>0</v>
      </c>
      <c r="F60" s="257">
        <v>0</v>
      </c>
      <c r="G60" s="257">
        <v>0</v>
      </c>
      <c r="H60" s="280">
        <f t="shared" si="15"/>
        <v>0</v>
      </c>
      <c r="I60" s="281"/>
      <c r="J60" s="257"/>
      <c r="K60" s="280"/>
    </row>
    <row r="61" spans="1:11" ht="12.75" customHeight="1" x14ac:dyDescent="0.25">
      <c r="A61" s="11" t="str">
        <f>'QTD Mgmt Summary'!A61</f>
        <v>Cross Commodity (Lavorato)</v>
      </c>
      <c r="B61" s="15"/>
      <c r="C61" s="21">
        <v>0</v>
      </c>
      <c r="D61" s="40">
        <v>0</v>
      </c>
      <c r="E61" s="258">
        <f t="shared" si="14"/>
        <v>0</v>
      </c>
      <c r="F61" s="257">
        <v>0</v>
      </c>
      <c r="G61" s="257">
        <v>0</v>
      </c>
      <c r="H61" s="280">
        <f t="shared" si="15"/>
        <v>0</v>
      </c>
      <c r="I61" s="180"/>
      <c r="J61" s="257"/>
      <c r="K61" s="280"/>
    </row>
    <row r="62" spans="1:11" ht="12.75" customHeight="1" x14ac:dyDescent="0.25">
      <c r="A62" s="11" t="str">
        <f>'QTD Mgmt Summary'!A62</f>
        <v>Office of the Chairman (Lavorato/Kitchen)</v>
      </c>
      <c r="B62" s="229"/>
      <c r="C62" s="21">
        <v>1292</v>
      </c>
      <c r="D62" s="40">
        <v>1292</v>
      </c>
      <c r="E62" s="258">
        <f t="shared" si="14"/>
        <v>0</v>
      </c>
      <c r="F62" s="257">
        <v>0</v>
      </c>
      <c r="G62" s="257">
        <v>0</v>
      </c>
      <c r="H62" s="280">
        <f t="shared" si="15"/>
        <v>0</v>
      </c>
      <c r="I62" s="180"/>
      <c r="J62" s="257"/>
      <c r="K62" s="280"/>
    </row>
    <row r="63" spans="1:11" ht="12.75" customHeight="1" x14ac:dyDescent="0.25">
      <c r="A63" s="11" t="str">
        <f>'QTD Mgmt Summary'!A63</f>
        <v>TVA Settlement</v>
      </c>
      <c r="B63" s="229"/>
      <c r="C63" s="21">
        <v>0</v>
      </c>
      <c r="D63" s="40">
        <v>0</v>
      </c>
      <c r="E63" s="258">
        <f t="shared" si="14"/>
        <v>0</v>
      </c>
      <c r="F63" s="257">
        <v>0</v>
      </c>
      <c r="G63" s="257">
        <v>0</v>
      </c>
      <c r="H63" s="280">
        <f t="shared" si="15"/>
        <v>0</v>
      </c>
      <c r="I63" s="180"/>
      <c r="J63" s="257"/>
      <c r="K63" s="280"/>
    </row>
    <row r="64" spans="1:11" ht="12.75" customHeight="1" thickBot="1" x14ac:dyDescent="0.3">
      <c r="A64" s="11" t="str">
        <f>'QTD Mgmt Summary'!A64</f>
        <v>Other *</v>
      </c>
      <c r="B64" s="229"/>
      <c r="C64" s="21">
        <v>608</v>
      </c>
      <c r="D64" s="40">
        <v>608</v>
      </c>
      <c r="E64" s="258">
        <f t="shared" si="14"/>
        <v>0</v>
      </c>
      <c r="F64" s="257">
        <v>0</v>
      </c>
      <c r="G64" s="257">
        <v>0</v>
      </c>
      <c r="H64" s="280">
        <f t="shared" si="15"/>
        <v>0</v>
      </c>
      <c r="I64" s="355"/>
      <c r="J64" s="349"/>
      <c r="K64" s="350"/>
    </row>
    <row r="65" spans="1:14" s="150" customFormat="1" ht="12.75" customHeight="1" thickBot="1" x14ac:dyDescent="0.25">
      <c r="A65" s="35" t="s">
        <v>12</v>
      </c>
      <c r="B65" s="277"/>
      <c r="C65" s="294">
        <f t="shared" ref="C65:H65" si="16">(SUM(C53:C64))+C23+C31+C45+C52</f>
        <v>45627</v>
      </c>
      <c r="D65" s="293">
        <f t="shared" si="16"/>
        <v>44848</v>
      </c>
      <c r="E65" s="297">
        <f t="shared" si="16"/>
        <v>-779</v>
      </c>
      <c r="F65" s="294">
        <f t="shared" si="16"/>
        <v>18127</v>
      </c>
      <c r="G65" s="294">
        <f t="shared" si="16"/>
        <v>12065</v>
      </c>
      <c r="H65" s="295">
        <f t="shared" si="16"/>
        <v>-6062</v>
      </c>
      <c r="I65" s="296"/>
      <c r="J65" s="294"/>
      <c r="K65" s="295"/>
      <c r="N65" s="268"/>
    </row>
    <row r="66" spans="1:14" ht="7.5" customHeight="1" x14ac:dyDescent="0.25">
      <c r="A66" s="29"/>
      <c r="B66" s="229"/>
      <c r="C66" s="30"/>
      <c r="D66" s="65"/>
      <c r="E66" s="317"/>
      <c r="F66" s="252"/>
      <c r="G66" s="252"/>
      <c r="H66" s="282"/>
      <c r="I66" s="187"/>
      <c r="J66" s="252"/>
      <c r="K66" s="290"/>
    </row>
    <row r="67" spans="1:14" ht="12.75" customHeight="1" x14ac:dyDescent="0.25">
      <c r="A67" s="29" t="s">
        <v>51</v>
      </c>
      <c r="B67" s="229"/>
      <c r="C67" s="273">
        <f>D67</f>
        <v>2629</v>
      </c>
      <c r="D67" s="273">
        <v>2629</v>
      </c>
      <c r="E67" s="280">
        <f t="shared" ref="E67:E80" si="17">D67-C67</f>
        <v>0</v>
      </c>
      <c r="F67" s="41">
        <v>0</v>
      </c>
      <c r="G67" s="41">
        <v>0</v>
      </c>
      <c r="H67" s="41">
        <f>G67-F67</f>
        <v>0</v>
      </c>
      <c r="I67" s="291"/>
      <c r="J67" s="278"/>
      <c r="K67" s="280"/>
    </row>
    <row r="68" spans="1:14" ht="12.75" customHeight="1" x14ac:dyDescent="0.25">
      <c r="A68" s="29" t="s">
        <v>52</v>
      </c>
      <c r="B68" s="229"/>
      <c r="C68" s="273">
        <f t="shared" ref="C68:C79" si="18">D68</f>
        <v>499</v>
      </c>
      <c r="D68" s="273">
        <v>499</v>
      </c>
      <c r="E68" s="280">
        <f t="shared" si="17"/>
        <v>0</v>
      </c>
      <c r="F68" s="41">
        <v>0</v>
      </c>
      <c r="G68" s="41">
        <v>0</v>
      </c>
      <c r="H68" s="41">
        <f t="shared" ref="H68:H80" si="19">G68-F68</f>
        <v>0</v>
      </c>
      <c r="I68" s="291"/>
      <c r="J68" s="278"/>
      <c r="K68" s="280"/>
    </row>
    <row r="69" spans="1:14" ht="12.75" customHeight="1" x14ac:dyDescent="0.25">
      <c r="A69" s="29" t="s">
        <v>106</v>
      </c>
      <c r="B69" s="229"/>
      <c r="C69" s="273">
        <f t="shared" si="18"/>
        <v>1419</v>
      </c>
      <c r="D69" s="273">
        <v>1419</v>
      </c>
      <c r="E69" s="280">
        <f t="shared" si="17"/>
        <v>0</v>
      </c>
      <c r="F69" s="41">
        <v>0</v>
      </c>
      <c r="G69" s="41">
        <v>0</v>
      </c>
      <c r="H69" s="41">
        <f t="shared" si="19"/>
        <v>0</v>
      </c>
      <c r="I69" s="291"/>
      <c r="J69" s="278"/>
      <c r="K69" s="280"/>
    </row>
    <row r="70" spans="1:14" ht="12.75" customHeight="1" x14ac:dyDescent="0.25">
      <c r="A70" s="29" t="s">
        <v>53</v>
      </c>
      <c r="B70" s="229"/>
      <c r="C70" s="273">
        <f t="shared" si="18"/>
        <v>10143</v>
      </c>
      <c r="D70" s="273">
        <v>10143</v>
      </c>
      <c r="E70" s="280">
        <f t="shared" si="17"/>
        <v>0</v>
      </c>
      <c r="F70" s="41">
        <v>0</v>
      </c>
      <c r="G70" s="41">
        <v>0</v>
      </c>
      <c r="H70" s="41">
        <f t="shared" si="19"/>
        <v>0</v>
      </c>
      <c r="I70" s="291"/>
      <c r="J70" s="278"/>
      <c r="K70" s="280"/>
    </row>
    <row r="71" spans="1:14" ht="12.75" customHeight="1" x14ac:dyDescent="0.25">
      <c r="A71" s="29" t="s">
        <v>54</v>
      </c>
      <c r="B71" s="229"/>
      <c r="C71" s="273">
        <f t="shared" si="18"/>
        <v>1204</v>
      </c>
      <c r="D71" s="273">
        <v>1204</v>
      </c>
      <c r="E71" s="280">
        <f t="shared" si="17"/>
        <v>0</v>
      </c>
      <c r="F71" s="41">
        <v>0</v>
      </c>
      <c r="G71" s="41">
        <v>0</v>
      </c>
      <c r="H71" s="41">
        <f t="shared" si="19"/>
        <v>0</v>
      </c>
      <c r="I71" s="291"/>
      <c r="J71" s="278"/>
      <c r="K71" s="280"/>
    </row>
    <row r="72" spans="1:14" ht="12.75" customHeight="1" x14ac:dyDescent="0.25">
      <c r="A72" s="29" t="s">
        <v>55</v>
      </c>
      <c r="B72" s="229"/>
      <c r="C72" s="273">
        <f t="shared" si="18"/>
        <v>2251</v>
      </c>
      <c r="D72" s="273">
        <v>2251</v>
      </c>
      <c r="E72" s="280">
        <f t="shared" si="17"/>
        <v>0</v>
      </c>
      <c r="F72" s="41">
        <v>0</v>
      </c>
      <c r="G72" s="41">
        <v>0</v>
      </c>
      <c r="H72" s="41">
        <f t="shared" si="19"/>
        <v>0</v>
      </c>
      <c r="I72" s="291"/>
      <c r="J72" s="278"/>
      <c r="K72" s="280"/>
    </row>
    <row r="73" spans="1:14" ht="12.75" customHeight="1" x14ac:dyDescent="0.25">
      <c r="A73" s="29" t="s">
        <v>56</v>
      </c>
      <c r="B73" s="229"/>
      <c r="C73" s="273">
        <f t="shared" si="18"/>
        <v>318</v>
      </c>
      <c r="D73" s="273">
        <v>318</v>
      </c>
      <c r="E73" s="280">
        <f t="shared" si="17"/>
        <v>0</v>
      </c>
      <c r="F73" s="41">
        <v>0</v>
      </c>
      <c r="G73" s="41">
        <v>0</v>
      </c>
      <c r="H73" s="41">
        <f t="shared" si="19"/>
        <v>0</v>
      </c>
      <c r="I73" s="291"/>
      <c r="J73" s="278"/>
      <c r="K73" s="280"/>
    </row>
    <row r="74" spans="1:14" ht="12.75" customHeight="1" x14ac:dyDescent="0.25">
      <c r="A74" s="29" t="s">
        <v>57</v>
      </c>
      <c r="B74" s="229"/>
      <c r="C74" s="273">
        <f t="shared" si="18"/>
        <v>575</v>
      </c>
      <c r="D74" s="273">
        <v>575</v>
      </c>
      <c r="E74" s="280">
        <f t="shared" si="17"/>
        <v>0</v>
      </c>
      <c r="F74" s="41">
        <v>0</v>
      </c>
      <c r="G74" s="41">
        <v>0</v>
      </c>
      <c r="H74" s="41">
        <f t="shared" si="19"/>
        <v>0</v>
      </c>
      <c r="I74" s="291"/>
      <c r="J74" s="278"/>
      <c r="K74" s="280"/>
    </row>
    <row r="75" spans="1:14" ht="12.75" customHeight="1" x14ac:dyDescent="0.25">
      <c r="A75" s="29" t="s">
        <v>59</v>
      </c>
      <c r="B75" s="229"/>
      <c r="C75" s="273">
        <f t="shared" si="18"/>
        <v>545</v>
      </c>
      <c r="D75" s="273">
        <v>545</v>
      </c>
      <c r="E75" s="280">
        <f t="shared" si="17"/>
        <v>0</v>
      </c>
      <c r="F75" s="41">
        <v>0</v>
      </c>
      <c r="G75" s="41">
        <v>0</v>
      </c>
      <c r="H75" s="41">
        <f t="shared" si="19"/>
        <v>0</v>
      </c>
      <c r="I75" s="291"/>
      <c r="J75" s="278"/>
      <c r="K75" s="280"/>
    </row>
    <row r="76" spans="1:14" ht="12.75" customHeight="1" x14ac:dyDescent="0.25">
      <c r="A76" s="29" t="s">
        <v>60</v>
      </c>
      <c r="B76" s="229"/>
      <c r="C76" s="273">
        <f t="shared" si="18"/>
        <v>198</v>
      </c>
      <c r="D76" s="273">
        <v>198</v>
      </c>
      <c r="E76" s="280">
        <f t="shared" si="17"/>
        <v>0</v>
      </c>
      <c r="F76" s="41">
        <v>0</v>
      </c>
      <c r="G76" s="41">
        <v>0</v>
      </c>
      <c r="H76" s="41">
        <f t="shared" si="19"/>
        <v>0</v>
      </c>
      <c r="I76" s="291"/>
      <c r="J76" s="278"/>
      <c r="K76" s="280"/>
    </row>
    <row r="77" spans="1:14" ht="12.75" customHeight="1" x14ac:dyDescent="0.25">
      <c r="A77" s="29" t="s">
        <v>61</v>
      </c>
      <c r="B77" s="229"/>
      <c r="C77" s="273">
        <f t="shared" si="18"/>
        <v>682</v>
      </c>
      <c r="D77" s="273">
        <v>682</v>
      </c>
      <c r="E77" s="280">
        <f t="shared" si="17"/>
        <v>0</v>
      </c>
      <c r="F77" s="41">
        <v>0</v>
      </c>
      <c r="G77" s="41">
        <v>0</v>
      </c>
      <c r="H77" s="41">
        <f t="shared" si="19"/>
        <v>0</v>
      </c>
      <c r="I77" s="291"/>
      <c r="J77" s="278"/>
      <c r="K77" s="280"/>
    </row>
    <row r="78" spans="1:14" ht="12.75" customHeight="1" x14ac:dyDescent="0.25">
      <c r="A78" s="29" t="s">
        <v>62</v>
      </c>
      <c r="B78" s="229"/>
      <c r="C78" s="273">
        <f t="shared" si="18"/>
        <v>1419</v>
      </c>
      <c r="D78" s="273">
        <v>1419</v>
      </c>
      <c r="E78" s="280">
        <f t="shared" si="17"/>
        <v>0</v>
      </c>
      <c r="F78" s="41">
        <v>0</v>
      </c>
      <c r="G78" s="41">
        <v>0</v>
      </c>
      <c r="H78" s="41">
        <f t="shared" si="19"/>
        <v>0</v>
      </c>
      <c r="I78" s="291"/>
      <c r="J78" s="278"/>
      <c r="K78" s="280"/>
    </row>
    <row r="79" spans="1:14" ht="12.75" customHeight="1" x14ac:dyDescent="0.25">
      <c r="A79" s="29" t="s">
        <v>58</v>
      </c>
      <c r="B79" s="229"/>
      <c r="C79" s="273">
        <f t="shared" si="18"/>
        <v>23075</v>
      </c>
      <c r="D79" s="273">
        <v>23075</v>
      </c>
      <c r="E79" s="280">
        <f t="shared" si="17"/>
        <v>0</v>
      </c>
      <c r="F79" s="41">
        <v>0</v>
      </c>
      <c r="G79" s="41">
        <v>0</v>
      </c>
      <c r="H79" s="41">
        <f t="shared" si="19"/>
        <v>0</v>
      </c>
      <c r="I79" s="291"/>
      <c r="J79" s="278"/>
      <c r="K79" s="280"/>
    </row>
    <row r="80" spans="1:14" ht="12.75" customHeight="1" thickBot="1" x14ac:dyDescent="0.3">
      <c r="A80" s="29" t="s">
        <v>17</v>
      </c>
      <c r="B80" s="229"/>
      <c r="C80" s="273">
        <f>D80+750</f>
        <v>47362</v>
      </c>
      <c r="D80" s="273">
        <v>46612</v>
      </c>
      <c r="E80" s="280">
        <f t="shared" si="17"/>
        <v>-750</v>
      </c>
      <c r="F80" s="41">
        <v>0</v>
      </c>
      <c r="G80" s="41">
        <v>0</v>
      </c>
      <c r="H80" s="41">
        <f t="shared" si="19"/>
        <v>0</v>
      </c>
      <c r="I80" s="291"/>
      <c r="J80" s="278"/>
      <c r="K80" s="280"/>
    </row>
    <row r="81" spans="1:11" s="150" customFormat="1" ht="12.75" customHeight="1" thickBot="1" x14ac:dyDescent="0.25">
      <c r="A81" s="35" t="s">
        <v>13</v>
      </c>
      <c r="B81" s="277"/>
      <c r="C81" s="292">
        <f t="shared" ref="C81:H81" si="20">SUM(C67:C80)</f>
        <v>92319</v>
      </c>
      <c r="D81" s="293">
        <f t="shared" si="20"/>
        <v>91569</v>
      </c>
      <c r="E81" s="297">
        <f t="shared" si="20"/>
        <v>-750</v>
      </c>
      <c r="F81" s="292">
        <f t="shared" si="20"/>
        <v>0</v>
      </c>
      <c r="G81" s="293">
        <f t="shared" si="20"/>
        <v>0</v>
      </c>
      <c r="H81" s="297">
        <f t="shared" si="20"/>
        <v>0</v>
      </c>
      <c r="I81" s="296"/>
      <c r="J81" s="294"/>
      <c r="K81" s="295"/>
    </row>
    <row r="82" spans="1:11" s="33" customFormat="1" ht="12.75" customHeight="1" x14ac:dyDescent="0.25">
      <c r="A82" s="163" t="str">
        <f>'QTD Mgmt Summary'!A82</f>
        <v>Prepay Expenses</v>
      </c>
      <c r="B82" s="229"/>
      <c r="C82" s="180">
        <v>37132</v>
      </c>
      <c r="D82" s="257">
        <v>37132</v>
      </c>
      <c r="E82" s="318">
        <f>-D82+C82</f>
        <v>0</v>
      </c>
      <c r="F82" s="180">
        <v>0</v>
      </c>
      <c r="G82" s="257">
        <v>0</v>
      </c>
      <c r="H82" s="318">
        <f>-G82+F82</f>
        <v>0</v>
      </c>
      <c r="I82" s="180"/>
      <c r="J82" s="257"/>
      <c r="K82" s="280"/>
    </row>
    <row r="83" spans="1:11" s="33" customFormat="1" ht="12.75" customHeight="1" x14ac:dyDescent="0.25">
      <c r="A83" s="163" t="str">
        <f>'QTD Mgmt Summary'!A83</f>
        <v>U.S. Drift</v>
      </c>
      <c r="B83" s="229"/>
      <c r="C83" s="30">
        <v>600</v>
      </c>
      <c r="D83" s="257">
        <v>600</v>
      </c>
      <c r="E83" s="258">
        <f>-D83+C83</f>
        <v>0</v>
      </c>
      <c r="F83" s="30">
        <v>0</v>
      </c>
      <c r="G83" s="257">
        <v>0</v>
      </c>
      <c r="H83" s="258">
        <f>-G83+F83</f>
        <v>0</v>
      </c>
      <c r="I83" s="180"/>
      <c r="J83" s="257"/>
      <c r="K83" s="280"/>
    </row>
    <row r="84" spans="1:11" s="33" customFormat="1" ht="12.75" customHeight="1" x14ac:dyDescent="0.25">
      <c r="A84" s="163" t="str">
        <f>'QTD Mgmt Summary'!A84</f>
        <v>Facility Costs</v>
      </c>
      <c r="B84" s="229"/>
      <c r="C84" s="180">
        <v>0</v>
      </c>
      <c r="D84" s="257">
        <v>0</v>
      </c>
      <c r="E84" s="258">
        <f>-D84+C84</f>
        <v>0</v>
      </c>
      <c r="F84" s="180">
        <v>0</v>
      </c>
      <c r="G84" s="257">
        <v>0</v>
      </c>
      <c r="H84" s="258">
        <f>-G84+F84</f>
        <v>0</v>
      </c>
      <c r="I84" s="180"/>
      <c r="J84" s="257"/>
      <c r="K84" s="280"/>
    </row>
    <row r="85" spans="1:11" ht="12.75" customHeight="1" thickBot="1" x14ac:dyDescent="0.3">
      <c r="A85" s="163" t="str">
        <f>'QTD Mgmt Summary'!A85</f>
        <v>Capital Charge Offset</v>
      </c>
      <c r="B85" s="229"/>
      <c r="C85" s="180">
        <v>0</v>
      </c>
      <c r="D85" s="257">
        <v>0</v>
      </c>
      <c r="E85" s="258">
        <f>-D85+C85</f>
        <v>0</v>
      </c>
      <c r="F85" s="180">
        <v>0</v>
      </c>
      <c r="G85" s="257">
        <v>0</v>
      </c>
      <c r="H85" s="258">
        <f>-G85+F85</f>
        <v>0</v>
      </c>
      <c r="I85" s="281"/>
      <c r="J85" s="273"/>
      <c r="K85" s="280"/>
    </row>
    <row r="86" spans="1:11" s="150" customFormat="1" ht="12.75" customHeight="1" thickBot="1" x14ac:dyDescent="0.25">
      <c r="A86" s="35" t="s">
        <v>174</v>
      </c>
      <c r="B86" s="277"/>
      <c r="C86" s="292">
        <f t="shared" ref="C86:H86" si="21">C65+C81+C82+C83+C84+C85</f>
        <v>175678</v>
      </c>
      <c r="D86" s="293">
        <f t="shared" si="21"/>
        <v>174149</v>
      </c>
      <c r="E86" s="297">
        <f t="shared" si="21"/>
        <v>-1529</v>
      </c>
      <c r="F86" s="293">
        <f t="shared" si="21"/>
        <v>18127</v>
      </c>
      <c r="G86" s="293">
        <f t="shared" si="21"/>
        <v>12065</v>
      </c>
      <c r="H86" s="297">
        <f t="shared" si="21"/>
        <v>-6062</v>
      </c>
      <c r="I86" s="292"/>
      <c r="J86" s="293"/>
      <c r="K86" s="297"/>
    </row>
    <row r="87" spans="1:11" ht="12.75" customHeight="1" thickBot="1" x14ac:dyDescent="0.3">
      <c r="A87" s="29" t="s">
        <v>15</v>
      </c>
      <c r="B87" s="229"/>
      <c r="C87" s="30">
        <v>40984</v>
      </c>
      <c r="D87" s="65">
        <v>25828</v>
      </c>
      <c r="E87" s="318">
        <f>D87-C87</f>
        <v>-15156</v>
      </c>
      <c r="F87" s="252">
        <v>0</v>
      </c>
      <c r="G87" s="252">
        <v>0</v>
      </c>
      <c r="H87" s="280">
        <f>G87-F87</f>
        <v>0</v>
      </c>
      <c r="I87" s="187"/>
      <c r="J87" s="252"/>
      <c r="K87" s="280"/>
    </row>
    <row r="88" spans="1:11" s="150" customFormat="1" ht="12.75" customHeight="1" thickBot="1" x14ac:dyDescent="0.25">
      <c r="A88" s="35" t="s">
        <v>125</v>
      </c>
      <c r="B88" s="277"/>
      <c r="C88" s="36">
        <f>SUM(C86:C87)</f>
        <v>216662</v>
      </c>
      <c r="D88" s="298">
        <f>SUM(D86:D87)</f>
        <v>199977</v>
      </c>
      <c r="E88" s="319">
        <f>SUM(E86:E87)</f>
        <v>-16685</v>
      </c>
      <c r="F88" s="299">
        <f>SUM(F86:F87)</f>
        <v>18127</v>
      </c>
      <c r="G88" s="299">
        <f>SUM(G86:G87)</f>
        <v>12065</v>
      </c>
      <c r="H88" s="300">
        <f>F88-G88</f>
        <v>6062</v>
      </c>
      <c r="I88" s="191"/>
      <c r="J88" s="299"/>
      <c r="K88" s="300"/>
    </row>
    <row r="89" spans="1:11" ht="3" customHeight="1" x14ac:dyDescent="0.25">
      <c r="A89" s="38"/>
      <c r="C89" s="39"/>
      <c r="D89" s="40"/>
      <c r="E89" s="38"/>
    </row>
    <row r="91" spans="1:11" x14ac:dyDescent="0.25">
      <c r="A91" s="10" t="s">
        <v>202</v>
      </c>
    </row>
  </sheetData>
  <mergeCells count="25">
    <mergeCell ref="C6:E7"/>
    <mergeCell ref="I11:K11"/>
    <mergeCell ref="I12:K12"/>
    <mergeCell ref="I13:K13"/>
    <mergeCell ref="I9:K9"/>
    <mergeCell ref="I10:K10"/>
    <mergeCell ref="A2:K2"/>
    <mergeCell ref="A3:K3"/>
    <mergeCell ref="A4:K4"/>
    <mergeCell ref="I6:K7"/>
    <mergeCell ref="F6:H7"/>
    <mergeCell ref="I17:K17"/>
    <mergeCell ref="I18:K18"/>
    <mergeCell ref="I19:K19"/>
    <mergeCell ref="I20:K20"/>
    <mergeCell ref="I14:K14"/>
    <mergeCell ref="I15:K15"/>
    <mergeCell ref="I16:K16"/>
    <mergeCell ref="I30:K30"/>
    <mergeCell ref="I25:K25"/>
    <mergeCell ref="I26:K26"/>
    <mergeCell ref="I28:K28"/>
    <mergeCell ref="I21:K21"/>
    <mergeCell ref="I22:K22"/>
    <mergeCell ref="I24:K24"/>
  </mergeCells>
  <phoneticPr fontId="0" type="noConversion"/>
  <printOptions horizontalCentered="1"/>
  <pageMargins left="0.25" right="0.25" top="0.2" bottom="0.16" header="0.17" footer="0.18"/>
  <pageSetup scale="66" orientation="portrait" r:id="rId1"/>
  <headerFooter alignWithMargins="0">
    <oddFooter>&amp;L&amp;D&amp;T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T88"/>
  <sheetViews>
    <sheetView workbookViewId="0">
      <pane ySplit="8" topLeftCell="A9" activePane="bottomLeft" state="frozen"/>
      <selection activeCell="A4" sqref="A4"/>
      <selection pane="bottomLeft" activeCell="A9" sqref="A9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9.140625" style="10"/>
    <col min="6" max="6" width="9.28515625" style="195" customWidth="1"/>
    <col min="7" max="7" width="9" style="195" customWidth="1"/>
    <col min="8" max="10" width="8.7109375" style="195" customWidth="1"/>
    <col min="11" max="11" width="25.5703125" style="195" customWidth="1"/>
    <col min="12" max="12" width="0.85546875" style="10" customWidth="1"/>
    <col min="13" max="13" width="8.7109375" style="10" customWidth="1"/>
    <col min="14" max="17" width="7.7109375" style="10" customWidth="1"/>
    <col min="18" max="19" width="8.7109375" style="10" customWidth="1"/>
    <col min="20" max="20" width="0.85546875" style="10" customWidth="1"/>
    <col min="21" max="16384" width="9.140625" style="10"/>
  </cols>
  <sheetData>
    <row r="1" spans="1:20" s="2" customFormat="1" ht="9.9499999999999993" customHeight="1" x14ac:dyDescent="0.25">
      <c r="A1"/>
      <c r="B1"/>
      <c r="C1"/>
      <c r="D1"/>
      <c r="E1"/>
      <c r="F1" s="162"/>
      <c r="G1" s="162"/>
      <c r="H1" s="162"/>
      <c r="I1" s="162"/>
      <c r="J1" s="162"/>
      <c r="K1" s="162"/>
      <c r="L1"/>
      <c r="M1"/>
      <c r="N1"/>
      <c r="O1"/>
      <c r="P1"/>
      <c r="Q1"/>
      <c r="R1"/>
      <c r="S1"/>
      <c r="T1" s="1"/>
    </row>
    <row r="2" spans="1:20" s="5" customFormat="1" ht="29.25" customHeight="1" x14ac:dyDescent="0.4">
      <c r="A2" s="420" t="s">
        <v>70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"/>
      <c r="M2" s="4"/>
      <c r="N2" s="4"/>
      <c r="O2" s="4"/>
      <c r="P2" s="4"/>
      <c r="Q2" s="4"/>
      <c r="R2" s="4"/>
      <c r="T2" s="6"/>
    </row>
    <row r="3" spans="1:20" s="2" customFormat="1" ht="15.75" customHeight="1" x14ac:dyDescent="0.3">
      <c r="A3" s="421" t="s">
        <v>169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  <c r="L3"/>
      <c r="M3"/>
      <c r="N3"/>
      <c r="O3"/>
      <c r="P3"/>
      <c r="Q3"/>
      <c r="R3"/>
      <c r="T3" s="6"/>
    </row>
    <row r="4" spans="1:20" s="2" customFormat="1" ht="15.75" customHeight="1" x14ac:dyDescent="0.3">
      <c r="A4" s="421" t="str">
        <f>'QTD Mgmt Summary'!Q3</f>
        <v>Results based on activity through Aug 3, 2001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/>
      <c r="M4"/>
      <c r="N4"/>
      <c r="O4"/>
      <c r="P4"/>
      <c r="Q4"/>
      <c r="R4"/>
      <c r="T4" s="6"/>
    </row>
    <row r="5" spans="1:20" s="2" customFormat="1" ht="15" customHeight="1" thickBot="1" x14ac:dyDescent="0.3">
      <c r="A5"/>
      <c r="B5"/>
      <c r="C5"/>
      <c r="D5"/>
      <c r="E5"/>
      <c r="F5" s="162"/>
      <c r="G5" s="162"/>
      <c r="H5" s="162"/>
      <c r="I5" s="162"/>
      <c r="J5" s="162"/>
      <c r="K5" s="162"/>
      <c r="L5"/>
      <c r="M5"/>
      <c r="N5"/>
      <c r="O5"/>
      <c r="P5"/>
      <c r="Q5"/>
      <c r="R5"/>
      <c r="S5"/>
      <c r="T5" s="7"/>
    </row>
    <row r="6" spans="1:20" s="8" customFormat="1" ht="15" customHeight="1" x14ac:dyDescent="0.25">
      <c r="A6" s="45"/>
      <c r="B6" s="276"/>
      <c r="C6" s="398" t="s">
        <v>168</v>
      </c>
      <c r="D6" s="399"/>
      <c r="E6" s="399"/>
      <c r="F6" s="404" t="s">
        <v>164</v>
      </c>
      <c r="G6" s="405"/>
      <c r="H6" s="405"/>
      <c r="I6" s="405"/>
      <c r="J6" s="405"/>
      <c r="K6" s="406"/>
    </row>
    <row r="7" spans="1:20" s="8" customFormat="1" ht="14.25" customHeight="1" x14ac:dyDescent="0.25">
      <c r="A7" s="224" t="s">
        <v>2</v>
      </c>
      <c r="B7" s="229"/>
      <c r="C7" s="422"/>
      <c r="D7" s="423"/>
      <c r="E7" s="423"/>
      <c r="F7" s="408"/>
      <c r="G7" s="409"/>
      <c r="H7" s="409"/>
      <c r="I7" s="409"/>
      <c r="J7" s="409"/>
      <c r="K7" s="410"/>
    </row>
    <row r="8" spans="1:20" ht="18" customHeight="1" thickBot="1" x14ac:dyDescent="0.3">
      <c r="A8" s="46"/>
      <c r="B8" s="284"/>
      <c r="C8" s="335" t="s">
        <v>3</v>
      </c>
      <c r="D8" s="333" t="s">
        <v>4</v>
      </c>
      <c r="E8" s="333" t="s">
        <v>5</v>
      </c>
      <c r="F8" s="337"/>
      <c r="G8" s="334"/>
      <c r="H8" s="334"/>
      <c r="I8" s="334"/>
      <c r="J8" s="334"/>
      <c r="K8" s="336"/>
    </row>
    <row r="9" spans="1:20" s="18" customFormat="1" ht="12.75" customHeight="1" x14ac:dyDescent="0.25">
      <c r="A9" s="11" t="str">
        <f>'QTD Mgmt Summary'!A9</f>
        <v>Norteast Trading (Davis)</v>
      </c>
      <c r="B9" s="274"/>
      <c r="C9" s="146">
        <v>0</v>
      </c>
      <c r="D9" s="161">
        <v>0</v>
      </c>
      <c r="E9" s="258">
        <f t="shared" ref="E9:E14" si="0">D9-C9</f>
        <v>0</v>
      </c>
      <c r="F9" s="434"/>
      <c r="G9" s="435"/>
      <c r="H9" s="435"/>
      <c r="I9" s="435"/>
      <c r="J9" s="435"/>
      <c r="K9" s="436"/>
    </row>
    <row r="10" spans="1:20" s="18" customFormat="1" ht="12.75" customHeight="1" x14ac:dyDescent="0.25">
      <c r="A10" s="11" t="str">
        <f>'QTD Mgmt Summary'!A10</f>
        <v>Northeast Origination (Llodia)</v>
      </c>
      <c r="B10" s="274"/>
      <c r="C10" s="21">
        <v>0</v>
      </c>
      <c r="D10" s="40">
        <v>0</v>
      </c>
      <c r="E10" s="258">
        <f t="shared" si="0"/>
        <v>0</v>
      </c>
      <c r="F10" s="434"/>
      <c r="G10" s="435"/>
      <c r="H10" s="435"/>
      <c r="I10" s="435"/>
      <c r="J10" s="435"/>
      <c r="K10" s="436"/>
    </row>
    <row r="11" spans="1:20" ht="12.75" customHeight="1" x14ac:dyDescent="0.25">
      <c r="A11" s="11" t="str">
        <f>'QTD Mgmt Summary'!A11</f>
        <v>Midwest Trading (Sturm/Baughman)</v>
      </c>
      <c r="B11" s="15"/>
      <c r="C11" s="281">
        <v>0</v>
      </c>
      <c r="D11" s="273">
        <v>0</v>
      </c>
      <c r="E11" s="258">
        <f t="shared" si="0"/>
        <v>0</v>
      </c>
      <c r="F11" s="434"/>
      <c r="G11" s="435"/>
      <c r="H11" s="435"/>
      <c r="I11" s="435"/>
      <c r="J11" s="435"/>
      <c r="K11" s="436"/>
    </row>
    <row r="12" spans="1:20" ht="12.75" customHeight="1" x14ac:dyDescent="0.25">
      <c r="A12" s="11" t="str">
        <f>'QTD Mgmt Summary'!A12</f>
        <v>Midwest Origination (Sturm/Baughman)</v>
      </c>
      <c r="B12" s="15"/>
      <c r="C12" s="281">
        <v>0</v>
      </c>
      <c r="D12" s="273">
        <v>0</v>
      </c>
      <c r="E12" s="258">
        <f t="shared" si="0"/>
        <v>0</v>
      </c>
      <c r="F12" s="434"/>
      <c r="G12" s="435"/>
      <c r="H12" s="435"/>
      <c r="I12" s="435"/>
      <c r="J12" s="435"/>
      <c r="K12" s="436"/>
    </row>
    <row r="13" spans="1:20" ht="12.75" customHeight="1" x14ac:dyDescent="0.25">
      <c r="A13" s="11" t="str">
        <f>'QTD Mgmt Summary'!A13</f>
        <v xml:space="preserve">Southeast Trading (Herndon/Kroll) </v>
      </c>
      <c r="B13" s="15"/>
      <c r="C13" s="281">
        <v>75</v>
      </c>
      <c r="D13" s="273">
        <v>0</v>
      </c>
      <c r="E13" s="258">
        <f t="shared" si="0"/>
        <v>-75</v>
      </c>
      <c r="F13" s="449" t="s">
        <v>177</v>
      </c>
      <c r="G13" s="450"/>
      <c r="H13" s="450"/>
      <c r="I13" s="450"/>
      <c r="J13" s="450"/>
      <c r="K13" s="451"/>
    </row>
    <row r="14" spans="1:20" ht="12.75" customHeight="1" x14ac:dyDescent="0.25">
      <c r="A14" s="11" t="str">
        <f>'QTD Mgmt Summary'!A14</f>
        <v xml:space="preserve">Southeast Orig (Herndon/Kroll) </v>
      </c>
      <c r="B14" s="15"/>
      <c r="C14" s="281">
        <v>0</v>
      </c>
      <c r="D14" s="273">
        <v>0</v>
      </c>
      <c r="E14" s="258">
        <f t="shared" si="0"/>
        <v>0</v>
      </c>
      <c r="F14" s="434"/>
      <c r="G14" s="435"/>
      <c r="H14" s="435"/>
      <c r="I14" s="435"/>
      <c r="J14" s="435"/>
      <c r="K14" s="436"/>
    </row>
    <row r="15" spans="1:20" ht="12.75" customHeight="1" x14ac:dyDescent="0.25">
      <c r="A15" s="11" t="str">
        <f>'QTD Mgmt Summary'!A15</f>
        <v>ERCOT Trading (Smith/Corry)</v>
      </c>
      <c r="B15" s="15"/>
      <c r="C15" s="281">
        <v>0</v>
      </c>
      <c r="D15" s="273">
        <v>0</v>
      </c>
      <c r="E15" s="258">
        <f t="shared" ref="E15:E22" si="1">D15-C15</f>
        <v>0</v>
      </c>
      <c r="F15" s="434"/>
      <c r="G15" s="435"/>
      <c r="H15" s="435"/>
      <c r="I15" s="435"/>
      <c r="J15" s="435"/>
      <c r="K15" s="436"/>
    </row>
    <row r="16" spans="1:20" ht="12.75" customHeight="1" x14ac:dyDescent="0.25">
      <c r="A16" s="11" t="str">
        <f>'QTD Mgmt Summary'!A16</f>
        <v>ERCOT Orig (Smith/Corry)</v>
      </c>
      <c r="B16" s="15"/>
      <c r="C16" s="281">
        <v>0</v>
      </c>
      <c r="D16" s="273">
        <v>0</v>
      </c>
      <c r="E16" s="258">
        <f t="shared" si="1"/>
        <v>0</v>
      </c>
      <c r="F16" s="434"/>
      <c r="G16" s="435"/>
      <c r="H16" s="435"/>
      <c r="I16" s="435"/>
      <c r="J16" s="435"/>
      <c r="K16" s="436"/>
    </row>
    <row r="17" spans="1:11" ht="12.75" customHeight="1" x14ac:dyDescent="0.25">
      <c r="A17" s="11" t="str">
        <f>'QTD Mgmt Summary'!A17</f>
        <v>Options (Arora)</v>
      </c>
      <c r="B17" s="15"/>
      <c r="C17" s="281">
        <v>0</v>
      </c>
      <c r="D17" s="273">
        <v>0</v>
      </c>
      <c r="E17" s="258">
        <f t="shared" si="1"/>
        <v>0</v>
      </c>
      <c r="F17" s="434"/>
      <c r="G17" s="435"/>
      <c r="H17" s="435"/>
      <c r="I17" s="435"/>
      <c r="J17" s="435"/>
      <c r="K17" s="436"/>
    </row>
    <row r="18" spans="1:11" ht="12.75" customHeight="1" x14ac:dyDescent="0.25">
      <c r="A18" s="11" t="str">
        <f>'QTD Mgmt Summary'!A18</f>
        <v>Management  Book (Presto)</v>
      </c>
      <c r="B18" s="15"/>
      <c r="C18" s="281">
        <v>0</v>
      </c>
      <c r="D18" s="273">
        <v>0</v>
      </c>
      <c r="E18" s="258">
        <f t="shared" si="1"/>
        <v>0</v>
      </c>
      <c r="F18" s="434"/>
      <c r="G18" s="435"/>
      <c r="H18" s="435"/>
      <c r="I18" s="435"/>
      <c r="J18" s="435"/>
      <c r="K18" s="436"/>
    </row>
    <row r="19" spans="1:11" ht="12.75" customHeight="1" x14ac:dyDescent="0.25">
      <c r="A19" s="11" t="str">
        <f>'QTD Mgmt Summary'!A19</f>
        <v>Services (Will)</v>
      </c>
      <c r="B19" s="15"/>
      <c r="C19" s="281">
        <v>0</v>
      </c>
      <c r="D19" s="273">
        <v>0</v>
      </c>
      <c r="E19" s="258">
        <f t="shared" si="1"/>
        <v>0</v>
      </c>
      <c r="F19" s="434"/>
      <c r="G19" s="435"/>
      <c r="H19" s="435"/>
      <c r="I19" s="435"/>
      <c r="J19" s="435"/>
      <c r="K19" s="436"/>
    </row>
    <row r="20" spans="1:11" ht="12.75" customHeight="1" x14ac:dyDescent="0.25">
      <c r="A20" s="11" t="str">
        <f>'QTD Mgmt Summary'!A20</f>
        <v>Development (Jacoby)</v>
      </c>
      <c r="B20" s="15"/>
      <c r="C20" s="281">
        <v>324</v>
      </c>
      <c r="D20" s="273">
        <v>348</v>
      </c>
      <c r="E20" s="258">
        <f t="shared" si="1"/>
        <v>24</v>
      </c>
      <c r="F20" s="434"/>
      <c r="G20" s="435"/>
      <c r="H20" s="435"/>
      <c r="I20" s="435"/>
      <c r="J20" s="435"/>
      <c r="K20" s="436"/>
    </row>
    <row r="21" spans="1:11" ht="12.75" customHeight="1" x14ac:dyDescent="0.25">
      <c r="A21" s="11" t="str">
        <f>'QTD Mgmt Summary'!A21</f>
        <v>Generation Investments (Duran)</v>
      </c>
      <c r="B21" s="15"/>
      <c r="C21" s="281">
        <v>16892</v>
      </c>
      <c r="D21" s="273">
        <v>16314</v>
      </c>
      <c r="E21" s="258">
        <f t="shared" si="1"/>
        <v>-578</v>
      </c>
      <c r="F21" s="434"/>
      <c r="G21" s="435"/>
      <c r="H21" s="435"/>
      <c r="I21" s="435"/>
      <c r="J21" s="435"/>
      <c r="K21" s="436"/>
    </row>
    <row r="22" spans="1:11" ht="12.75" customHeight="1" thickBot="1" x14ac:dyDescent="0.3">
      <c r="A22" s="11" t="str">
        <f>'QTD Mgmt Summary'!A22</f>
        <v>Structuring/Fundamentals (Meyn/Will)</v>
      </c>
      <c r="B22" s="15"/>
      <c r="C22" s="365">
        <v>0</v>
      </c>
      <c r="D22" s="376">
        <v>0</v>
      </c>
      <c r="E22" s="332">
        <f t="shared" si="1"/>
        <v>0</v>
      </c>
      <c r="F22" s="452"/>
      <c r="G22" s="453"/>
      <c r="H22" s="453"/>
      <c r="I22" s="453"/>
      <c r="J22" s="453"/>
      <c r="K22" s="454"/>
    </row>
    <row r="23" spans="1:11" s="42" customFormat="1" ht="12.75" customHeight="1" thickBot="1" x14ac:dyDescent="0.3">
      <c r="A23" s="35" t="s">
        <v>7</v>
      </c>
      <c r="B23" s="277"/>
      <c r="C23" s="292">
        <f>SUM(C9:C22)</f>
        <v>17291</v>
      </c>
      <c r="D23" s="293">
        <f>SUM(D9:D22)</f>
        <v>16662</v>
      </c>
      <c r="E23" s="293">
        <f>SUM(E9:E22)</f>
        <v>-629</v>
      </c>
      <c r="F23" s="455"/>
      <c r="G23" s="456"/>
      <c r="H23" s="456"/>
      <c r="I23" s="456"/>
      <c r="J23" s="456"/>
      <c r="K23" s="457"/>
    </row>
    <row r="24" spans="1:11" ht="12.75" customHeight="1" x14ac:dyDescent="0.25">
      <c r="A24" s="11" t="str">
        <f>'QTD Mgmt Summary'!A25</f>
        <v>Services (Foster/Wolfe)</v>
      </c>
      <c r="B24" s="229"/>
      <c r="C24" s="377">
        <v>0</v>
      </c>
      <c r="D24" s="378">
        <v>0</v>
      </c>
      <c r="E24" s="379">
        <f t="shared" ref="E24:E30" si="2">D24-C24</f>
        <v>0</v>
      </c>
      <c r="F24" s="435"/>
      <c r="G24" s="435"/>
      <c r="H24" s="435"/>
      <c r="I24" s="435"/>
      <c r="J24" s="435"/>
      <c r="K24" s="436"/>
    </row>
    <row r="25" spans="1:11" ht="12.75" customHeight="1" x14ac:dyDescent="0.25">
      <c r="A25" s="11" t="str">
        <f>'QTD Mgmt Summary'!A24</f>
        <v>Trading (Belden)</v>
      </c>
      <c r="B25" s="229"/>
      <c r="C25" s="21">
        <v>0</v>
      </c>
      <c r="D25" s="273">
        <v>0</v>
      </c>
      <c r="E25" s="258">
        <f t="shared" si="2"/>
        <v>0</v>
      </c>
      <c r="F25" s="435"/>
      <c r="G25" s="435"/>
      <c r="H25" s="435"/>
      <c r="I25" s="435"/>
      <c r="J25" s="435"/>
      <c r="K25" s="436"/>
    </row>
    <row r="26" spans="1:11" ht="12.75" customHeight="1" x14ac:dyDescent="0.25">
      <c r="A26" s="11" t="str">
        <f>'QTD Mgmt Summary'!A26</f>
        <v>Middle Market Originations (Foster)</v>
      </c>
      <c r="B26" s="229"/>
      <c r="C26" s="21">
        <v>0</v>
      </c>
      <c r="D26" s="273">
        <v>0</v>
      </c>
      <c r="E26" s="258">
        <f t="shared" si="2"/>
        <v>0</v>
      </c>
      <c r="F26" s="435"/>
      <c r="G26" s="435"/>
      <c r="H26" s="435"/>
      <c r="I26" s="435"/>
      <c r="J26" s="435"/>
      <c r="K26" s="436"/>
    </row>
    <row r="27" spans="1:11" ht="12.75" customHeight="1" x14ac:dyDescent="0.25">
      <c r="A27" s="11" t="str">
        <f>'QTD Mgmt Summary'!A27</f>
        <v>Orginations (Thomas/McDonald)</v>
      </c>
      <c r="B27" s="229"/>
      <c r="C27" s="21">
        <v>1084</v>
      </c>
      <c r="D27" s="273">
        <v>963</v>
      </c>
      <c r="E27" s="258">
        <f t="shared" si="2"/>
        <v>-121</v>
      </c>
      <c r="F27" s="449" t="s">
        <v>178</v>
      </c>
      <c r="G27" s="450"/>
      <c r="H27" s="450"/>
      <c r="I27" s="450"/>
      <c r="J27" s="450"/>
      <c r="K27" s="451"/>
    </row>
    <row r="28" spans="1:11" ht="12.75" customHeight="1" x14ac:dyDescent="0.25">
      <c r="A28" s="11" t="str">
        <f>'QTD Mgmt Summary'!A28</f>
        <v>Executive (Calger)</v>
      </c>
      <c r="B28" s="229"/>
      <c r="C28" s="21">
        <v>0</v>
      </c>
      <c r="D28" s="273">
        <v>0</v>
      </c>
      <c r="E28" s="258">
        <f t="shared" si="2"/>
        <v>0</v>
      </c>
      <c r="F28" s="449"/>
      <c r="G28" s="450"/>
      <c r="H28" s="450"/>
      <c r="I28" s="450"/>
      <c r="J28" s="450"/>
      <c r="K28" s="451"/>
    </row>
    <row r="29" spans="1:11" ht="12.75" customHeight="1" x14ac:dyDescent="0.25">
      <c r="A29" s="11" t="str">
        <f>'QTD Mgmt Summary'!A29</f>
        <v>Generation (Parquet)</v>
      </c>
      <c r="B29" s="229"/>
      <c r="C29" s="21">
        <v>2084</v>
      </c>
      <c r="D29" s="273">
        <v>1870</v>
      </c>
      <c r="E29" s="258">
        <f t="shared" si="2"/>
        <v>-214</v>
      </c>
      <c r="F29" s="449" t="s">
        <v>179</v>
      </c>
      <c r="G29" s="450"/>
      <c r="H29" s="450"/>
      <c r="I29" s="450"/>
      <c r="J29" s="450"/>
      <c r="K29" s="451"/>
    </row>
    <row r="30" spans="1:11" ht="12.75" customHeight="1" thickBot="1" x14ac:dyDescent="0.3">
      <c r="A30" s="11" t="str">
        <f>'QTD Mgmt Summary'!A30</f>
        <v>Fundamentals (Heizenreiker)</v>
      </c>
      <c r="B30" s="229"/>
      <c r="C30" s="380">
        <v>0</v>
      </c>
      <c r="D30" s="303">
        <v>0</v>
      </c>
      <c r="E30" s="332">
        <f t="shared" si="2"/>
        <v>0</v>
      </c>
      <c r="F30" s="449"/>
      <c r="G30" s="450"/>
      <c r="H30" s="450"/>
      <c r="I30" s="450"/>
      <c r="J30" s="450"/>
      <c r="K30" s="451"/>
    </row>
    <row r="31" spans="1:11" s="42" customFormat="1" ht="12.75" customHeight="1" thickBot="1" x14ac:dyDescent="0.3">
      <c r="A31" s="35" t="s">
        <v>8</v>
      </c>
      <c r="B31" s="277"/>
      <c r="C31" s="292">
        <f>SUM(C24:C30)</f>
        <v>3168</v>
      </c>
      <c r="D31" s="293">
        <f>SUM(D24:D30)</f>
        <v>2833</v>
      </c>
      <c r="E31" s="293">
        <f>SUM(E25:E30)</f>
        <v>-335</v>
      </c>
      <c r="F31" s="455"/>
      <c r="G31" s="456"/>
      <c r="H31" s="456"/>
      <c r="I31" s="456"/>
      <c r="J31" s="456"/>
      <c r="K31" s="457"/>
    </row>
    <row r="32" spans="1:11" ht="12.75" customHeight="1" x14ac:dyDescent="0.25">
      <c r="A32" s="11" t="str">
        <f>'QTD Mgmt Summary'!A32</f>
        <v>East Trading (Neal)</v>
      </c>
      <c r="B32" s="229"/>
      <c r="C32" s="21">
        <v>745</v>
      </c>
      <c r="D32" s="273">
        <v>1573</v>
      </c>
      <c r="E32" s="40">
        <f t="shared" ref="E32:E37" si="3">D32-C32</f>
        <v>828</v>
      </c>
      <c r="F32" s="449" t="s">
        <v>181</v>
      </c>
      <c r="G32" s="450"/>
      <c r="H32" s="450"/>
      <c r="I32" s="450"/>
      <c r="J32" s="450"/>
      <c r="K32" s="451"/>
    </row>
    <row r="33" spans="1:11" ht="12.75" customHeight="1" x14ac:dyDescent="0.25">
      <c r="A33" s="11" t="str">
        <f>'QTD Mgmt Summary'!A33</f>
        <v>East Origination (Vickors)</v>
      </c>
      <c r="B33" s="229"/>
      <c r="C33" s="21">
        <v>0</v>
      </c>
      <c r="D33" s="273">
        <v>0</v>
      </c>
      <c r="E33" s="40">
        <f t="shared" si="3"/>
        <v>0</v>
      </c>
      <c r="F33" s="434"/>
      <c r="G33" s="435"/>
      <c r="H33" s="435"/>
      <c r="I33" s="435"/>
      <c r="J33" s="435"/>
      <c r="K33" s="436"/>
    </row>
    <row r="34" spans="1:11" ht="12.75" customHeight="1" x14ac:dyDescent="0.25">
      <c r="A34" s="11" t="str">
        <f>'QTD Mgmt Summary'!A34</f>
        <v>Central Trading (Shively)</v>
      </c>
      <c r="B34" s="229"/>
      <c r="C34" s="21">
        <v>847</v>
      </c>
      <c r="D34" s="273">
        <v>144</v>
      </c>
      <c r="E34" s="40">
        <f t="shared" si="3"/>
        <v>-703</v>
      </c>
      <c r="F34" s="449" t="s">
        <v>180</v>
      </c>
      <c r="G34" s="450"/>
      <c r="H34" s="450"/>
      <c r="I34" s="450"/>
      <c r="J34" s="450"/>
      <c r="K34" s="451"/>
    </row>
    <row r="35" spans="1:11" ht="12.75" customHeight="1" x14ac:dyDescent="0.25">
      <c r="A35" s="11" t="str">
        <f>'QTD Mgmt Summary'!A35</f>
        <v>Central Origination (Luce)</v>
      </c>
      <c r="B35" s="229"/>
      <c r="C35" s="21">
        <v>0</v>
      </c>
      <c r="D35" s="273">
        <v>0</v>
      </c>
      <c r="E35" s="40">
        <f t="shared" si="3"/>
        <v>0</v>
      </c>
      <c r="F35" s="434"/>
      <c r="G35" s="435"/>
      <c r="H35" s="435"/>
      <c r="I35" s="435"/>
      <c r="J35" s="435"/>
      <c r="K35" s="436"/>
    </row>
    <row r="36" spans="1:11" ht="12.75" customHeight="1" x14ac:dyDescent="0.25">
      <c r="A36" s="11" t="str">
        <f>'QTD Mgmt Summary'!A36</f>
        <v>Texas Trading (Martin)</v>
      </c>
      <c r="B36" s="229"/>
      <c r="C36" s="180">
        <v>0</v>
      </c>
      <c r="D36" s="257">
        <v>0</v>
      </c>
      <c r="E36" s="40">
        <f t="shared" si="3"/>
        <v>0</v>
      </c>
      <c r="F36" s="434"/>
      <c r="G36" s="435"/>
      <c r="H36" s="435"/>
      <c r="I36" s="435"/>
      <c r="J36" s="435"/>
      <c r="K36" s="436"/>
    </row>
    <row r="37" spans="1:11" ht="12.75" customHeight="1" x14ac:dyDescent="0.25">
      <c r="A37" s="11" t="str">
        <f>'QTD Mgmt Summary'!A37</f>
        <v>Texas Origination (Redmond)</v>
      </c>
      <c r="B37" s="229"/>
      <c r="C37" s="180">
        <v>0</v>
      </c>
      <c r="D37" s="257">
        <v>0</v>
      </c>
      <c r="E37" s="40">
        <f t="shared" si="3"/>
        <v>0</v>
      </c>
      <c r="F37" s="434"/>
      <c r="G37" s="435"/>
      <c r="H37" s="435"/>
      <c r="I37" s="435"/>
      <c r="J37" s="435"/>
      <c r="K37" s="436"/>
    </row>
    <row r="38" spans="1:11" ht="12.75" customHeight="1" x14ac:dyDescent="0.25">
      <c r="A38" s="11" t="str">
        <f>'QTD Mgmt Summary'!A38</f>
        <v>West Trading (Allen)</v>
      </c>
      <c r="B38" s="229"/>
      <c r="C38" s="180">
        <v>0</v>
      </c>
      <c r="D38" s="257">
        <v>0</v>
      </c>
      <c r="E38" s="40">
        <f t="shared" ref="E38:E44" si="4">D38-C38</f>
        <v>0</v>
      </c>
      <c r="F38" s="434"/>
      <c r="G38" s="435"/>
      <c r="H38" s="435"/>
      <c r="I38" s="435"/>
      <c r="J38" s="435"/>
      <c r="K38" s="436"/>
    </row>
    <row r="39" spans="1:11" ht="12.75" customHeight="1" x14ac:dyDescent="0.25">
      <c r="A39" s="11" t="str">
        <f>'QTD Mgmt Summary'!A39</f>
        <v>West Origination (Tycholiz)</v>
      </c>
      <c r="B39" s="229"/>
      <c r="C39" s="180">
        <v>0</v>
      </c>
      <c r="D39" s="257">
        <v>0</v>
      </c>
      <c r="E39" s="40">
        <f t="shared" si="4"/>
        <v>0</v>
      </c>
      <c r="F39" s="434"/>
      <c r="G39" s="435"/>
      <c r="H39" s="435"/>
      <c r="I39" s="435"/>
      <c r="J39" s="435"/>
      <c r="K39" s="436"/>
    </row>
    <row r="40" spans="1:11" ht="12.75" customHeight="1" x14ac:dyDescent="0.25">
      <c r="A40" s="11" t="str">
        <f>'QTD Mgmt Summary'!A40</f>
        <v>Financial Gas (Arnold)</v>
      </c>
      <c r="B40" s="229"/>
      <c r="C40" s="180">
        <v>0</v>
      </c>
      <c r="D40" s="257">
        <v>0</v>
      </c>
      <c r="E40" s="40">
        <f t="shared" si="4"/>
        <v>0</v>
      </c>
      <c r="F40" s="434"/>
      <c r="G40" s="435"/>
      <c r="H40" s="435"/>
      <c r="I40" s="435"/>
      <c r="J40" s="435"/>
      <c r="K40" s="436"/>
    </row>
    <row r="41" spans="1:11" ht="12.75" customHeight="1" x14ac:dyDescent="0.25">
      <c r="A41" s="11" t="str">
        <f>'QTD Mgmt Summary'!A41</f>
        <v>Derivative (Lagrasta)</v>
      </c>
      <c r="B41" s="229"/>
      <c r="C41" s="180">
        <v>0</v>
      </c>
      <c r="D41" s="257">
        <v>0</v>
      </c>
      <c r="E41" s="40">
        <f t="shared" si="4"/>
        <v>0</v>
      </c>
      <c r="F41" s="434"/>
      <c r="G41" s="435"/>
      <c r="H41" s="435"/>
      <c r="I41" s="435"/>
      <c r="J41" s="435"/>
      <c r="K41" s="436"/>
    </row>
    <row r="42" spans="1:11" ht="12.75" customHeight="1" x14ac:dyDescent="0.25">
      <c r="A42" s="11" t="str">
        <f>'QTD Mgmt Summary'!A42</f>
        <v>NG Structuring (McMichael)</v>
      </c>
      <c r="B42" s="229"/>
      <c r="C42" s="180">
        <v>0</v>
      </c>
      <c r="D42" s="257">
        <v>0</v>
      </c>
      <c r="E42" s="40">
        <f t="shared" si="4"/>
        <v>0</v>
      </c>
      <c r="F42" s="434"/>
      <c r="G42" s="435"/>
      <c r="H42" s="435"/>
      <c r="I42" s="435"/>
      <c r="J42" s="435"/>
      <c r="K42" s="436"/>
    </row>
    <row r="43" spans="1:11" ht="12.75" customHeight="1" x14ac:dyDescent="0.25">
      <c r="A43" s="11" t="str">
        <f>'QTD Mgmt Summary'!A43</f>
        <v>NG Fundamentals (Gaskill)</v>
      </c>
      <c r="B43" s="229"/>
      <c r="C43" s="180">
        <v>0</v>
      </c>
      <c r="D43" s="257">
        <v>0</v>
      </c>
      <c r="E43" s="40">
        <f t="shared" si="4"/>
        <v>0</v>
      </c>
      <c r="F43" s="434"/>
      <c r="G43" s="435"/>
      <c r="H43" s="435"/>
      <c r="I43" s="435"/>
      <c r="J43" s="435"/>
      <c r="K43" s="436"/>
    </row>
    <row r="44" spans="1:11" ht="12.75" customHeight="1" thickBot="1" x14ac:dyDescent="0.3">
      <c r="A44" s="11" t="str">
        <f>'QTD Mgmt Summary'!A44</f>
        <v>Management</v>
      </c>
      <c r="B44" s="229"/>
      <c r="C44" s="180">
        <v>0</v>
      </c>
      <c r="D44" s="257">
        <v>0</v>
      </c>
      <c r="E44" s="40">
        <f t="shared" si="4"/>
        <v>0</v>
      </c>
      <c r="F44" s="434"/>
      <c r="G44" s="435"/>
      <c r="H44" s="435"/>
      <c r="I44" s="435"/>
      <c r="J44" s="435"/>
      <c r="K44" s="436"/>
    </row>
    <row r="45" spans="1:11" s="42" customFormat="1" ht="12.75" customHeight="1" thickBot="1" x14ac:dyDescent="0.3">
      <c r="A45" s="35" t="s">
        <v>9</v>
      </c>
      <c r="B45" s="277"/>
      <c r="C45" s="292">
        <f>SUM(C32:C44)</f>
        <v>1592</v>
      </c>
      <c r="D45" s="293">
        <f>SUM(D32:D44)</f>
        <v>1717</v>
      </c>
      <c r="E45" s="293">
        <f>SUM(E32:E44)</f>
        <v>125</v>
      </c>
      <c r="F45" s="455"/>
      <c r="G45" s="456"/>
      <c r="H45" s="456"/>
      <c r="I45" s="456"/>
      <c r="J45" s="456"/>
      <c r="K45" s="457"/>
    </row>
    <row r="46" spans="1:11" ht="12.75" customHeight="1" x14ac:dyDescent="0.25">
      <c r="A46" s="11" t="str">
        <f>'QTD Mgmt Summary'!A46</f>
        <v>Natural Gas Trading (Zufferli)</v>
      </c>
      <c r="B46" s="229"/>
      <c r="C46" s="21">
        <v>222</v>
      </c>
      <c r="D46" s="273">
        <v>99</v>
      </c>
      <c r="E46" s="40">
        <f t="shared" ref="E46:E51" si="5">D46-C46</f>
        <v>-123</v>
      </c>
      <c r="F46" s="449" t="s">
        <v>180</v>
      </c>
      <c r="G46" s="450"/>
      <c r="H46" s="450"/>
      <c r="I46" s="450"/>
      <c r="J46" s="450"/>
      <c r="K46" s="451"/>
    </row>
    <row r="47" spans="1:11" ht="12.75" customHeight="1" x14ac:dyDescent="0.25">
      <c r="A47" s="11" t="str">
        <f>'QTD Mgmt Summary'!A47</f>
        <v>Natural Gas Origination (LeDain)</v>
      </c>
      <c r="B47" s="229"/>
      <c r="C47" s="21">
        <v>0</v>
      </c>
      <c r="D47" s="273">
        <v>0</v>
      </c>
      <c r="E47" s="40">
        <f t="shared" si="5"/>
        <v>0</v>
      </c>
      <c r="F47" s="434"/>
      <c r="G47" s="435"/>
      <c r="H47" s="435"/>
      <c r="I47" s="435"/>
      <c r="J47" s="435"/>
      <c r="K47" s="436"/>
    </row>
    <row r="48" spans="1:11" ht="12.75" customHeight="1" x14ac:dyDescent="0.25">
      <c r="A48" s="11" t="str">
        <f>'QTD Mgmt Summary'!A48</f>
        <v>Finance (Kitagawa)</v>
      </c>
      <c r="B48" s="229"/>
      <c r="C48" s="21">
        <v>907</v>
      </c>
      <c r="D48" s="273">
        <v>98</v>
      </c>
      <c r="E48" s="40">
        <f t="shared" si="5"/>
        <v>-809</v>
      </c>
      <c r="F48" s="449" t="s">
        <v>182</v>
      </c>
      <c r="G48" s="450"/>
      <c r="H48" s="450"/>
      <c r="I48" s="450"/>
      <c r="J48" s="450"/>
      <c r="K48" s="451"/>
    </row>
    <row r="49" spans="1:11" ht="12.75" customHeight="1" x14ac:dyDescent="0.25">
      <c r="A49" s="11" t="str">
        <f>'QTD Mgmt Summary'!A49</f>
        <v>Alberta Power (Zufferli/Davies)</v>
      </c>
      <c r="B49" s="229"/>
      <c r="C49" s="21">
        <v>0</v>
      </c>
      <c r="D49" s="273">
        <v>0</v>
      </c>
      <c r="E49" s="40">
        <f t="shared" si="5"/>
        <v>0</v>
      </c>
      <c r="F49" s="434"/>
      <c r="G49" s="435"/>
      <c r="H49" s="435"/>
      <c r="I49" s="435"/>
      <c r="J49" s="435"/>
      <c r="K49" s="436"/>
    </row>
    <row r="50" spans="1:11" ht="12.75" customHeight="1" x14ac:dyDescent="0.25">
      <c r="A50" s="11" t="str">
        <f>'QTD Mgmt Summary'!A50</f>
        <v>Ontario Power (Devries)</v>
      </c>
      <c r="B50" s="229"/>
      <c r="C50" s="21">
        <v>0</v>
      </c>
      <c r="D50" s="273">
        <v>447</v>
      </c>
      <c r="E50" s="40">
        <f t="shared" si="5"/>
        <v>447</v>
      </c>
      <c r="F50" s="434"/>
      <c r="G50" s="435"/>
      <c r="H50" s="435"/>
      <c r="I50" s="435"/>
      <c r="J50" s="435"/>
      <c r="K50" s="436"/>
    </row>
    <row r="51" spans="1:11" ht="12.75" customHeight="1" thickBot="1" x14ac:dyDescent="0.3">
      <c r="A51" s="11" t="str">
        <f>'QTD Mgmt Summary'!A51</f>
        <v>Executive (Milnthorp)</v>
      </c>
      <c r="B51" s="229"/>
      <c r="C51" s="21">
        <v>0</v>
      </c>
      <c r="D51" s="273">
        <v>0</v>
      </c>
      <c r="E51" s="40">
        <f t="shared" si="5"/>
        <v>0</v>
      </c>
      <c r="F51" s="434"/>
      <c r="G51" s="435"/>
      <c r="H51" s="435"/>
      <c r="I51" s="435"/>
      <c r="J51" s="435"/>
      <c r="K51" s="436"/>
    </row>
    <row r="52" spans="1:11" s="42" customFormat="1" ht="12.75" customHeight="1" thickBot="1" x14ac:dyDescent="0.3">
      <c r="A52" s="35" t="s">
        <v>10</v>
      </c>
      <c r="B52" s="277"/>
      <c r="C52" s="292">
        <f>SUM(C46:C51)</f>
        <v>1129</v>
      </c>
      <c r="D52" s="293">
        <f>SUM(D46:D51)</f>
        <v>644</v>
      </c>
      <c r="E52" s="293">
        <f>SUM(E46:E51)</f>
        <v>-485</v>
      </c>
      <c r="F52" s="455"/>
      <c r="G52" s="456"/>
      <c r="H52" s="456"/>
      <c r="I52" s="456"/>
      <c r="J52" s="456"/>
      <c r="K52" s="457"/>
    </row>
    <row r="53" spans="1:11" ht="12.75" customHeight="1" x14ac:dyDescent="0.25">
      <c r="A53" s="11" t="str">
        <f>'QTD Mgmt Summary'!A53</f>
        <v>Upstream Products (Mrha)</v>
      </c>
      <c r="B53" s="229"/>
      <c r="C53" s="21">
        <v>0</v>
      </c>
      <c r="D53" s="40">
        <v>501</v>
      </c>
      <c r="E53" s="40">
        <f t="shared" ref="E53:E64" si="6">D53-C53</f>
        <v>501</v>
      </c>
      <c r="F53" s="449" t="s">
        <v>204</v>
      </c>
      <c r="G53" s="450"/>
      <c r="H53" s="450"/>
      <c r="I53" s="450"/>
      <c r="J53" s="450"/>
      <c r="K53" s="451"/>
    </row>
    <row r="54" spans="1:11" ht="12.75" customHeight="1" x14ac:dyDescent="0.25">
      <c r="A54" s="11" t="str">
        <f>'QTD Mgmt Summary'!A54</f>
        <v>Bridgeline (Redmond)</v>
      </c>
      <c r="B54" s="229"/>
      <c r="C54" s="21">
        <v>5450</v>
      </c>
      <c r="D54" s="40">
        <v>6282</v>
      </c>
      <c r="E54" s="40">
        <f t="shared" si="6"/>
        <v>832</v>
      </c>
      <c r="F54" s="434"/>
      <c r="G54" s="435"/>
      <c r="H54" s="435"/>
      <c r="I54" s="435"/>
      <c r="J54" s="435"/>
      <c r="K54" s="436"/>
    </row>
    <row r="55" spans="1:11" ht="12.75" customHeight="1" x14ac:dyDescent="0.25">
      <c r="A55" s="11" t="str">
        <f>'QTD Mgmt Summary'!A55</f>
        <v>HPL (Redmond)</v>
      </c>
      <c r="B55" s="229"/>
      <c r="C55" s="21">
        <v>0</v>
      </c>
      <c r="D55" s="40">
        <v>0</v>
      </c>
      <c r="E55" s="40">
        <f t="shared" si="6"/>
        <v>0</v>
      </c>
      <c r="F55" s="434"/>
      <c r="G55" s="435"/>
      <c r="H55" s="435"/>
      <c r="I55" s="435"/>
      <c r="J55" s="435"/>
      <c r="K55" s="436"/>
    </row>
    <row r="56" spans="1:11" ht="12.75" customHeight="1" x14ac:dyDescent="0.25">
      <c r="A56" s="11" t="str">
        <f>'QTD Mgmt Summary'!A56</f>
        <v>Mexico (Irvin/Williams)</v>
      </c>
      <c r="B56" s="229"/>
      <c r="C56" s="21">
        <v>41</v>
      </c>
      <c r="D56" s="40">
        <v>0</v>
      </c>
      <c r="E56" s="40">
        <f t="shared" si="6"/>
        <v>-41</v>
      </c>
      <c r="F56" s="449" t="s">
        <v>183</v>
      </c>
      <c r="G56" s="450"/>
      <c r="H56" s="450"/>
      <c r="I56" s="450"/>
      <c r="J56" s="450"/>
      <c r="K56" s="451"/>
    </row>
    <row r="57" spans="1:11" ht="12.75" customHeight="1" x14ac:dyDescent="0.25">
      <c r="A57" s="11" t="str">
        <f>'QTD Mgmt Summary'!A57</f>
        <v>Energy Capital Svcs (Thompson/Josey)</v>
      </c>
      <c r="B57" s="229"/>
      <c r="C57" s="21">
        <v>5079</v>
      </c>
      <c r="D57" s="40">
        <v>7759</v>
      </c>
      <c r="E57" s="40">
        <f t="shared" si="6"/>
        <v>2680</v>
      </c>
      <c r="F57" s="449" t="s">
        <v>185</v>
      </c>
      <c r="G57" s="450"/>
      <c r="H57" s="450"/>
      <c r="I57" s="450"/>
      <c r="J57" s="450"/>
      <c r="K57" s="451"/>
    </row>
    <row r="58" spans="1:11" ht="12.75" customHeight="1" x14ac:dyDescent="0.25">
      <c r="A58" s="11" t="str">
        <f>'QTD Mgmt Summary'!A58</f>
        <v>Mariner</v>
      </c>
      <c r="B58" s="229"/>
      <c r="C58" s="21">
        <v>13944</v>
      </c>
      <c r="D58" s="40">
        <v>6005</v>
      </c>
      <c r="E58" s="40">
        <f t="shared" si="6"/>
        <v>-7939</v>
      </c>
      <c r="F58" s="449" t="s">
        <v>186</v>
      </c>
      <c r="G58" s="450"/>
      <c r="H58" s="450"/>
      <c r="I58" s="450"/>
      <c r="J58" s="450"/>
      <c r="K58" s="451"/>
    </row>
    <row r="59" spans="1:11" ht="12.75" customHeight="1" x14ac:dyDescent="0.25">
      <c r="A59" s="11" t="str">
        <f>'QTD Mgmt Summary'!A59</f>
        <v>Asset Marketing (D. Miller)</v>
      </c>
      <c r="B59" s="15"/>
      <c r="C59" s="21">
        <v>0</v>
      </c>
      <c r="D59" s="40">
        <v>0</v>
      </c>
      <c r="E59" s="40">
        <f t="shared" si="6"/>
        <v>0</v>
      </c>
      <c r="F59" s="434"/>
      <c r="G59" s="435"/>
      <c r="H59" s="435"/>
      <c r="I59" s="435"/>
      <c r="J59" s="435"/>
      <c r="K59" s="436"/>
    </row>
    <row r="60" spans="1:11" ht="12.75" customHeight="1" x14ac:dyDescent="0.25">
      <c r="A60" s="11" t="str">
        <f>'QTD Mgmt Summary'!A60</f>
        <v>Sold Peakers</v>
      </c>
      <c r="B60" s="15"/>
      <c r="C60" s="21">
        <v>0</v>
      </c>
      <c r="D60" s="40">
        <v>0</v>
      </c>
      <c r="E60" s="40">
        <f t="shared" si="6"/>
        <v>0</v>
      </c>
      <c r="F60" s="434"/>
      <c r="G60" s="435"/>
      <c r="H60" s="435"/>
      <c r="I60" s="435"/>
      <c r="J60" s="435"/>
      <c r="K60" s="436"/>
    </row>
    <row r="61" spans="1:11" ht="12.75" customHeight="1" x14ac:dyDescent="0.25">
      <c r="A61" s="11" t="str">
        <f>'QTD Mgmt Summary'!A61</f>
        <v>Cross Commodity (Lavorato)</v>
      </c>
      <c r="B61" s="15"/>
      <c r="C61" s="21">
        <v>0</v>
      </c>
      <c r="D61" s="40">
        <v>0</v>
      </c>
      <c r="E61" s="40">
        <f t="shared" si="6"/>
        <v>0</v>
      </c>
      <c r="F61" s="434"/>
      <c r="G61" s="435"/>
      <c r="H61" s="435"/>
      <c r="I61" s="435"/>
      <c r="J61" s="435"/>
      <c r="K61" s="436"/>
    </row>
    <row r="62" spans="1:11" ht="12.75" customHeight="1" x14ac:dyDescent="0.25">
      <c r="A62" s="11" t="str">
        <f>'QTD Mgmt Summary'!A62</f>
        <v>Office of the Chairman (Lavorato/Kitchen)</v>
      </c>
      <c r="B62" s="229"/>
      <c r="C62" s="21">
        <v>0</v>
      </c>
      <c r="D62" s="40">
        <v>0</v>
      </c>
      <c r="E62" s="40">
        <f t="shared" si="6"/>
        <v>0</v>
      </c>
      <c r="F62" s="434"/>
      <c r="G62" s="435"/>
      <c r="H62" s="435"/>
      <c r="I62" s="435"/>
      <c r="J62" s="435"/>
      <c r="K62" s="436"/>
    </row>
    <row r="63" spans="1:11" ht="12.75" customHeight="1" x14ac:dyDescent="0.25">
      <c r="A63" s="11" t="str">
        <f>'QTD Mgmt Summary'!A63</f>
        <v>TVA Settlement</v>
      </c>
      <c r="B63" s="229"/>
      <c r="C63" s="21">
        <v>0</v>
      </c>
      <c r="D63" s="40">
        <v>0</v>
      </c>
      <c r="E63" s="40">
        <f t="shared" si="6"/>
        <v>0</v>
      </c>
      <c r="F63" s="434"/>
      <c r="G63" s="435"/>
      <c r="H63" s="435"/>
      <c r="I63" s="435"/>
      <c r="J63" s="435"/>
      <c r="K63" s="436"/>
    </row>
    <row r="64" spans="1:11" ht="12.75" customHeight="1" thickBot="1" x14ac:dyDescent="0.3">
      <c r="A64" s="11" t="str">
        <f>'QTD Mgmt Summary'!A64</f>
        <v>Other *</v>
      </c>
      <c r="B64" s="229"/>
      <c r="C64" s="21">
        <v>-430</v>
      </c>
      <c r="D64" s="40">
        <v>0</v>
      </c>
      <c r="E64" s="40">
        <f t="shared" si="6"/>
        <v>430</v>
      </c>
      <c r="F64" s="449" t="s">
        <v>184</v>
      </c>
      <c r="G64" s="450"/>
      <c r="H64" s="450"/>
      <c r="I64" s="450"/>
      <c r="J64" s="450"/>
      <c r="K64" s="451"/>
    </row>
    <row r="65" spans="1:14" s="150" customFormat="1" ht="12.75" customHeight="1" thickBot="1" x14ac:dyDescent="0.3">
      <c r="A65" s="35" t="s">
        <v>12</v>
      </c>
      <c r="B65" s="277"/>
      <c r="C65" s="292">
        <f>SUM(C53:C64)+C52+C45+C31+C23</f>
        <v>47264</v>
      </c>
      <c r="D65" s="293">
        <f>SUM(D53:D64)+D52+D45+D31+D23</f>
        <v>42403</v>
      </c>
      <c r="E65" s="293">
        <f>SUM(E53:E64)+E52+E45+E31+E23</f>
        <v>-4861</v>
      </c>
      <c r="F65" s="455"/>
      <c r="G65" s="456"/>
      <c r="H65" s="456"/>
      <c r="I65" s="456"/>
      <c r="J65" s="456"/>
      <c r="K65" s="457"/>
      <c r="N65" s="268"/>
    </row>
    <row r="66" spans="1:14" ht="5.25" customHeight="1" thickBot="1" x14ac:dyDescent="0.3">
      <c r="A66" s="29"/>
      <c r="B66" s="229"/>
      <c r="C66" s="30"/>
      <c r="D66" s="65"/>
      <c r="E66" s="279"/>
      <c r="F66" s="434"/>
      <c r="G66" s="435"/>
      <c r="H66" s="435"/>
      <c r="I66" s="435"/>
      <c r="J66" s="435"/>
      <c r="K66" s="436"/>
    </row>
    <row r="67" spans="1:14" ht="12.75" hidden="1" customHeight="1" x14ac:dyDescent="0.25">
      <c r="A67" s="29" t="s">
        <v>51</v>
      </c>
      <c r="B67" s="229"/>
      <c r="C67" s="281">
        <f t="shared" ref="C67:C79" si="7">D67</f>
        <v>0</v>
      </c>
      <c r="D67" s="273">
        <v>0</v>
      </c>
      <c r="E67" s="257">
        <f t="shared" ref="E67:E80" si="8">D67-C67</f>
        <v>0</v>
      </c>
      <c r="F67" s="434"/>
      <c r="G67" s="435"/>
      <c r="H67" s="435"/>
      <c r="I67" s="435"/>
      <c r="J67" s="435"/>
      <c r="K67" s="436"/>
    </row>
    <row r="68" spans="1:14" ht="12.75" hidden="1" customHeight="1" x14ac:dyDescent="0.25">
      <c r="A68" s="29" t="s">
        <v>52</v>
      </c>
      <c r="B68" s="229"/>
      <c r="C68" s="281">
        <f t="shared" si="7"/>
        <v>0</v>
      </c>
      <c r="D68" s="273">
        <v>0</v>
      </c>
      <c r="E68" s="257">
        <f t="shared" si="8"/>
        <v>0</v>
      </c>
      <c r="F68" s="434"/>
      <c r="G68" s="435"/>
      <c r="H68" s="435"/>
      <c r="I68" s="435"/>
      <c r="J68" s="435"/>
      <c r="K68" s="436"/>
    </row>
    <row r="69" spans="1:14" ht="12.75" hidden="1" customHeight="1" x14ac:dyDescent="0.25">
      <c r="A69" s="29" t="s">
        <v>106</v>
      </c>
      <c r="B69" s="229"/>
      <c r="C69" s="281">
        <f t="shared" si="7"/>
        <v>0</v>
      </c>
      <c r="D69" s="273">
        <v>0</v>
      </c>
      <c r="E69" s="257">
        <f t="shared" si="8"/>
        <v>0</v>
      </c>
      <c r="F69" s="434"/>
      <c r="G69" s="435"/>
      <c r="H69" s="435"/>
      <c r="I69" s="435"/>
      <c r="J69" s="435"/>
      <c r="K69" s="436"/>
    </row>
    <row r="70" spans="1:14" ht="12.75" hidden="1" customHeight="1" x14ac:dyDescent="0.25">
      <c r="A70" s="29" t="s">
        <v>53</v>
      </c>
      <c r="B70" s="229"/>
      <c r="C70" s="281">
        <f t="shared" si="7"/>
        <v>0</v>
      </c>
      <c r="D70" s="273">
        <v>0</v>
      </c>
      <c r="E70" s="257">
        <f t="shared" si="8"/>
        <v>0</v>
      </c>
      <c r="F70" s="434"/>
      <c r="G70" s="435"/>
      <c r="H70" s="435"/>
      <c r="I70" s="435"/>
      <c r="J70" s="435"/>
      <c r="K70" s="436"/>
    </row>
    <row r="71" spans="1:14" ht="12.75" hidden="1" customHeight="1" x14ac:dyDescent="0.25">
      <c r="A71" s="29" t="s">
        <v>54</v>
      </c>
      <c r="B71" s="229"/>
      <c r="C71" s="281">
        <f t="shared" si="7"/>
        <v>0</v>
      </c>
      <c r="D71" s="273">
        <v>0</v>
      </c>
      <c r="E71" s="257">
        <f t="shared" si="8"/>
        <v>0</v>
      </c>
      <c r="F71" s="434"/>
      <c r="G71" s="435"/>
      <c r="H71" s="435"/>
      <c r="I71" s="435"/>
      <c r="J71" s="435"/>
      <c r="K71" s="436"/>
    </row>
    <row r="72" spans="1:14" ht="12.75" hidden="1" customHeight="1" x14ac:dyDescent="0.25">
      <c r="A72" s="29" t="s">
        <v>55</v>
      </c>
      <c r="B72" s="229"/>
      <c r="C72" s="281">
        <f t="shared" si="7"/>
        <v>0</v>
      </c>
      <c r="D72" s="273">
        <v>0</v>
      </c>
      <c r="E72" s="257">
        <f t="shared" si="8"/>
        <v>0</v>
      </c>
      <c r="F72" s="434"/>
      <c r="G72" s="435"/>
      <c r="H72" s="435"/>
      <c r="I72" s="435"/>
      <c r="J72" s="435"/>
      <c r="K72" s="436"/>
    </row>
    <row r="73" spans="1:14" ht="12.75" hidden="1" customHeight="1" x14ac:dyDescent="0.25">
      <c r="A73" s="29" t="s">
        <v>56</v>
      </c>
      <c r="B73" s="229"/>
      <c r="C73" s="281">
        <f t="shared" si="7"/>
        <v>0</v>
      </c>
      <c r="D73" s="273">
        <v>0</v>
      </c>
      <c r="E73" s="257">
        <f t="shared" si="8"/>
        <v>0</v>
      </c>
      <c r="F73" s="434"/>
      <c r="G73" s="435"/>
      <c r="H73" s="435"/>
      <c r="I73" s="435"/>
      <c r="J73" s="435"/>
      <c r="K73" s="436"/>
    </row>
    <row r="74" spans="1:14" ht="12.75" hidden="1" customHeight="1" x14ac:dyDescent="0.25">
      <c r="A74" s="29" t="s">
        <v>57</v>
      </c>
      <c r="B74" s="229"/>
      <c r="C74" s="281">
        <f t="shared" si="7"/>
        <v>0</v>
      </c>
      <c r="D74" s="273">
        <v>0</v>
      </c>
      <c r="E74" s="257">
        <f t="shared" si="8"/>
        <v>0</v>
      </c>
      <c r="F74" s="434"/>
      <c r="G74" s="435"/>
      <c r="H74" s="435"/>
      <c r="I74" s="435"/>
      <c r="J74" s="435"/>
      <c r="K74" s="436"/>
    </row>
    <row r="75" spans="1:14" ht="12.75" hidden="1" customHeight="1" x14ac:dyDescent="0.25">
      <c r="A75" s="29" t="s">
        <v>59</v>
      </c>
      <c r="B75" s="229"/>
      <c r="C75" s="281">
        <f t="shared" si="7"/>
        <v>0</v>
      </c>
      <c r="D75" s="273">
        <v>0</v>
      </c>
      <c r="E75" s="257">
        <f t="shared" si="8"/>
        <v>0</v>
      </c>
      <c r="F75" s="434"/>
      <c r="G75" s="435"/>
      <c r="H75" s="435"/>
      <c r="I75" s="435"/>
      <c r="J75" s="435"/>
      <c r="K75" s="436"/>
    </row>
    <row r="76" spans="1:14" ht="12.75" hidden="1" customHeight="1" x14ac:dyDescent="0.25">
      <c r="A76" s="29" t="s">
        <v>60</v>
      </c>
      <c r="B76" s="229"/>
      <c r="C76" s="281">
        <f t="shared" si="7"/>
        <v>0</v>
      </c>
      <c r="D76" s="273">
        <v>0</v>
      </c>
      <c r="E76" s="257">
        <f t="shared" si="8"/>
        <v>0</v>
      </c>
      <c r="F76" s="434"/>
      <c r="G76" s="435"/>
      <c r="H76" s="435"/>
      <c r="I76" s="435"/>
      <c r="J76" s="435"/>
      <c r="K76" s="436"/>
    </row>
    <row r="77" spans="1:14" ht="12.75" hidden="1" customHeight="1" x14ac:dyDescent="0.25">
      <c r="A77" s="29" t="s">
        <v>61</v>
      </c>
      <c r="B77" s="229"/>
      <c r="C77" s="281">
        <f t="shared" si="7"/>
        <v>0</v>
      </c>
      <c r="D77" s="273">
        <v>0</v>
      </c>
      <c r="E77" s="257">
        <f t="shared" si="8"/>
        <v>0</v>
      </c>
      <c r="F77" s="434"/>
      <c r="G77" s="435"/>
      <c r="H77" s="435"/>
      <c r="I77" s="435"/>
      <c r="J77" s="435"/>
      <c r="K77" s="436"/>
    </row>
    <row r="78" spans="1:14" ht="12.75" hidden="1" customHeight="1" x14ac:dyDescent="0.25">
      <c r="A78" s="29" t="s">
        <v>62</v>
      </c>
      <c r="B78" s="229"/>
      <c r="C78" s="281">
        <f t="shared" si="7"/>
        <v>0</v>
      </c>
      <c r="D78" s="273">
        <v>0</v>
      </c>
      <c r="E78" s="257">
        <f t="shared" si="8"/>
        <v>0</v>
      </c>
      <c r="F78" s="434"/>
      <c r="G78" s="435"/>
      <c r="H78" s="435"/>
      <c r="I78" s="435"/>
      <c r="J78" s="435"/>
      <c r="K78" s="436"/>
    </row>
    <row r="79" spans="1:14" ht="12.75" hidden="1" customHeight="1" x14ac:dyDescent="0.25">
      <c r="A79" s="29" t="s">
        <v>58</v>
      </c>
      <c r="B79" s="229"/>
      <c r="C79" s="281">
        <f t="shared" si="7"/>
        <v>0</v>
      </c>
      <c r="D79" s="273">
        <v>0</v>
      </c>
      <c r="E79" s="257">
        <f t="shared" si="8"/>
        <v>0</v>
      </c>
      <c r="F79" s="434"/>
      <c r="G79" s="435"/>
      <c r="H79" s="435"/>
      <c r="I79" s="435"/>
      <c r="J79" s="435"/>
      <c r="K79" s="436"/>
    </row>
    <row r="80" spans="1:14" ht="12.75" hidden="1" customHeight="1" thickBot="1" x14ac:dyDescent="0.3">
      <c r="A80" s="29" t="s">
        <v>17</v>
      </c>
      <c r="B80" s="229"/>
      <c r="C80" s="281">
        <v>0</v>
      </c>
      <c r="D80" s="273">
        <v>0</v>
      </c>
      <c r="E80" s="257">
        <f t="shared" si="8"/>
        <v>0</v>
      </c>
      <c r="F80" s="434"/>
      <c r="G80" s="435"/>
      <c r="H80" s="435"/>
      <c r="I80" s="435"/>
      <c r="J80" s="435"/>
      <c r="K80" s="436"/>
    </row>
    <row r="81" spans="1:11" s="150" customFormat="1" ht="12.75" customHeight="1" thickBot="1" x14ac:dyDescent="0.3">
      <c r="A81" s="35" t="s">
        <v>13</v>
      </c>
      <c r="B81" s="277"/>
      <c r="C81" s="292">
        <f>SUM(C67:C80)</f>
        <v>0</v>
      </c>
      <c r="D81" s="293">
        <f>SUM(D67:D80)</f>
        <v>0</v>
      </c>
      <c r="E81" s="293">
        <f>SUM(E67:E80)</f>
        <v>0</v>
      </c>
      <c r="F81" s="455"/>
      <c r="G81" s="456"/>
      <c r="H81" s="456"/>
      <c r="I81" s="456"/>
      <c r="J81" s="456"/>
      <c r="K81" s="457"/>
    </row>
    <row r="82" spans="1:11" s="33" customFormat="1" ht="12.75" customHeight="1" x14ac:dyDescent="0.25">
      <c r="A82" s="163" t="str">
        <f>'QTD Mgmt Summary'!A82</f>
        <v>Prepay Expenses</v>
      </c>
      <c r="B82" s="229"/>
      <c r="C82" s="180">
        <v>0</v>
      </c>
      <c r="D82" s="257">
        <v>0</v>
      </c>
      <c r="E82" s="65">
        <f>-D82+C82</f>
        <v>0</v>
      </c>
      <c r="F82" s="434"/>
      <c r="G82" s="435"/>
      <c r="H82" s="435"/>
      <c r="I82" s="435"/>
      <c r="J82" s="435"/>
      <c r="K82" s="436"/>
    </row>
    <row r="83" spans="1:11" s="33" customFormat="1" ht="12.75" customHeight="1" x14ac:dyDescent="0.25">
      <c r="A83" s="163" t="str">
        <f>'QTD Mgmt Summary'!A83</f>
        <v>U.S. Drift</v>
      </c>
      <c r="B83" s="229"/>
      <c r="C83" s="30">
        <v>0</v>
      </c>
      <c r="D83" s="257">
        <v>0</v>
      </c>
      <c r="E83" s="40">
        <f>-D83+C83</f>
        <v>0</v>
      </c>
      <c r="F83" s="434"/>
      <c r="G83" s="435"/>
      <c r="H83" s="435"/>
      <c r="I83" s="435"/>
      <c r="J83" s="435"/>
      <c r="K83" s="436"/>
    </row>
    <row r="84" spans="1:11" s="33" customFormat="1" ht="12.75" customHeight="1" x14ac:dyDescent="0.25">
      <c r="A84" s="163" t="str">
        <f>'QTD Mgmt Summary'!A84</f>
        <v>Facility Costs</v>
      </c>
      <c r="B84" s="229"/>
      <c r="C84" s="180">
        <v>0</v>
      </c>
      <c r="D84" s="257">
        <v>0</v>
      </c>
      <c r="E84" s="40">
        <f>-D84+C84</f>
        <v>0</v>
      </c>
      <c r="F84" s="434"/>
      <c r="G84" s="435"/>
      <c r="H84" s="435"/>
      <c r="I84" s="435"/>
      <c r="J84" s="435"/>
      <c r="K84" s="436"/>
    </row>
    <row r="85" spans="1:11" ht="12.75" customHeight="1" thickBot="1" x14ac:dyDescent="0.3">
      <c r="A85" s="163" t="str">
        <f>'QTD Mgmt Summary'!A85</f>
        <v>Capital Charge Offset</v>
      </c>
      <c r="B85" s="229"/>
      <c r="C85" s="180">
        <f>-C65</f>
        <v>-47264</v>
      </c>
      <c r="D85" s="257">
        <f>-D65</f>
        <v>-42403</v>
      </c>
      <c r="E85" s="40">
        <f>D85-C85</f>
        <v>4861</v>
      </c>
      <c r="F85" s="434"/>
      <c r="G85" s="435"/>
      <c r="H85" s="435"/>
      <c r="I85" s="435"/>
      <c r="J85" s="435"/>
      <c r="K85" s="436"/>
    </row>
    <row r="86" spans="1:11" s="150" customFormat="1" ht="12.75" customHeight="1" thickBot="1" x14ac:dyDescent="0.3">
      <c r="A86" s="35" t="s">
        <v>175</v>
      </c>
      <c r="B86" s="277"/>
      <c r="C86" s="292">
        <f>C65+C81+C82+C83+C84+C85</f>
        <v>0</v>
      </c>
      <c r="D86" s="293">
        <f>D65+D81+D82+D83+D84+D85</f>
        <v>0</v>
      </c>
      <c r="E86" s="293">
        <f>E65+E81+E82+E83+E84+E85</f>
        <v>0</v>
      </c>
      <c r="F86" s="455"/>
      <c r="G86" s="456"/>
      <c r="H86" s="456"/>
      <c r="I86" s="456"/>
      <c r="J86" s="456"/>
      <c r="K86" s="457"/>
    </row>
    <row r="88" spans="1:11" x14ac:dyDescent="0.25">
      <c r="A88" s="10" t="s">
        <v>202</v>
      </c>
    </row>
  </sheetData>
  <mergeCells count="83">
    <mergeCell ref="F79:K79"/>
    <mergeCell ref="F84:K84"/>
    <mergeCell ref="F85:K85"/>
    <mergeCell ref="F86:K86"/>
    <mergeCell ref="F80:K80"/>
    <mergeCell ref="F81:K81"/>
    <mergeCell ref="F82:K82"/>
    <mergeCell ref="F83:K83"/>
    <mergeCell ref="F73:K73"/>
    <mergeCell ref="F74:K74"/>
    <mergeCell ref="F75:K75"/>
    <mergeCell ref="F76:K76"/>
    <mergeCell ref="F77:K77"/>
    <mergeCell ref="F78:K78"/>
    <mergeCell ref="F67:K67"/>
    <mergeCell ref="F68:K68"/>
    <mergeCell ref="F69:K69"/>
    <mergeCell ref="F70:K70"/>
    <mergeCell ref="F71:K71"/>
    <mergeCell ref="F72:K72"/>
    <mergeCell ref="F61:K61"/>
    <mergeCell ref="F62:K62"/>
    <mergeCell ref="F63:K63"/>
    <mergeCell ref="F64:K64"/>
    <mergeCell ref="F65:K65"/>
    <mergeCell ref="F66:K66"/>
    <mergeCell ref="F55:K55"/>
    <mergeCell ref="F56:K56"/>
    <mergeCell ref="F57:K57"/>
    <mergeCell ref="F58:K58"/>
    <mergeCell ref="F59:K59"/>
    <mergeCell ref="F60:K60"/>
    <mergeCell ref="F49:K49"/>
    <mergeCell ref="F50:K50"/>
    <mergeCell ref="F51:K51"/>
    <mergeCell ref="F52:K52"/>
    <mergeCell ref="F53:K53"/>
    <mergeCell ref="F54:K54"/>
    <mergeCell ref="F43:K43"/>
    <mergeCell ref="F44:K44"/>
    <mergeCell ref="F45:K45"/>
    <mergeCell ref="F46:K46"/>
    <mergeCell ref="F47:K47"/>
    <mergeCell ref="F48:K48"/>
    <mergeCell ref="F37:K37"/>
    <mergeCell ref="F38:K38"/>
    <mergeCell ref="F39:K39"/>
    <mergeCell ref="F40:K40"/>
    <mergeCell ref="F41:K41"/>
    <mergeCell ref="F42:K42"/>
    <mergeCell ref="F31:K31"/>
    <mergeCell ref="F32:K32"/>
    <mergeCell ref="F33:K33"/>
    <mergeCell ref="F34:K34"/>
    <mergeCell ref="F35:K35"/>
    <mergeCell ref="F36:K36"/>
    <mergeCell ref="F25:K25"/>
    <mergeCell ref="F26:K26"/>
    <mergeCell ref="F27:K27"/>
    <mergeCell ref="F28:K28"/>
    <mergeCell ref="F29:K29"/>
    <mergeCell ref="F30:K30"/>
    <mergeCell ref="F16:K16"/>
    <mergeCell ref="F24:K24"/>
    <mergeCell ref="F17:K17"/>
    <mergeCell ref="F18:K18"/>
    <mergeCell ref="F19:K19"/>
    <mergeCell ref="F20:K20"/>
    <mergeCell ref="F21:K21"/>
    <mergeCell ref="F22:K22"/>
    <mergeCell ref="F23:K23"/>
    <mergeCell ref="F10:K10"/>
    <mergeCell ref="F11:K11"/>
    <mergeCell ref="F12:K12"/>
    <mergeCell ref="F13:K13"/>
    <mergeCell ref="F14:K14"/>
    <mergeCell ref="F15:K15"/>
    <mergeCell ref="A2:K2"/>
    <mergeCell ref="A3:K3"/>
    <mergeCell ref="A4:K4"/>
    <mergeCell ref="C6:E7"/>
    <mergeCell ref="F6:K7"/>
    <mergeCell ref="F9:K9"/>
  </mergeCells>
  <phoneticPr fontId="0" type="noConversion"/>
  <printOptions horizontalCentered="1"/>
  <pageMargins left="0.25" right="0.25" top="0.2" bottom="0.16" header="0.17" footer="0.18"/>
  <pageSetup scale="8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Z99"/>
  <sheetViews>
    <sheetView workbookViewId="0">
      <pane ySplit="8" topLeftCell="A9" activePane="bottomLeft" state="frozen"/>
      <selection activeCell="D30" sqref="D30"/>
      <selection pane="bottomLeft" activeCell="A9" sqref="A9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10.140625" style="10" customWidth="1"/>
    <col min="6" max="6" width="0.85546875" style="10" customWidth="1"/>
    <col min="7" max="7" width="9.28515625" style="195" customWidth="1"/>
    <col min="8" max="8" width="9" style="195" customWidth="1"/>
    <col min="9" max="9" width="8.7109375" style="195" customWidth="1"/>
    <col min="10" max="10" width="1" style="195" customWidth="1"/>
    <col min="11" max="12" width="8.7109375" style="195" customWidth="1"/>
    <col min="13" max="13" width="8.85546875" style="195" customWidth="1"/>
    <col min="14" max="14" width="0.85546875" style="195" customWidth="1"/>
    <col min="15" max="17" width="8.7109375" style="195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62"/>
      <c r="H2" s="162"/>
      <c r="I2" s="162"/>
      <c r="J2" s="162"/>
      <c r="K2" s="162"/>
      <c r="L2" s="407" t="s">
        <v>126</v>
      </c>
      <c r="M2" s="407"/>
      <c r="N2" s="407"/>
      <c r="O2" s="407"/>
      <c r="P2" s="407"/>
      <c r="Q2" s="407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 t="s">
        <v>85</v>
      </c>
      <c r="B3"/>
      <c r="C3"/>
      <c r="D3"/>
      <c r="E3"/>
      <c r="F3"/>
      <c r="G3" s="162"/>
      <c r="H3" s="165"/>
      <c r="I3" s="165"/>
      <c r="J3" s="165"/>
      <c r="K3" s="165"/>
      <c r="M3" s="165"/>
      <c r="N3" s="165"/>
      <c r="O3" s="165"/>
      <c r="P3" s="165"/>
      <c r="Q3" s="165" t="str">
        <f>'QTD Mgmt Summary'!Q3</f>
        <v>Results based on activity through Aug 3, 2001</v>
      </c>
      <c r="R3"/>
      <c r="S3"/>
      <c r="T3"/>
      <c r="U3"/>
      <c r="V3"/>
      <c r="W3"/>
      <c r="X3"/>
      <c r="Z3" s="6"/>
    </row>
    <row r="4" spans="1:26" s="2" customFormat="1" ht="15.75" customHeight="1" x14ac:dyDescent="0.3">
      <c r="A4"/>
      <c r="B4"/>
      <c r="C4"/>
      <c r="D4"/>
      <c r="E4"/>
      <c r="F4"/>
      <c r="G4" s="339"/>
      <c r="H4" s="339"/>
      <c r="I4" s="165"/>
      <c r="J4" s="165"/>
      <c r="K4" s="165"/>
      <c r="L4" s="165"/>
      <c r="M4" s="165"/>
      <c r="N4" s="165"/>
      <c r="O4" s="165"/>
      <c r="P4" s="165"/>
      <c r="Q4" s="165"/>
      <c r="R4"/>
      <c r="S4"/>
      <c r="T4"/>
      <c r="U4"/>
      <c r="V4"/>
      <c r="W4"/>
      <c r="X4"/>
      <c r="Z4" s="6"/>
    </row>
    <row r="5" spans="1:26" s="2" customFormat="1" ht="15" customHeight="1" thickBot="1" x14ac:dyDescent="0.3">
      <c r="A5"/>
      <c r="B5"/>
      <c r="C5"/>
      <c r="D5"/>
      <c r="E5"/>
      <c r="F5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/>
      <c r="S5"/>
      <c r="T5"/>
      <c r="U5"/>
      <c r="V5"/>
      <c r="W5"/>
      <c r="X5"/>
      <c r="Y5"/>
      <c r="Z5" s="7"/>
    </row>
    <row r="6" spans="1:26" s="8" customFormat="1" ht="15" customHeight="1" x14ac:dyDescent="0.25">
      <c r="A6" s="45"/>
      <c r="B6" s="94"/>
      <c r="C6" s="398" t="s">
        <v>0</v>
      </c>
      <c r="D6" s="399"/>
      <c r="E6" s="400"/>
      <c r="F6" s="94"/>
      <c r="G6" s="404" t="s">
        <v>117</v>
      </c>
      <c r="H6" s="405"/>
      <c r="I6" s="406"/>
      <c r="J6" s="94"/>
      <c r="K6" s="404" t="s">
        <v>118</v>
      </c>
      <c r="L6" s="405"/>
      <c r="M6" s="406"/>
      <c r="N6" s="328"/>
      <c r="O6" s="404" t="s">
        <v>1</v>
      </c>
      <c r="P6" s="405"/>
      <c r="Q6" s="406"/>
    </row>
    <row r="7" spans="1:26" s="8" customFormat="1" ht="14.25" customHeight="1" thickBot="1" x14ac:dyDescent="0.3">
      <c r="A7" s="224" t="s">
        <v>2</v>
      </c>
      <c r="B7" s="9"/>
      <c r="C7" s="422"/>
      <c r="D7" s="423"/>
      <c r="E7" s="424"/>
      <c r="F7" s="9"/>
      <c r="G7" s="408" t="s">
        <v>112</v>
      </c>
      <c r="H7" s="409"/>
      <c r="I7" s="410"/>
      <c r="J7" s="9"/>
      <c r="K7" s="408" t="s">
        <v>119</v>
      </c>
      <c r="L7" s="409"/>
      <c r="M7" s="410"/>
      <c r="N7" s="20"/>
      <c r="O7" s="408"/>
      <c r="P7" s="409"/>
      <c r="Q7" s="410"/>
    </row>
    <row r="8" spans="1:26" ht="18" customHeight="1" thickBot="1" x14ac:dyDescent="0.3">
      <c r="A8" s="46"/>
      <c r="B8" s="9"/>
      <c r="C8" s="307" t="s">
        <v>3</v>
      </c>
      <c r="D8" s="308" t="s">
        <v>4</v>
      </c>
      <c r="E8" s="309" t="s">
        <v>5</v>
      </c>
      <c r="F8" s="93"/>
      <c r="G8" s="310" t="s">
        <v>6</v>
      </c>
      <c r="H8" s="315" t="s">
        <v>4</v>
      </c>
      <c r="I8" s="313" t="s">
        <v>5</v>
      </c>
      <c r="J8" s="93"/>
      <c r="K8" s="310" t="s">
        <v>6</v>
      </c>
      <c r="L8" s="315" t="s">
        <v>4</v>
      </c>
      <c r="M8" s="313" t="s">
        <v>5</v>
      </c>
      <c r="N8" s="329"/>
      <c r="O8" s="310" t="s">
        <v>6</v>
      </c>
      <c r="P8" s="315" t="s">
        <v>4</v>
      </c>
      <c r="Q8" s="313" t="s">
        <v>5</v>
      </c>
    </row>
    <row r="9" spans="1:26" s="18" customFormat="1" ht="12.75" customHeight="1" x14ac:dyDescent="0.25">
      <c r="A9" s="390" t="str">
        <f>'QTD Mgmt Summary'!A9</f>
        <v>Norteast Trading (Davis)</v>
      </c>
      <c r="B9" s="274"/>
      <c r="C9" s="266">
        <f>'YTD GrossMargin'!I9</f>
        <v>169730</v>
      </c>
      <c r="D9" s="266">
        <f>'YTD GrossMargin'!J9</f>
        <v>50000</v>
      </c>
      <c r="E9" s="301">
        <f t="shared" ref="E9:E14" si="0">C9-D9</f>
        <v>119730</v>
      </c>
      <c r="F9" s="23"/>
      <c r="G9" s="340">
        <f>Expenses!C9+Expenses!F9+1501</f>
        <v>2316</v>
      </c>
      <c r="H9" s="266">
        <v>3309</v>
      </c>
      <c r="I9" s="301">
        <f>H9-G9</f>
        <v>993</v>
      </c>
      <c r="J9" s="9"/>
      <c r="K9" s="256">
        <f>'Cap Charge'!C9</f>
        <v>0</v>
      </c>
      <c r="L9" s="275">
        <f>'Cap Charge'!D9</f>
        <v>0</v>
      </c>
      <c r="M9" s="301">
        <f t="shared" ref="M9:M22" si="1">L9-K9</f>
        <v>0</v>
      </c>
      <c r="N9" s="182"/>
      <c r="O9" s="368">
        <f t="shared" ref="O9:P14" si="2">C9-G9-K9</f>
        <v>167414</v>
      </c>
      <c r="P9" s="314">
        <f t="shared" si="2"/>
        <v>46691</v>
      </c>
      <c r="Q9" s="301">
        <f t="shared" ref="Q9:Q14" si="3">O9-P9</f>
        <v>120723</v>
      </c>
    </row>
    <row r="10" spans="1:26" s="18" customFormat="1" ht="12.75" customHeight="1" x14ac:dyDescent="0.25">
      <c r="A10" s="11" t="str">
        <f>'QTD Mgmt Summary'!A10</f>
        <v>Northeast Origination (Llodia)</v>
      </c>
      <c r="B10" s="274"/>
      <c r="C10" s="98">
        <f>'YTD GrossMargin'!I10</f>
        <v>9660</v>
      </c>
      <c r="D10" s="98">
        <f>'YTD GrossMargin'!J10</f>
        <v>30000</v>
      </c>
      <c r="E10" s="40">
        <f t="shared" si="0"/>
        <v>-20340</v>
      </c>
      <c r="F10" s="23"/>
      <c r="G10" s="341">
        <f>Expenses!C10+Expenses!F10+1041</f>
        <v>2031</v>
      </c>
      <c r="H10" s="98">
        <v>4105</v>
      </c>
      <c r="I10" s="258">
        <f t="shared" ref="I10:I22" si="4">H10-G10</f>
        <v>2074</v>
      </c>
      <c r="J10" s="9"/>
      <c r="K10" s="256">
        <f>'Cap Charge'!C10</f>
        <v>0</v>
      </c>
      <c r="L10" s="275">
        <f>'Cap Charge'!D10</f>
        <v>0</v>
      </c>
      <c r="M10" s="258">
        <f t="shared" si="1"/>
        <v>0</v>
      </c>
      <c r="N10" s="182"/>
      <c r="O10" s="187">
        <f t="shared" si="2"/>
        <v>7629</v>
      </c>
      <c r="P10" s="275">
        <f t="shared" si="2"/>
        <v>25895</v>
      </c>
      <c r="Q10" s="258">
        <f t="shared" si="3"/>
        <v>-18266</v>
      </c>
    </row>
    <row r="11" spans="1:26" ht="12.75" customHeight="1" x14ac:dyDescent="0.25">
      <c r="A11" s="11" t="str">
        <f>'QTD Mgmt Summary'!A11</f>
        <v>Midwest Trading (Sturm/Baughman)</v>
      </c>
      <c r="B11" s="15"/>
      <c r="C11" s="98">
        <f>'YTD GrossMargin'!I11</f>
        <v>110689</v>
      </c>
      <c r="D11" s="98">
        <f>'YTD GrossMargin'!J11</f>
        <v>50000</v>
      </c>
      <c r="E11" s="40">
        <f t="shared" si="0"/>
        <v>60689</v>
      </c>
      <c r="F11" s="23"/>
      <c r="G11" s="341">
        <f>Expenses!C11+Expenses!F11+917</f>
        <v>1446</v>
      </c>
      <c r="H11" s="98">
        <f>Expenses!D11+Expenses!G11+1652</f>
        <v>2181</v>
      </c>
      <c r="I11" s="258">
        <f t="shared" si="4"/>
        <v>735</v>
      </c>
      <c r="J11" s="9"/>
      <c r="K11" s="256">
        <f>'Cap Charge'!C11</f>
        <v>0</v>
      </c>
      <c r="L11" s="275">
        <f>'Cap Charge'!D11</f>
        <v>0</v>
      </c>
      <c r="M11" s="258">
        <f t="shared" si="1"/>
        <v>0</v>
      </c>
      <c r="N11" s="182"/>
      <c r="O11" s="187">
        <f t="shared" si="2"/>
        <v>109243</v>
      </c>
      <c r="P11" s="275">
        <f t="shared" si="2"/>
        <v>47819</v>
      </c>
      <c r="Q11" s="258">
        <f t="shared" si="3"/>
        <v>61424</v>
      </c>
    </row>
    <row r="12" spans="1:26" ht="12.75" customHeight="1" x14ac:dyDescent="0.25">
      <c r="A12" s="11" t="str">
        <f>'QTD Mgmt Summary'!A12</f>
        <v>Midwest Origination (Sturm/Baughman)</v>
      </c>
      <c r="B12" s="15"/>
      <c r="C12" s="98">
        <f>'YTD GrossMargin'!I12</f>
        <v>5144</v>
      </c>
      <c r="D12" s="98">
        <f>'YTD GrossMargin'!J12</f>
        <v>30000</v>
      </c>
      <c r="E12" s="40">
        <f t="shared" si="0"/>
        <v>-24856</v>
      </c>
      <c r="F12" s="23"/>
      <c r="G12" s="341">
        <f>Expenses!C12+Expenses!F12+855</f>
        <v>1922</v>
      </c>
      <c r="H12" s="98">
        <f>Expenses!D12+Expenses!G12+2828</f>
        <v>3895</v>
      </c>
      <c r="I12" s="258">
        <f t="shared" si="4"/>
        <v>1973</v>
      </c>
      <c r="J12" s="9"/>
      <c r="K12" s="256">
        <f>'Cap Charge'!C12</f>
        <v>0</v>
      </c>
      <c r="L12" s="275">
        <f>'Cap Charge'!D12</f>
        <v>0</v>
      </c>
      <c r="M12" s="258">
        <f t="shared" si="1"/>
        <v>0</v>
      </c>
      <c r="N12" s="182"/>
      <c r="O12" s="187">
        <f t="shared" si="2"/>
        <v>3222</v>
      </c>
      <c r="P12" s="275">
        <f t="shared" si="2"/>
        <v>26105</v>
      </c>
      <c r="Q12" s="258">
        <f t="shared" si="3"/>
        <v>-22883</v>
      </c>
    </row>
    <row r="13" spans="1:26" ht="12.75" customHeight="1" x14ac:dyDescent="0.25">
      <c r="A13" s="11" t="str">
        <f>'QTD Mgmt Summary'!A13</f>
        <v xml:space="preserve">Southeast Trading (Herndon/Kroll) </v>
      </c>
      <c r="B13" s="15"/>
      <c r="C13" s="98">
        <f>'YTD GrossMargin'!I13</f>
        <v>9827</v>
      </c>
      <c r="D13" s="98">
        <f>'YTD GrossMargin'!J13</f>
        <v>50000</v>
      </c>
      <c r="E13" s="40">
        <f t="shared" si="0"/>
        <v>-40173</v>
      </c>
      <c r="F13" s="23"/>
      <c r="G13" s="341">
        <f>Expenses!C13+Expenses!F13+1042</f>
        <v>1507</v>
      </c>
      <c r="H13" s="98">
        <f>Expenses!D13+Expenses!G13+1421</f>
        <v>1886</v>
      </c>
      <c r="I13" s="258">
        <f t="shared" si="4"/>
        <v>379</v>
      </c>
      <c r="J13" s="9"/>
      <c r="K13" s="256">
        <f>'Cap Charge'!C13+86</f>
        <v>161</v>
      </c>
      <c r="L13" s="275">
        <f>'Cap Charge'!D13</f>
        <v>0</v>
      </c>
      <c r="M13" s="258">
        <f t="shared" si="1"/>
        <v>-161</v>
      </c>
      <c r="N13" s="182"/>
      <c r="O13" s="187">
        <f t="shared" si="2"/>
        <v>8159</v>
      </c>
      <c r="P13" s="275">
        <f t="shared" si="2"/>
        <v>48114</v>
      </c>
      <c r="Q13" s="258">
        <f t="shared" si="3"/>
        <v>-39955</v>
      </c>
    </row>
    <row r="14" spans="1:26" ht="12.75" customHeight="1" x14ac:dyDescent="0.25">
      <c r="A14" s="11" t="str">
        <f>'QTD Mgmt Summary'!A14</f>
        <v xml:space="preserve">Southeast Orig (Herndon/Kroll) </v>
      </c>
      <c r="B14" s="15"/>
      <c r="C14" s="98">
        <f>'YTD GrossMargin'!I14</f>
        <v>9670</v>
      </c>
      <c r="D14" s="98">
        <f>'YTD GrossMargin'!J14</f>
        <v>30000</v>
      </c>
      <c r="E14" s="40">
        <f t="shared" si="0"/>
        <v>-20330</v>
      </c>
      <c r="F14" s="23"/>
      <c r="G14" s="341">
        <f>Expenses!C14+Expenses!F14+1842</f>
        <v>2810</v>
      </c>
      <c r="H14" s="98">
        <f>Expenses!D14+Expenses!G14+2831</f>
        <v>3799</v>
      </c>
      <c r="I14" s="258">
        <f t="shared" si="4"/>
        <v>989</v>
      </c>
      <c r="J14" s="9"/>
      <c r="K14" s="256">
        <f>'Cap Charge'!C14</f>
        <v>0</v>
      </c>
      <c r="L14" s="275">
        <f>'Cap Charge'!D14</f>
        <v>0</v>
      </c>
      <c r="M14" s="258">
        <f t="shared" si="1"/>
        <v>0</v>
      </c>
      <c r="N14" s="182"/>
      <c r="O14" s="187">
        <f t="shared" si="2"/>
        <v>6860</v>
      </c>
      <c r="P14" s="275">
        <f t="shared" si="2"/>
        <v>26201</v>
      </c>
      <c r="Q14" s="258">
        <f t="shared" si="3"/>
        <v>-19341</v>
      </c>
    </row>
    <row r="15" spans="1:26" ht="12.75" customHeight="1" x14ac:dyDescent="0.25">
      <c r="A15" s="11" t="str">
        <f>'QTD Mgmt Summary'!A15</f>
        <v>ERCOT Trading (Smith/Corry)</v>
      </c>
      <c r="B15" s="15"/>
      <c r="C15" s="98">
        <f>'YTD GrossMargin'!I15</f>
        <v>3685</v>
      </c>
      <c r="D15" s="98">
        <f>'YTD GrossMargin'!J15</f>
        <v>17500</v>
      </c>
      <c r="E15" s="40">
        <f t="shared" ref="E15:E22" si="5">C15-D15</f>
        <v>-13815</v>
      </c>
      <c r="F15" s="23"/>
      <c r="G15" s="341">
        <f>Expenses!C15+Expenses!F15+557</f>
        <v>757</v>
      </c>
      <c r="H15" s="98">
        <f>Expenses!D15+Expenses!G15+680</f>
        <v>880</v>
      </c>
      <c r="I15" s="258">
        <f t="shared" si="4"/>
        <v>123</v>
      </c>
      <c r="J15" s="9"/>
      <c r="K15" s="256">
        <f>'Cap Charge'!C15</f>
        <v>0</v>
      </c>
      <c r="L15" s="275">
        <f>'Cap Charge'!D15</f>
        <v>0</v>
      </c>
      <c r="M15" s="258">
        <f t="shared" si="1"/>
        <v>0</v>
      </c>
      <c r="N15" s="182"/>
      <c r="O15" s="187">
        <f t="shared" ref="O15:O22" si="6">C15-G15-K15</f>
        <v>2928</v>
      </c>
      <c r="P15" s="275">
        <f t="shared" ref="P15:P22" si="7">D15-H15-L15</f>
        <v>16620</v>
      </c>
      <c r="Q15" s="258">
        <f t="shared" ref="Q15:Q22" si="8">O15-P15</f>
        <v>-13692</v>
      </c>
    </row>
    <row r="16" spans="1:26" ht="12.75" customHeight="1" x14ac:dyDescent="0.25">
      <c r="A16" s="11" t="str">
        <f>'QTD Mgmt Summary'!A16</f>
        <v>ERCOT Orig (Smith/Corry)</v>
      </c>
      <c r="B16" s="15"/>
      <c r="C16" s="98">
        <f>'YTD GrossMargin'!I16</f>
        <v>2462</v>
      </c>
      <c r="D16" s="98">
        <f>'YTD GrossMargin'!J16</f>
        <v>17500</v>
      </c>
      <c r="E16" s="40">
        <f t="shared" si="5"/>
        <v>-15038</v>
      </c>
      <c r="F16" s="23"/>
      <c r="G16" s="341">
        <f>Expenses!C16+Expenses!F16+544</f>
        <v>1271</v>
      </c>
      <c r="H16" s="98">
        <f>Expenses!D16+Expenses!G16+2351</f>
        <v>3078</v>
      </c>
      <c r="I16" s="258">
        <f t="shared" si="4"/>
        <v>1807</v>
      </c>
      <c r="J16" s="9"/>
      <c r="K16" s="256">
        <f>'Cap Charge'!C16</f>
        <v>0</v>
      </c>
      <c r="L16" s="275">
        <f>'Cap Charge'!D16</f>
        <v>0</v>
      </c>
      <c r="M16" s="258">
        <f t="shared" si="1"/>
        <v>0</v>
      </c>
      <c r="N16" s="182"/>
      <c r="O16" s="187">
        <f t="shared" si="6"/>
        <v>1191</v>
      </c>
      <c r="P16" s="275">
        <f t="shared" si="7"/>
        <v>14422</v>
      </c>
      <c r="Q16" s="258">
        <f t="shared" si="8"/>
        <v>-13231</v>
      </c>
    </row>
    <row r="17" spans="1:17" ht="12.75" customHeight="1" x14ac:dyDescent="0.25">
      <c r="A17" s="11" t="str">
        <f>'QTD Mgmt Summary'!A17</f>
        <v>Options (Arora)</v>
      </c>
      <c r="B17" s="15"/>
      <c r="C17" s="98">
        <f>'YTD GrossMargin'!I17</f>
        <v>26003</v>
      </c>
      <c r="D17" s="98">
        <f>'YTD GrossMargin'!J17</f>
        <v>0</v>
      </c>
      <c r="E17" s="40">
        <f t="shared" si="5"/>
        <v>26003</v>
      </c>
      <c r="F17" s="23"/>
      <c r="G17" s="341">
        <f>Expenses!C17+Expenses!F17+254</f>
        <v>508</v>
      </c>
      <c r="H17" s="98">
        <f>Expenses!D17+Expenses!G17</f>
        <v>0</v>
      </c>
      <c r="I17" s="258">
        <f t="shared" si="4"/>
        <v>-508</v>
      </c>
      <c r="J17" s="9"/>
      <c r="K17" s="256">
        <f>'Cap Charge'!C17</f>
        <v>0</v>
      </c>
      <c r="L17" s="275">
        <f>'Cap Charge'!D17</f>
        <v>0</v>
      </c>
      <c r="M17" s="258">
        <f t="shared" si="1"/>
        <v>0</v>
      </c>
      <c r="N17" s="182"/>
      <c r="O17" s="187">
        <f t="shared" si="6"/>
        <v>25495</v>
      </c>
      <c r="P17" s="275">
        <f t="shared" si="7"/>
        <v>0</v>
      </c>
      <c r="Q17" s="258">
        <f t="shared" si="8"/>
        <v>25495</v>
      </c>
    </row>
    <row r="18" spans="1:17" ht="12.75" customHeight="1" x14ac:dyDescent="0.25">
      <c r="A18" s="11" t="str">
        <f>'QTD Mgmt Summary'!A18</f>
        <v>Management  Book (Presto)</v>
      </c>
      <c r="B18" s="15"/>
      <c r="C18" s="98">
        <f>'YTD GrossMargin'!I18</f>
        <v>53118</v>
      </c>
      <c r="D18" s="98">
        <f>'YTD GrossMargin'!J18</f>
        <v>5000</v>
      </c>
      <c r="E18" s="40">
        <f t="shared" si="5"/>
        <v>48118</v>
      </c>
      <c r="F18" s="23"/>
      <c r="G18" s="98">
        <f>Expenses!C18+Expenses!F18+6295</f>
        <v>8923</v>
      </c>
      <c r="H18" s="98">
        <v>10916</v>
      </c>
      <c r="I18" s="258">
        <f t="shared" si="4"/>
        <v>1993</v>
      </c>
      <c r="J18" s="9"/>
      <c r="K18" s="256">
        <f>'Cap Charge'!C18</f>
        <v>0</v>
      </c>
      <c r="L18" s="275">
        <f>'Cap Charge'!D18</f>
        <v>0</v>
      </c>
      <c r="M18" s="258">
        <f t="shared" si="1"/>
        <v>0</v>
      </c>
      <c r="N18" s="182"/>
      <c r="O18" s="187">
        <f t="shared" si="6"/>
        <v>44195</v>
      </c>
      <c r="P18" s="275">
        <f t="shared" si="7"/>
        <v>-5916</v>
      </c>
      <c r="Q18" s="258">
        <f t="shared" si="8"/>
        <v>50111</v>
      </c>
    </row>
    <row r="19" spans="1:17" ht="12.75" customHeight="1" x14ac:dyDescent="0.25">
      <c r="A19" s="11" t="str">
        <f>'QTD Mgmt Summary'!A19</f>
        <v>Services (Will)</v>
      </c>
      <c r="B19" s="15"/>
      <c r="C19" s="98">
        <f>'YTD GrossMargin'!I19</f>
        <v>1272</v>
      </c>
      <c r="D19" s="98">
        <f>'YTD GrossMargin'!J19</f>
        <v>0</v>
      </c>
      <c r="E19" s="40">
        <f t="shared" si="5"/>
        <v>1272</v>
      </c>
      <c r="F19" s="23"/>
      <c r="G19" s="98">
        <f>Expenses!C19+Expenses!F19+112</f>
        <v>224</v>
      </c>
      <c r="H19" s="98">
        <f>Expenses!D19+Expenses!G19</f>
        <v>0</v>
      </c>
      <c r="I19" s="258">
        <f t="shared" si="4"/>
        <v>-224</v>
      </c>
      <c r="J19" s="9"/>
      <c r="K19" s="256">
        <f>'Cap Charge'!C19</f>
        <v>0</v>
      </c>
      <c r="L19" s="275">
        <f>'Cap Charge'!D19</f>
        <v>0</v>
      </c>
      <c r="M19" s="258">
        <f t="shared" si="1"/>
        <v>0</v>
      </c>
      <c r="N19" s="182"/>
      <c r="O19" s="187">
        <f t="shared" si="6"/>
        <v>1048</v>
      </c>
      <c r="P19" s="275">
        <f t="shared" si="7"/>
        <v>0</v>
      </c>
      <c r="Q19" s="258">
        <f t="shared" si="8"/>
        <v>1048</v>
      </c>
    </row>
    <row r="20" spans="1:17" ht="12.75" customHeight="1" x14ac:dyDescent="0.25">
      <c r="A20" s="11" t="str">
        <f>'QTD Mgmt Summary'!A20</f>
        <v>Development (Jacoby)</v>
      </c>
      <c r="B20" s="15"/>
      <c r="C20" s="98">
        <f>'YTD GrossMargin'!I20</f>
        <v>16633</v>
      </c>
      <c r="D20" s="98">
        <f>'YTD GrossMargin'!J20</f>
        <v>24000</v>
      </c>
      <c r="E20" s="40">
        <f t="shared" si="5"/>
        <v>-7367</v>
      </c>
      <c r="F20" s="23"/>
      <c r="G20" s="98">
        <f>Expenses!C20+Expenses!F20+4108</f>
        <v>6204</v>
      </c>
      <c r="H20" s="98">
        <v>8381</v>
      </c>
      <c r="I20" s="258">
        <f t="shared" si="4"/>
        <v>2177</v>
      </c>
      <c r="J20" s="9"/>
      <c r="K20" s="256">
        <f>'Cap Charge'!C20+290</f>
        <v>614</v>
      </c>
      <c r="L20" s="275">
        <v>989</v>
      </c>
      <c r="M20" s="258">
        <f t="shared" si="1"/>
        <v>375</v>
      </c>
      <c r="N20" s="182"/>
      <c r="O20" s="187">
        <f t="shared" si="6"/>
        <v>9815</v>
      </c>
      <c r="P20" s="275">
        <f t="shared" si="7"/>
        <v>14630</v>
      </c>
      <c r="Q20" s="258">
        <f t="shared" si="8"/>
        <v>-4815</v>
      </c>
    </row>
    <row r="21" spans="1:17" ht="12.75" customHeight="1" x14ac:dyDescent="0.25">
      <c r="A21" s="11" t="str">
        <f>'QTD Mgmt Summary'!A21</f>
        <v>Generation Investments (Duran)</v>
      </c>
      <c r="B21" s="15"/>
      <c r="C21" s="98">
        <f>'YTD GrossMargin'!I21</f>
        <v>12715</v>
      </c>
      <c r="D21" s="98">
        <f>'YTD GrossMargin'!J21</f>
        <v>80000</v>
      </c>
      <c r="E21" s="40">
        <f t="shared" si="5"/>
        <v>-67285</v>
      </c>
      <c r="F21" s="23"/>
      <c r="G21" s="98">
        <f>Expenses!C21+Expenses!F21+3666</f>
        <v>5436</v>
      </c>
      <c r="H21" s="98">
        <v>7082</v>
      </c>
      <c r="I21" s="258">
        <f t="shared" si="4"/>
        <v>1646</v>
      </c>
      <c r="J21" s="9"/>
      <c r="K21" s="256">
        <f>'Cap Charge'!C21+31790</f>
        <v>48682</v>
      </c>
      <c r="L21" s="275">
        <v>63784</v>
      </c>
      <c r="M21" s="258">
        <f t="shared" si="1"/>
        <v>15102</v>
      </c>
      <c r="N21" s="182"/>
      <c r="O21" s="180">
        <f t="shared" si="6"/>
        <v>-41403</v>
      </c>
      <c r="P21" s="275">
        <f t="shared" si="7"/>
        <v>9134</v>
      </c>
      <c r="Q21" s="258">
        <f t="shared" si="8"/>
        <v>-50537</v>
      </c>
    </row>
    <row r="22" spans="1:17" ht="12.75" customHeight="1" thickBot="1" x14ac:dyDescent="0.3">
      <c r="A22" s="391" t="str">
        <f>'QTD Mgmt Summary'!A22</f>
        <v>Structuring/Fundamentals (Meyn/Will)</v>
      </c>
      <c r="B22" s="15"/>
      <c r="C22" s="98">
        <f>'YTD GrossMargin'!I22</f>
        <v>0</v>
      </c>
      <c r="D22" s="98">
        <f>'YTD GrossMargin'!J22</f>
        <v>0</v>
      </c>
      <c r="E22" s="40">
        <f t="shared" si="5"/>
        <v>0</v>
      </c>
      <c r="F22" s="23"/>
      <c r="G22" s="98">
        <f>Expenses!C22+Expenses!F22+2241</f>
        <v>3645</v>
      </c>
      <c r="H22" s="98">
        <v>5740</v>
      </c>
      <c r="I22" s="258">
        <f t="shared" si="4"/>
        <v>2095</v>
      </c>
      <c r="J22" s="9"/>
      <c r="K22" s="330">
        <f>'Cap Charge'!C22</f>
        <v>0</v>
      </c>
      <c r="L22" s="331">
        <f>'Cap Charge'!D22</f>
        <v>0</v>
      </c>
      <c r="M22" s="258">
        <f t="shared" si="1"/>
        <v>0</v>
      </c>
      <c r="N22" s="182"/>
      <c r="O22" s="180">
        <f t="shared" si="6"/>
        <v>-3645</v>
      </c>
      <c r="P22" s="275">
        <f t="shared" si="7"/>
        <v>-5740</v>
      </c>
      <c r="Q22" s="258">
        <f t="shared" si="8"/>
        <v>2095</v>
      </c>
    </row>
    <row r="23" spans="1:17" s="42" customFormat="1" ht="12.75" customHeight="1" thickBot="1" x14ac:dyDescent="0.3">
      <c r="A23" s="35" t="s">
        <v>7</v>
      </c>
      <c r="B23" s="277"/>
      <c r="C23" s="264">
        <f>SUM(C9:C22)</f>
        <v>430608</v>
      </c>
      <c r="D23" s="293">
        <f>SUM(D9:D22)</f>
        <v>384000</v>
      </c>
      <c r="E23" s="265">
        <f>SUM(E9:E22)</f>
        <v>46608</v>
      </c>
      <c r="F23" s="152"/>
      <c r="G23" s="296">
        <f>SUM(G9:G22)</f>
        <v>39000</v>
      </c>
      <c r="H23" s="311">
        <f>SUM(H9:H22)</f>
        <v>55252</v>
      </c>
      <c r="I23" s="312">
        <f>SUM(I9:I22)</f>
        <v>16252</v>
      </c>
      <c r="J23" s="93"/>
      <c r="K23" s="311">
        <f>SUM(K9:K22)</f>
        <v>49457</v>
      </c>
      <c r="L23" s="311">
        <f>SUM(L9:L22)</f>
        <v>64773</v>
      </c>
      <c r="M23" s="312">
        <f>SUM(M9:M22)</f>
        <v>15316</v>
      </c>
      <c r="N23" s="194"/>
      <c r="O23" s="296">
        <f>SUM(O9:O22)</f>
        <v>342151</v>
      </c>
      <c r="P23" s="311">
        <f>SUM(P9:P22)</f>
        <v>263975</v>
      </c>
      <c r="Q23" s="312">
        <f>SUM(Q9:Q22)</f>
        <v>78176</v>
      </c>
    </row>
    <row r="24" spans="1:17" ht="12.75" customHeight="1" x14ac:dyDescent="0.25">
      <c r="A24" s="11" t="s">
        <v>133</v>
      </c>
      <c r="B24" s="9"/>
      <c r="C24" s="98">
        <f>'YTD GrossMargin'!I24</f>
        <v>630525</v>
      </c>
      <c r="D24" s="98">
        <f>'YTD GrossMargin'!J24</f>
        <v>250000</v>
      </c>
      <c r="E24" s="40">
        <f t="shared" ref="E24:E30" si="9">C24-D24</f>
        <v>380525</v>
      </c>
      <c r="F24" s="23"/>
      <c r="G24" s="342">
        <f>Expenses!C25+Expenses!F25+9240</f>
        <v>11867</v>
      </c>
      <c r="H24" s="219">
        <v>10632</v>
      </c>
      <c r="I24" s="219">
        <f>H24-G24</f>
        <v>-1235</v>
      </c>
      <c r="J24" s="9"/>
      <c r="K24" s="219">
        <f>'Cap Charge'!C24</f>
        <v>0</v>
      </c>
      <c r="L24" s="181">
        <f>'Cap Charge'!D24</f>
        <v>0</v>
      </c>
      <c r="M24" s="219">
        <f>L24-K24</f>
        <v>0</v>
      </c>
      <c r="N24" s="182"/>
      <c r="O24" s="180">
        <f t="shared" ref="O24:P30" si="10">C24-G24-K24</f>
        <v>618658</v>
      </c>
      <c r="P24" s="275">
        <f t="shared" si="10"/>
        <v>239368</v>
      </c>
      <c r="Q24" s="258">
        <f t="shared" ref="Q24:Q30" si="11">O24-P24</f>
        <v>379290</v>
      </c>
    </row>
    <row r="25" spans="1:17" ht="12.75" customHeight="1" x14ac:dyDescent="0.25">
      <c r="A25" s="11" t="s">
        <v>136</v>
      </c>
      <c r="B25" s="9"/>
      <c r="C25" s="98">
        <f>'YTD GrossMargin'!I25</f>
        <v>0</v>
      </c>
      <c r="D25" s="98">
        <f>'YTD GrossMargin'!J25</f>
        <v>0</v>
      </c>
      <c r="E25" s="40">
        <f t="shared" si="9"/>
        <v>0</v>
      </c>
      <c r="F25" s="23"/>
      <c r="G25" s="342">
        <f>Expenses!C24+Expenses!F24+186</f>
        <v>320</v>
      </c>
      <c r="H25" s="219">
        <v>548</v>
      </c>
      <c r="I25" s="219">
        <f t="shared" ref="I25:I30" si="12">H25-G25</f>
        <v>228</v>
      </c>
      <c r="J25" s="9"/>
      <c r="K25" s="219">
        <f>'Cap Charge'!C25</f>
        <v>0</v>
      </c>
      <c r="L25" s="181">
        <f>'Cap Charge'!D25</f>
        <v>0</v>
      </c>
      <c r="M25" s="219">
        <f t="shared" ref="M25:M30" si="13">L25-K25</f>
        <v>0</v>
      </c>
      <c r="N25" s="182"/>
      <c r="O25" s="180">
        <f t="shared" si="10"/>
        <v>-320</v>
      </c>
      <c r="P25" s="275">
        <f t="shared" si="10"/>
        <v>-548</v>
      </c>
      <c r="Q25" s="258">
        <f t="shared" si="11"/>
        <v>228</v>
      </c>
    </row>
    <row r="26" spans="1:17" ht="12.75" customHeight="1" x14ac:dyDescent="0.25">
      <c r="A26" s="11" t="s">
        <v>134</v>
      </c>
      <c r="B26" s="9"/>
      <c r="C26" s="98">
        <f>'YTD GrossMargin'!I26</f>
        <v>44048</v>
      </c>
      <c r="D26" s="98">
        <f>'YTD GrossMargin'!J26</f>
        <v>50000</v>
      </c>
      <c r="E26" s="40">
        <f t="shared" si="9"/>
        <v>-5952</v>
      </c>
      <c r="F26" s="23"/>
      <c r="G26" s="342">
        <f>Expenses!C26+Expenses!F26+501</f>
        <v>794</v>
      </c>
      <c r="H26" s="219">
        <v>1172</v>
      </c>
      <c r="I26" s="219">
        <f t="shared" si="12"/>
        <v>378</v>
      </c>
      <c r="J26" s="9"/>
      <c r="K26" s="219">
        <f>'Cap Charge'!C26</f>
        <v>0</v>
      </c>
      <c r="L26" s="181">
        <f>'Cap Charge'!D26</f>
        <v>0</v>
      </c>
      <c r="M26" s="219">
        <f t="shared" si="13"/>
        <v>0</v>
      </c>
      <c r="N26" s="182"/>
      <c r="O26" s="180">
        <f t="shared" si="10"/>
        <v>43254</v>
      </c>
      <c r="P26" s="275">
        <f t="shared" si="10"/>
        <v>48828</v>
      </c>
      <c r="Q26" s="258">
        <f t="shared" si="11"/>
        <v>-5574</v>
      </c>
    </row>
    <row r="27" spans="1:17" ht="12.75" customHeight="1" x14ac:dyDescent="0.25">
      <c r="A27" s="11" t="s">
        <v>135</v>
      </c>
      <c r="B27" s="9"/>
      <c r="C27" s="98">
        <f>'YTD GrossMargin'!I27</f>
        <v>39097</v>
      </c>
      <c r="D27" s="98">
        <f>'YTD GrossMargin'!J27</f>
        <v>62988</v>
      </c>
      <c r="E27" s="40">
        <f t="shared" si="9"/>
        <v>-23891</v>
      </c>
      <c r="F27" s="23"/>
      <c r="G27" s="342">
        <f>Expenses!C27+4619</f>
        <v>6077</v>
      </c>
      <c r="H27" s="219">
        <v>7894</v>
      </c>
      <c r="I27" s="219">
        <f t="shared" si="12"/>
        <v>1817</v>
      </c>
      <c r="J27" s="9"/>
      <c r="K27" s="219">
        <f>'Cap Charge'!C27+833</f>
        <v>1917</v>
      </c>
      <c r="L27" s="181">
        <v>3000</v>
      </c>
      <c r="M27" s="219">
        <f t="shared" si="13"/>
        <v>1083</v>
      </c>
      <c r="N27" s="182"/>
      <c r="O27" s="180">
        <f t="shared" si="10"/>
        <v>31103</v>
      </c>
      <c r="P27" s="275">
        <f t="shared" si="10"/>
        <v>52094</v>
      </c>
      <c r="Q27" s="258">
        <f t="shared" si="11"/>
        <v>-20991</v>
      </c>
    </row>
    <row r="28" spans="1:17" ht="12.75" customHeight="1" x14ac:dyDescent="0.25">
      <c r="A28" s="11" t="s">
        <v>137</v>
      </c>
      <c r="B28" s="9"/>
      <c r="C28" s="98">
        <f>'YTD GrossMargin'!I28</f>
        <v>10500</v>
      </c>
      <c r="D28" s="98">
        <f>'YTD GrossMargin'!J28</f>
        <v>14000</v>
      </c>
      <c r="E28" s="40">
        <f t="shared" si="9"/>
        <v>-3500</v>
      </c>
      <c r="F28" s="23"/>
      <c r="G28" s="342">
        <f>Expenses!C28+Expenses!F28+170</f>
        <v>700</v>
      </c>
      <c r="H28" s="219">
        <v>2874</v>
      </c>
      <c r="I28" s="219">
        <f t="shared" si="12"/>
        <v>2174</v>
      </c>
      <c r="J28" s="9"/>
      <c r="K28" s="219">
        <f>'Cap Charge'!C28</f>
        <v>0</v>
      </c>
      <c r="L28" s="181">
        <f>'Cap Charge'!D28</f>
        <v>0</v>
      </c>
      <c r="M28" s="219">
        <f t="shared" si="13"/>
        <v>0</v>
      </c>
      <c r="N28" s="182"/>
      <c r="O28" s="180">
        <f t="shared" si="10"/>
        <v>9800</v>
      </c>
      <c r="P28" s="275">
        <f t="shared" si="10"/>
        <v>11126</v>
      </c>
      <c r="Q28" s="258">
        <f t="shared" si="11"/>
        <v>-1326</v>
      </c>
    </row>
    <row r="29" spans="1:17" ht="12.75" customHeight="1" x14ac:dyDescent="0.25">
      <c r="A29" s="11" t="s">
        <v>138</v>
      </c>
      <c r="B29" s="9"/>
      <c r="C29" s="98">
        <f>'YTD GrossMargin'!I29</f>
        <v>53046</v>
      </c>
      <c r="D29" s="98">
        <f>'YTD GrossMargin'!J29</f>
        <v>46000</v>
      </c>
      <c r="E29" s="40">
        <f t="shared" si="9"/>
        <v>7046</v>
      </c>
      <c r="F29" s="23"/>
      <c r="G29" s="342">
        <f>Expenses!C29+Expenses!F29+1713</f>
        <v>3807</v>
      </c>
      <c r="H29" s="219">
        <v>5466</v>
      </c>
      <c r="I29" s="219">
        <f t="shared" si="12"/>
        <v>1659</v>
      </c>
      <c r="J29" s="9"/>
      <c r="K29" s="219">
        <f>'Cap Charge'!C29+4783</f>
        <v>6867</v>
      </c>
      <c r="L29" s="181">
        <v>9750</v>
      </c>
      <c r="M29" s="219">
        <f t="shared" si="13"/>
        <v>2883</v>
      </c>
      <c r="N29" s="182"/>
      <c r="O29" s="180">
        <f t="shared" si="10"/>
        <v>42372</v>
      </c>
      <c r="P29" s="275">
        <f t="shared" si="10"/>
        <v>30784</v>
      </c>
      <c r="Q29" s="258">
        <f t="shared" si="11"/>
        <v>11588</v>
      </c>
    </row>
    <row r="30" spans="1:17" ht="12.75" customHeight="1" thickBot="1" x14ac:dyDescent="0.3">
      <c r="A30" s="11" t="s">
        <v>139</v>
      </c>
      <c r="B30" s="9"/>
      <c r="C30" s="98">
        <f>'YTD GrossMargin'!I30</f>
        <v>0</v>
      </c>
      <c r="D30" s="98">
        <f>'YTD GrossMargin'!J30</f>
        <v>0</v>
      </c>
      <c r="E30" s="40">
        <f t="shared" si="9"/>
        <v>0</v>
      </c>
      <c r="F30" s="23"/>
      <c r="G30" s="342">
        <f>Expenses!C30+Expenses!F30+359</f>
        <v>632</v>
      </c>
      <c r="H30" s="219">
        <v>1080</v>
      </c>
      <c r="I30" s="219">
        <f t="shared" si="12"/>
        <v>448</v>
      </c>
      <c r="J30" s="9"/>
      <c r="K30" s="219">
        <f>'Cap Charge'!C30</f>
        <v>0</v>
      </c>
      <c r="L30" s="181">
        <f>'Cap Charge'!D30</f>
        <v>0</v>
      </c>
      <c r="M30" s="219">
        <f t="shared" si="13"/>
        <v>0</v>
      </c>
      <c r="N30" s="182"/>
      <c r="O30" s="180">
        <f t="shared" si="10"/>
        <v>-632</v>
      </c>
      <c r="P30" s="275">
        <f t="shared" si="10"/>
        <v>-1080</v>
      </c>
      <c r="Q30" s="258">
        <f t="shared" si="11"/>
        <v>448</v>
      </c>
    </row>
    <row r="31" spans="1:17" s="42" customFormat="1" ht="12.75" customHeight="1" thickBot="1" x14ac:dyDescent="0.3">
      <c r="A31" s="35" t="s">
        <v>8</v>
      </c>
      <c r="B31" s="277"/>
      <c r="C31" s="263">
        <f>SUM(C24:C30)</f>
        <v>777216</v>
      </c>
      <c r="D31" s="264">
        <f>SUM(D24:D30)</f>
        <v>422988</v>
      </c>
      <c r="E31" s="265">
        <f>SUM(E24:E30)</f>
        <v>354228</v>
      </c>
      <c r="F31" s="338"/>
      <c r="G31" s="264">
        <f>SUM(G24:G30)</f>
        <v>24197</v>
      </c>
      <c r="H31" s="264">
        <f>SUM(H24:H30)</f>
        <v>29666</v>
      </c>
      <c r="I31" s="264">
        <f>SUM(I24:I30)</f>
        <v>5469</v>
      </c>
      <c r="J31" s="321"/>
      <c r="K31" s="264">
        <f>SUM(K24:K30)</f>
        <v>8784</v>
      </c>
      <c r="L31" s="264">
        <f>SUM(L24:L30)</f>
        <v>12750</v>
      </c>
      <c r="M31" s="264">
        <f>SUM(M24:M30)</f>
        <v>3966</v>
      </c>
      <c r="N31" s="322"/>
      <c r="O31" s="264">
        <f>SUM(O24:O30)</f>
        <v>744235</v>
      </c>
      <c r="P31" s="264">
        <f>SUM(P24:P30)</f>
        <v>380572</v>
      </c>
      <c r="Q31" s="265">
        <f>SUM(Q24:Q30)</f>
        <v>363663</v>
      </c>
    </row>
    <row r="32" spans="1:17" ht="12.75" customHeight="1" x14ac:dyDescent="0.25">
      <c r="A32" s="11" t="str">
        <f>'QTD Mgmt Summary'!A32</f>
        <v>East Trading (Neal)</v>
      </c>
      <c r="B32" s="229"/>
      <c r="C32" s="98">
        <f>'YTD GrossMargin'!I32</f>
        <v>14564</v>
      </c>
      <c r="D32" s="98">
        <f>'YTD GrossMargin'!J32</f>
        <v>60000</v>
      </c>
      <c r="E32" s="258">
        <f t="shared" ref="E32:E37" si="14">C32-D32</f>
        <v>-45436</v>
      </c>
      <c r="F32" s="23"/>
      <c r="G32" s="219">
        <f>Expenses!C32+6824</f>
        <v>8726</v>
      </c>
      <c r="H32" s="219">
        <v>7663</v>
      </c>
      <c r="I32" s="254">
        <f t="shared" ref="I32:I37" si="15">H32-G32</f>
        <v>-1063</v>
      </c>
      <c r="J32" s="9"/>
      <c r="K32" s="219">
        <f>'Cap Charge'!C32+1375</f>
        <v>2120</v>
      </c>
      <c r="L32" s="181">
        <v>6290</v>
      </c>
      <c r="M32" s="254">
        <f t="shared" ref="M32:M37" si="16">L32-K32</f>
        <v>4170</v>
      </c>
      <c r="N32" s="182"/>
      <c r="O32" s="180">
        <f t="shared" ref="O32:P37" si="17">C32-G32-K32</f>
        <v>3718</v>
      </c>
      <c r="P32" s="181">
        <f t="shared" si="17"/>
        <v>46047</v>
      </c>
      <c r="Q32" s="254">
        <f t="shared" ref="Q32:Q37" si="18">O32-P32</f>
        <v>-42329</v>
      </c>
    </row>
    <row r="33" spans="1:17" ht="12.75" customHeight="1" x14ac:dyDescent="0.25">
      <c r="A33" s="11" t="str">
        <f>'QTD Mgmt Summary'!A33</f>
        <v>East Origination (Vickors)</v>
      </c>
      <c r="B33" s="229"/>
      <c r="C33" s="98">
        <f>'YTD GrossMargin'!I33</f>
        <v>9003</v>
      </c>
      <c r="D33" s="98">
        <f>'YTD GrossMargin'!J33</f>
        <v>20000</v>
      </c>
      <c r="E33" s="258">
        <f t="shared" si="14"/>
        <v>-10997</v>
      </c>
      <c r="F33" s="23"/>
      <c r="G33" s="219">
        <f>Expenses!C33+1692</f>
        <v>2668</v>
      </c>
      <c r="H33" s="219">
        <v>3959</v>
      </c>
      <c r="I33" s="254">
        <f t="shared" si="15"/>
        <v>1291</v>
      </c>
      <c r="J33" s="9"/>
      <c r="K33" s="219">
        <f>'Cap Charge'!C33</f>
        <v>0</v>
      </c>
      <c r="L33" s="181">
        <f>'Cap Charge'!D33</f>
        <v>0</v>
      </c>
      <c r="M33" s="254">
        <f t="shared" si="16"/>
        <v>0</v>
      </c>
      <c r="N33" s="182"/>
      <c r="O33" s="180">
        <f t="shared" si="17"/>
        <v>6335</v>
      </c>
      <c r="P33" s="181">
        <f t="shared" si="17"/>
        <v>16041</v>
      </c>
      <c r="Q33" s="254">
        <f t="shared" si="18"/>
        <v>-9706</v>
      </c>
    </row>
    <row r="34" spans="1:17" ht="12.75" customHeight="1" x14ac:dyDescent="0.25">
      <c r="A34" s="11" t="str">
        <f>'QTD Mgmt Summary'!A34</f>
        <v>Central Trading (Shively)</v>
      </c>
      <c r="B34" s="229"/>
      <c r="C34" s="98">
        <f>'YTD GrossMargin'!I34</f>
        <v>163815</v>
      </c>
      <c r="D34" s="98">
        <f>'YTD GrossMargin'!J34</f>
        <v>63000</v>
      </c>
      <c r="E34" s="258">
        <f t="shared" si="14"/>
        <v>100815</v>
      </c>
      <c r="F34" s="23"/>
      <c r="G34" s="219">
        <f>Expenses!C34+3818</f>
        <v>5458</v>
      </c>
      <c r="H34" s="219">
        <v>6667</v>
      </c>
      <c r="I34" s="254">
        <f t="shared" si="15"/>
        <v>1209</v>
      </c>
      <c r="J34" s="9"/>
      <c r="K34" s="219">
        <f>'Cap Charge'!C34+659</f>
        <v>1506</v>
      </c>
      <c r="L34" s="181">
        <v>575</v>
      </c>
      <c r="M34" s="254">
        <f t="shared" si="16"/>
        <v>-931</v>
      </c>
      <c r="N34" s="182"/>
      <c r="O34" s="180">
        <f t="shared" si="17"/>
        <v>156851</v>
      </c>
      <c r="P34" s="181">
        <f t="shared" si="17"/>
        <v>55758</v>
      </c>
      <c r="Q34" s="254">
        <f t="shared" si="18"/>
        <v>101093</v>
      </c>
    </row>
    <row r="35" spans="1:17" ht="12.75" customHeight="1" x14ac:dyDescent="0.25">
      <c r="A35" s="11" t="str">
        <f>'QTD Mgmt Summary'!A35</f>
        <v>Central Origination (Luce)</v>
      </c>
      <c r="B35" s="229"/>
      <c r="C35" s="98">
        <f>'YTD GrossMargin'!I35</f>
        <v>2511</v>
      </c>
      <c r="D35" s="98">
        <f>'YTD GrossMargin'!J35</f>
        <v>17000</v>
      </c>
      <c r="E35" s="258">
        <f t="shared" si="14"/>
        <v>-14489</v>
      </c>
      <c r="F35" s="23"/>
      <c r="G35" s="219">
        <f>Expenses!C35+1267</f>
        <v>2080</v>
      </c>
      <c r="H35" s="219">
        <v>3415</v>
      </c>
      <c r="I35" s="254">
        <f t="shared" si="15"/>
        <v>1335</v>
      </c>
      <c r="J35" s="9"/>
      <c r="K35" s="219">
        <f>'Cap Charge'!C35</f>
        <v>0</v>
      </c>
      <c r="L35" s="181">
        <f>'Cap Charge'!D35</f>
        <v>0</v>
      </c>
      <c r="M35" s="254">
        <f t="shared" si="16"/>
        <v>0</v>
      </c>
      <c r="N35" s="182"/>
      <c r="O35" s="180">
        <f t="shared" si="17"/>
        <v>431</v>
      </c>
      <c r="P35" s="181">
        <f t="shared" si="17"/>
        <v>13585</v>
      </c>
      <c r="Q35" s="254">
        <f t="shared" si="18"/>
        <v>-13154</v>
      </c>
    </row>
    <row r="36" spans="1:17" ht="12.75" customHeight="1" x14ac:dyDescent="0.25">
      <c r="A36" s="11" t="str">
        <f>'QTD Mgmt Summary'!A36</f>
        <v>Texas Trading (Martin)</v>
      </c>
      <c r="B36" s="229"/>
      <c r="C36" s="98">
        <f>'YTD GrossMargin'!I36</f>
        <v>127107</v>
      </c>
      <c r="D36" s="98">
        <f>'YTD GrossMargin'!J36</f>
        <v>40000</v>
      </c>
      <c r="E36" s="258">
        <f t="shared" si="14"/>
        <v>87107</v>
      </c>
      <c r="F36" s="23"/>
      <c r="G36" s="219">
        <f>Expenses!C36+2061</f>
        <v>3143</v>
      </c>
      <c r="H36" s="219">
        <v>4901</v>
      </c>
      <c r="I36" s="254">
        <f t="shared" si="15"/>
        <v>1758</v>
      </c>
      <c r="J36" s="9"/>
      <c r="K36" s="219">
        <f>'Cap Charge'!C36</f>
        <v>0</v>
      </c>
      <c r="L36" s="181">
        <f>'Cap Charge'!D36</f>
        <v>0</v>
      </c>
      <c r="M36" s="254">
        <f t="shared" si="16"/>
        <v>0</v>
      </c>
      <c r="N36" s="182"/>
      <c r="O36" s="180">
        <f t="shared" si="17"/>
        <v>123964</v>
      </c>
      <c r="P36" s="181">
        <f t="shared" si="17"/>
        <v>35099</v>
      </c>
      <c r="Q36" s="254">
        <f t="shared" si="18"/>
        <v>88865</v>
      </c>
    </row>
    <row r="37" spans="1:17" ht="12.75" customHeight="1" x14ac:dyDescent="0.25">
      <c r="A37" s="11" t="str">
        <f>'QTD Mgmt Summary'!A37</f>
        <v>Texas Origination (Redmond)</v>
      </c>
      <c r="B37" s="229"/>
      <c r="C37" s="98">
        <f>'YTD GrossMargin'!I37</f>
        <v>0</v>
      </c>
      <c r="D37" s="98">
        <f>'YTD GrossMargin'!J37</f>
        <v>0</v>
      </c>
      <c r="E37" s="258">
        <f t="shared" si="14"/>
        <v>0</v>
      </c>
      <c r="F37" s="23"/>
      <c r="G37" s="219">
        <f>Expenses!C37</f>
        <v>0</v>
      </c>
      <c r="H37" s="219">
        <f>Expenses!D37</f>
        <v>0</v>
      </c>
      <c r="I37" s="254">
        <f t="shared" si="15"/>
        <v>0</v>
      </c>
      <c r="J37" s="9"/>
      <c r="K37" s="219">
        <f>'Cap Charge'!C37</f>
        <v>0</v>
      </c>
      <c r="L37" s="181">
        <f>'Cap Charge'!D37</f>
        <v>0</v>
      </c>
      <c r="M37" s="254">
        <f t="shared" si="16"/>
        <v>0</v>
      </c>
      <c r="N37" s="182"/>
      <c r="O37" s="180">
        <f t="shared" si="17"/>
        <v>0</v>
      </c>
      <c r="P37" s="181">
        <f t="shared" si="17"/>
        <v>0</v>
      </c>
      <c r="Q37" s="254">
        <f t="shared" si="18"/>
        <v>0</v>
      </c>
    </row>
    <row r="38" spans="1:17" ht="12.75" customHeight="1" x14ac:dyDescent="0.25">
      <c r="A38" s="11" t="str">
        <f>'QTD Mgmt Summary'!A38</f>
        <v>West Trading (Allen)</v>
      </c>
      <c r="B38" s="229"/>
      <c r="C38" s="98">
        <f>'YTD GrossMargin'!I38</f>
        <v>-114147</v>
      </c>
      <c r="D38" s="98">
        <f>'YTD GrossMargin'!J38</f>
        <v>20000</v>
      </c>
      <c r="E38" s="258">
        <f t="shared" ref="E38:E44" si="19">C38-D38</f>
        <v>-134147</v>
      </c>
      <c r="F38" s="23"/>
      <c r="G38" s="219">
        <f>Expenses!C38+2464</f>
        <v>3570</v>
      </c>
      <c r="H38" s="219">
        <v>4485</v>
      </c>
      <c r="I38" s="254">
        <f t="shared" ref="I38:I44" si="20">H38-G38</f>
        <v>915</v>
      </c>
      <c r="J38" s="9"/>
      <c r="K38" s="219">
        <f>'Cap Charge'!C38</f>
        <v>0</v>
      </c>
      <c r="L38" s="181">
        <f>'Cap Charge'!D38</f>
        <v>0</v>
      </c>
      <c r="M38" s="254">
        <f t="shared" ref="M38:M44" si="21">L38-K38</f>
        <v>0</v>
      </c>
      <c r="N38" s="182"/>
      <c r="O38" s="180">
        <f t="shared" ref="O38:P44" si="22">C38-G38-K38</f>
        <v>-117717</v>
      </c>
      <c r="P38" s="181">
        <f t="shared" si="22"/>
        <v>15515</v>
      </c>
      <c r="Q38" s="254">
        <f t="shared" ref="Q38:Q44" si="23">O38-P38</f>
        <v>-133232</v>
      </c>
    </row>
    <row r="39" spans="1:17" ht="12.75" customHeight="1" x14ac:dyDescent="0.25">
      <c r="A39" s="11" t="str">
        <f>'QTD Mgmt Summary'!A39</f>
        <v>West Origination (Tycholiz)</v>
      </c>
      <c r="B39" s="229"/>
      <c r="C39" s="98">
        <f>'YTD GrossMargin'!I39</f>
        <v>43807</v>
      </c>
      <c r="D39" s="98">
        <f>'YTD GrossMargin'!J39</f>
        <v>106000</v>
      </c>
      <c r="E39" s="258">
        <f t="shared" si="19"/>
        <v>-62193</v>
      </c>
      <c r="F39" s="23"/>
      <c r="G39" s="219">
        <f>Expenses!C39+1962</f>
        <v>2586</v>
      </c>
      <c r="H39" s="219">
        <v>2699</v>
      </c>
      <c r="I39" s="254">
        <f t="shared" si="20"/>
        <v>113</v>
      </c>
      <c r="J39" s="9"/>
      <c r="K39" s="219">
        <f>'Cap Charge'!C39</f>
        <v>0</v>
      </c>
      <c r="L39" s="181">
        <f>'Cap Charge'!D39</f>
        <v>0</v>
      </c>
      <c r="M39" s="254">
        <f t="shared" si="21"/>
        <v>0</v>
      </c>
      <c r="N39" s="182"/>
      <c r="O39" s="180">
        <f t="shared" si="22"/>
        <v>41221</v>
      </c>
      <c r="P39" s="181">
        <f t="shared" si="22"/>
        <v>103301</v>
      </c>
      <c r="Q39" s="254">
        <f t="shared" si="23"/>
        <v>-62080</v>
      </c>
    </row>
    <row r="40" spans="1:17" ht="12.75" customHeight="1" x14ac:dyDescent="0.25">
      <c r="A40" s="11" t="str">
        <f>'QTD Mgmt Summary'!A40</f>
        <v>Financial Gas (Arnold)</v>
      </c>
      <c r="B40" s="229"/>
      <c r="C40" s="98">
        <f>'YTD GrossMargin'!I40</f>
        <v>678345</v>
      </c>
      <c r="D40" s="98">
        <f>'YTD GrossMargin'!J40</f>
        <v>125000</v>
      </c>
      <c r="E40" s="258">
        <f t="shared" si="19"/>
        <v>553345</v>
      </c>
      <c r="F40" s="23"/>
      <c r="G40" s="219">
        <f>Expenses!C40+923</f>
        <v>1325</v>
      </c>
      <c r="H40" s="219">
        <v>1653</v>
      </c>
      <c r="I40" s="254">
        <f t="shared" si="20"/>
        <v>328</v>
      </c>
      <c r="J40" s="9"/>
      <c r="K40" s="219">
        <f>'Cap Charge'!C40</f>
        <v>0</v>
      </c>
      <c r="L40" s="181">
        <f>'Cap Charge'!D40</f>
        <v>0</v>
      </c>
      <c r="M40" s="254">
        <f t="shared" si="21"/>
        <v>0</v>
      </c>
      <c r="N40" s="182"/>
      <c r="O40" s="180">
        <f t="shared" si="22"/>
        <v>677020</v>
      </c>
      <c r="P40" s="181">
        <f t="shared" si="22"/>
        <v>123347</v>
      </c>
      <c r="Q40" s="254">
        <f t="shared" si="23"/>
        <v>553673</v>
      </c>
    </row>
    <row r="41" spans="1:17" ht="12.75" customHeight="1" x14ac:dyDescent="0.25">
      <c r="A41" s="11" t="str">
        <f>'QTD Mgmt Summary'!A41</f>
        <v>Derivative (Lagrasta)</v>
      </c>
      <c r="B41" s="229"/>
      <c r="C41" s="98">
        <f>'YTD GrossMargin'!I41</f>
        <v>23366</v>
      </c>
      <c r="D41" s="98">
        <f>'YTD GrossMargin'!J41</f>
        <v>25000</v>
      </c>
      <c r="E41" s="258">
        <f t="shared" si="19"/>
        <v>-1634</v>
      </c>
      <c r="F41" s="23"/>
      <c r="G41" s="219">
        <f>Expenses!C41+2073</f>
        <v>3157</v>
      </c>
      <c r="H41" s="219">
        <v>4402</v>
      </c>
      <c r="I41" s="254">
        <f t="shared" si="20"/>
        <v>1245</v>
      </c>
      <c r="J41" s="9"/>
      <c r="K41" s="219">
        <f>'Cap Charge'!C41</f>
        <v>0</v>
      </c>
      <c r="L41" s="181">
        <f>'Cap Charge'!D41</f>
        <v>0</v>
      </c>
      <c r="M41" s="254">
        <f t="shared" si="21"/>
        <v>0</v>
      </c>
      <c r="N41" s="182"/>
      <c r="O41" s="180">
        <f t="shared" si="22"/>
        <v>20209</v>
      </c>
      <c r="P41" s="181">
        <f t="shared" si="22"/>
        <v>20598</v>
      </c>
      <c r="Q41" s="254">
        <f t="shared" si="23"/>
        <v>-389</v>
      </c>
    </row>
    <row r="42" spans="1:17" ht="12.75" customHeight="1" x14ac:dyDescent="0.25">
      <c r="A42" s="11" t="str">
        <f>'QTD Mgmt Summary'!A42</f>
        <v>NG Structuring (McMichael)</v>
      </c>
      <c r="B42" s="229"/>
      <c r="C42" s="98">
        <f>'YTD GrossMargin'!I42</f>
        <v>0</v>
      </c>
      <c r="D42" s="98">
        <f>'YTD GrossMargin'!J42</f>
        <v>0</v>
      </c>
      <c r="E42" s="258">
        <f t="shared" si="19"/>
        <v>0</v>
      </c>
      <c r="F42" s="23"/>
      <c r="G42" s="219">
        <f>Expenses!C42+886</f>
        <v>1620</v>
      </c>
      <c r="H42" s="219">
        <v>2738</v>
      </c>
      <c r="I42" s="254">
        <f t="shared" si="20"/>
        <v>1118</v>
      </c>
      <c r="J42" s="9"/>
      <c r="K42" s="219">
        <f>'Cap Charge'!C42</f>
        <v>0</v>
      </c>
      <c r="L42" s="181">
        <f>'Cap Charge'!D42</f>
        <v>0</v>
      </c>
      <c r="M42" s="254">
        <f t="shared" si="21"/>
        <v>0</v>
      </c>
      <c r="N42" s="182"/>
      <c r="O42" s="180">
        <f t="shared" si="22"/>
        <v>-1620</v>
      </c>
      <c r="P42" s="181">
        <f t="shared" si="22"/>
        <v>-2738</v>
      </c>
      <c r="Q42" s="254">
        <f t="shared" si="23"/>
        <v>1118</v>
      </c>
    </row>
    <row r="43" spans="1:17" ht="12.75" customHeight="1" x14ac:dyDescent="0.25">
      <c r="A43" s="11" t="str">
        <f>'QTD Mgmt Summary'!A43</f>
        <v>NG Fundamentals (Gaskill)</v>
      </c>
      <c r="B43" s="229"/>
      <c r="C43" s="98">
        <f>'YTD GrossMargin'!I43</f>
        <v>0</v>
      </c>
      <c r="D43" s="98">
        <f>'YTD GrossMargin'!J43</f>
        <v>0</v>
      </c>
      <c r="E43" s="258">
        <f t="shared" si="19"/>
        <v>0</v>
      </c>
      <c r="F43" s="23"/>
      <c r="G43" s="219">
        <f>Expenses!C43+799</f>
        <v>1307</v>
      </c>
      <c r="H43" s="219">
        <v>2091</v>
      </c>
      <c r="I43" s="254">
        <f t="shared" si="20"/>
        <v>784</v>
      </c>
      <c r="J43" s="9"/>
      <c r="K43" s="219">
        <f>'Cap Charge'!C43</f>
        <v>0</v>
      </c>
      <c r="L43" s="181">
        <f>'Cap Charge'!D43</f>
        <v>0</v>
      </c>
      <c r="M43" s="254">
        <f t="shared" si="21"/>
        <v>0</v>
      </c>
      <c r="N43" s="182"/>
      <c r="O43" s="180">
        <f t="shared" si="22"/>
        <v>-1307</v>
      </c>
      <c r="P43" s="181">
        <f t="shared" si="22"/>
        <v>-2091</v>
      </c>
      <c r="Q43" s="254">
        <f t="shared" si="23"/>
        <v>784</v>
      </c>
    </row>
    <row r="44" spans="1:17" ht="12.75" customHeight="1" thickBot="1" x14ac:dyDescent="0.3">
      <c r="A44" s="11" t="str">
        <f>'QTD Mgmt Summary'!A44</f>
        <v>Management</v>
      </c>
      <c r="B44" s="229"/>
      <c r="C44" s="98">
        <f>'YTD GrossMargin'!I44</f>
        <v>-247000</v>
      </c>
      <c r="D44" s="98">
        <f>'YTD GrossMargin'!J44</f>
        <v>0</v>
      </c>
      <c r="E44" s="258">
        <f t="shared" si="19"/>
        <v>-247000</v>
      </c>
      <c r="F44" s="23"/>
      <c r="G44" s="219">
        <f>Expenses!C44</f>
        <v>0</v>
      </c>
      <c r="H44" s="219">
        <f>Expenses!D44</f>
        <v>0</v>
      </c>
      <c r="I44" s="254">
        <f t="shared" si="20"/>
        <v>0</v>
      </c>
      <c r="J44" s="9"/>
      <c r="K44" s="219">
        <f>'Cap Charge'!C44</f>
        <v>0</v>
      </c>
      <c r="L44" s="181">
        <f>'Cap Charge'!D44</f>
        <v>0</v>
      </c>
      <c r="M44" s="254">
        <f t="shared" si="21"/>
        <v>0</v>
      </c>
      <c r="N44" s="182"/>
      <c r="O44" s="180">
        <f t="shared" si="22"/>
        <v>-247000</v>
      </c>
      <c r="P44" s="181">
        <f t="shared" si="22"/>
        <v>0</v>
      </c>
      <c r="Q44" s="254">
        <f t="shared" si="23"/>
        <v>-247000</v>
      </c>
    </row>
    <row r="45" spans="1:17" s="42" customFormat="1" ht="12.75" customHeight="1" thickBot="1" x14ac:dyDescent="0.3">
      <c r="A45" s="35" t="s">
        <v>9</v>
      </c>
      <c r="B45" s="277"/>
      <c r="C45" s="292">
        <f>SUM(C32:C44)</f>
        <v>701371</v>
      </c>
      <c r="D45" s="374">
        <f>SUM(D32:D44)</f>
        <v>476000</v>
      </c>
      <c r="E45" s="297">
        <f>SUM(E32:E44)</f>
        <v>225371</v>
      </c>
      <c r="F45" s="152"/>
      <c r="G45" s="327">
        <f>SUM(G32:G44)</f>
        <v>35640</v>
      </c>
      <c r="H45" s="327">
        <f>SUM(H32:H44)</f>
        <v>44673</v>
      </c>
      <c r="I45" s="327">
        <f>SUM(I32:I44)</f>
        <v>9033</v>
      </c>
      <c r="J45" s="326"/>
      <c r="K45" s="327">
        <f>SUM(K32:K44)</f>
        <v>3626</v>
      </c>
      <c r="L45" s="327">
        <f>SUM(L32:L44)</f>
        <v>6865</v>
      </c>
      <c r="M45" s="327">
        <f>SUM(M32:M44)</f>
        <v>3239</v>
      </c>
      <c r="N45" s="194"/>
      <c r="O45" s="327">
        <f>SUM(O32:O44)</f>
        <v>662105</v>
      </c>
      <c r="P45" s="327">
        <f>SUM(P32:P44)</f>
        <v>424462</v>
      </c>
      <c r="Q45" s="312">
        <f>SUM(Q32:Q44)</f>
        <v>237643</v>
      </c>
    </row>
    <row r="46" spans="1:17" ht="12.75" customHeight="1" x14ac:dyDescent="0.25">
      <c r="A46" s="11" t="str">
        <f>'QTD Mgmt Summary'!A46</f>
        <v>Natural Gas Trading (Zufferli)</v>
      </c>
      <c r="B46" s="9"/>
      <c r="C46" s="21">
        <f>'YTD GrossMargin'!I46</f>
        <v>-21417</v>
      </c>
      <c r="D46" s="98">
        <f>'YTD GrossMargin'!J46</f>
        <v>25000</v>
      </c>
      <c r="E46" s="258">
        <f t="shared" ref="E46:E51" si="24">-D46+C46</f>
        <v>-46417</v>
      </c>
      <c r="F46" s="23"/>
      <c r="G46" s="219">
        <f>Expenses!C46+1574</f>
        <v>2304</v>
      </c>
      <c r="H46" s="219">
        <v>2433</v>
      </c>
      <c r="I46" s="254">
        <f t="shared" ref="I46:I51" si="25">H46-G46</f>
        <v>129</v>
      </c>
      <c r="J46" s="9"/>
      <c r="K46" s="181">
        <f>'Cap Charge'!C46+214</f>
        <v>436</v>
      </c>
      <c r="L46" s="181">
        <v>396</v>
      </c>
      <c r="M46" s="254">
        <f t="shared" ref="M46:M51" si="26">L46-K46</f>
        <v>-40</v>
      </c>
      <c r="N46" s="182"/>
      <c r="O46" s="180">
        <f t="shared" ref="O46:P51" si="27">C46-G46-K46</f>
        <v>-24157</v>
      </c>
      <c r="P46" s="181">
        <f t="shared" si="27"/>
        <v>22171</v>
      </c>
      <c r="Q46" s="254">
        <f t="shared" ref="Q46:Q51" si="28">O46-P46</f>
        <v>-46328</v>
      </c>
    </row>
    <row r="47" spans="1:17" ht="12.75" customHeight="1" x14ac:dyDescent="0.25">
      <c r="A47" s="11" t="str">
        <f>'QTD Mgmt Summary'!A47</f>
        <v>Natural Gas Origination (LeDain)</v>
      </c>
      <c r="B47" s="9"/>
      <c r="C47" s="21">
        <f>'YTD GrossMargin'!I47</f>
        <v>13136</v>
      </c>
      <c r="D47" s="98">
        <f>'YTD GrossMargin'!J47</f>
        <v>25000</v>
      </c>
      <c r="E47" s="258">
        <f t="shared" si="24"/>
        <v>-11864</v>
      </c>
      <c r="F47" s="23"/>
      <c r="G47" s="219">
        <f>Expenses!C47+1573</f>
        <v>2060</v>
      </c>
      <c r="H47" s="219">
        <v>2433</v>
      </c>
      <c r="I47" s="254">
        <f t="shared" si="25"/>
        <v>373</v>
      </c>
      <c r="J47" s="9"/>
      <c r="K47" s="219">
        <f>'Cap Charge'!C47</f>
        <v>0</v>
      </c>
      <c r="L47" s="181">
        <f>'Cap Charge'!D47</f>
        <v>0</v>
      </c>
      <c r="M47" s="254">
        <f t="shared" si="26"/>
        <v>0</v>
      </c>
      <c r="N47" s="182"/>
      <c r="O47" s="180">
        <f t="shared" si="27"/>
        <v>11076</v>
      </c>
      <c r="P47" s="181">
        <f t="shared" si="27"/>
        <v>22567</v>
      </c>
      <c r="Q47" s="254">
        <f t="shared" si="28"/>
        <v>-11491</v>
      </c>
    </row>
    <row r="48" spans="1:17" ht="12.75" customHeight="1" x14ac:dyDescent="0.25">
      <c r="A48" s="11" t="str">
        <f>'QTD Mgmt Summary'!A48</f>
        <v>Finance (Kitagawa)</v>
      </c>
      <c r="B48" s="9"/>
      <c r="C48" s="21">
        <f>'YTD GrossMargin'!I48</f>
        <v>7637</v>
      </c>
      <c r="D48" s="98">
        <f>'YTD GrossMargin'!J48</f>
        <v>20000</v>
      </c>
      <c r="E48" s="258">
        <f t="shared" si="24"/>
        <v>-12363</v>
      </c>
      <c r="F48" s="23"/>
      <c r="G48" s="219">
        <f>Expenses!C48+343</f>
        <v>766</v>
      </c>
      <c r="H48" s="219">
        <v>1692</v>
      </c>
      <c r="I48" s="254">
        <f t="shared" si="25"/>
        <v>926</v>
      </c>
      <c r="J48" s="9"/>
      <c r="K48" s="219">
        <f>'Cap Charge'!C48+2862</f>
        <v>3769</v>
      </c>
      <c r="L48" s="181">
        <v>1409</v>
      </c>
      <c r="M48" s="254">
        <f t="shared" si="26"/>
        <v>-2360</v>
      </c>
      <c r="N48" s="182"/>
      <c r="O48" s="180">
        <f t="shared" si="27"/>
        <v>3102</v>
      </c>
      <c r="P48" s="181">
        <f t="shared" si="27"/>
        <v>16899</v>
      </c>
      <c r="Q48" s="254">
        <f t="shared" si="28"/>
        <v>-13797</v>
      </c>
    </row>
    <row r="49" spans="1:17" ht="12.75" customHeight="1" x14ac:dyDescent="0.25">
      <c r="A49" s="11" t="str">
        <f>'QTD Mgmt Summary'!A49</f>
        <v>Alberta Power (Zufferli/Davies)</v>
      </c>
      <c r="B49" s="9"/>
      <c r="C49" s="21">
        <f>'YTD GrossMargin'!I49</f>
        <v>208180</v>
      </c>
      <c r="D49" s="98">
        <f>'YTD GrossMargin'!J49</f>
        <v>155000</v>
      </c>
      <c r="E49" s="258">
        <f t="shared" si="24"/>
        <v>53180</v>
      </c>
      <c r="F49" s="23"/>
      <c r="G49" s="219">
        <f>Expenses!C49+978</f>
        <v>1552</v>
      </c>
      <c r="H49" s="219">
        <v>2296</v>
      </c>
      <c r="I49" s="254">
        <f t="shared" si="25"/>
        <v>744</v>
      </c>
      <c r="J49" s="9"/>
      <c r="K49" s="181">
        <f>'Cap Charge'!C49</f>
        <v>0</v>
      </c>
      <c r="L49" s="181">
        <f>'Cap Charge'!D49</f>
        <v>0</v>
      </c>
      <c r="M49" s="254">
        <f t="shared" si="26"/>
        <v>0</v>
      </c>
      <c r="N49" s="182"/>
      <c r="O49" s="180">
        <f t="shared" si="27"/>
        <v>206628</v>
      </c>
      <c r="P49" s="181">
        <f t="shared" si="27"/>
        <v>152704</v>
      </c>
      <c r="Q49" s="254">
        <f t="shared" si="28"/>
        <v>53924</v>
      </c>
    </row>
    <row r="50" spans="1:17" ht="12.75" customHeight="1" x14ac:dyDescent="0.25">
      <c r="A50" s="11" t="str">
        <f>'QTD Mgmt Summary'!A50</f>
        <v>Ontario Power (Devries)</v>
      </c>
      <c r="B50" s="9"/>
      <c r="C50" s="21">
        <f>'YTD GrossMargin'!I50</f>
        <v>-712</v>
      </c>
      <c r="D50" s="98">
        <f>'YTD GrossMargin'!J50</f>
        <v>50000</v>
      </c>
      <c r="E50" s="258">
        <f t="shared" si="24"/>
        <v>-50712</v>
      </c>
      <c r="F50" s="23"/>
      <c r="G50" s="219">
        <f>Expenses!C50+652</f>
        <v>1807</v>
      </c>
      <c r="H50" s="219">
        <v>4621</v>
      </c>
      <c r="I50" s="254">
        <f t="shared" si="25"/>
        <v>2814</v>
      </c>
      <c r="J50" s="9"/>
      <c r="K50" s="181">
        <f>'Cap Charge'!C50</f>
        <v>0</v>
      </c>
      <c r="L50" s="181">
        <v>1788</v>
      </c>
      <c r="M50" s="254">
        <f t="shared" si="26"/>
        <v>1788</v>
      </c>
      <c r="N50" s="182"/>
      <c r="O50" s="180">
        <f t="shared" si="27"/>
        <v>-2519</v>
      </c>
      <c r="P50" s="181">
        <f t="shared" si="27"/>
        <v>43591</v>
      </c>
      <c r="Q50" s="254">
        <f t="shared" si="28"/>
        <v>-46110</v>
      </c>
    </row>
    <row r="51" spans="1:17" ht="12.75" customHeight="1" thickBot="1" x14ac:dyDescent="0.3">
      <c r="A51" s="11" t="str">
        <f>'QTD Mgmt Summary'!A51</f>
        <v>Executive (Milnthorp)</v>
      </c>
      <c r="B51" s="9"/>
      <c r="C51" s="21">
        <f>'YTD GrossMargin'!I51</f>
        <v>-5049</v>
      </c>
      <c r="D51" s="98">
        <f>'YTD GrossMargin'!J51</f>
        <v>10000</v>
      </c>
      <c r="E51" s="258">
        <f t="shared" si="24"/>
        <v>-15049</v>
      </c>
      <c r="F51" s="23"/>
      <c r="G51" s="219">
        <f>Expenses!C51+1212</f>
        <v>2526</v>
      </c>
      <c r="H51" s="219">
        <v>5255</v>
      </c>
      <c r="I51" s="254">
        <f t="shared" si="25"/>
        <v>2729</v>
      </c>
      <c r="J51" s="9"/>
      <c r="K51" s="219">
        <f>'Cap Charge'!C51</f>
        <v>0</v>
      </c>
      <c r="L51" s="181">
        <f>'Cap Charge'!D51</f>
        <v>0</v>
      </c>
      <c r="M51" s="254">
        <f t="shared" si="26"/>
        <v>0</v>
      </c>
      <c r="N51" s="182"/>
      <c r="O51" s="180">
        <f t="shared" si="27"/>
        <v>-7575</v>
      </c>
      <c r="P51" s="181">
        <f t="shared" si="27"/>
        <v>4745</v>
      </c>
      <c r="Q51" s="254">
        <f t="shared" si="28"/>
        <v>-12320</v>
      </c>
    </row>
    <row r="52" spans="1:17" s="42" customFormat="1" ht="12.75" customHeight="1" thickBot="1" x14ac:dyDescent="0.3">
      <c r="A52" s="35" t="s">
        <v>10</v>
      </c>
      <c r="B52" s="277"/>
      <c r="C52" s="292">
        <f>SUM(C46:C51)</f>
        <v>201775</v>
      </c>
      <c r="D52" s="375">
        <f>SUM(D46:D51)</f>
        <v>285000</v>
      </c>
      <c r="E52" s="297">
        <f>SUM(E46:E51)</f>
        <v>-83225</v>
      </c>
      <c r="F52" s="152"/>
      <c r="G52" s="264">
        <f>SUM(G46:G51)</f>
        <v>11015</v>
      </c>
      <c r="H52" s="264">
        <f>SUM(H46:H51)</f>
        <v>18730</v>
      </c>
      <c r="I52" s="264">
        <f>SUM(I46:I51)</f>
        <v>7715</v>
      </c>
      <c r="J52" s="326"/>
      <c r="K52" s="264">
        <f>SUM(K46:K51)</f>
        <v>4205</v>
      </c>
      <c r="L52" s="264">
        <f>SUM(L46:L51)</f>
        <v>3593</v>
      </c>
      <c r="M52" s="264">
        <f>SUM(M46:M51)</f>
        <v>-612</v>
      </c>
      <c r="N52" s="194"/>
      <c r="O52" s="264">
        <f>SUM(O46:O51)</f>
        <v>186555</v>
      </c>
      <c r="P52" s="264">
        <f>SUM(P46:P51)</f>
        <v>262677</v>
      </c>
      <c r="Q52" s="265">
        <f>SUM(Q46:Q51)</f>
        <v>-76122</v>
      </c>
    </row>
    <row r="53" spans="1:17" ht="12.75" customHeight="1" x14ac:dyDescent="0.25">
      <c r="A53" s="11" t="s">
        <v>145</v>
      </c>
      <c r="B53" s="229"/>
      <c r="C53" s="21">
        <f>'YTD GrossMargin'!I53</f>
        <v>18633</v>
      </c>
      <c r="D53" s="98">
        <f>'YTD GrossMargin'!J53</f>
        <v>40546</v>
      </c>
      <c r="E53" s="258">
        <f t="shared" ref="E53:E64" si="29">C53-D53</f>
        <v>-21913</v>
      </c>
      <c r="F53" s="23"/>
      <c r="G53" s="187">
        <f>Expenses!C53+Expenses!F53+3651</f>
        <v>5599</v>
      </c>
      <c r="H53" s="181">
        <v>6704</v>
      </c>
      <c r="I53" s="181">
        <f t="shared" ref="I53:I66" si="30">H53-G53</f>
        <v>1105</v>
      </c>
      <c r="J53" s="9"/>
      <c r="K53" s="189">
        <f>'Cap Charge'!C53+1019</f>
        <v>1019</v>
      </c>
      <c r="L53" s="181">
        <v>1655</v>
      </c>
      <c r="M53" s="181">
        <f t="shared" ref="M53:M66" si="31">L53-K53</f>
        <v>636</v>
      </c>
      <c r="N53" s="182"/>
      <c r="O53" s="180">
        <f t="shared" ref="O53:O66" si="32">C53-G53-K53</f>
        <v>12015</v>
      </c>
      <c r="P53" s="189">
        <f t="shared" ref="P53:P66" si="33">D53-H53-L53</f>
        <v>32187</v>
      </c>
      <c r="Q53" s="254">
        <f t="shared" ref="Q53:Q66" si="34">O53-P53</f>
        <v>-20172</v>
      </c>
    </row>
    <row r="54" spans="1:17" ht="12.75" customHeight="1" x14ac:dyDescent="0.25">
      <c r="A54" s="11" t="s">
        <v>146</v>
      </c>
      <c r="B54" s="229"/>
      <c r="C54" s="21">
        <f>'YTD GrossMargin'!I54</f>
        <v>7205</v>
      </c>
      <c r="D54" s="98">
        <f>'YTD GrossMargin'!J54</f>
        <v>11637</v>
      </c>
      <c r="E54" s="258">
        <f t="shared" si="29"/>
        <v>-4432</v>
      </c>
      <c r="F54" s="23"/>
      <c r="G54" s="187">
        <f>Expenses!C54+Expenses!F54</f>
        <v>0</v>
      </c>
      <c r="H54" s="181">
        <f>Expenses!D54+Expenses!G54</f>
        <v>0</v>
      </c>
      <c r="I54" s="181">
        <f t="shared" si="30"/>
        <v>0</v>
      </c>
      <c r="J54" s="9"/>
      <c r="K54" s="342">
        <f>'Cap Charge'!C54+11552</f>
        <v>17002</v>
      </c>
      <c r="L54" s="181">
        <v>25128</v>
      </c>
      <c r="M54" s="181">
        <f t="shared" si="31"/>
        <v>8126</v>
      </c>
      <c r="N54" s="182"/>
      <c r="O54" s="180">
        <f t="shared" si="32"/>
        <v>-9797</v>
      </c>
      <c r="P54" s="189">
        <f t="shared" si="33"/>
        <v>-13491</v>
      </c>
      <c r="Q54" s="254">
        <f t="shared" si="34"/>
        <v>3694</v>
      </c>
    </row>
    <row r="55" spans="1:17" ht="12.75" customHeight="1" x14ac:dyDescent="0.25">
      <c r="A55" s="11" t="s">
        <v>147</v>
      </c>
      <c r="B55" s="229"/>
      <c r="C55" s="21">
        <f>'YTD GrossMargin'!I55</f>
        <v>43481</v>
      </c>
      <c r="D55" s="98">
        <f>'YTD GrossMargin'!J55</f>
        <v>-77380</v>
      </c>
      <c r="E55" s="258">
        <f t="shared" si="29"/>
        <v>120861</v>
      </c>
      <c r="F55" s="23"/>
      <c r="G55" s="187">
        <f>Expenses!C55+Expenses!F55+118176</f>
        <v>136508</v>
      </c>
      <c r="H55" s="181">
        <v>8383</v>
      </c>
      <c r="I55" s="181">
        <f t="shared" si="30"/>
        <v>-128125</v>
      </c>
      <c r="J55" s="9"/>
      <c r="K55" s="342">
        <f>'Cap Charge'!C55</f>
        <v>0</v>
      </c>
      <c r="L55" s="181">
        <f>'Cap Charge'!D55</f>
        <v>0</v>
      </c>
      <c r="M55" s="181">
        <f t="shared" si="31"/>
        <v>0</v>
      </c>
      <c r="N55" s="182"/>
      <c r="O55" s="180">
        <f t="shared" si="32"/>
        <v>-93027</v>
      </c>
      <c r="P55" s="189">
        <f t="shared" si="33"/>
        <v>-85763</v>
      </c>
      <c r="Q55" s="254">
        <f t="shared" si="34"/>
        <v>-7264</v>
      </c>
    </row>
    <row r="56" spans="1:17" ht="12.75" customHeight="1" x14ac:dyDescent="0.25">
      <c r="A56" s="11" t="s">
        <v>148</v>
      </c>
      <c r="B56" s="229"/>
      <c r="C56" s="21">
        <f>'YTD GrossMargin'!I56</f>
        <v>2455</v>
      </c>
      <c r="D56" s="98">
        <f>'YTD GrossMargin'!J56</f>
        <v>60000</v>
      </c>
      <c r="E56" s="258">
        <f t="shared" si="29"/>
        <v>-57545</v>
      </c>
      <c r="F56" s="23"/>
      <c r="G56" s="187">
        <f>Expenses!C56+Expenses!F56+2535</f>
        <v>3846</v>
      </c>
      <c r="H56" s="181">
        <v>5543</v>
      </c>
      <c r="I56" s="181">
        <f t="shared" si="30"/>
        <v>1697</v>
      </c>
      <c r="J56" s="9"/>
      <c r="K56" s="189">
        <f>'Cap Charge'!C56+41</f>
        <v>82</v>
      </c>
      <c r="L56" s="181">
        <f>'Cap Charge'!D56</f>
        <v>0</v>
      </c>
      <c r="M56" s="181">
        <f t="shared" si="31"/>
        <v>-82</v>
      </c>
      <c r="N56" s="182"/>
      <c r="O56" s="180">
        <f t="shared" si="32"/>
        <v>-1473</v>
      </c>
      <c r="P56" s="189">
        <f t="shared" si="33"/>
        <v>54457</v>
      </c>
      <c r="Q56" s="254">
        <f t="shared" si="34"/>
        <v>-55930</v>
      </c>
    </row>
    <row r="57" spans="1:17" ht="12.75" customHeight="1" x14ac:dyDescent="0.25">
      <c r="A57" s="11" t="s">
        <v>149</v>
      </c>
      <c r="B57" s="229"/>
      <c r="C57" s="21">
        <f>'YTD GrossMargin'!I57</f>
        <v>18419</v>
      </c>
      <c r="D57" s="98">
        <f>'YTD GrossMargin'!J57</f>
        <v>51643</v>
      </c>
      <c r="E57" s="258">
        <f t="shared" si="29"/>
        <v>-33224</v>
      </c>
      <c r="F57" s="23"/>
      <c r="G57" s="187">
        <f>Expenses!C57+Expenses!F57+3340</f>
        <v>5285</v>
      </c>
      <c r="H57" s="181">
        <v>7789</v>
      </c>
      <c r="I57" s="181">
        <f t="shared" si="30"/>
        <v>2504</v>
      </c>
      <c r="J57" s="9"/>
      <c r="K57" s="342">
        <f>'Cap Charge'!C57+16817</f>
        <v>21896</v>
      </c>
      <c r="L57" s="181">
        <f>24878+501+1641</f>
        <v>27020</v>
      </c>
      <c r="M57" s="181">
        <f t="shared" si="31"/>
        <v>5124</v>
      </c>
      <c r="N57" s="182"/>
      <c r="O57" s="180">
        <f t="shared" si="32"/>
        <v>-8762</v>
      </c>
      <c r="P57" s="189">
        <f t="shared" si="33"/>
        <v>16834</v>
      </c>
      <c r="Q57" s="254">
        <f t="shared" si="34"/>
        <v>-25596</v>
      </c>
    </row>
    <row r="58" spans="1:17" ht="12.75" customHeight="1" x14ac:dyDescent="0.25">
      <c r="A58" s="11" t="s">
        <v>150</v>
      </c>
      <c r="B58" s="229"/>
      <c r="C58" s="21">
        <f>'YTD GrossMargin'!I58</f>
        <v>15003</v>
      </c>
      <c r="D58" s="98">
        <f>'YTD GrossMargin'!J58</f>
        <v>0</v>
      </c>
      <c r="E58" s="258">
        <f t="shared" si="29"/>
        <v>15003</v>
      </c>
      <c r="F58" s="23"/>
      <c r="G58" s="187">
        <f>Expenses!C58+Expenses!F58</f>
        <v>0</v>
      </c>
      <c r="H58" s="181">
        <f>Expenses!D58+Expenses!G58</f>
        <v>0</v>
      </c>
      <c r="I58" s="181">
        <f t="shared" si="30"/>
        <v>0</v>
      </c>
      <c r="J58" s="9"/>
      <c r="K58" s="342">
        <f>'Cap Charge'!C58+27670</f>
        <v>41614</v>
      </c>
      <c r="L58" s="181">
        <v>24020</v>
      </c>
      <c r="M58" s="181">
        <f t="shared" si="31"/>
        <v>-17594</v>
      </c>
      <c r="N58" s="182"/>
      <c r="O58" s="180">
        <f t="shared" si="32"/>
        <v>-26611</v>
      </c>
      <c r="P58" s="189">
        <f t="shared" si="33"/>
        <v>-24020</v>
      </c>
      <c r="Q58" s="254">
        <f t="shared" si="34"/>
        <v>-2591</v>
      </c>
    </row>
    <row r="59" spans="1:17" ht="12.75" customHeight="1" x14ac:dyDescent="0.25">
      <c r="A59" s="11" t="s">
        <v>151</v>
      </c>
      <c r="B59" s="15"/>
      <c r="C59" s="21">
        <f>'YTD GrossMargin'!I59</f>
        <v>3000</v>
      </c>
      <c r="D59" s="98">
        <f>'YTD GrossMargin'!J59</f>
        <v>20000</v>
      </c>
      <c r="E59" s="258">
        <f t="shared" si="29"/>
        <v>-17000</v>
      </c>
      <c r="F59" s="23"/>
      <c r="G59" s="187">
        <f>Expenses!C59+Expenses!F59+269</f>
        <v>605</v>
      </c>
      <c r="H59" s="181">
        <v>1017</v>
      </c>
      <c r="I59" s="181">
        <f t="shared" si="30"/>
        <v>412</v>
      </c>
      <c r="J59" s="9"/>
      <c r="K59" s="342">
        <f>'Cap Charge'!C59</f>
        <v>0</v>
      </c>
      <c r="L59" s="181">
        <f>'Cap Charge'!D59</f>
        <v>0</v>
      </c>
      <c r="M59" s="181">
        <f t="shared" si="31"/>
        <v>0</v>
      </c>
      <c r="N59" s="182"/>
      <c r="O59" s="180">
        <f t="shared" si="32"/>
        <v>2395</v>
      </c>
      <c r="P59" s="189">
        <f t="shared" si="33"/>
        <v>18983</v>
      </c>
      <c r="Q59" s="254">
        <f t="shared" si="34"/>
        <v>-16588</v>
      </c>
    </row>
    <row r="60" spans="1:17" ht="12.75" customHeight="1" x14ac:dyDescent="0.25">
      <c r="A60" s="11" t="s">
        <v>171</v>
      </c>
      <c r="B60" s="15"/>
      <c r="C60" s="21">
        <f>'YTD GrossMargin'!I60</f>
        <v>-6408</v>
      </c>
      <c r="D60" s="98">
        <f>'YTD GrossMargin'!J60</f>
        <v>27812</v>
      </c>
      <c r="E60" s="258">
        <f t="shared" si="29"/>
        <v>-34220</v>
      </c>
      <c r="F60" s="23"/>
      <c r="G60" s="187">
        <v>1721</v>
      </c>
      <c r="H60" s="181">
        <v>1782</v>
      </c>
      <c r="I60" s="181">
        <f t="shared" si="30"/>
        <v>61</v>
      </c>
      <c r="J60" s="9"/>
      <c r="K60" s="342">
        <v>9630</v>
      </c>
      <c r="L60" s="181">
        <v>21328</v>
      </c>
      <c r="M60" s="181">
        <f t="shared" si="31"/>
        <v>11698</v>
      </c>
      <c r="N60" s="182"/>
      <c r="O60" s="180">
        <f>C60-G60-K60</f>
        <v>-17759</v>
      </c>
      <c r="P60" s="189">
        <f>D60-H60-L60</f>
        <v>4702</v>
      </c>
      <c r="Q60" s="254">
        <f>O60-P60</f>
        <v>-22461</v>
      </c>
    </row>
    <row r="61" spans="1:17" ht="12.75" customHeight="1" x14ac:dyDescent="0.25">
      <c r="A61" s="11" t="s">
        <v>172</v>
      </c>
      <c r="B61" s="15"/>
      <c r="C61" s="21">
        <f>'YTD GrossMargin'!I61</f>
        <v>0</v>
      </c>
      <c r="D61" s="98">
        <f>'YTD GrossMargin'!J61</f>
        <v>5000</v>
      </c>
      <c r="E61" s="258">
        <f t="shared" si="29"/>
        <v>-5000</v>
      </c>
      <c r="F61" s="23"/>
      <c r="G61" s="187">
        <v>700</v>
      </c>
      <c r="H61" s="181">
        <v>720</v>
      </c>
      <c r="I61" s="181">
        <f t="shared" si="30"/>
        <v>20</v>
      </c>
      <c r="J61" s="9"/>
      <c r="K61" s="342">
        <v>0</v>
      </c>
      <c r="L61" s="181">
        <v>13627</v>
      </c>
      <c r="M61" s="181">
        <f t="shared" si="31"/>
        <v>13627</v>
      </c>
      <c r="N61" s="182"/>
      <c r="O61" s="180">
        <f>C61-G61-K61</f>
        <v>-700</v>
      </c>
      <c r="P61" s="189">
        <f>D61-H61-L61</f>
        <v>-9347</v>
      </c>
      <c r="Q61" s="254">
        <f>O61-P61</f>
        <v>8647</v>
      </c>
    </row>
    <row r="62" spans="1:17" ht="12.75" customHeight="1" x14ac:dyDescent="0.25">
      <c r="A62" s="11" t="s">
        <v>152</v>
      </c>
      <c r="B62" s="15"/>
      <c r="C62" s="21">
        <f>'YTD GrossMargin'!I62</f>
        <v>633729</v>
      </c>
      <c r="D62" s="98">
        <f>'YTD GrossMargin'!J62</f>
        <v>-23653</v>
      </c>
      <c r="E62" s="258">
        <f t="shared" si="29"/>
        <v>657382</v>
      </c>
      <c r="F62" s="23"/>
      <c r="G62" s="187">
        <f>Expenses!C60+Expenses!F60+12167</f>
        <v>13161</v>
      </c>
      <c r="H62" s="181">
        <v>3974</v>
      </c>
      <c r="I62" s="181">
        <f t="shared" si="30"/>
        <v>-9187</v>
      </c>
      <c r="J62" s="9"/>
      <c r="K62" s="342">
        <v>40525</v>
      </c>
      <c r="L62" s="181">
        <v>65776</v>
      </c>
      <c r="M62" s="181">
        <f t="shared" si="31"/>
        <v>25251</v>
      </c>
      <c r="N62" s="182"/>
      <c r="O62" s="180">
        <f t="shared" si="32"/>
        <v>580043</v>
      </c>
      <c r="P62" s="189">
        <f t="shared" si="33"/>
        <v>-93403</v>
      </c>
      <c r="Q62" s="254">
        <f t="shared" si="34"/>
        <v>673446</v>
      </c>
    </row>
    <row r="63" spans="1:17" ht="12.75" customHeight="1" x14ac:dyDescent="0.25">
      <c r="A63" s="11" t="s">
        <v>153</v>
      </c>
      <c r="B63" s="15"/>
      <c r="C63" s="21">
        <f>'YTD GrossMargin'!I63</f>
        <v>25041</v>
      </c>
      <c r="D63" s="98">
        <f>'YTD GrossMargin'!J63</f>
        <v>0</v>
      </c>
      <c r="E63" s="258">
        <f t="shared" si="29"/>
        <v>25041</v>
      </c>
      <c r="F63" s="23"/>
      <c r="G63" s="187">
        <f>Expenses!C61+Expenses!F61</f>
        <v>0</v>
      </c>
      <c r="H63" s="181">
        <f>Expenses!D61+Expenses!G61</f>
        <v>0</v>
      </c>
      <c r="I63" s="181">
        <f t="shared" si="30"/>
        <v>0</v>
      </c>
      <c r="J63" s="9"/>
      <c r="K63" s="189">
        <f>'Cap Charge'!C61</f>
        <v>0</v>
      </c>
      <c r="L63" s="181">
        <f>'Cap Charge'!D61</f>
        <v>0</v>
      </c>
      <c r="M63" s="181">
        <f t="shared" si="31"/>
        <v>0</v>
      </c>
      <c r="N63" s="182"/>
      <c r="O63" s="180">
        <f t="shared" si="32"/>
        <v>25041</v>
      </c>
      <c r="P63" s="189">
        <f t="shared" si="33"/>
        <v>0</v>
      </c>
      <c r="Q63" s="254">
        <f t="shared" si="34"/>
        <v>25041</v>
      </c>
    </row>
    <row r="64" spans="1:17" ht="12.75" customHeight="1" x14ac:dyDescent="0.25">
      <c r="A64" s="29" t="s">
        <v>154</v>
      </c>
      <c r="B64" s="229"/>
      <c r="C64" s="21">
        <f>'YTD GrossMargin'!I64</f>
        <v>-24009</v>
      </c>
      <c r="D64" s="98">
        <f>'YTD GrossMargin'!J64</f>
        <v>-81641</v>
      </c>
      <c r="E64" s="258">
        <f t="shared" si="29"/>
        <v>57632</v>
      </c>
      <c r="F64" s="23"/>
      <c r="G64" s="187">
        <f>Expenses!C62+Expenses!F62+2614</f>
        <v>3906</v>
      </c>
      <c r="H64" s="181">
        <v>5328</v>
      </c>
      <c r="I64" s="181">
        <f t="shared" si="30"/>
        <v>1422</v>
      </c>
      <c r="J64" s="9"/>
      <c r="K64" s="189">
        <f>'Cap Charge'!C62</f>
        <v>0</v>
      </c>
      <c r="L64" s="181">
        <f>'Cap Charge'!D62</f>
        <v>0</v>
      </c>
      <c r="M64" s="181">
        <f t="shared" si="31"/>
        <v>0</v>
      </c>
      <c r="N64" s="182"/>
      <c r="O64" s="180">
        <f t="shared" si="32"/>
        <v>-27915</v>
      </c>
      <c r="P64" s="189">
        <f t="shared" si="33"/>
        <v>-86969</v>
      </c>
      <c r="Q64" s="254">
        <f t="shared" si="34"/>
        <v>59054</v>
      </c>
    </row>
    <row r="65" spans="1:20" ht="12.75" customHeight="1" x14ac:dyDescent="0.25">
      <c r="A65" s="29" t="s">
        <v>167</v>
      </c>
      <c r="B65" s="229"/>
      <c r="C65" s="21">
        <f>'YTD GrossMargin'!I65</f>
        <v>0</v>
      </c>
      <c r="D65" s="98">
        <f>'YTD GrossMargin'!J65</f>
        <v>0</v>
      </c>
      <c r="E65" s="258"/>
      <c r="F65" s="23"/>
      <c r="G65" s="187">
        <f>Expenses!C63+Expenses!F63+253300</f>
        <v>253300</v>
      </c>
      <c r="H65" s="181">
        <f>Expenses!D63+Expenses!G63</f>
        <v>0</v>
      </c>
      <c r="I65" s="181">
        <f t="shared" si="30"/>
        <v>-253300</v>
      </c>
      <c r="J65" s="9"/>
      <c r="K65" s="189">
        <f>'Cap Charge'!C63</f>
        <v>0</v>
      </c>
      <c r="L65" s="181">
        <f>'Cap Charge'!D63</f>
        <v>0</v>
      </c>
      <c r="M65" s="181">
        <f t="shared" si="31"/>
        <v>0</v>
      </c>
      <c r="N65" s="182"/>
      <c r="O65" s="180">
        <f t="shared" si="32"/>
        <v>-253300</v>
      </c>
      <c r="P65" s="189">
        <f t="shared" si="33"/>
        <v>0</v>
      </c>
      <c r="Q65" s="254">
        <f t="shared" si="34"/>
        <v>-253300</v>
      </c>
    </row>
    <row r="66" spans="1:20" ht="12.75" customHeight="1" thickBot="1" x14ac:dyDescent="0.3">
      <c r="A66" s="29" t="s">
        <v>201</v>
      </c>
      <c r="B66" s="229"/>
      <c r="C66" s="21">
        <f>'YTD GrossMargin'!I66</f>
        <v>-16660</v>
      </c>
      <c r="D66" s="98">
        <f>'YTD GrossMargin'!J66</f>
        <v>-18500</v>
      </c>
      <c r="E66" s="258">
        <f>C66-D66</f>
        <v>1840</v>
      </c>
      <c r="F66" s="23"/>
      <c r="G66" s="180">
        <f>Expenses!C64+Expenses!F64+3338+500</f>
        <v>4446</v>
      </c>
      <c r="H66" s="181">
        <v>5263</v>
      </c>
      <c r="I66" s="181">
        <f t="shared" si="30"/>
        <v>817</v>
      </c>
      <c r="J66" s="9"/>
      <c r="K66" s="189">
        <f>'Cap Charge'!C64+20276</f>
        <v>19846</v>
      </c>
      <c r="L66" s="181">
        <v>57787</v>
      </c>
      <c r="M66" s="181">
        <f t="shared" si="31"/>
        <v>37941</v>
      </c>
      <c r="N66" s="182"/>
      <c r="O66" s="180">
        <f t="shared" si="32"/>
        <v>-40952</v>
      </c>
      <c r="P66" s="189">
        <f t="shared" si="33"/>
        <v>-81550</v>
      </c>
      <c r="Q66" s="254">
        <f t="shared" si="34"/>
        <v>40598</v>
      </c>
    </row>
    <row r="67" spans="1:20" s="150" customFormat="1" ht="12.75" customHeight="1" thickBot="1" x14ac:dyDescent="0.3">
      <c r="A67" s="35" t="s">
        <v>12</v>
      </c>
      <c r="B67" s="151"/>
      <c r="C67" s="292">
        <f>SUM(C53:C66)+C52+C45+C31+C23</f>
        <v>2830859</v>
      </c>
      <c r="D67" s="324">
        <f>SUM(D53:D66)+D52+D45+D31+D23</f>
        <v>1583452</v>
      </c>
      <c r="E67" s="265">
        <f>SUM(E53:E66)+E52+E45+E31+E23</f>
        <v>1247407</v>
      </c>
      <c r="F67" s="152">
        <f>SUM(F53:F66)+F52+F45+F31+F23</f>
        <v>0</v>
      </c>
      <c r="G67" s="292">
        <f>(SUM(G53:G66))+G23+G31+G45+G52</f>
        <v>538929</v>
      </c>
      <c r="H67" s="324">
        <f>SUM(H53:H66)+H52+H45+H31+H23</f>
        <v>194824</v>
      </c>
      <c r="I67" s="265">
        <f>H67-G67</f>
        <v>-344105</v>
      </c>
      <c r="J67" s="93">
        <f>SUM(J53:J66)+J52+J45+J31+J23</f>
        <v>0</v>
      </c>
      <c r="K67" s="311">
        <f>SUM(K53:K66)+K52+K45+K31+K23</f>
        <v>217686</v>
      </c>
      <c r="L67" s="311">
        <f>SUM(L53:L66)+L52+L45+L31+L23</f>
        <v>324322</v>
      </c>
      <c r="M67" s="265">
        <f>L67-K67</f>
        <v>106636</v>
      </c>
      <c r="N67" s="194">
        <f>SUM(N53:N66)+N52+N45+N31+N23</f>
        <v>0</v>
      </c>
      <c r="O67" s="296">
        <f>SUM(O53:O66)+O52+O45+O31+O23</f>
        <v>2074244</v>
      </c>
      <c r="P67" s="311">
        <f>SUM(P53:P66)+P52+P45+P31+P23</f>
        <v>1064306</v>
      </c>
      <c r="Q67" s="312">
        <f>SUM(Q53:Q66)+Q52+Q45+Q31+Q23</f>
        <v>1009938</v>
      </c>
      <c r="T67" s="268"/>
    </row>
    <row r="68" spans="1:20" ht="7.5" customHeight="1" thickBot="1" x14ac:dyDescent="0.3">
      <c r="A68" s="29"/>
      <c r="B68" s="9"/>
      <c r="C68" s="65"/>
      <c r="D68" s="31"/>
      <c r="E68" s="32"/>
      <c r="F68" s="23"/>
      <c r="G68" s="252"/>
      <c r="H68" s="189"/>
      <c r="I68" s="189"/>
      <c r="J68" s="9"/>
      <c r="K68" s="189"/>
      <c r="L68" s="189"/>
      <c r="M68" s="189"/>
      <c r="N68" s="182"/>
      <c r="O68" s="187"/>
      <c r="P68" s="189"/>
      <c r="Q68" s="190"/>
    </row>
    <row r="69" spans="1:20" ht="12.75" hidden="1" customHeight="1" x14ac:dyDescent="0.25">
      <c r="A69" s="29" t="s">
        <v>51</v>
      </c>
      <c r="B69" s="9"/>
      <c r="C69" s="181">
        <v>0</v>
      </c>
      <c r="D69" s="181">
        <v>0</v>
      </c>
      <c r="E69" s="24">
        <f t="shared" ref="E69:E82" si="35">-D69+C69</f>
        <v>0</v>
      </c>
      <c r="F69" s="23"/>
      <c r="G69" s="219">
        <f>Expenses!C67+Expenses!F67+4537</f>
        <v>7166</v>
      </c>
      <c r="H69" s="219">
        <v>10398</v>
      </c>
      <c r="I69" s="254">
        <f t="shared" ref="I69:I82" si="36">H69-G69</f>
        <v>3232</v>
      </c>
      <c r="J69" s="9"/>
      <c r="K69" s="176">
        <v>0</v>
      </c>
      <c r="L69" s="176">
        <v>0</v>
      </c>
      <c r="M69" s="254">
        <f t="shared" ref="M69:M82" si="37">L69-K69</f>
        <v>0</v>
      </c>
      <c r="N69" s="182"/>
      <c r="O69" s="180">
        <f t="shared" ref="O69:O82" si="38">C69-G69-K69</f>
        <v>-7166</v>
      </c>
      <c r="P69" s="181">
        <f t="shared" ref="P69:P82" si="39">D69-H69-L69</f>
        <v>-10398</v>
      </c>
      <c r="Q69" s="177">
        <f t="shared" ref="Q69:Q82" si="40">O69-P69</f>
        <v>3232</v>
      </c>
    </row>
    <row r="70" spans="1:20" ht="12.75" hidden="1" customHeight="1" x14ac:dyDescent="0.25">
      <c r="A70" s="29" t="s">
        <v>52</v>
      </c>
      <c r="B70" s="9"/>
      <c r="C70" s="181">
        <v>0</v>
      </c>
      <c r="D70" s="181">
        <v>0</v>
      </c>
      <c r="E70" s="24">
        <f t="shared" si="35"/>
        <v>0</v>
      </c>
      <c r="F70" s="23"/>
      <c r="G70" s="219">
        <f>Expenses!C68+Expenses!F68+1256</f>
        <v>1755</v>
      </c>
      <c r="H70" s="219">
        <v>1996</v>
      </c>
      <c r="I70" s="254">
        <f t="shared" si="36"/>
        <v>241</v>
      </c>
      <c r="J70" s="9"/>
      <c r="K70" s="176">
        <v>0</v>
      </c>
      <c r="L70" s="176">
        <v>0</v>
      </c>
      <c r="M70" s="254">
        <f t="shared" si="37"/>
        <v>0</v>
      </c>
      <c r="N70" s="182"/>
      <c r="O70" s="180">
        <f t="shared" si="38"/>
        <v>-1755</v>
      </c>
      <c r="P70" s="181">
        <f t="shared" si="39"/>
        <v>-1996</v>
      </c>
      <c r="Q70" s="177">
        <f t="shared" si="40"/>
        <v>241</v>
      </c>
    </row>
    <row r="71" spans="1:20" ht="12.75" hidden="1" customHeight="1" x14ac:dyDescent="0.25">
      <c r="A71" s="29" t="s">
        <v>106</v>
      </c>
      <c r="B71" s="9"/>
      <c r="C71" s="181">
        <v>0</v>
      </c>
      <c r="D71" s="181">
        <v>0</v>
      </c>
      <c r="E71" s="24">
        <f t="shared" si="35"/>
        <v>0</v>
      </c>
      <c r="F71" s="23"/>
      <c r="G71" s="219">
        <f>Expenses!C69+Expenses!F69+2262</f>
        <v>3681</v>
      </c>
      <c r="H71" s="219">
        <v>5667</v>
      </c>
      <c r="I71" s="254">
        <f t="shared" si="36"/>
        <v>1986</v>
      </c>
      <c r="J71" s="9"/>
      <c r="K71" s="176">
        <v>0</v>
      </c>
      <c r="L71" s="176">
        <v>0</v>
      </c>
      <c r="M71" s="254">
        <f t="shared" si="37"/>
        <v>0</v>
      </c>
      <c r="N71" s="182"/>
      <c r="O71" s="180">
        <f t="shared" si="38"/>
        <v>-3681</v>
      </c>
      <c r="P71" s="181">
        <f t="shared" si="39"/>
        <v>-5667</v>
      </c>
      <c r="Q71" s="177">
        <f t="shared" si="40"/>
        <v>1986</v>
      </c>
    </row>
    <row r="72" spans="1:20" ht="12.75" hidden="1" customHeight="1" x14ac:dyDescent="0.25">
      <c r="A72" s="29" t="s">
        <v>53</v>
      </c>
      <c r="B72" s="9"/>
      <c r="C72" s="181">
        <v>0</v>
      </c>
      <c r="D72" s="181">
        <v>0</v>
      </c>
      <c r="E72" s="24">
        <f t="shared" si="35"/>
        <v>0</v>
      </c>
      <c r="F72" s="23"/>
      <c r="G72" s="219">
        <f>Expenses!C70+Expenses!F70+19642</f>
        <v>29785</v>
      </c>
      <c r="H72" s="219">
        <v>40573</v>
      </c>
      <c r="I72" s="254">
        <f t="shared" si="36"/>
        <v>10788</v>
      </c>
      <c r="J72" s="9"/>
      <c r="K72" s="176">
        <v>0</v>
      </c>
      <c r="L72" s="176">
        <v>0</v>
      </c>
      <c r="M72" s="254">
        <f t="shared" si="37"/>
        <v>0</v>
      </c>
      <c r="N72" s="182"/>
      <c r="O72" s="180">
        <f t="shared" si="38"/>
        <v>-29785</v>
      </c>
      <c r="P72" s="181">
        <f t="shared" si="39"/>
        <v>-40573</v>
      </c>
      <c r="Q72" s="177">
        <f t="shared" si="40"/>
        <v>10788</v>
      </c>
    </row>
    <row r="73" spans="1:20" ht="12.75" hidden="1" customHeight="1" x14ac:dyDescent="0.25">
      <c r="A73" s="29" t="s">
        <v>54</v>
      </c>
      <c r="B73" s="9"/>
      <c r="C73" s="181">
        <v>0</v>
      </c>
      <c r="D73" s="181">
        <v>0</v>
      </c>
      <c r="E73" s="24">
        <f t="shared" si="35"/>
        <v>0</v>
      </c>
      <c r="F73" s="23"/>
      <c r="G73" s="219">
        <f>Expenses!C71+Expenses!F71+2116</f>
        <v>3320</v>
      </c>
      <c r="H73" s="219">
        <v>4816</v>
      </c>
      <c r="I73" s="254">
        <f t="shared" si="36"/>
        <v>1496</v>
      </c>
      <c r="J73" s="9"/>
      <c r="K73" s="176">
        <v>0</v>
      </c>
      <c r="L73" s="176">
        <v>0</v>
      </c>
      <c r="M73" s="254">
        <f t="shared" si="37"/>
        <v>0</v>
      </c>
      <c r="N73" s="182"/>
      <c r="O73" s="180">
        <f t="shared" si="38"/>
        <v>-3320</v>
      </c>
      <c r="P73" s="181">
        <f t="shared" si="39"/>
        <v>-4816</v>
      </c>
      <c r="Q73" s="177">
        <f t="shared" si="40"/>
        <v>1496</v>
      </c>
    </row>
    <row r="74" spans="1:20" ht="12.75" hidden="1" customHeight="1" x14ac:dyDescent="0.25">
      <c r="A74" s="29" t="s">
        <v>55</v>
      </c>
      <c r="B74" s="9"/>
      <c r="C74" s="181">
        <v>0</v>
      </c>
      <c r="D74" s="181">
        <v>0</v>
      </c>
      <c r="E74" s="24">
        <f t="shared" si="35"/>
        <v>0</v>
      </c>
      <c r="F74" s="23"/>
      <c r="G74" s="219">
        <f>Expenses!C72+Expenses!F72+6117</f>
        <v>8368</v>
      </c>
      <c r="H74" s="219">
        <v>10312</v>
      </c>
      <c r="I74" s="254">
        <f t="shared" si="36"/>
        <v>1944</v>
      </c>
      <c r="J74" s="9"/>
      <c r="K74" s="176">
        <v>0</v>
      </c>
      <c r="L74" s="176">
        <v>0</v>
      </c>
      <c r="M74" s="254">
        <f t="shared" si="37"/>
        <v>0</v>
      </c>
      <c r="N74" s="182"/>
      <c r="O74" s="180">
        <f t="shared" si="38"/>
        <v>-8368</v>
      </c>
      <c r="P74" s="181">
        <f t="shared" si="39"/>
        <v>-10312</v>
      </c>
      <c r="Q74" s="177">
        <f t="shared" si="40"/>
        <v>1944</v>
      </c>
    </row>
    <row r="75" spans="1:20" ht="12.75" hidden="1" customHeight="1" x14ac:dyDescent="0.25">
      <c r="A75" s="29" t="s">
        <v>56</v>
      </c>
      <c r="B75" s="9"/>
      <c r="C75" s="181">
        <v>0</v>
      </c>
      <c r="D75" s="181">
        <v>0</v>
      </c>
      <c r="E75" s="24">
        <f t="shared" si="35"/>
        <v>0</v>
      </c>
      <c r="F75" s="23"/>
      <c r="G75" s="219">
        <f>Expenses!C73+Expenses!F73+328</f>
        <v>646</v>
      </c>
      <c r="H75" s="219">
        <v>1572</v>
      </c>
      <c r="I75" s="254">
        <f t="shared" si="36"/>
        <v>926</v>
      </c>
      <c r="J75" s="9"/>
      <c r="K75" s="176">
        <v>0</v>
      </c>
      <c r="L75" s="176">
        <v>0</v>
      </c>
      <c r="M75" s="254">
        <f t="shared" si="37"/>
        <v>0</v>
      </c>
      <c r="N75" s="182"/>
      <c r="O75" s="180">
        <f t="shared" si="38"/>
        <v>-646</v>
      </c>
      <c r="P75" s="181">
        <f t="shared" si="39"/>
        <v>-1572</v>
      </c>
      <c r="Q75" s="177">
        <f t="shared" si="40"/>
        <v>926</v>
      </c>
    </row>
    <row r="76" spans="1:20" ht="12.75" hidden="1" customHeight="1" x14ac:dyDescent="0.25">
      <c r="A76" s="29" t="s">
        <v>57</v>
      </c>
      <c r="B76" s="9"/>
      <c r="C76" s="181">
        <v>0</v>
      </c>
      <c r="D76" s="181">
        <v>0</v>
      </c>
      <c r="E76" s="24">
        <f t="shared" si="35"/>
        <v>0</v>
      </c>
      <c r="F76" s="23"/>
      <c r="G76" s="219">
        <f>Expenses!C74+Expenses!F74+1057</f>
        <v>1632</v>
      </c>
      <c r="H76" s="352">
        <v>2336</v>
      </c>
      <c r="I76" s="254">
        <f t="shared" si="36"/>
        <v>704</v>
      </c>
      <c r="J76" s="9"/>
      <c r="K76" s="176">
        <v>0</v>
      </c>
      <c r="L76" s="176">
        <v>0</v>
      </c>
      <c r="M76" s="254">
        <f t="shared" si="37"/>
        <v>0</v>
      </c>
      <c r="N76" s="182"/>
      <c r="O76" s="180">
        <f t="shared" si="38"/>
        <v>-1632</v>
      </c>
      <c r="P76" s="181">
        <f t="shared" si="39"/>
        <v>-2336</v>
      </c>
      <c r="Q76" s="177">
        <f t="shared" si="40"/>
        <v>704</v>
      </c>
    </row>
    <row r="77" spans="1:20" ht="12.75" hidden="1" customHeight="1" x14ac:dyDescent="0.25">
      <c r="A77" s="29" t="s">
        <v>59</v>
      </c>
      <c r="B77" s="9"/>
      <c r="C77" s="181">
        <v>0</v>
      </c>
      <c r="D77" s="181">
        <v>0</v>
      </c>
      <c r="E77" s="24">
        <f t="shared" si="35"/>
        <v>0</v>
      </c>
      <c r="F77" s="23"/>
      <c r="G77" s="219">
        <f>Expenses!C75+Expenses!F75+1015</f>
        <v>1560</v>
      </c>
      <c r="H77" s="219">
        <v>2200</v>
      </c>
      <c r="I77" s="254">
        <f t="shared" si="36"/>
        <v>640</v>
      </c>
      <c r="J77" s="9"/>
      <c r="K77" s="176">
        <v>0</v>
      </c>
      <c r="L77" s="176">
        <v>0</v>
      </c>
      <c r="M77" s="254">
        <f t="shared" si="37"/>
        <v>0</v>
      </c>
      <c r="N77" s="182"/>
      <c r="O77" s="180">
        <f t="shared" si="38"/>
        <v>-1560</v>
      </c>
      <c r="P77" s="181">
        <f t="shared" si="39"/>
        <v>-2200</v>
      </c>
      <c r="Q77" s="177">
        <f t="shared" si="40"/>
        <v>640</v>
      </c>
    </row>
    <row r="78" spans="1:20" ht="12.75" hidden="1" customHeight="1" x14ac:dyDescent="0.25">
      <c r="A78" s="29" t="s">
        <v>60</v>
      </c>
      <c r="B78" s="9"/>
      <c r="C78" s="181">
        <v>0</v>
      </c>
      <c r="D78" s="181">
        <v>0</v>
      </c>
      <c r="E78" s="24">
        <f t="shared" si="35"/>
        <v>0</v>
      </c>
      <c r="F78" s="23"/>
      <c r="G78" s="219">
        <f>Expenses!C76+Expenses!F76+471</f>
        <v>669</v>
      </c>
      <c r="H78" s="219">
        <v>792</v>
      </c>
      <c r="I78" s="254">
        <f t="shared" si="36"/>
        <v>123</v>
      </c>
      <c r="J78" s="9"/>
      <c r="K78" s="176">
        <v>0</v>
      </c>
      <c r="L78" s="176">
        <v>0</v>
      </c>
      <c r="M78" s="254">
        <f t="shared" si="37"/>
        <v>0</v>
      </c>
      <c r="N78" s="182"/>
      <c r="O78" s="180">
        <f t="shared" si="38"/>
        <v>-669</v>
      </c>
      <c r="P78" s="181">
        <f t="shared" si="39"/>
        <v>-792</v>
      </c>
      <c r="Q78" s="177">
        <f t="shared" si="40"/>
        <v>123</v>
      </c>
    </row>
    <row r="79" spans="1:20" ht="12.75" hidden="1" customHeight="1" x14ac:dyDescent="0.25">
      <c r="A79" s="29" t="s">
        <v>61</v>
      </c>
      <c r="B79" s="9"/>
      <c r="C79" s="181">
        <v>0</v>
      </c>
      <c r="D79" s="181">
        <v>0</v>
      </c>
      <c r="E79" s="24">
        <f t="shared" si="35"/>
        <v>0</v>
      </c>
      <c r="F79" s="23"/>
      <c r="G79" s="219">
        <f>Expenses!C77+Expenses!F77+917</f>
        <v>1599</v>
      </c>
      <c r="H79" s="219">
        <v>2755</v>
      </c>
      <c r="I79" s="254">
        <f t="shared" si="36"/>
        <v>1156</v>
      </c>
      <c r="J79" s="9"/>
      <c r="K79" s="176">
        <v>0</v>
      </c>
      <c r="L79" s="176">
        <v>0</v>
      </c>
      <c r="M79" s="254">
        <f t="shared" si="37"/>
        <v>0</v>
      </c>
      <c r="N79" s="182"/>
      <c r="O79" s="180">
        <f t="shared" si="38"/>
        <v>-1599</v>
      </c>
      <c r="P79" s="181">
        <f t="shared" si="39"/>
        <v>-2755</v>
      </c>
      <c r="Q79" s="177">
        <f t="shared" si="40"/>
        <v>1156</v>
      </c>
    </row>
    <row r="80" spans="1:20" ht="12.75" hidden="1" customHeight="1" x14ac:dyDescent="0.25">
      <c r="A80" s="29" t="s">
        <v>62</v>
      </c>
      <c r="B80" s="9"/>
      <c r="C80" s="181">
        <v>0</v>
      </c>
      <c r="D80" s="181">
        <v>0</v>
      </c>
      <c r="E80" s="24">
        <f t="shared" si="35"/>
        <v>0</v>
      </c>
      <c r="F80" s="23"/>
      <c r="G80" s="219">
        <f>Expenses!C78+Expenses!F78+2148</f>
        <v>3567</v>
      </c>
      <c r="H80" s="219">
        <v>5676</v>
      </c>
      <c r="I80" s="254">
        <f t="shared" si="36"/>
        <v>2109</v>
      </c>
      <c r="J80" s="9"/>
      <c r="K80" s="176">
        <v>0</v>
      </c>
      <c r="L80" s="176">
        <v>0</v>
      </c>
      <c r="M80" s="254">
        <f t="shared" si="37"/>
        <v>0</v>
      </c>
      <c r="N80" s="182"/>
      <c r="O80" s="180">
        <f t="shared" si="38"/>
        <v>-3567</v>
      </c>
      <c r="P80" s="181">
        <f t="shared" si="39"/>
        <v>-5676</v>
      </c>
      <c r="Q80" s="177">
        <f t="shared" si="40"/>
        <v>2109</v>
      </c>
    </row>
    <row r="81" spans="1:17" ht="12.75" hidden="1" customHeight="1" x14ac:dyDescent="0.25">
      <c r="A81" s="29" t="s">
        <v>58</v>
      </c>
      <c r="B81" s="9"/>
      <c r="C81" s="181">
        <v>0</v>
      </c>
      <c r="D81" s="181">
        <v>0</v>
      </c>
      <c r="E81" s="24">
        <f t="shared" si="35"/>
        <v>0</v>
      </c>
      <c r="F81" s="23"/>
      <c r="G81" s="219">
        <f>Expenses!C79+Expenses!F79+62010</f>
        <v>85085</v>
      </c>
      <c r="H81" s="219">
        <v>92300</v>
      </c>
      <c r="I81" s="254">
        <f t="shared" si="36"/>
        <v>7215</v>
      </c>
      <c r="J81" s="9"/>
      <c r="K81" s="176">
        <v>0</v>
      </c>
      <c r="L81" s="176">
        <v>0</v>
      </c>
      <c r="M81" s="254">
        <f t="shared" si="37"/>
        <v>0</v>
      </c>
      <c r="N81" s="182"/>
      <c r="O81" s="180">
        <f t="shared" si="38"/>
        <v>-85085</v>
      </c>
      <c r="P81" s="181">
        <f t="shared" si="39"/>
        <v>-92300</v>
      </c>
      <c r="Q81" s="177">
        <f t="shared" si="40"/>
        <v>7215</v>
      </c>
    </row>
    <row r="82" spans="1:17" ht="12.75" hidden="1" customHeight="1" thickBot="1" x14ac:dyDescent="0.3">
      <c r="A82" s="29" t="s">
        <v>17</v>
      </c>
      <c r="B82" s="9"/>
      <c r="C82" s="181">
        <v>0</v>
      </c>
      <c r="D82" s="181">
        <v>0</v>
      </c>
      <c r="E82" s="24">
        <f t="shared" si="35"/>
        <v>0</v>
      </c>
      <c r="F82" s="23"/>
      <c r="G82" s="219">
        <f>Expenses!C80+Expenses!F80+92129</f>
        <v>139491</v>
      </c>
      <c r="H82" s="219">
        <v>186520</v>
      </c>
      <c r="I82" s="254">
        <f t="shared" si="36"/>
        <v>47029</v>
      </c>
      <c r="J82" s="9"/>
      <c r="K82" s="176">
        <v>0</v>
      </c>
      <c r="L82" s="176">
        <v>0</v>
      </c>
      <c r="M82" s="254">
        <f t="shared" si="37"/>
        <v>0</v>
      </c>
      <c r="N82" s="182"/>
      <c r="O82" s="180">
        <f t="shared" si="38"/>
        <v>-139491</v>
      </c>
      <c r="P82" s="181">
        <f t="shared" si="39"/>
        <v>-186520</v>
      </c>
      <c r="Q82" s="177">
        <f t="shared" si="40"/>
        <v>47029</v>
      </c>
    </row>
    <row r="83" spans="1:17" s="150" customFormat="1" ht="12.75" customHeight="1" thickBot="1" x14ac:dyDescent="0.3">
      <c r="A83" s="35" t="s">
        <v>13</v>
      </c>
      <c r="B83" s="151"/>
      <c r="C83" s="292">
        <f>SUM(C69:C82)</f>
        <v>0</v>
      </c>
      <c r="D83" s="324">
        <f>SUM(D69:D82)</f>
        <v>0</v>
      </c>
      <c r="E83" s="265">
        <f>SUM(E69:E82)</f>
        <v>0</v>
      </c>
      <c r="F83" s="152"/>
      <c r="G83" s="296">
        <f>SUM(G69:G82)</f>
        <v>288324</v>
      </c>
      <c r="H83" s="311">
        <f>SUM(H69:H82)</f>
        <v>367913</v>
      </c>
      <c r="I83" s="311">
        <f>H83-G83</f>
        <v>79589</v>
      </c>
      <c r="J83" s="93"/>
      <c r="K83" s="311">
        <f>SUM(K69:K82)</f>
        <v>0</v>
      </c>
      <c r="L83" s="311">
        <f>SUM(L69:L82)</f>
        <v>0</v>
      </c>
      <c r="M83" s="311">
        <f>L83-K83</f>
        <v>0</v>
      </c>
      <c r="N83" s="194"/>
      <c r="O83" s="296">
        <f>C83-G83-K83</f>
        <v>-288324</v>
      </c>
      <c r="P83" s="311">
        <f>SUM(P69:P82)</f>
        <v>-367913</v>
      </c>
      <c r="Q83" s="312">
        <f>SUM(Q69:Q82)</f>
        <v>79589</v>
      </c>
    </row>
    <row r="84" spans="1:17" s="33" customFormat="1" ht="12.75" customHeight="1" x14ac:dyDescent="0.25">
      <c r="A84" s="163" t="s">
        <v>160</v>
      </c>
      <c r="B84" s="9"/>
      <c r="C84" s="181">
        <f>'YTD GrossMargin'!I84</f>
        <v>0</v>
      </c>
      <c r="D84" s="181">
        <f>'YTD GrossMargin'!J84</f>
        <v>0</v>
      </c>
      <c r="E84" s="253">
        <f>-D84+C84</f>
        <v>0</v>
      </c>
      <c r="F84" s="23"/>
      <c r="G84" s="219">
        <f>Expenses!C82+Expenses!F82+28770</f>
        <v>65902</v>
      </c>
      <c r="H84" s="219">
        <v>149780</v>
      </c>
      <c r="I84" s="254">
        <f>H84-G84</f>
        <v>83878</v>
      </c>
      <c r="J84" s="9"/>
      <c r="K84" s="181">
        <f>'Cap Charge'!C82</f>
        <v>0</v>
      </c>
      <c r="L84" s="181">
        <f>'Cap Charge'!D82</f>
        <v>0</v>
      </c>
      <c r="M84" s="254">
        <f>L84-K84</f>
        <v>0</v>
      </c>
      <c r="N84" s="182"/>
      <c r="O84" s="180">
        <f t="shared" ref="O84:P87" si="41">C84-G84-K84</f>
        <v>-65902</v>
      </c>
      <c r="P84" s="181">
        <f t="shared" si="41"/>
        <v>-149780</v>
      </c>
      <c r="Q84" s="254">
        <f>O84-P84</f>
        <v>83878</v>
      </c>
    </row>
    <row r="85" spans="1:17" s="33" customFormat="1" ht="12.75" customHeight="1" x14ac:dyDescent="0.25">
      <c r="A85" s="163" t="s">
        <v>161</v>
      </c>
      <c r="B85" s="9"/>
      <c r="C85" s="181">
        <f>'YTD GrossMargin'!I85</f>
        <v>104519</v>
      </c>
      <c r="D85" s="181">
        <f>'YTD GrossMargin'!J85</f>
        <v>118538</v>
      </c>
      <c r="E85" s="253">
        <f>-D85+C85</f>
        <v>-14019</v>
      </c>
      <c r="F85" s="23"/>
      <c r="G85" s="219">
        <f>Expenses!C83+Expenses!F83+2312</f>
        <v>2912</v>
      </c>
      <c r="H85" s="219">
        <v>4693</v>
      </c>
      <c r="I85" s="254">
        <f>H85-G85</f>
        <v>1781</v>
      </c>
      <c r="J85" s="9"/>
      <c r="K85" s="181">
        <f>'Cap Charge'!C83</f>
        <v>0</v>
      </c>
      <c r="L85" s="181">
        <f>'Cap Charge'!D83</f>
        <v>0</v>
      </c>
      <c r="M85" s="254">
        <f>L85-K85</f>
        <v>0</v>
      </c>
      <c r="N85" s="182"/>
      <c r="O85" s="180">
        <f t="shared" si="41"/>
        <v>101607</v>
      </c>
      <c r="P85" s="181">
        <f t="shared" si="41"/>
        <v>113845</v>
      </c>
      <c r="Q85" s="254">
        <f>O85-P85</f>
        <v>-12238</v>
      </c>
    </row>
    <row r="86" spans="1:17" s="33" customFormat="1" ht="12.75" customHeight="1" x14ac:dyDescent="0.25">
      <c r="A86" s="163" t="s">
        <v>162</v>
      </c>
      <c r="B86" s="9"/>
      <c r="C86" s="181">
        <f>'YTD GrossMargin'!I86</f>
        <v>-47922</v>
      </c>
      <c r="D86" s="181">
        <f>'YTD GrossMargin'!J86</f>
        <v>-52000</v>
      </c>
      <c r="E86" s="253">
        <f>-D86+C86</f>
        <v>4078</v>
      </c>
      <c r="F86" s="23"/>
      <c r="G86" s="219">
        <f>Expenses!C84+Expenses!F84+14</f>
        <v>14</v>
      </c>
      <c r="H86" s="219">
        <f>Expenses!D84+Expenses!G84</f>
        <v>0</v>
      </c>
      <c r="I86" s="254">
        <f>H86-G86</f>
        <v>-14</v>
      </c>
      <c r="J86" s="9"/>
      <c r="K86" s="181">
        <f>'Cap Charge'!C84</f>
        <v>0</v>
      </c>
      <c r="L86" s="181">
        <f>'Cap Charge'!D84</f>
        <v>0</v>
      </c>
      <c r="M86" s="254">
        <f>L86-K86</f>
        <v>0</v>
      </c>
      <c r="N86" s="182"/>
      <c r="O86" s="180">
        <f t="shared" si="41"/>
        <v>-47936</v>
      </c>
      <c r="P86" s="181">
        <f t="shared" si="41"/>
        <v>-52000</v>
      </c>
      <c r="Q86" s="254">
        <f>O86-P86</f>
        <v>4064</v>
      </c>
    </row>
    <row r="87" spans="1:17" ht="12.75" customHeight="1" thickBot="1" x14ac:dyDescent="0.3">
      <c r="A87" s="29" t="s">
        <v>163</v>
      </c>
      <c r="B87" s="9"/>
      <c r="C87" s="181">
        <f>'YTD GrossMargin'!I87</f>
        <v>8078</v>
      </c>
      <c r="D87" s="181">
        <f>'YTD GrossMargin'!J87</f>
        <v>0</v>
      </c>
      <c r="E87" s="253">
        <f>-D87+C87</f>
        <v>8078</v>
      </c>
      <c r="F87" s="23"/>
      <c r="G87" s="219">
        <f>Expenses!C85+Expenses!F85</f>
        <v>0</v>
      </c>
      <c r="H87" s="219">
        <f>Expenses!D85+Expenses!G85</f>
        <v>0</v>
      </c>
      <c r="I87" s="254">
        <f>H87-G87</f>
        <v>0</v>
      </c>
      <c r="J87" s="9"/>
      <c r="K87" s="219">
        <f>'Cap Charge'!C85-170422</f>
        <v>-217686</v>
      </c>
      <c r="L87" s="219">
        <f>-L67</f>
        <v>-324322</v>
      </c>
      <c r="M87" s="254">
        <f>L87-K87</f>
        <v>-106636</v>
      </c>
      <c r="N87" s="182"/>
      <c r="O87" s="180">
        <f t="shared" si="41"/>
        <v>225764</v>
      </c>
      <c r="P87" s="181">
        <f t="shared" si="41"/>
        <v>324322</v>
      </c>
      <c r="Q87" s="254">
        <f>O87-P87</f>
        <v>-98558</v>
      </c>
    </row>
    <row r="88" spans="1:17" s="150" customFormat="1" ht="12.75" customHeight="1" thickBot="1" x14ac:dyDescent="0.3">
      <c r="A88" s="35" t="s">
        <v>124</v>
      </c>
      <c r="B88" s="277"/>
      <c r="C88" s="264">
        <f>(SUM(C84:C87))+C83+C67</f>
        <v>2895534</v>
      </c>
      <c r="D88" s="324">
        <f>SUM(D84:D87)+D67+D83</f>
        <v>1649990</v>
      </c>
      <c r="E88" s="324">
        <f>SUM(E84:E87)+E67+E83</f>
        <v>1245544</v>
      </c>
      <c r="F88" s="271">
        <f>SUM(F84:F87)+F67+F83</f>
        <v>0</v>
      </c>
      <c r="G88" s="325">
        <f>(SUM(G84:G87))+G83+G67</f>
        <v>896081</v>
      </c>
      <c r="H88" s="264">
        <f>SUM(H84:H87)+H67+H83</f>
        <v>717210</v>
      </c>
      <c r="I88" s="324">
        <f>SUM(I84:I87)+I67+I83</f>
        <v>-178871</v>
      </c>
      <c r="J88" s="93">
        <f>SUM(J84:J87)+J67+J83</f>
        <v>0</v>
      </c>
      <c r="K88" s="325">
        <f>(SUM(K84:K87))+K83+K67</f>
        <v>0</v>
      </c>
      <c r="L88" s="264">
        <f>SUM(L84:L87)+L67+L83</f>
        <v>0</v>
      </c>
      <c r="M88" s="324">
        <f>SUM(M84:M87)+M67+M83</f>
        <v>0</v>
      </c>
      <c r="N88" s="93">
        <f>SUM(N84:N87)+N67+N83</f>
        <v>0</v>
      </c>
      <c r="O88" s="325">
        <f>(SUM(O84:O87))+O83+O67</f>
        <v>1999453</v>
      </c>
      <c r="P88" s="264">
        <f>SUM(P84:P87)+P67+P83</f>
        <v>932780</v>
      </c>
      <c r="Q88" s="265">
        <f>SUM(Q84:Q87)+Q67+Q83</f>
        <v>1066673</v>
      </c>
    </row>
    <row r="89" spans="1:17" ht="12.75" customHeight="1" thickBot="1" x14ac:dyDescent="0.3">
      <c r="A89" s="29" t="s">
        <v>15</v>
      </c>
      <c r="B89" s="9"/>
      <c r="C89" s="30">
        <v>0</v>
      </c>
      <c r="D89" s="31">
        <v>0</v>
      </c>
      <c r="E89" s="32">
        <f>D89-C89</f>
        <v>0</v>
      </c>
      <c r="F89" s="23"/>
      <c r="G89" s="187">
        <v>100550</v>
      </c>
      <c r="H89" s="189">
        <v>108384</v>
      </c>
      <c r="I89" s="254">
        <f>H89-G89</f>
        <v>7834</v>
      </c>
      <c r="J89" s="9"/>
      <c r="K89" s="189">
        <v>0</v>
      </c>
      <c r="L89" s="189">
        <v>0</v>
      </c>
      <c r="M89" s="254">
        <f>L89-K89</f>
        <v>0</v>
      </c>
      <c r="N89" s="182"/>
      <c r="O89" s="269">
        <f>C89-G89-K89</f>
        <v>-100550</v>
      </c>
      <c r="P89" s="270">
        <f>D89-H89-L89</f>
        <v>-108384</v>
      </c>
      <c r="Q89" s="323">
        <f>O89-P89</f>
        <v>7834</v>
      </c>
    </row>
    <row r="90" spans="1:17" s="150" customFormat="1" ht="12.75" customHeight="1" thickBot="1" x14ac:dyDescent="0.25">
      <c r="A90" s="35" t="s">
        <v>125</v>
      </c>
      <c r="B90" s="151"/>
      <c r="C90" s="36">
        <f t="shared" ref="C90:Q90" si="42">SUM(C88:C89)</f>
        <v>2895534</v>
      </c>
      <c r="D90" s="37">
        <f t="shared" si="42"/>
        <v>1649990</v>
      </c>
      <c r="E90" s="51">
        <f t="shared" si="42"/>
        <v>1245544</v>
      </c>
      <c r="F90" s="152">
        <f t="shared" si="42"/>
        <v>0</v>
      </c>
      <c r="G90" s="191">
        <f t="shared" si="42"/>
        <v>996631</v>
      </c>
      <c r="H90" s="192">
        <f t="shared" si="42"/>
        <v>825594</v>
      </c>
      <c r="I90" s="192">
        <f t="shared" si="42"/>
        <v>-171037</v>
      </c>
      <c r="J90" s="152">
        <f t="shared" si="42"/>
        <v>0</v>
      </c>
      <c r="K90" s="191">
        <f t="shared" si="42"/>
        <v>0</v>
      </c>
      <c r="L90" s="192">
        <f t="shared" si="42"/>
        <v>0</v>
      </c>
      <c r="M90" s="192">
        <f t="shared" si="42"/>
        <v>0</v>
      </c>
      <c r="N90" s="194">
        <f t="shared" si="42"/>
        <v>0</v>
      </c>
      <c r="O90" s="260">
        <f t="shared" si="42"/>
        <v>1898903</v>
      </c>
      <c r="P90" s="261">
        <f t="shared" si="42"/>
        <v>824396</v>
      </c>
      <c r="Q90" s="262">
        <f t="shared" si="42"/>
        <v>1074507</v>
      </c>
    </row>
    <row r="91" spans="1:17" ht="3" customHeight="1" x14ac:dyDescent="0.25">
      <c r="A91" s="38"/>
      <c r="C91" s="39"/>
      <c r="D91" s="40"/>
      <c r="E91" s="38"/>
      <c r="F91" s="41"/>
    </row>
    <row r="93" spans="1:17" x14ac:dyDescent="0.25">
      <c r="A93" s="10" t="s">
        <v>202</v>
      </c>
      <c r="C93" s="41"/>
      <c r="D93" s="41"/>
      <c r="G93" s="259"/>
      <c r="O93" s="267"/>
      <c r="P93" s="259"/>
    </row>
    <row r="94" spans="1:17" x14ac:dyDescent="0.25">
      <c r="C94" s="41"/>
      <c r="D94" s="41"/>
      <c r="G94" s="259"/>
      <c r="O94" s="267"/>
      <c r="P94" s="259">
        <f>P88</f>
        <v>932780</v>
      </c>
    </row>
    <row r="95" spans="1:17" x14ac:dyDescent="0.25">
      <c r="C95" s="117"/>
      <c r="D95" s="117"/>
      <c r="G95" s="259"/>
      <c r="H95" s="259"/>
      <c r="O95" s="259"/>
      <c r="P95" s="272">
        <v>932800</v>
      </c>
    </row>
    <row r="96" spans="1:17" x14ac:dyDescent="0.25">
      <c r="C96" s="41"/>
      <c r="G96" s="267"/>
      <c r="O96" s="267"/>
      <c r="P96" s="259">
        <f>P94-P95</f>
        <v>-20</v>
      </c>
    </row>
    <row r="97" spans="3:16" x14ac:dyDescent="0.25">
      <c r="C97" s="117"/>
      <c r="D97" s="117"/>
      <c r="G97" s="259"/>
      <c r="H97" s="259"/>
      <c r="O97" s="267"/>
      <c r="P97" s="272"/>
    </row>
    <row r="98" spans="3:16" x14ac:dyDescent="0.25">
      <c r="O98" s="267"/>
    </row>
    <row r="99" spans="3:16" x14ac:dyDescent="0.25">
      <c r="O99" s="259"/>
    </row>
  </sheetData>
  <mergeCells count="7">
    <mergeCell ref="L2:Q2"/>
    <mergeCell ref="O6:Q7"/>
    <mergeCell ref="C6:E7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74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T96"/>
  <sheetViews>
    <sheetView workbookViewId="0">
      <pane ySplit="8" topLeftCell="A9" activePane="bottomLeft" state="frozen"/>
      <selection activeCell="D30" sqref="D30"/>
      <selection pane="bottomLeft" activeCell="A9" sqref="A9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9.140625" style="10"/>
    <col min="6" max="6" width="9.28515625" style="195" customWidth="1"/>
    <col min="7" max="7" width="9" style="195" customWidth="1"/>
    <col min="8" max="10" width="8.7109375" style="195" customWidth="1"/>
    <col min="11" max="11" width="8.85546875" style="195" customWidth="1"/>
    <col min="12" max="12" width="0.85546875" style="10" customWidth="1"/>
    <col min="13" max="13" width="8.7109375" style="10" customWidth="1"/>
    <col min="14" max="17" width="7.7109375" style="10" customWidth="1"/>
    <col min="18" max="19" width="8.7109375" style="10" customWidth="1"/>
    <col min="20" max="20" width="0.85546875" style="10" customWidth="1"/>
    <col min="21" max="16384" width="9.140625" style="10"/>
  </cols>
  <sheetData>
    <row r="1" spans="1:20" s="2" customFormat="1" ht="9.9499999999999993" customHeight="1" x14ac:dyDescent="0.25">
      <c r="A1"/>
      <c r="B1"/>
      <c r="C1"/>
      <c r="D1"/>
      <c r="E1"/>
      <c r="F1" s="162"/>
      <c r="G1" s="162"/>
      <c r="H1" s="162"/>
      <c r="I1" s="162"/>
      <c r="J1" s="162"/>
      <c r="K1" s="162"/>
      <c r="L1"/>
      <c r="M1"/>
      <c r="N1"/>
      <c r="O1"/>
      <c r="P1"/>
      <c r="Q1"/>
      <c r="R1"/>
      <c r="S1"/>
      <c r="T1" s="1"/>
    </row>
    <row r="2" spans="1:20" s="5" customFormat="1" ht="29.25" customHeight="1" x14ac:dyDescent="0.4">
      <c r="A2" s="420" t="s">
        <v>70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"/>
      <c r="M2" s="4"/>
      <c r="N2" s="4"/>
      <c r="O2" s="4"/>
      <c r="P2" s="4"/>
      <c r="Q2" s="4"/>
      <c r="R2" s="4"/>
      <c r="T2" s="6"/>
    </row>
    <row r="3" spans="1:20" s="2" customFormat="1" ht="15.75" customHeight="1" x14ac:dyDescent="0.3">
      <c r="A3" s="421" t="s">
        <v>176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  <c r="L3"/>
      <c r="M3"/>
      <c r="N3"/>
      <c r="O3"/>
      <c r="P3"/>
      <c r="Q3"/>
      <c r="R3"/>
      <c r="T3" s="6"/>
    </row>
    <row r="4" spans="1:20" s="2" customFormat="1" ht="15.75" customHeight="1" x14ac:dyDescent="0.3">
      <c r="A4" s="421" t="str">
        <f>'QTD Mgmt Summary'!Q3</f>
        <v>Results based on activity through Aug 3, 2001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/>
      <c r="M4"/>
      <c r="N4"/>
      <c r="O4"/>
      <c r="P4"/>
      <c r="Q4"/>
      <c r="R4"/>
      <c r="T4" s="6"/>
    </row>
    <row r="5" spans="1:20" s="2" customFormat="1" ht="15" customHeight="1" thickBot="1" x14ac:dyDescent="0.3">
      <c r="A5"/>
      <c r="B5"/>
      <c r="C5"/>
      <c r="D5"/>
      <c r="E5"/>
      <c r="F5" s="162"/>
      <c r="G5" s="162"/>
      <c r="H5" s="162"/>
      <c r="I5" s="162"/>
      <c r="J5" s="162"/>
      <c r="K5" s="162"/>
      <c r="L5"/>
      <c r="M5"/>
      <c r="N5"/>
      <c r="O5"/>
      <c r="P5"/>
      <c r="Q5"/>
      <c r="R5"/>
      <c r="S5"/>
      <c r="T5" s="7"/>
    </row>
    <row r="6" spans="1:20" s="8" customFormat="1" ht="15" customHeight="1" x14ac:dyDescent="0.25">
      <c r="A6" s="45"/>
      <c r="B6" s="276"/>
      <c r="C6" s="398" t="s">
        <v>155</v>
      </c>
      <c r="D6" s="399"/>
      <c r="E6" s="399"/>
      <c r="F6" s="399"/>
      <c r="G6" s="399"/>
      <c r="H6" s="400"/>
      <c r="I6" s="404"/>
      <c r="J6" s="405"/>
      <c r="K6" s="406"/>
    </row>
    <row r="7" spans="1:20" s="8" customFormat="1" ht="14.25" customHeight="1" x14ac:dyDescent="0.25">
      <c r="A7" s="224" t="s">
        <v>2</v>
      </c>
      <c r="B7" s="229"/>
      <c r="C7" s="422"/>
      <c r="D7" s="423"/>
      <c r="E7" s="423"/>
      <c r="F7" s="423"/>
      <c r="G7" s="423"/>
      <c r="H7" s="424"/>
      <c r="I7" s="288" t="s">
        <v>3</v>
      </c>
      <c r="J7" s="218"/>
      <c r="K7" s="283"/>
    </row>
    <row r="8" spans="1:20" ht="18" customHeight="1" thickBot="1" x14ac:dyDescent="0.3">
      <c r="A8" s="46"/>
      <c r="B8" s="284"/>
      <c r="C8" s="222" t="s">
        <v>122</v>
      </c>
      <c r="D8" s="285" t="s">
        <v>123</v>
      </c>
      <c r="E8" s="285" t="s">
        <v>121</v>
      </c>
      <c r="F8" s="286" t="s">
        <v>79</v>
      </c>
      <c r="G8" s="286" t="s">
        <v>80</v>
      </c>
      <c r="H8" s="287" t="s">
        <v>81</v>
      </c>
      <c r="I8" s="220" t="s">
        <v>0</v>
      </c>
      <c r="J8" s="286" t="s">
        <v>4</v>
      </c>
      <c r="K8" s="287" t="s">
        <v>5</v>
      </c>
    </row>
    <row r="9" spans="1:20" s="18" customFormat="1" ht="12.75" customHeight="1" x14ac:dyDescent="0.25">
      <c r="A9" s="11" t="str">
        <f>'QTD Mgmt Summary'!A9</f>
        <v>Norteast Trading (Davis)</v>
      </c>
      <c r="B9" s="274"/>
      <c r="C9" s="369">
        <f>GrossMargin!C9+154103</f>
        <v>169730</v>
      </c>
      <c r="D9" s="370">
        <f>GrossMargin!D9</f>
        <v>0</v>
      </c>
      <c r="E9" s="370">
        <f>GrossMargin!E9</f>
        <v>0</v>
      </c>
      <c r="F9" s="370">
        <f>GrossMargin!F9</f>
        <v>0</v>
      </c>
      <c r="G9" s="370">
        <f>GrossMargin!G9</f>
        <v>0</v>
      </c>
      <c r="H9" s="370">
        <f>GrossMargin!H9</f>
        <v>0</v>
      </c>
      <c r="I9" s="146">
        <f t="shared" ref="I9:I14" si="0">SUM(C9:H9)</f>
        <v>169730</v>
      </c>
      <c r="J9" s="161">
        <v>50000</v>
      </c>
      <c r="K9" s="301">
        <f t="shared" ref="K9:K14" si="1">I9-J9</f>
        <v>119730</v>
      </c>
    </row>
    <row r="10" spans="1:20" s="18" customFormat="1" ht="12.75" customHeight="1" x14ac:dyDescent="0.25">
      <c r="A10" s="11" t="str">
        <f>'QTD Mgmt Summary'!A10</f>
        <v>Northeast Origination (Llodia)</v>
      </c>
      <c r="B10" s="274"/>
      <c r="C10" s="371">
        <f>GrossMargin!C10</f>
        <v>0</v>
      </c>
      <c r="D10" s="372">
        <f>GrossMargin!D10</f>
        <v>0</v>
      </c>
      <c r="E10" s="65">
        <f>GrossMargin!E10+9485</f>
        <v>9660</v>
      </c>
      <c r="F10" s="372">
        <f>GrossMargin!F10</f>
        <v>0</v>
      </c>
      <c r="G10" s="372">
        <f>GrossMargin!G10</f>
        <v>0</v>
      </c>
      <c r="H10" s="372">
        <f>GrossMargin!H10</f>
        <v>0</v>
      </c>
      <c r="I10" s="21">
        <f t="shared" si="0"/>
        <v>9660</v>
      </c>
      <c r="J10" s="40">
        <v>30000</v>
      </c>
      <c r="K10" s="258">
        <f t="shared" si="1"/>
        <v>-20340</v>
      </c>
    </row>
    <row r="11" spans="1:20" ht="12.75" customHeight="1" x14ac:dyDescent="0.25">
      <c r="A11" s="11" t="str">
        <f>'QTD Mgmt Summary'!A11</f>
        <v>Midwest Trading (Sturm/Baughman)</v>
      </c>
      <c r="B11" s="15"/>
      <c r="C11" s="364">
        <f>GrossMargin!C11+125783</f>
        <v>110689</v>
      </c>
      <c r="D11" s="373">
        <f>GrossMargin!D11</f>
        <v>0</v>
      </c>
      <c r="E11" s="65">
        <f>GrossMargin!E11</f>
        <v>0</v>
      </c>
      <c r="F11" s="373">
        <f>GrossMargin!F11</f>
        <v>0</v>
      </c>
      <c r="G11" s="373">
        <f>GrossMargin!G11</f>
        <v>0</v>
      </c>
      <c r="H11" s="282">
        <f>GrossMargin!H11</f>
        <v>0</v>
      </c>
      <c r="I11" s="180">
        <f t="shared" si="0"/>
        <v>110689</v>
      </c>
      <c r="J11" s="257">
        <v>50000</v>
      </c>
      <c r="K11" s="280">
        <f t="shared" si="1"/>
        <v>60689</v>
      </c>
    </row>
    <row r="12" spans="1:20" ht="12.75" customHeight="1" x14ac:dyDescent="0.25">
      <c r="A12" s="11" t="str">
        <f>'QTD Mgmt Summary'!A12</f>
        <v>Midwest Origination (Sturm/Baughman)</v>
      </c>
      <c r="B12" s="15"/>
      <c r="C12" s="364">
        <f>GrossMargin!C12</f>
        <v>0</v>
      </c>
      <c r="D12" s="373">
        <f>GrossMargin!D12</f>
        <v>0</v>
      </c>
      <c r="E12" s="65">
        <f>GrossMargin!E12+4879</f>
        <v>5144</v>
      </c>
      <c r="F12" s="373">
        <f>GrossMargin!F12</f>
        <v>0</v>
      </c>
      <c r="G12" s="373">
        <f>GrossMargin!G12</f>
        <v>0</v>
      </c>
      <c r="H12" s="282">
        <f>GrossMargin!H12</f>
        <v>0</v>
      </c>
      <c r="I12" s="180">
        <f t="shared" si="0"/>
        <v>5144</v>
      </c>
      <c r="J12" s="257">
        <v>30000</v>
      </c>
      <c r="K12" s="280">
        <f t="shared" si="1"/>
        <v>-24856</v>
      </c>
    </row>
    <row r="13" spans="1:20" ht="12.75" customHeight="1" x14ac:dyDescent="0.25">
      <c r="A13" s="11" t="str">
        <f>'QTD Mgmt Summary'!A13</f>
        <v xml:space="preserve">Southeast Trading (Herndon/Kroll) </v>
      </c>
      <c r="B13" s="15"/>
      <c r="C13" s="364">
        <f>GrossMargin!C13+10947</f>
        <v>9827</v>
      </c>
      <c r="D13" s="373">
        <f>GrossMargin!D13</f>
        <v>0</v>
      </c>
      <c r="E13" s="65">
        <f>GrossMargin!E13</f>
        <v>0</v>
      </c>
      <c r="F13" s="373">
        <f>GrossMargin!F13</f>
        <v>0</v>
      </c>
      <c r="G13" s="373">
        <f>GrossMargin!G13</f>
        <v>0</v>
      </c>
      <c r="H13" s="282">
        <f>GrossMargin!H13</f>
        <v>0</v>
      </c>
      <c r="I13" s="180">
        <f t="shared" si="0"/>
        <v>9827</v>
      </c>
      <c r="J13" s="257">
        <v>50000</v>
      </c>
      <c r="K13" s="280">
        <f t="shared" si="1"/>
        <v>-40173</v>
      </c>
    </row>
    <row r="14" spans="1:20" ht="12.75" customHeight="1" x14ac:dyDescent="0.25">
      <c r="A14" s="11" t="str">
        <f>'QTD Mgmt Summary'!A14</f>
        <v xml:space="preserve">Southeast Orig (Herndon/Kroll) </v>
      </c>
      <c r="B14" s="15"/>
      <c r="C14" s="364">
        <f>GrossMargin!C14</f>
        <v>0</v>
      </c>
      <c r="D14" s="373">
        <f>GrossMargin!D14</f>
        <v>0</v>
      </c>
      <c r="E14" s="65">
        <f>GrossMargin!E14+8053</f>
        <v>9720</v>
      </c>
      <c r="F14" s="373">
        <f>GrossMargin!F14</f>
        <v>0</v>
      </c>
      <c r="G14" s="373">
        <f>GrossMargin!G14</f>
        <v>0</v>
      </c>
      <c r="H14" s="282">
        <f>GrossMargin!H14-50</f>
        <v>-50</v>
      </c>
      <c r="I14" s="180">
        <f t="shared" si="0"/>
        <v>9670</v>
      </c>
      <c r="J14" s="257">
        <v>30000</v>
      </c>
      <c r="K14" s="280">
        <f t="shared" si="1"/>
        <v>-20330</v>
      </c>
    </row>
    <row r="15" spans="1:20" ht="12.75" customHeight="1" x14ac:dyDescent="0.25">
      <c r="A15" s="11" t="str">
        <f>'QTD Mgmt Summary'!A15</f>
        <v>ERCOT Trading (Smith/Corry)</v>
      </c>
      <c r="B15" s="15"/>
      <c r="C15" s="364">
        <f>GrossMargin!C15+6010</f>
        <v>3685</v>
      </c>
      <c r="D15" s="373">
        <f>GrossMargin!D15</f>
        <v>0</v>
      </c>
      <c r="E15" s="65">
        <f>GrossMargin!E15</f>
        <v>0</v>
      </c>
      <c r="F15" s="373">
        <f>GrossMargin!F15</f>
        <v>0</v>
      </c>
      <c r="G15" s="373">
        <f>GrossMargin!G15</f>
        <v>0</v>
      </c>
      <c r="H15" s="282">
        <f>GrossMargin!H15</f>
        <v>0</v>
      </c>
      <c r="I15" s="180">
        <f t="shared" ref="I15:I22" si="2">SUM(C15:H15)</f>
        <v>3685</v>
      </c>
      <c r="J15" s="257">
        <v>17500</v>
      </c>
      <c r="K15" s="280">
        <f t="shared" ref="K15:K22" si="3">I15-J15</f>
        <v>-13815</v>
      </c>
    </row>
    <row r="16" spans="1:20" ht="12.75" customHeight="1" x14ac:dyDescent="0.25">
      <c r="A16" s="11" t="str">
        <f>'QTD Mgmt Summary'!A16</f>
        <v>ERCOT Orig (Smith/Corry)</v>
      </c>
      <c r="B16" s="15"/>
      <c r="C16" s="364">
        <f>GrossMargin!C16</f>
        <v>0</v>
      </c>
      <c r="D16" s="373">
        <f>GrossMargin!D16</f>
        <v>0</v>
      </c>
      <c r="E16" s="65">
        <f>GrossMargin!E16+2392</f>
        <v>2462</v>
      </c>
      <c r="F16" s="373">
        <f>GrossMargin!F16</f>
        <v>0</v>
      </c>
      <c r="G16" s="373">
        <f>GrossMargin!G16</f>
        <v>0</v>
      </c>
      <c r="H16" s="282">
        <f>GrossMargin!H16</f>
        <v>0</v>
      </c>
      <c r="I16" s="180">
        <f t="shared" si="2"/>
        <v>2462</v>
      </c>
      <c r="J16" s="257">
        <v>17500</v>
      </c>
      <c r="K16" s="280">
        <f t="shared" si="3"/>
        <v>-15038</v>
      </c>
    </row>
    <row r="17" spans="1:11" ht="12.75" customHeight="1" x14ac:dyDescent="0.25">
      <c r="A17" s="11" t="str">
        <f>'QTD Mgmt Summary'!A17</f>
        <v>Options (Arora)</v>
      </c>
      <c r="B17" s="15"/>
      <c r="C17" s="364">
        <f>GrossMargin!C17+22157</f>
        <v>26003</v>
      </c>
      <c r="D17" s="373">
        <f>GrossMargin!D17</f>
        <v>0</v>
      </c>
      <c r="E17" s="65">
        <f>GrossMargin!E17</f>
        <v>0</v>
      </c>
      <c r="F17" s="373">
        <f>GrossMargin!F17</f>
        <v>0</v>
      </c>
      <c r="G17" s="373">
        <f>GrossMargin!G17</f>
        <v>0</v>
      </c>
      <c r="H17" s="282">
        <f>GrossMargin!H17</f>
        <v>0</v>
      </c>
      <c r="I17" s="180">
        <f t="shared" si="2"/>
        <v>26003</v>
      </c>
      <c r="J17" s="257">
        <v>0</v>
      </c>
      <c r="K17" s="280">
        <f t="shared" si="3"/>
        <v>26003</v>
      </c>
    </row>
    <row r="18" spans="1:11" ht="12.75" customHeight="1" x14ac:dyDescent="0.25">
      <c r="A18" s="11" t="str">
        <f>'QTD Mgmt Summary'!A18</f>
        <v>Management  Book (Presto)</v>
      </c>
      <c r="B18" s="15"/>
      <c r="C18" s="364">
        <f>GrossMargin!C18+78574</f>
        <v>53118</v>
      </c>
      <c r="D18" s="373">
        <f>GrossMargin!D18</f>
        <v>0</v>
      </c>
      <c r="E18" s="65">
        <f>GrossMargin!E18</f>
        <v>0</v>
      </c>
      <c r="F18" s="373">
        <f>GrossMargin!F18</f>
        <v>0</v>
      </c>
      <c r="G18" s="373">
        <f>GrossMargin!G18</f>
        <v>0</v>
      </c>
      <c r="H18" s="282">
        <f>GrossMargin!H18</f>
        <v>0</v>
      </c>
      <c r="I18" s="180">
        <f t="shared" si="2"/>
        <v>53118</v>
      </c>
      <c r="J18" s="257">
        <v>5000</v>
      </c>
      <c r="K18" s="280">
        <f t="shared" si="3"/>
        <v>48118</v>
      </c>
    </row>
    <row r="19" spans="1:11" ht="12.75" customHeight="1" x14ac:dyDescent="0.25">
      <c r="A19" s="11" t="str">
        <f>'QTD Mgmt Summary'!A19</f>
        <v>Services (Will)</v>
      </c>
      <c r="B19" s="15"/>
      <c r="C19" s="364">
        <f>GrossMargin!C19+1190</f>
        <v>1272</v>
      </c>
      <c r="D19" s="373">
        <f>GrossMargin!D19</f>
        <v>0</v>
      </c>
      <c r="E19" s="65">
        <f>GrossMargin!E19</f>
        <v>0</v>
      </c>
      <c r="F19" s="373">
        <f>GrossMargin!F19</f>
        <v>0</v>
      </c>
      <c r="G19" s="373">
        <f>GrossMargin!G19</f>
        <v>0</v>
      </c>
      <c r="H19" s="282">
        <f>GrossMargin!H19</f>
        <v>0</v>
      </c>
      <c r="I19" s="180">
        <f t="shared" si="2"/>
        <v>1272</v>
      </c>
      <c r="J19" s="257">
        <v>0</v>
      </c>
      <c r="K19" s="280">
        <f t="shared" si="3"/>
        <v>1272</v>
      </c>
    </row>
    <row r="20" spans="1:11" ht="12.75" customHeight="1" x14ac:dyDescent="0.25">
      <c r="A20" s="11" t="str">
        <f>'QTD Mgmt Summary'!A20</f>
        <v>Development (Jacoby)</v>
      </c>
      <c r="B20" s="15"/>
      <c r="C20" s="364">
        <f>GrossMargin!C20</f>
        <v>0</v>
      </c>
      <c r="D20" s="373">
        <f>GrossMargin!D20</f>
        <v>0</v>
      </c>
      <c r="E20" s="65">
        <f>GrossMargin!E20</f>
        <v>0</v>
      </c>
      <c r="F20" s="373">
        <f>GrossMargin!F20</f>
        <v>0</v>
      </c>
      <c r="G20" s="373">
        <f>GrossMargin!G20</f>
        <v>0</v>
      </c>
      <c r="H20" s="282">
        <f>GrossMargin!H20+14195</f>
        <v>16633</v>
      </c>
      <c r="I20" s="180">
        <f t="shared" si="2"/>
        <v>16633</v>
      </c>
      <c r="J20" s="257">
        <v>24000</v>
      </c>
      <c r="K20" s="280">
        <f t="shared" si="3"/>
        <v>-7367</v>
      </c>
    </row>
    <row r="21" spans="1:11" ht="12.75" customHeight="1" x14ac:dyDescent="0.25">
      <c r="A21" s="11" t="str">
        <f>'QTD Mgmt Summary'!A21</f>
        <v>Generation Investments (Duran)</v>
      </c>
      <c r="B21" s="15"/>
      <c r="C21" s="364">
        <f>GrossMargin!C21</f>
        <v>0</v>
      </c>
      <c r="D21" s="373">
        <f>GrossMargin!D21</f>
        <v>0</v>
      </c>
      <c r="E21" s="65">
        <f>GrossMargin!E21</f>
        <v>0</v>
      </c>
      <c r="F21" s="373">
        <f>GrossMargin!F21+14231</f>
        <v>11715</v>
      </c>
      <c r="G21" s="373">
        <f>GrossMargin!G21</f>
        <v>0</v>
      </c>
      <c r="H21" s="282">
        <f>GrossMargin!H21</f>
        <v>1000</v>
      </c>
      <c r="I21" s="180">
        <f t="shared" si="2"/>
        <v>12715</v>
      </c>
      <c r="J21" s="257">
        <v>80000</v>
      </c>
      <c r="K21" s="280">
        <f t="shared" si="3"/>
        <v>-67285</v>
      </c>
    </row>
    <row r="22" spans="1:11" ht="12.75" customHeight="1" thickBot="1" x14ac:dyDescent="0.3">
      <c r="A22" s="11" t="str">
        <f>'QTD Mgmt Summary'!A22</f>
        <v>Structuring/Fundamentals (Meyn/Will)</v>
      </c>
      <c r="B22" s="15"/>
      <c r="C22" s="281">
        <f>GrossMargin!C22</f>
        <v>0</v>
      </c>
      <c r="D22" s="273">
        <f>GrossMargin!D22</f>
        <v>0</v>
      </c>
      <c r="E22" s="40">
        <f>GrossMargin!E22</f>
        <v>0</v>
      </c>
      <c r="F22" s="273">
        <f>GrossMargin!F22</f>
        <v>0</v>
      </c>
      <c r="G22" s="273">
        <f>GrossMargin!G22</f>
        <v>0</v>
      </c>
      <c r="H22" s="280">
        <f>GrossMargin!H22</f>
        <v>0</v>
      </c>
      <c r="I22" s="302">
        <f t="shared" si="2"/>
        <v>0</v>
      </c>
      <c r="J22" s="303">
        <v>0</v>
      </c>
      <c r="K22" s="304">
        <f t="shared" si="3"/>
        <v>0</v>
      </c>
    </row>
    <row r="23" spans="1:11" s="42" customFormat="1" ht="12.75" customHeight="1" thickBot="1" x14ac:dyDescent="0.3">
      <c r="A23" s="35" t="s">
        <v>7</v>
      </c>
      <c r="B23" s="277"/>
      <c r="C23" s="292">
        <f t="shared" ref="C23:K23" si="4">SUM(C9:C22)</f>
        <v>374324</v>
      </c>
      <c r="D23" s="293">
        <f t="shared" si="4"/>
        <v>0</v>
      </c>
      <c r="E23" s="293">
        <f t="shared" si="4"/>
        <v>26986</v>
      </c>
      <c r="F23" s="294">
        <f t="shared" si="4"/>
        <v>11715</v>
      </c>
      <c r="G23" s="294">
        <f t="shared" si="4"/>
        <v>0</v>
      </c>
      <c r="H23" s="295">
        <f t="shared" si="4"/>
        <v>17583</v>
      </c>
      <c r="I23" s="296">
        <f t="shared" si="4"/>
        <v>430608</v>
      </c>
      <c r="J23" s="294">
        <f t="shared" si="4"/>
        <v>384000</v>
      </c>
      <c r="K23" s="295">
        <f t="shared" si="4"/>
        <v>46608</v>
      </c>
    </row>
    <row r="24" spans="1:11" ht="12.75" customHeight="1" x14ac:dyDescent="0.25">
      <c r="A24" s="11" t="str">
        <f>'QTD Mgmt Summary'!A24</f>
        <v>Trading (Belden)</v>
      </c>
      <c r="B24" s="229"/>
      <c r="C24" s="30">
        <f>GrossMargin!C24+576122</f>
        <v>630525</v>
      </c>
      <c r="D24" s="373">
        <f>GrossMargin!D24</f>
        <v>0</v>
      </c>
      <c r="E24" s="65">
        <f>GrossMargin!E24</f>
        <v>0</v>
      </c>
      <c r="F24" s="373">
        <f>GrossMargin!F24</f>
        <v>0</v>
      </c>
      <c r="G24" s="373">
        <f>GrossMargin!G24</f>
        <v>0</v>
      </c>
      <c r="H24" s="282">
        <f>GrossMargin!H24</f>
        <v>0</v>
      </c>
      <c r="I24" s="281">
        <f t="shared" ref="I24:I30" si="5">SUM(C24:H24)</f>
        <v>630525</v>
      </c>
      <c r="J24" s="257">
        <v>250000</v>
      </c>
      <c r="K24" s="280">
        <f t="shared" ref="K24:K30" si="6">I24-J24</f>
        <v>380525</v>
      </c>
    </row>
    <row r="25" spans="1:11" ht="12.75" customHeight="1" x14ac:dyDescent="0.25">
      <c r="A25" s="11" t="str">
        <f>'QTD Mgmt Summary'!A25</f>
        <v>Services (Foster/Wolfe)</v>
      </c>
      <c r="B25" s="229"/>
      <c r="C25" s="30">
        <f>GrossMargin!C25</f>
        <v>0</v>
      </c>
      <c r="D25" s="373">
        <f>GrossMargin!D25</f>
        <v>0</v>
      </c>
      <c r="E25" s="65">
        <f>GrossMargin!E25</f>
        <v>0</v>
      </c>
      <c r="F25" s="373">
        <f>GrossMargin!F25</f>
        <v>0</v>
      </c>
      <c r="G25" s="373">
        <f>GrossMargin!G25</f>
        <v>0</v>
      </c>
      <c r="H25" s="282">
        <f>GrossMargin!H25</f>
        <v>0</v>
      </c>
      <c r="I25" s="281">
        <f t="shared" si="5"/>
        <v>0</v>
      </c>
      <c r="J25" s="257">
        <v>0</v>
      </c>
      <c r="K25" s="280">
        <f t="shared" si="6"/>
        <v>0</v>
      </c>
    </row>
    <row r="26" spans="1:11" ht="12.75" customHeight="1" x14ac:dyDescent="0.25">
      <c r="A26" s="11" t="str">
        <f>'QTD Mgmt Summary'!A26</f>
        <v>Middle Market Originations (Foster)</v>
      </c>
      <c r="B26" s="229"/>
      <c r="C26" s="30">
        <f>GrossMargin!C26</f>
        <v>0</v>
      </c>
      <c r="D26" s="373">
        <f>GrossMargin!D26+37641</f>
        <v>44048</v>
      </c>
      <c r="E26" s="65">
        <f>GrossMargin!E26</f>
        <v>0</v>
      </c>
      <c r="F26" s="373">
        <f>GrossMargin!F26</f>
        <v>0</v>
      </c>
      <c r="G26" s="373">
        <f>GrossMargin!G26</f>
        <v>0</v>
      </c>
      <c r="H26" s="282">
        <f>GrossMargin!H26</f>
        <v>0</v>
      </c>
      <c r="I26" s="281">
        <f t="shared" si="5"/>
        <v>44048</v>
      </c>
      <c r="J26" s="257">
        <v>50000</v>
      </c>
      <c r="K26" s="280">
        <f t="shared" si="6"/>
        <v>-5952</v>
      </c>
    </row>
    <row r="27" spans="1:11" ht="12.75" customHeight="1" x14ac:dyDescent="0.25">
      <c r="A27" s="11" t="str">
        <f>'QTD Mgmt Summary'!A27</f>
        <v>Orginations (Thomas/McDonald)</v>
      </c>
      <c r="B27" s="229"/>
      <c r="C27" s="30">
        <f>GrossMargin!C27</f>
        <v>0</v>
      </c>
      <c r="D27" s="373">
        <f>GrossMargin!D27</f>
        <v>0</v>
      </c>
      <c r="E27" s="65">
        <f>GrossMargin!E27+38594</f>
        <v>38597</v>
      </c>
      <c r="F27" s="373">
        <v>0</v>
      </c>
      <c r="G27" s="373">
        <f>GrossMargin!G27</f>
        <v>0</v>
      </c>
      <c r="H27" s="282">
        <f>GrossMargin!H27+500</f>
        <v>500</v>
      </c>
      <c r="I27" s="281">
        <f t="shared" si="5"/>
        <v>39097</v>
      </c>
      <c r="J27" s="257">
        <v>62988</v>
      </c>
      <c r="K27" s="280">
        <f t="shared" si="6"/>
        <v>-23891</v>
      </c>
    </row>
    <row r="28" spans="1:11" ht="12.75" customHeight="1" x14ac:dyDescent="0.25">
      <c r="A28" s="11" t="str">
        <f>'QTD Mgmt Summary'!A28</f>
        <v>Executive (Calger)</v>
      </c>
      <c r="B28" s="229"/>
      <c r="C28" s="30">
        <f>GrossMargin!C28</f>
        <v>0</v>
      </c>
      <c r="D28" s="373">
        <f>GrossMargin!D28</f>
        <v>0</v>
      </c>
      <c r="E28" s="65">
        <f>GrossMargin!E28+10500</f>
        <v>10500</v>
      </c>
      <c r="F28" s="373">
        <f>GrossMargin!F28</f>
        <v>0</v>
      </c>
      <c r="G28" s="373">
        <f>GrossMargin!G28</f>
        <v>0</v>
      </c>
      <c r="H28" s="282">
        <f>GrossMargin!H28</f>
        <v>0</v>
      </c>
      <c r="I28" s="281">
        <f t="shared" si="5"/>
        <v>10500</v>
      </c>
      <c r="J28" s="257">
        <v>14000</v>
      </c>
      <c r="K28" s="280">
        <f t="shared" si="6"/>
        <v>-3500</v>
      </c>
    </row>
    <row r="29" spans="1:11" ht="12.75" customHeight="1" x14ac:dyDescent="0.25">
      <c r="A29" s="11" t="str">
        <f>'QTD Mgmt Summary'!A29</f>
        <v>Generation (Parquet)</v>
      </c>
      <c r="B29" s="229"/>
      <c r="C29" s="30">
        <f>GrossMargin!C29</f>
        <v>0</v>
      </c>
      <c r="D29" s="373">
        <f>GrossMargin!D29</f>
        <v>0</v>
      </c>
      <c r="E29" s="65">
        <f>GrossMargin!E29+23860</f>
        <v>23860</v>
      </c>
      <c r="F29" s="373">
        <f>GrossMargin!F29+30176</f>
        <v>30839</v>
      </c>
      <c r="G29" s="373">
        <f>GrossMargin!G29+-336</f>
        <v>-336</v>
      </c>
      <c r="H29" s="282">
        <f>GrossMargin!H29-2000</f>
        <v>-1317</v>
      </c>
      <c r="I29" s="281">
        <f t="shared" si="5"/>
        <v>53046</v>
      </c>
      <c r="J29" s="257">
        <v>46000</v>
      </c>
      <c r="K29" s="280">
        <f t="shared" si="6"/>
        <v>7046</v>
      </c>
    </row>
    <row r="30" spans="1:11" ht="12.75" customHeight="1" thickBot="1" x14ac:dyDescent="0.3">
      <c r="A30" s="11" t="str">
        <f>'QTD Mgmt Summary'!A30</f>
        <v>Fundamentals (Heizenreiker)</v>
      </c>
      <c r="B30" s="229"/>
      <c r="C30" s="30">
        <f>GrossMargin!C30</f>
        <v>0</v>
      </c>
      <c r="D30" s="252">
        <f>GrossMargin!D30</f>
        <v>0</v>
      </c>
      <c r="E30" s="65">
        <f>GrossMargin!E30</f>
        <v>0</v>
      </c>
      <c r="F30" s="373">
        <f>GrossMargin!F30</f>
        <v>0</v>
      </c>
      <c r="G30" s="373">
        <f>GrossMargin!G30</f>
        <v>0</v>
      </c>
      <c r="H30" s="282">
        <f>GrossMargin!H30</f>
        <v>0</v>
      </c>
      <c r="I30" s="281">
        <f t="shared" si="5"/>
        <v>0</v>
      </c>
      <c r="J30" s="257">
        <v>0</v>
      </c>
      <c r="K30" s="280">
        <f t="shared" si="6"/>
        <v>0</v>
      </c>
    </row>
    <row r="31" spans="1:11" s="42" customFormat="1" ht="12.75" customHeight="1" thickBot="1" x14ac:dyDescent="0.3">
      <c r="A31" s="35" t="s">
        <v>8</v>
      </c>
      <c r="B31" s="277"/>
      <c r="C31" s="292">
        <f t="shared" ref="C31:K31" si="7">SUM(C24:C30)</f>
        <v>630525</v>
      </c>
      <c r="D31" s="293">
        <f t="shared" si="7"/>
        <v>44048</v>
      </c>
      <c r="E31" s="293">
        <f t="shared" si="7"/>
        <v>72957</v>
      </c>
      <c r="F31" s="294">
        <f t="shared" si="7"/>
        <v>30839</v>
      </c>
      <c r="G31" s="294">
        <f t="shared" si="7"/>
        <v>-336</v>
      </c>
      <c r="H31" s="295">
        <f t="shared" si="7"/>
        <v>-817</v>
      </c>
      <c r="I31" s="296">
        <f t="shared" si="7"/>
        <v>777216</v>
      </c>
      <c r="J31" s="294">
        <f t="shared" si="7"/>
        <v>422988</v>
      </c>
      <c r="K31" s="295">
        <f t="shared" si="7"/>
        <v>354228</v>
      </c>
    </row>
    <row r="32" spans="1:11" ht="12.75" customHeight="1" x14ac:dyDescent="0.25">
      <c r="A32" s="11" t="str">
        <f>'QTD Mgmt Summary'!A32</f>
        <v>East Trading (Neal)</v>
      </c>
      <c r="B32" s="229"/>
      <c r="C32" s="21">
        <f>GrossMargin!C32+6739</f>
        <v>14564</v>
      </c>
      <c r="D32" s="273">
        <f>GrossMargin!D32</f>
        <v>0</v>
      </c>
      <c r="E32" s="40">
        <f>GrossMargin!E32</f>
        <v>0</v>
      </c>
      <c r="F32" s="273">
        <f>GrossMargin!F32</f>
        <v>0</v>
      </c>
      <c r="G32" s="273">
        <f>GrossMargin!G32</f>
        <v>0</v>
      </c>
      <c r="H32" s="280">
        <f>GrossMargin!H32</f>
        <v>0</v>
      </c>
      <c r="I32" s="281">
        <f>SUM(C32:H32)</f>
        <v>14564</v>
      </c>
      <c r="J32" s="257">
        <v>60000</v>
      </c>
      <c r="K32" s="280">
        <f t="shared" ref="K32:K37" si="8">I32-J32</f>
        <v>-45436</v>
      </c>
    </row>
    <row r="33" spans="1:11" ht="12.75" customHeight="1" x14ac:dyDescent="0.25">
      <c r="A33" s="11" t="str">
        <f>'QTD Mgmt Summary'!A33</f>
        <v>East Origination (Vickors)</v>
      </c>
      <c r="B33" s="229"/>
      <c r="C33" s="21">
        <f>GrossMargin!C33</f>
        <v>0</v>
      </c>
      <c r="D33" s="273">
        <f>GrossMargin!D33+8229</f>
        <v>8443</v>
      </c>
      <c r="E33" s="40">
        <f>GrossMargin!E33+557</f>
        <v>557</v>
      </c>
      <c r="F33" s="273">
        <f>GrossMargin!F33</f>
        <v>0</v>
      </c>
      <c r="G33" s="273">
        <f>GrossMargin!G33</f>
        <v>0</v>
      </c>
      <c r="H33" s="280">
        <v>3</v>
      </c>
      <c r="I33" s="281">
        <f t="shared" ref="I33:I44" si="9">SUM(C33:H33)</f>
        <v>9003</v>
      </c>
      <c r="J33" s="257">
        <v>20000</v>
      </c>
      <c r="K33" s="280">
        <f t="shared" si="8"/>
        <v>-10997</v>
      </c>
    </row>
    <row r="34" spans="1:11" ht="12.75" customHeight="1" x14ac:dyDescent="0.25">
      <c r="A34" s="11" t="str">
        <f>'QTD Mgmt Summary'!A34</f>
        <v>Central Trading (Shively)</v>
      </c>
      <c r="B34" s="229"/>
      <c r="C34" s="21">
        <f>GrossMargin!C34+170849</f>
        <v>163815</v>
      </c>
      <c r="D34" s="273">
        <f>GrossMargin!D34</f>
        <v>0</v>
      </c>
      <c r="E34" s="40">
        <f>GrossMargin!E34</f>
        <v>0</v>
      </c>
      <c r="F34" s="273">
        <f>GrossMargin!F34</f>
        <v>0</v>
      </c>
      <c r="G34" s="273">
        <f>GrossMargin!G34</f>
        <v>0</v>
      </c>
      <c r="H34" s="280">
        <f>GrossMargin!H34</f>
        <v>0</v>
      </c>
      <c r="I34" s="281">
        <f t="shared" si="9"/>
        <v>163815</v>
      </c>
      <c r="J34" s="257">
        <v>63000</v>
      </c>
      <c r="K34" s="280">
        <f t="shared" si="8"/>
        <v>100815</v>
      </c>
    </row>
    <row r="35" spans="1:11" ht="12.75" customHeight="1" x14ac:dyDescent="0.25">
      <c r="A35" s="11" t="str">
        <f>'QTD Mgmt Summary'!A35</f>
        <v>Central Origination (Luce)</v>
      </c>
      <c r="B35" s="229"/>
      <c r="C35" s="21">
        <f>GrossMargin!C35</f>
        <v>0</v>
      </c>
      <c r="D35" s="273">
        <f>GrossMargin!D35+2355</f>
        <v>2475</v>
      </c>
      <c r="E35" s="40">
        <f>GrossMargin!E35+36</f>
        <v>36</v>
      </c>
      <c r="F35" s="273">
        <f>GrossMargin!F35</f>
        <v>0</v>
      </c>
      <c r="G35" s="273">
        <f>GrossMargin!G35</f>
        <v>0</v>
      </c>
      <c r="H35" s="280">
        <v>0</v>
      </c>
      <c r="I35" s="281">
        <f t="shared" si="9"/>
        <v>2511</v>
      </c>
      <c r="J35" s="257">
        <v>17000</v>
      </c>
      <c r="K35" s="280">
        <f t="shared" si="8"/>
        <v>-14489</v>
      </c>
    </row>
    <row r="36" spans="1:11" ht="12.75" customHeight="1" x14ac:dyDescent="0.25">
      <c r="A36" s="11" t="str">
        <f>'QTD Mgmt Summary'!A36</f>
        <v>Texas Trading (Martin)</v>
      </c>
      <c r="B36" s="229"/>
      <c r="C36" s="180">
        <f>GrossMargin!C36+128684</f>
        <v>127107</v>
      </c>
      <c r="D36" s="257">
        <f>GrossMargin!D36</f>
        <v>0</v>
      </c>
      <c r="E36" s="40">
        <f>GrossMargin!E36</f>
        <v>0</v>
      </c>
      <c r="F36" s="273">
        <f>GrossMargin!F36</f>
        <v>0</v>
      </c>
      <c r="G36" s="273">
        <f>GrossMargin!G36</f>
        <v>0</v>
      </c>
      <c r="H36" s="280">
        <f>GrossMargin!H36</f>
        <v>0</v>
      </c>
      <c r="I36" s="281">
        <f t="shared" si="9"/>
        <v>127107</v>
      </c>
      <c r="J36" s="257">
        <v>40000</v>
      </c>
      <c r="K36" s="280">
        <f t="shared" si="8"/>
        <v>87107</v>
      </c>
    </row>
    <row r="37" spans="1:11" ht="12.75" customHeight="1" x14ac:dyDescent="0.25">
      <c r="A37" s="11" t="str">
        <f>'QTD Mgmt Summary'!A37</f>
        <v>Texas Origination (Redmond)</v>
      </c>
      <c r="B37" s="229"/>
      <c r="C37" s="180">
        <v>0</v>
      </c>
      <c r="D37" s="257">
        <f>GrossMargin!D37</f>
        <v>0</v>
      </c>
      <c r="E37" s="40">
        <f>GrossMargin!E37</f>
        <v>0</v>
      </c>
      <c r="F37" s="273">
        <f>GrossMargin!F37</f>
        <v>0</v>
      </c>
      <c r="G37" s="273">
        <f>GrossMargin!G37</f>
        <v>0</v>
      </c>
      <c r="H37" s="280">
        <f>GrossMargin!H37</f>
        <v>0</v>
      </c>
      <c r="I37" s="281">
        <f t="shared" si="9"/>
        <v>0</v>
      </c>
      <c r="J37" s="257">
        <v>0</v>
      </c>
      <c r="K37" s="280">
        <f t="shared" si="8"/>
        <v>0</v>
      </c>
    </row>
    <row r="38" spans="1:11" ht="12.75" customHeight="1" x14ac:dyDescent="0.25">
      <c r="A38" s="11" t="str">
        <f>'QTD Mgmt Summary'!A38</f>
        <v>West Trading (Allen)</v>
      </c>
      <c r="B38" s="229"/>
      <c r="C38" s="180">
        <f>GrossMargin!C38-85190</f>
        <v>-114147</v>
      </c>
      <c r="D38" s="257">
        <f>GrossMargin!D38</f>
        <v>0</v>
      </c>
      <c r="E38" s="40">
        <f>GrossMargin!E38</f>
        <v>0</v>
      </c>
      <c r="F38" s="273">
        <f>GrossMargin!F38</f>
        <v>0</v>
      </c>
      <c r="G38" s="273">
        <f>GrossMargin!G38</f>
        <v>0</v>
      </c>
      <c r="H38" s="280">
        <f>GrossMargin!H38</f>
        <v>0</v>
      </c>
      <c r="I38" s="281">
        <f t="shared" si="9"/>
        <v>-114147</v>
      </c>
      <c r="J38" s="257">
        <v>20000</v>
      </c>
      <c r="K38" s="280">
        <f t="shared" ref="K38:K44" si="10">I38-J38</f>
        <v>-134147</v>
      </c>
    </row>
    <row r="39" spans="1:11" ht="12.75" customHeight="1" x14ac:dyDescent="0.25">
      <c r="A39" s="11" t="str">
        <f>'QTD Mgmt Summary'!A39</f>
        <v>West Origination (Tycholiz)</v>
      </c>
      <c r="B39" s="229"/>
      <c r="C39" s="180">
        <f>GrossMargin!C39</f>
        <v>0</v>
      </c>
      <c r="D39" s="257">
        <f>GrossMargin!D39+40559</f>
        <v>43807</v>
      </c>
      <c r="E39" s="40">
        <f>GrossMargin!E39</f>
        <v>0</v>
      </c>
      <c r="F39" s="273">
        <f>GrossMargin!F39</f>
        <v>0</v>
      </c>
      <c r="G39" s="273">
        <f>GrossMargin!G39</f>
        <v>0</v>
      </c>
      <c r="H39" s="280">
        <f>GrossMargin!H39</f>
        <v>0</v>
      </c>
      <c r="I39" s="281">
        <f t="shared" si="9"/>
        <v>43807</v>
      </c>
      <c r="J39" s="257">
        <v>106000</v>
      </c>
      <c r="K39" s="280">
        <f t="shared" si="10"/>
        <v>-62193</v>
      </c>
    </row>
    <row r="40" spans="1:11" ht="12.75" customHeight="1" x14ac:dyDescent="0.25">
      <c r="A40" s="11" t="str">
        <f>'QTD Mgmt Summary'!A40</f>
        <v>Financial Gas (Arnold)</v>
      </c>
      <c r="B40" s="229"/>
      <c r="C40" s="180">
        <f>GrossMargin!C40+630577-8451</f>
        <v>678345</v>
      </c>
      <c r="D40" s="257">
        <f>GrossMargin!D40</f>
        <v>0</v>
      </c>
      <c r="E40" s="40">
        <f>GrossMargin!E40</f>
        <v>0</v>
      </c>
      <c r="F40" s="273">
        <f>GrossMargin!F40</f>
        <v>0</v>
      </c>
      <c r="G40" s="273">
        <f>GrossMargin!G40</f>
        <v>0</v>
      </c>
      <c r="H40" s="280">
        <f>GrossMargin!H40</f>
        <v>0</v>
      </c>
      <c r="I40" s="281">
        <f t="shared" si="9"/>
        <v>678345</v>
      </c>
      <c r="J40" s="257">
        <v>125000</v>
      </c>
      <c r="K40" s="280">
        <f t="shared" si="10"/>
        <v>553345</v>
      </c>
    </row>
    <row r="41" spans="1:11" ht="12.75" customHeight="1" x14ac:dyDescent="0.25">
      <c r="A41" s="11" t="str">
        <f>'QTD Mgmt Summary'!A41</f>
        <v>Derivative (Lagrasta)</v>
      </c>
      <c r="B41" s="229"/>
      <c r="C41" s="180">
        <f>GrossMargin!C41</f>
        <v>0</v>
      </c>
      <c r="D41" s="257">
        <f>GrossMargin!D41+19222</f>
        <v>22159</v>
      </c>
      <c r="E41" s="40">
        <f>GrossMargin!E41</f>
        <v>0</v>
      </c>
      <c r="F41" s="273">
        <f>GrossMargin!F41</f>
        <v>0</v>
      </c>
      <c r="G41" s="273">
        <f>GrossMargin!G41</f>
        <v>0</v>
      </c>
      <c r="H41" s="280">
        <f>GrossMargin!H41+1207</f>
        <v>1207</v>
      </c>
      <c r="I41" s="281">
        <f t="shared" si="9"/>
        <v>23366</v>
      </c>
      <c r="J41" s="257">
        <v>25000</v>
      </c>
      <c r="K41" s="280">
        <f t="shared" si="10"/>
        <v>-1634</v>
      </c>
    </row>
    <row r="42" spans="1:11" ht="12.75" customHeight="1" x14ac:dyDescent="0.25">
      <c r="A42" s="11" t="str">
        <f>'QTD Mgmt Summary'!A42</f>
        <v>NG Structuring (McMichael)</v>
      </c>
      <c r="B42" s="229"/>
      <c r="C42" s="180">
        <f>GrossMargin!C42</f>
        <v>0</v>
      </c>
      <c r="D42" s="257">
        <f>GrossMargin!D42</f>
        <v>0</v>
      </c>
      <c r="E42" s="40">
        <f>GrossMargin!E42</f>
        <v>0</v>
      </c>
      <c r="F42" s="273">
        <f>GrossMargin!F42</f>
        <v>0</v>
      </c>
      <c r="G42" s="273">
        <f>GrossMargin!G42</f>
        <v>0</v>
      </c>
      <c r="H42" s="280">
        <f>GrossMargin!H42</f>
        <v>0</v>
      </c>
      <c r="I42" s="281">
        <f t="shared" si="9"/>
        <v>0</v>
      </c>
      <c r="J42" s="257">
        <v>0</v>
      </c>
      <c r="K42" s="280">
        <f t="shared" si="10"/>
        <v>0</v>
      </c>
    </row>
    <row r="43" spans="1:11" ht="12.75" customHeight="1" x14ac:dyDescent="0.25">
      <c r="A43" s="11" t="str">
        <f>'QTD Mgmt Summary'!A43</f>
        <v>NG Fundamentals (Gaskill)</v>
      </c>
      <c r="B43" s="229"/>
      <c r="C43" s="180">
        <f>GrossMargin!C43</f>
        <v>0</v>
      </c>
      <c r="D43" s="257">
        <f>GrossMargin!D43</f>
        <v>0</v>
      </c>
      <c r="E43" s="40">
        <f>GrossMargin!E43</f>
        <v>0</v>
      </c>
      <c r="F43" s="273">
        <f>GrossMargin!F43</f>
        <v>0</v>
      </c>
      <c r="G43" s="273">
        <f>GrossMargin!G43</f>
        <v>0</v>
      </c>
      <c r="H43" s="280">
        <f>GrossMargin!H43</f>
        <v>0</v>
      </c>
      <c r="I43" s="281">
        <f t="shared" si="9"/>
        <v>0</v>
      </c>
      <c r="J43" s="257">
        <v>0</v>
      </c>
      <c r="K43" s="280">
        <f t="shared" si="10"/>
        <v>0</v>
      </c>
    </row>
    <row r="44" spans="1:11" ht="12.75" customHeight="1" thickBot="1" x14ac:dyDescent="0.3">
      <c r="A44" s="11" t="str">
        <f>'QTD Mgmt Summary'!A44</f>
        <v>Management</v>
      </c>
      <c r="B44" s="229"/>
      <c r="C44" s="180">
        <f>GrossMargin!C44-247000</f>
        <v>-247000</v>
      </c>
      <c r="D44" s="257">
        <f>GrossMargin!D44</f>
        <v>0</v>
      </c>
      <c r="E44" s="40">
        <f>GrossMargin!E44</f>
        <v>0</v>
      </c>
      <c r="F44" s="273">
        <f>GrossMargin!F44</f>
        <v>0</v>
      </c>
      <c r="G44" s="273">
        <f>GrossMargin!G44</f>
        <v>0</v>
      </c>
      <c r="H44" s="280">
        <f>GrossMargin!H44</f>
        <v>0</v>
      </c>
      <c r="I44" s="281">
        <f t="shared" si="9"/>
        <v>-247000</v>
      </c>
      <c r="J44" s="257">
        <v>0</v>
      </c>
      <c r="K44" s="280">
        <f t="shared" si="10"/>
        <v>-247000</v>
      </c>
    </row>
    <row r="45" spans="1:11" s="42" customFormat="1" ht="12.75" customHeight="1" thickBot="1" x14ac:dyDescent="0.3">
      <c r="A45" s="35" t="s">
        <v>9</v>
      </c>
      <c r="B45" s="277"/>
      <c r="C45" s="292">
        <f t="shared" ref="C45:K45" si="11">SUM(C32:C44)</f>
        <v>622684</v>
      </c>
      <c r="D45" s="293">
        <f t="shared" si="11"/>
        <v>76884</v>
      </c>
      <c r="E45" s="293">
        <f t="shared" si="11"/>
        <v>593</v>
      </c>
      <c r="F45" s="294">
        <f t="shared" si="11"/>
        <v>0</v>
      </c>
      <c r="G45" s="294">
        <f t="shared" si="11"/>
        <v>0</v>
      </c>
      <c r="H45" s="295">
        <f t="shared" si="11"/>
        <v>1210</v>
      </c>
      <c r="I45" s="296">
        <f t="shared" si="11"/>
        <v>701371</v>
      </c>
      <c r="J45" s="294">
        <f t="shared" si="11"/>
        <v>476000</v>
      </c>
      <c r="K45" s="295">
        <f t="shared" si="11"/>
        <v>225371</v>
      </c>
    </row>
    <row r="46" spans="1:11" ht="12.75" customHeight="1" x14ac:dyDescent="0.25">
      <c r="A46" s="11" t="str">
        <f>'QTD Mgmt Summary'!A46</f>
        <v>Natural Gas Trading (Zufferli)</v>
      </c>
      <c r="B46" s="229"/>
      <c r="C46" s="21">
        <f>GrossMargin!C46-27822+8451</f>
        <v>-18139</v>
      </c>
      <c r="D46" s="273">
        <f>GrossMargin!D46</f>
        <v>0</v>
      </c>
      <c r="E46" s="40">
        <f>GrossMargin!E46</f>
        <v>0</v>
      </c>
      <c r="F46" s="273">
        <f>GrossMargin!F46</f>
        <v>0</v>
      </c>
      <c r="G46" s="273">
        <f>GrossMargin!G46</f>
        <v>0</v>
      </c>
      <c r="H46" s="280">
        <f>GrossMargin!H46-3278</f>
        <v>-3278</v>
      </c>
      <c r="I46" s="180">
        <f t="shared" ref="I46:I51" si="12">SUM(C46:H46)</f>
        <v>-21417</v>
      </c>
      <c r="J46" s="257">
        <v>25000</v>
      </c>
      <c r="K46" s="280">
        <f t="shared" ref="K46:K51" si="13">I46-J46</f>
        <v>-46417</v>
      </c>
    </row>
    <row r="47" spans="1:11" ht="12.75" customHeight="1" x14ac:dyDescent="0.25">
      <c r="A47" s="11" t="str">
        <f>'QTD Mgmt Summary'!A47</f>
        <v>Natural Gas Origination (LeDain)</v>
      </c>
      <c r="B47" s="229"/>
      <c r="C47" s="21">
        <f>GrossMargin!C47</f>
        <v>0</v>
      </c>
      <c r="D47" s="273">
        <f>GrossMargin!D47+12195</f>
        <v>13108</v>
      </c>
      <c r="E47" s="40">
        <f>GrossMargin!E47+28</f>
        <v>28</v>
      </c>
      <c r="F47" s="273">
        <f>GrossMargin!F47</f>
        <v>0</v>
      </c>
      <c r="G47" s="273">
        <f>GrossMargin!G47</f>
        <v>0</v>
      </c>
      <c r="H47" s="280">
        <f>GrossMargin!H47</f>
        <v>0</v>
      </c>
      <c r="I47" s="180">
        <f t="shared" si="12"/>
        <v>13136</v>
      </c>
      <c r="J47" s="257">
        <v>25000</v>
      </c>
      <c r="K47" s="280">
        <f t="shared" si="13"/>
        <v>-11864</v>
      </c>
    </row>
    <row r="48" spans="1:11" ht="12.75" customHeight="1" x14ac:dyDescent="0.25">
      <c r="A48" s="11" t="str">
        <f>'QTD Mgmt Summary'!A48</f>
        <v>Finance (Kitagawa)</v>
      </c>
      <c r="B48" s="229"/>
      <c r="C48" s="21">
        <f>GrossMargin!C48</f>
        <v>0</v>
      </c>
      <c r="D48" s="273">
        <f>GrossMargin!D48</f>
        <v>0</v>
      </c>
      <c r="E48" s="40">
        <f>GrossMargin!E48</f>
        <v>0</v>
      </c>
      <c r="F48" s="273">
        <f>GrossMargin!F48+6342</f>
        <v>6525</v>
      </c>
      <c r="G48" s="273">
        <f>GrossMargin!G48</f>
        <v>0</v>
      </c>
      <c r="H48" s="280">
        <f>GrossMargin!H48+1112</f>
        <v>1112</v>
      </c>
      <c r="I48" s="180">
        <f t="shared" si="12"/>
        <v>7637</v>
      </c>
      <c r="J48" s="257">
        <v>20000</v>
      </c>
      <c r="K48" s="280">
        <f t="shared" si="13"/>
        <v>-12363</v>
      </c>
    </row>
    <row r="49" spans="1:11" ht="12.75" customHeight="1" x14ac:dyDescent="0.25">
      <c r="A49" s="11" t="str">
        <f>'QTD Mgmt Summary'!A49</f>
        <v>Alberta Power (Zufferli/Davies)</v>
      </c>
      <c r="B49" s="229"/>
      <c r="C49" s="21">
        <f>GrossMargin!C49+169571</f>
        <v>178643</v>
      </c>
      <c r="D49" s="273">
        <f>GrossMargin!D49</f>
        <v>0</v>
      </c>
      <c r="E49" s="40">
        <f>GrossMargin!E49+29349</f>
        <v>29537</v>
      </c>
      <c r="F49" s="273">
        <f>GrossMargin!F49</f>
        <v>0</v>
      </c>
      <c r="G49" s="273">
        <f>GrossMargin!G49</f>
        <v>0</v>
      </c>
      <c r="H49" s="280">
        <f>GrossMargin!H49</f>
        <v>0</v>
      </c>
      <c r="I49" s="180">
        <f t="shared" si="12"/>
        <v>208180</v>
      </c>
      <c r="J49" s="257">
        <v>155000</v>
      </c>
      <c r="K49" s="280">
        <f t="shared" si="13"/>
        <v>53180</v>
      </c>
    </row>
    <row r="50" spans="1:11" ht="12.75" customHeight="1" x14ac:dyDescent="0.25">
      <c r="A50" s="11" t="str">
        <f>'QTD Mgmt Summary'!A50</f>
        <v>Ontario Power (Devries)</v>
      </c>
      <c r="B50" s="229"/>
      <c r="C50" s="21">
        <f>GrossMargin!C50</f>
        <v>0</v>
      </c>
      <c r="D50" s="273">
        <f>GrossMargin!D50</f>
        <v>0</v>
      </c>
      <c r="E50" s="40">
        <f>GrossMargin!E50+500</f>
        <v>500</v>
      </c>
      <c r="F50" s="273">
        <f>GrossMargin!F50</f>
        <v>0</v>
      </c>
      <c r="G50" s="273">
        <f>GrossMargin!G50</f>
        <v>0</v>
      </c>
      <c r="H50" s="280">
        <f>GrossMargin!H50-1212</f>
        <v>-1212</v>
      </c>
      <c r="I50" s="180">
        <f t="shared" si="12"/>
        <v>-712</v>
      </c>
      <c r="J50" s="257">
        <v>50000</v>
      </c>
      <c r="K50" s="280">
        <f t="shared" si="13"/>
        <v>-50712</v>
      </c>
    </row>
    <row r="51" spans="1:11" ht="12.75" customHeight="1" thickBot="1" x14ac:dyDescent="0.3">
      <c r="A51" s="11" t="str">
        <f>'QTD Mgmt Summary'!A51</f>
        <v>Executive (Milnthorp)</v>
      </c>
      <c r="B51" s="229"/>
      <c r="C51" s="21">
        <f>GrossMargin!C51</f>
        <v>0</v>
      </c>
      <c r="D51" s="273">
        <f>GrossMargin!D51</f>
        <v>0</v>
      </c>
      <c r="E51" s="40">
        <f>GrossMargin!E51</f>
        <v>0</v>
      </c>
      <c r="F51" s="273">
        <f>GrossMargin!F51</f>
        <v>0</v>
      </c>
      <c r="G51" s="273">
        <f>GrossMargin!G51</f>
        <v>0</v>
      </c>
      <c r="H51" s="280">
        <f>GrossMargin!H51-6360+1311</f>
        <v>-5049</v>
      </c>
      <c r="I51" s="180">
        <f t="shared" si="12"/>
        <v>-5049</v>
      </c>
      <c r="J51" s="257">
        <v>10000</v>
      </c>
      <c r="K51" s="280">
        <f t="shared" si="13"/>
        <v>-15049</v>
      </c>
    </row>
    <row r="52" spans="1:11" s="42" customFormat="1" ht="12.75" customHeight="1" thickBot="1" x14ac:dyDescent="0.3">
      <c r="A52" s="35" t="s">
        <v>10</v>
      </c>
      <c r="B52" s="277"/>
      <c r="C52" s="292">
        <f t="shared" ref="C52:K52" si="14">SUM(C46:C51)</f>
        <v>160504</v>
      </c>
      <c r="D52" s="293">
        <f t="shared" si="14"/>
        <v>13108</v>
      </c>
      <c r="E52" s="293">
        <f t="shared" si="14"/>
        <v>30065</v>
      </c>
      <c r="F52" s="293">
        <f t="shared" si="14"/>
        <v>6525</v>
      </c>
      <c r="G52" s="293">
        <f t="shared" si="14"/>
        <v>0</v>
      </c>
      <c r="H52" s="297">
        <f t="shared" si="14"/>
        <v>-8427</v>
      </c>
      <c r="I52" s="292">
        <f t="shared" si="14"/>
        <v>201775</v>
      </c>
      <c r="J52" s="293">
        <f t="shared" si="14"/>
        <v>285000</v>
      </c>
      <c r="K52" s="297">
        <f t="shared" si="14"/>
        <v>-83225</v>
      </c>
    </row>
    <row r="53" spans="1:11" ht="12.75" customHeight="1" x14ac:dyDescent="0.25">
      <c r="A53" s="11" t="str">
        <f>'QTD Mgmt Summary'!A53</f>
        <v>Upstream Products (Mrha)</v>
      </c>
      <c r="B53" s="229"/>
      <c r="C53" s="21">
        <f>GrossMargin!C53+107</f>
        <v>525</v>
      </c>
      <c r="D53" s="40">
        <f>GrossMargin!D53</f>
        <v>0</v>
      </c>
      <c r="E53" s="65">
        <f>GrossMargin!E53+1650</f>
        <v>1650</v>
      </c>
      <c r="F53" s="257">
        <f>GrossMargin!F53+1124</f>
        <v>1598</v>
      </c>
      <c r="G53" s="257">
        <f>GrossMargin!G53+6046</f>
        <v>6560</v>
      </c>
      <c r="H53" s="280">
        <f>GrossMargin!H53+8300</f>
        <v>8300</v>
      </c>
      <c r="I53" s="180">
        <f t="shared" ref="I53:I66" si="15">SUM(C53:H53)</f>
        <v>18633</v>
      </c>
      <c r="J53" s="257">
        <v>40546</v>
      </c>
      <c r="K53" s="280">
        <f>I53-J53</f>
        <v>-21913</v>
      </c>
    </row>
    <row r="54" spans="1:11" ht="12.75" customHeight="1" x14ac:dyDescent="0.25">
      <c r="A54" s="11" t="str">
        <f>'QTD Mgmt Summary'!A54</f>
        <v>Bridgeline (Redmond)</v>
      </c>
      <c r="B54" s="229"/>
      <c r="C54" s="180">
        <f>GrossMargin!C54</f>
        <v>0</v>
      </c>
      <c r="D54" s="257">
        <f>GrossMargin!D54</f>
        <v>0</v>
      </c>
      <c r="E54" s="65">
        <f>GrossMargin!E54</f>
        <v>0</v>
      </c>
      <c r="F54" s="257">
        <f>GrossMargin!F54</f>
        <v>0</v>
      </c>
      <c r="G54" s="257">
        <f>GrossMargin!G54+4518</f>
        <v>7205</v>
      </c>
      <c r="H54" s="280">
        <f>GrossMargin!H54</f>
        <v>0</v>
      </c>
      <c r="I54" s="180">
        <f t="shared" si="15"/>
        <v>7205</v>
      </c>
      <c r="J54" s="257">
        <v>11637</v>
      </c>
      <c r="K54" s="280">
        <f t="shared" ref="K54:K66" si="16">I54-J54</f>
        <v>-4432</v>
      </c>
    </row>
    <row r="55" spans="1:11" ht="12.75" customHeight="1" x14ac:dyDescent="0.25">
      <c r="A55" s="11" t="str">
        <f>'QTD Mgmt Summary'!A55</f>
        <v>HPL (Redmond)</v>
      </c>
      <c r="B55" s="229"/>
      <c r="C55" s="180">
        <f>GrossMargin!C55</f>
        <v>0</v>
      </c>
      <c r="D55" s="257">
        <f>GrossMargin!D55</f>
        <v>0</v>
      </c>
      <c r="E55" s="65">
        <f>GrossMargin!E55+9489</f>
        <v>9737</v>
      </c>
      <c r="F55" s="257">
        <f>GrossMargin!F55+221</f>
        <v>329</v>
      </c>
      <c r="G55" s="257">
        <f>GrossMargin!G55+27466</f>
        <v>33408</v>
      </c>
      <c r="H55" s="280">
        <f>GrossMargin!H55+7</f>
        <v>7</v>
      </c>
      <c r="I55" s="180">
        <f t="shared" si="15"/>
        <v>43481</v>
      </c>
      <c r="J55" s="257">
        <v>-77380</v>
      </c>
      <c r="K55" s="280">
        <f t="shared" si="16"/>
        <v>120861</v>
      </c>
    </row>
    <row r="56" spans="1:11" ht="12.75" customHeight="1" x14ac:dyDescent="0.25">
      <c r="A56" s="11" t="str">
        <f>'QTD Mgmt Summary'!A56</f>
        <v>Mexico (Irvin/Williams)</v>
      </c>
      <c r="B56" s="229"/>
      <c r="C56" s="180">
        <f>GrossMargin!C56</f>
        <v>0</v>
      </c>
      <c r="D56" s="257">
        <f>GrossMargin!D56</f>
        <v>0</v>
      </c>
      <c r="E56" s="65">
        <f>GrossMargin!E56+2525</f>
        <v>3030</v>
      </c>
      <c r="F56" s="257">
        <f>GrossMargin!F56</f>
        <v>0</v>
      </c>
      <c r="G56" s="257">
        <f>GrossMargin!G56</f>
        <v>0</v>
      </c>
      <c r="H56" s="280">
        <f>GrossMargin!H56-575</f>
        <v>-575</v>
      </c>
      <c r="I56" s="180">
        <f t="shared" si="15"/>
        <v>2455</v>
      </c>
      <c r="J56" s="257">
        <v>60000</v>
      </c>
      <c r="K56" s="280">
        <f t="shared" si="16"/>
        <v>-57545</v>
      </c>
    </row>
    <row r="57" spans="1:11" ht="12.75" customHeight="1" x14ac:dyDescent="0.25">
      <c r="A57" s="11" t="str">
        <f>'QTD Mgmt Summary'!A57</f>
        <v>Energy Capital Svcs (Thompson/Josey)</v>
      </c>
      <c r="B57" s="229"/>
      <c r="C57" s="180">
        <f>GrossMargin!C57</f>
        <v>0</v>
      </c>
      <c r="D57" s="257">
        <f>GrossMargin!D57</f>
        <v>0</v>
      </c>
      <c r="E57" s="65">
        <f>GrossMargin!E57+533</f>
        <v>533</v>
      </c>
      <c r="F57" s="257">
        <f>GrossMargin!F57+17553</f>
        <v>18176</v>
      </c>
      <c r="G57" s="257">
        <f>GrossMargin!G57</f>
        <v>-290</v>
      </c>
      <c r="H57" s="280">
        <f>GrossMargin!H57</f>
        <v>0</v>
      </c>
      <c r="I57" s="180">
        <f t="shared" si="15"/>
        <v>18419</v>
      </c>
      <c r="J57" s="257">
        <v>51643</v>
      </c>
      <c r="K57" s="280">
        <f t="shared" si="16"/>
        <v>-33224</v>
      </c>
    </row>
    <row r="58" spans="1:11" ht="12.75" customHeight="1" x14ac:dyDescent="0.25">
      <c r="A58" s="11" t="str">
        <f>'QTD Mgmt Summary'!A58</f>
        <v>Mariner</v>
      </c>
      <c r="B58" s="229"/>
      <c r="C58" s="180">
        <f>GrossMargin!C58</f>
        <v>0</v>
      </c>
      <c r="D58" s="257">
        <f>GrossMargin!D58</f>
        <v>0</v>
      </c>
      <c r="E58" s="65">
        <f>GrossMargin!E58</f>
        <v>0</v>
      </c>
      <c r="F58" s="257">
        <f>GrossMargin!F58+8327</f>
        <v>10685</v>
      </c>
      <c r="G58" s="257">
        <f>GrossMargin!G58+14</f>
        <v>4318</v>
      </c>
      <c r="H58" s="280">
        <f>GrossMargin!H58</f>
        <v>0</v>
      </c>
      <c r="I58" s="180">
        <f t="shared" si="15"/>
        <v>15003</v>
      </c>
      <c r="J58" s="257">
        <v>0</v>
      </c>
      <c r="K58" s="280">
        <f t="shared" si="16"/>
        <v>15003</v>
      </c>
    </row>
    <row r="59" spans="1:11" ht="12.75" customHeight="1" x14ac:dyDescent="0.25">
      <c r="A59" s="11" t="str">
        <f>'QTD Mgmt Summary'!A59</f>
        <v>Asset Marketing (D. Miller)</v>
      </c>
      <c r="B59" s="15"/>
      <c r="C59" s="180">
        <f>GrossMargin!C59</f>
        <v>0</v>
      </c>
      <c r="D59" s="257">
        <f>GrossMargin!D59</f>
        <v>0</v>
      </c>
      <c r="E59" s="65">
        <f>GrossMargin!E59+3000</f>
        <v>3000</v>
      </c>
      <c r="F59" s="257">
        <f>GrossMargin!F59</f>
        <v>0</v>
      </c>
      <c r="G59" s="257">
        <f>GrossMargin!G59</f>
        <v>0</v>
      </c>
      <c r="H59" s="280">
        <f>GrossMargin!H59</f>
        <v>0</v>
      </c>
      <c r="I59" s="180">
        <f t="shared" si="15"/>
        <v>3000</v>
      </c>
      <c r="J59" s="257">
        <v>20000</v>
      </c>
      <c r="K59" s="280">
        <f t="shared" si="16"/>
        <v>-17000</v>
      </c>
    </row>
    <row r="60" spans="1:11" ht="12.75" customHeight="1" x14ac:dyDescent="0.25">
      <c r="A60" s="11" t="s">
        <v>171</v>
      </c>
      <c r="B60" s="15"/>
      <c r="C60" s="180">
        <v>0</v>
      </c>
      <c r="D60" s="257">
        <v>0</v>
      </c>
      <c r="E60" s="65">
        <v>0</v>
      </c>
      <c r="F60" s="257">
        <v>-6408</v>
      </c>
      <c r="G60" s="257">
        <v>0</v>
      </c>
      <c r="H60" s="280">
        <v>0</v>
      </c>
      <c r="I60" s="180">
        <f t="shared" si="15"/>
        <v>-6408</v>
      </c>
      <c r="J60" s="257">
        <v>27812</v>
      </c>
      <c r="K60" s="280">
        <f t="shared" si="16"/>
        <v>-34220</v>
      </c>
    </row>
    <row r="61" spans="1:11" ht="12.75" customHeight="1" x14ac:dyDescent="0.25">
      <c r="A61" s="11" t="s">
        <v>172</v>
      </c>
      <c r="B61" s="15"/>
      <c r="C61" s="180">
        <v>0</v>
      </c>
      <c r="D61" s="257">
        <v>0</v>
      </c>
      <c r="E61" s="65">
        <v>0</v>
      </c>
      <c r="F61" s="257">
        <v>0</v>
      </c>
      <c r="G61" s="257">
        <v>0</v>
      </c>
      <c r="H61" s="280">
        <v>0</v>
      </c>
      <c r="I61" s="180">
        <f t="shared" si="15"/>
        <v>0</v>
      </c>
      <c r="J61" s="257">
        <v>5000</v>
      </c>
      <c r="K61" s="280">
        <f t="shared" si="16"/>
        <v>-5000</v>
      </c>
    </row>
    <row r="62" spans="1:11" ht="12.75" customHeight="1" x14ac:dyDescent="0.25">
      <c r="A62" s="11" t="str">
        <f>'QTD Mgmt Summary'!A60</f>
        <v>Sold Peakers</v>
      </c>
      <c r="B62" s="15"/>
      <c r="C62" s="180">
        <f>GrossMargin!C60</f>
        <v>0</v>
      </c>
      <c r="D62" s="257">
        <f>GrossMargin!D60</f>
        <v>0</v>
      </c>
      <c r="E62" s="65">
        <f>GrossMargin!E60+637533</f>
        <v>637533</v>
      </c>
      <c r="F62" s="257">
        <f>GrossMargin!F60</f>
        <v>0</v>
      </c>
      <c r="G62" s="257">
        <f>GrossMargin!G60</f>
        <v>0</v>
      </c>
      <c r="H62" s="280">
        <f>GrossMargin!H60-3402</f>
        <v>-3804</v>
      </c>
      <c r="I62" s="180">
        <f t="shared" si="15"/>
        <v>633729</v>
      </c>
      <c r="J62" s="257">
        <v>-23653</v>
      </c>
      <c r="K62" s="280">
        <f t="shared" si="16"/>
        <v>657382</v>
      </c>
    </row>
    <row r="63" spans="1:11" ht="12.75" customHeight="1" x14ac:dyDescent="0.25">
      <c r="A63" s="11" t="str">
        <f>'QTD Mgmt Summary'!A61</f>
        <v>Cross Commodity (Lavorato)</v>
      </c>
      <c r="B63" s="15"/>
      <c r="C63" s="180">
        <f>GrossMargin!C61+21126</f>
        <v>25041</v>
      </c>
      <c r="D63" s="257">
        <f>GrossMargin!D61</f>
        <v>0</v>
      </c>
      <c r="E63" s="40">
        <f>GrossMargin!E61</f>
        <v>0</v>
      </c>
      <c r="F63" s="257">
        <f>GrossMargin!F61</f>
        <v>0</v>
      </c>
      <c r="G63" s="257">
        <f>GrossMargin!G61</f>
        <v>0</v>
      </c>
      <c r="H63" s="280">
        <f>GrossMargin!H61</f>
        <v>0</v>
      </c>
      <c r="I63" s="180">
        <f t="shared" si="15"/>
        <v>25041</v>
      </c>
      <c r="J63" s="257">
        <v>0</v>
      </c>
      <c r="K63" s="280">
        <f t="shared" si="16"/>
        <v>25041</v>
      </c>
    </row>
    <row r="64" spans="1:11" ht="12.75" customHeight="1" x14ac:dyDescent="0.25">
      <c r="A64" s="11" t="str">
        <f>'QTD Mgmt Summary'!A62</f>
        <v>Office of the Chairman (Lavorato/Kitchen)</v>
      </c>
      <c r="B64" s="229"/>
      <c r="C64" s="180">
        <f>GrossMargin!C62-9119</f>
        <v>-9119</v>
      </c>
      <c r="D64" s="257">
        <f>GrossMargin!D62</f>
        <v>0</v>
      </c>
      <c r="E64" s="40">
        <f>GrossMargin!E62</f>
        <v>0</v>
      </c>
      <c r="F64" s="257">
        <f>GrossMargin!F62</f>
        <v>0</v>
      </c>
      <c r="G64" s="257">
        <f>GrossMargin!G62</f>
        <v>0</v>
      </c>
      <c r="H64" s="280">
        <f>GrossMargin!H62-13702</f>
        <v>-14890</v>
      </c>
      <c r="I64" s="180">
        <f t="shared" si="15"/>
        <v>-24009</v>
      </c>
      <c r="J64" s="257">
        <v>-81641</v>
      </c>
      <c r="K64" s="280">
        <f t="shared" si="16"/>
        <v>57632</v>
      </c>
    </row>
    <row r="65" spans="1:14" ht="12.75" customHeight="1" x14ac:dyDescent="0.25">
      <c r="A65" s="11" t="str">
        <f>'QTD Mgmt Summary'!A63</f>
        <v>TVA Settlement</v>
      </c>
      <c r="B65" s="229"/>
      <c r="C65" s="180">
        <f>GrossMargin!C63</f>
        <v>0</v>
      </c>
      <c r="D65" s="257">
        <f>GrossMargin!D63</f>
        <v>0</v>
      </c>
      <c r="E65" s="40">
        <f>GrossMargin!E63</f>
        <v>0</v>
      </c>
      <c r="F65" s="257">
        <f>GrossMargin!F63</f>
        <v>0</v>
      </c>
      <c r="G65" s="257">
        <f>GrossMargin!G63</f>
        <v>0</v>
      </c>
      <c r="H65" s="280">
        <f>GrossMargin!H63</f>
        <v>0</v>
      </c>
      <c r="I65" s="180">
        <f t="shared" si="15"/>
        <v>0</v>
      </c>
      <c r="J65" s="257">
        <v>0</v>
      </c>
      <c r="K65" s="280">
        <f t="shared" si="16"/>
        <v>0</v>
      </c>
    </row>
    <row r="66" spans="1:14" ht="12.75" customHeight="1" thickBot="1" x14ac:dyDescent="0.3">
      <c r="A66" s="11" t="str">
        <f>'QTD Mgmt Summary'!A64</f>
        <v>Other *</v>
      </c>
      <c r="B66" s="229"/>
      <c r="C66" s="180">
        <f>GrossMargin!C64</f>
        <v>0</v>
      </c>
      <c r="D66" s="257">
        <f>GrossMargin!D64</f>
        <v>0</v>
      </c>
      <c r="E66" s="40">
        <f>GrossMargin!E64</f>
        <v>0</v>
      </c>
      <c r="F66" s="257">
        <f>GrossMargin!F64-15288</f>
        <v>-17683</v>
      </c>
      <c r="G66" s="257">
        <f>GrossMargin!G64</f>
        <v>0</v>
      </c>
      <c r="H66" s="280">
        <f>GrossMargin!H64+1023</f>
        <v>1023</v>
      </c>
      <c r="I66" s="180">
        <f t="shared" si="15"/>
        <v>-16660</v>
      </c>
      <c r="J66" s="257">
        <v>-18500</v>
      </c>
      <c r="K66" s="280">
        <f t="shared" si="16"/>
        <v>1840</v>
      </c>
    </row>
    <row r="67" spans="1:14" s="150" customFormat="1" ht="12.75" customHeight="1" thickBot="1" x14ac:dyDescent="0.25">
      <c r="A67" s="35" t="s">
        <v>12</v>
      </c>
      <c r="B67" s="277"/>
      <c r="C67" s="292">
        <f t="shared" ref="C67:K67" si="17">SUM(C53:C66)+C52+C45+C31+C23</f>
        <v>1804484</v>
      </c>
      <c r="D67" s="293">
        <f t="shared" si="17"/>
        <v>134040</v>
      </c>
      <c r="E67" s="293">
        <f t="shared" si="17"/>
        <v>786084</v>
      </c>
      <c r="F67" s="293">
        <f t="shared" si="17"/>
        <v>55776</v>
      </c>
      <c r="G67" s="293">
        <f t="shared" si="17"/>
        <v>50865</v>
      </c>
      <c r="H67" s="297">
        <f t="shared" si="17"/>
        <v>-390</v>
      </c>
      <c r="I67" s="294">
        <f t="shared" si="17"/>
        <v>2830859</v>
      </c>
      <c r="J67" s="294">
        <f t="shared" si="17"/>
        <v>1583452</v>
      </c>
      <c r="K67" s="295">
        <f t="shared" si="17"/>
        <v>1247407</v>
      </c>
      <c r="N67" s="268"/>
    </row>
    <row r="68" spans="1:14" ht="7.5" customHeight="1" thickBot="1" x14ac:dyDescent="0.3">
      <c r="A68" s="29"/>
      <c r="B68" s="229"/>
      <c r="C68" s="30"/>
      <c r="D68" s="65"/>
      <c r="E68" s="279"/>
      <c r="F68" s="252"/>
      <c r="G68" s="252"/>
      <c r="H68" s="282"/>
      <c r="I68" s="187"/>
      <c r="J68" s="252"/>
      <c r="K68" s="290"/>
    </row>
    <row r="69" spans="1:14" ht="12.75" hidden="1" customHeight="1" x14ac:dyDescent="0.25">
      <c r="A69" s="29" t="s">
        <v>51</v>
      </c>
      <c r="B69" s="229"/>
      <c r="C69" s="180">
        <v>0</v>
      </c>
      <c r="D69" s="257">
        <v>0</v>
      </c>
      <c r="E69" s="40">
        <v>0</v>
      </c>
      <c r="F69" s="273">
        <v>0</v>
      </c>
      <c r="G69" s="273">
        <v>0</v>
      </c>
      <c r="H69" s="280">
        <v>0</v>
      </c>
      <c r="I69" s="180">
        <f t="shared" ref="I69:I82" si="18">SUM(C69:H69)</f>
        <v>0</v>
      </c>
      <c r="J69" s="257">
        <v>0</v>
      </c>
      <c r="K69" s="280">
        <f t="shared" ref="K69:K82" si="19">I69-J69</f>
        <v>0</v>
      </c>
    </row>
    <row r="70" spans="1:14" ht="12.75" hidden="1" customHeight="1" x14ac:dyDescent="0.25">
      <c r="A70" s="29" t="s">
        <v>52</v>
      </c>
      <c r="B70" s="229"/>
      <c r="C70" s="180">
        <v>0</v>
      </c>
      <c r="D70" s="257">
        <v>0</v>
      </c>
      <c r="E70" s="40">
        <v>0</v>
      </c>
      <c r="F70" s="273">
        <v>0</v>
      </c>
      <c r="G70" s="273">
        <v>0</v>
      </c>
      <c r="H70" s="280">
        <v>0</v>
      </c>
      <c r="I70" s="180">
        <f t="shared" si="18"/>
        <v>0</v>
      </c>
      <c r="J70" s="257">
        <v>0</v>
      </c>
      <c r="K70" s="280">
        <f t="shared" si="19"/>
        <v>0</v>
      </c>
    </row>
    <row r="71" spans="1:14" ht="12.75" hidden="1" customHeight="1" x14ac:dyDescent="0.25">
      <c r="A71" s="29" t="s">
        <v>106</v>
      </c>
      <c r="B71" s="229"/>
      <c r="C71" s="180">
        <v>0</v>
      </c>
      <c r="D71" s="257">
        <v>0</v>
      </c>
      <c r="E71" s="40">
        <v>0</v>
      </c>
      <c r="F71" s="273">
        <v>0</v>
      </c>
      <c r="G71" s="273">
        <v>0</v>
      </c>
      <c r="H71" s="280">
        <v>0</v>
      </c>
      <c r="I71" s="180">
        <f t="shared" si="18"/>
        <v>0</v>
      </c>
      <c r="J71" s="257">
        <v>0</v>
      </c>
      <c r="K71" s="280">
        <f t="shared" si="19"/>
        <v>0</v>
      </c>
    </row>
    <row r="72" spans="1:14" ht="12.75" hidden="1" customHeight="1" x14ac:dyDescent="0.25">
      <c r="A72" s="29" t="s">
        <v>53</v>
      </c>
      <c r="B72" s="229"/>
      <c r="C72" s="180">
        <v>0</v>
      </c>
      <c r="D72" s="257">
        <v>0</v>
      </c>
      <c r="E72" s="40">
        <v>0</v>
      </c>
      <c r="F72" s="273">
        <v>0</v>
      </c>
      <c r="G72" s="273">
        <v>0</v>
      </c>
      <c r="H72" s="280">
        <v>0</v>
      </c>
      <c r="I72" s="180">
        <f t="shared" si="18"/>
        <v>0</v>
      </c>
      <c r="J72" s="257">
        <v>0</v>
      </c>
      <c r="K72" s="280">
        <f t="shared" si="19"/>
        <v>0</v>
      </c>
    </row>
    <row r="73" spans="1:14" ht="12.75" hidden="1" customHeight="1" x14ac:dyDescent="0.25">
      <c r="A73" s="29" t="s">
        <v>54</v>
      </c>
      <c r="B73" s="229"/>
      <c r="C73" s="180">
        <v>0</v>
      </c>
      <c r="D73" s="257">
        <v>0</v>
      </c>
      <c r="E73" s="40">
        <v>0</v>
      </c>
      <c r="F73" s="273">
        <v>0</v>
      </c>
      <c r="G73" s="273">
        <v>0</v>
      </c>
      <c r="H73" s="280">
        <v>0</v>
      </c>
      <c r="I73" s="180">
        <f t="shared" si="18"/>
        <v>0</v>
      </c>
      <c r="J73" s="257">
        <v>0</v>
      </c>
      <c r="K73" s="280">
        <f t="shared" si="19"/>
        <v>0</v>
      </c>
    </row>
    <row r="74" spans="1:14" ht="12.75" hidden="1" customHeight="1" x14ac:dyDescent="0.25">
      <c r="A74" s="29" t="s">
        <v>55</v>
      </c>
      <c r="B74" s="229"/>
      <c r="C74" s="180">
        <v>0</v>
      </c>
      <c r="D74" s="257">
        <v>0</v>
      </c>
      <c r="E74" s="40">
        <v>0</v>
      </c>
      <c r="F74" s="273">
        <v>0</v>
      </c>
      <c r="G74" s="273">
        <v>0</v>
      </c>
      <c r="H74" s="280">
        <v>0</v>
      </c>
      <c r="I74" s="180">
        <f t="shared" si="18"/>
        <v>0</v>
      </c>
      <c r="J74" s="257">
        <v>0</v>
      </c>
      <c r="K74" s="280">
        <f t="shared" si="19"/>
        <v>0</v>
      </c>
    </row>
    <row r="75" spans="1:14" ht="12.75" hidden="1" customHeight="1" x14ac:dyDescent="0.25">
      <c r="A75" s="29" t="s">
        <v>56</v>
      </c>
      <c r="B75" s="229"/>
      <c r="C75" s="180">
        <v>0</v>
      </c>
      <c r="D75" s="257">
        <v>0</v>
      </c>
      <c r="E75" s="40">
        <v>0</v>
      </c>
      <c r="F75" s="273">
        <v>0</v>
      </c>
      <c r="G75" s="273">
        <v>0</v>
      </c>
      <c r="H75" s="280">
        <v>0</v>
      </c>
      <c r="I75" s="180">
        <f t="shared" si="18"/>
        <v>0</v>
      </c>
      <c r="J75" s="257">
        <v>0</v>
      </c>
      <c r="K75" s="280">
        <f t="shared" si="19"/>
        <v>0</v>
      </c>
    </row>
    <row r="76" spans="1:14" ht="12.75" hidden="1" customHeight="1" x14ac:dyDescent="0.25">
      <c r="A76" s="29" t="s">
        <v>57</v>
      </c>
      <c r="B76" s="229"/>
      <c r="C76" s="180">
        <v>0</v>
      </c>
      <c r="D76" s="257">
        <v>0</v>
      </c>
      <c r="E76" s="40">
        <v>0</v>
      </c>
      <c r="F76" s="273">
        <v>0</v>
      </c>
      <c r="G76" s="273">
        <v>0</v>
      </c>
      <c r="H76" s="280">
        <v>0</v>
      </c>
      <c r="I76" s="180">
        <f t="shared" si="18"/>
        <v>0</v>
      </c>
      <c r="J76" s="257">
        <v>0</v>
      </c>
      <c r="K76" s="280">
        <f t="shared" si="19"/>
        <v>0</v>
      </c>
    </row>
    <row r="77" spans="1:14" ht="12.75" hidden="1" customHeight="1" x14ac:dyDescent="0.25">
      <c r="A77" s="29" t="s">
        <v>59</v>
      </c>
      <c r="B77" s="229"/>
      <c r="C77" s="180">
        <v>0</v>
      </c>
      <c r="D77" s="257">
        <v>0</v>
      </c>
      <c r="E77" s="40">
        <v>0</v>
      </c>
      <c r="F77" s="273">
        <v>0</v>
      </c>
      <c r="G77" s="273">
        <v>0</v>
      </c>
      <c r="H77" s="280">
        <v>0</v>
      </c>
      <c r="I77" s="180">
        <f t="shared" si="18"/>
        <v>0</v>
      </c>
      <c r="J77" s="257">
        <v>0</v>
      </c>
      <c r="K77" s="280">
        <f t="shared" si="19"/>
        <v>0</v>
      </c>
    </row>
    <row r="78" spans="1:14" ht="12.75" hidden="1" customHeight="1" x14ac:dyDescent="0.25">
      <c r="A78" s="29" t="s">
        <v>60</v>
      </c>
      <c r="B78" s="229"/>
      <c r="C78" s="180">
        <v>0</v>
      </c>
      <c r="D78" s="257">
        <v>0</v>
      </c>
      <c r="E78" s="40">
        <v>0</v>
      </c>
      <c r="F78" s="273">
        <v>0</v>
      </c>
      <c r="G78" s="273">
        <v>0</v>
      </c>
      <c r="H78" s="280">
        <v>0</v>
      </c>
      <c r="I78" s="180">
        <f t="shared" si="18"/>
        <v>0</v>
      </c>
      <c r="J78" s="257">
        <v>0</v>
      </c>
      <c r="K78" s="280">
        <f t="shared" si="19"/>
        <v>0</v>
      </c>
    </row>
    <row r="79" spans="1:14" ht="12.75" hidden="1" customHeight="1" x14ac:dyDescent="0.25">
      <c r="A79" s="29" t="s">
        <v>61</v>
      </c>
      <c r="B79" s="229"/>
      <c r="C79" s="180">
        <v>0</v>
      </c>
      <c r="D79" s="257">
        <v>0</v>
      </c>
      <c r="E79" s="40">
        <v>0</v>
      </c>
      <c r="F79" s="273">
        <v>0</v>
      </c>
      <c r="G79" s="273">
        <v>0</v>
      </c>
      <c r="H79" s="280">
        <v>0</v>
      </c>
      <c r="I79" s="180">
        <f t="shared" si="18"/>
        <v>0</v>
      </c>
      <c r="J79" s="257">
        <v>0</v>
      </c>
      <c r="K79" s="280">
        <f t="shared" si="19"/>
        <v>0</v>
      </c>
    </row>
    <row r="80" spans="1:14" ht="12.75" hidden="1" customHeight="1" x14ac:dyDescent="0.25">
      <c r="A80" s="29" t="s">
        <v>62</v>
      </c>
      <c r="B80" s="229"/>
      <c r="C80" s="180">
        <v>0</v>
      </c>
      <c r="D80" s="257">
        <v>0</v>
      </c>
      <c r="E80" s="40">
        <v>0</v>
      </c>
      <c r="F80" s="273">
        <v>0</v>
      </c>
      <c r="G80" s="273">
        <v>0</v>
      </c>
      <c r="H80" s="280">
        <v>0</v>
      </c>
      <c r="I80" s="180">
        <f t="shared" si="18"/>
        <v>0</v>
      </c>
      <c r="J80" s="257">
        <v>0</v>
      </c>
      <c r="K80" s="280">
        <f t="shared" si="19"/>
        <v>0</v>
      </c>
    </row>
    <row r="81" spans="1:11" ht="12.75" hidden="1" customHeight="1" x14ac:dyDescent="0.25">
      <c r="A81" s="29" t="s">
        <v>58</v>
      </c>
      <c r="B81" s="229"/>
      <c r="C81" s="180">
        <v>0</v>
      </c>
      <c r="D81" s="257">
        <v>0</v>
      </c>
      <c r="E81" s="40">
        <v>0</v>
      </c>
      <c r="F81" s="273">
        <v>0</v>
      </c>
      <c r="G81" s="273">
        <v>0</v>
      </c>
      <c r="H81" s="280">
        <v>0</v>
      </c>
      <c r="I81" s="180">
        <f t="shared" si="18"/>
        <v>0</v>
      </c>
      <c r="J81" s="257">
        <v>0</v>
      </c>
      <c r="K81" s="280">
        <f t="shared" si="19"/>
        <v>0</v>
      </c>
    </row>
    <row r="82" spans="1:11" ht="12.75" hidden="1" customHeight="1" thickBot="1" x14ac:dyDescent="0.3">
      <c r="A82" s="29" t="s">
        <v>17</v>
      </c>
      <c r="B82" s="229"/>
      <c r="C82" s="180">
        <v>0</v>
      </c>
      <c r="D82" s="257">
        <v>0</v>
      </c>
      <c r="E82" s="40">
        <v>0</v>
      </c>
      <c r="F82" s="273">
        <v>0</v>
      </c>
      <c r="G82" s="273">
        <v>0</v>
      </c>
      <c r="H82" s="280">
        <v>0</v>
      </c>
      <c r="I82" s="180">
        <f t="shared" si="18"/>
        <v>0</v>
      </c>
      <c r="J82" s="257">
        <v>0</v>
      </c>
      <c r="K82" s="280">
        <f t="shared" si="19"/>
        <v>0</v>
      </c>
    </row>
    <row r="83" spans="1:11" s="150" customFormat="1" ht="12.75" customHeight="1" thickBot="1" x14ac:dyDescent="0.25">
      <c r="A83" s="35" t="s">
        <v>13</v>
      </c>
      <c r="B83" s="277"/>
      <c r="C83" s="292">
        <f t="shared" ref="C83:K83" si="20">SUM(C69:C82)</f>
        <v>0</v>
      </c>
      <c r="D83" s="293">
        <f t="shared" si="20"/>
        <v>0</v>
      </c>
      <c r="E83" s="293">
        <f t="shared" si="20"/>
        <v>0</v>
      </c>
      <c r="F83" s="294">
        <f t="shared" si="20"/>
        <v>0</v>
      </c>
      <c r="G83" s="294">
        <f t="shared" si="20"/>
        <v>0</v>
      </c>
      <c r="H83" s="295">
        <f t="shared" si="20"/>
        <v>0</v>
      </c>
      <c r="I83" s="296">
        <f t="shared" si="20"/>
        <v>0</v>
      </c>
      <c r="J83" s="294">
        <f t="shared" si="20"/>
        <v>0</v>
      </c>
      <c r="K83" s="295">
        <f t="shared" si="20"/>
        <v>0</v>
      </c>
    </row>
    <row r="84" spans="1:11" s="33" customFormat="1" ht="12.75" customHeight="1" x14ac:dyDescent="0.25">
      <c r="A84" s="163" t="str">
        <f>'QTD Mgmt Summary'!A82</f>
        <v>Prepay Expenses</v>
      </c>
      <c r="B84" s="229"/>
      <c r="C84" s="180">
        <f>GrossMargin!C82</f>
        <v>0</v>
      </c>
      <c r="D84" s="257">
        <f>GrossMargin!D82</f>
        <v>0</v>
      </c>
      <c r="E84" s="40">
        <f>GrossMargin!E82</f>
        <v>0</v>
      </c>
      <c r="F84" s="273">
        <f>GrossMargin!F82</f>
        <v>0</v>
      </c>
      <c r="G84" s="273">
        <f>GrossMargin!G82</f>
        <v>0</v>
      </c>
      <c r="H84" s="280">
        <f>GrossMargin!H82</f>
        <v>0</v>
      </c>
      <c r="I84" s="180">
        <f>SUM(C84:H84)</f>
        <v>0</v>
      </c>
      <c r="J84" s="257">
        <v>0</v>
      </c>
      <c r="K84" s="280">
        <f>I84-J84</f>
        <v>0</v>
      </c>
    </row>
    <row r="85" spans="1:11" s="33" customFormat="1" ht="12.75" customHeight="1" x14ac:dyDescent="0.25">
      <c r="A85" s="163" t="str">
        <f>'QTD Mgmt Summary'!A83</f>
        <v>U.S. Drift</v>
      </c>
      <c r="B85" s="229"/>
      <c r="C85" s="30">
        <f>GrossMargin!C83+89625</f>
        <v>104519</v>
      </c>
      <c r="D85" s="273">
        <f>GrossMargin!D83</f>
        <v>0</v>
      </c>
      <c r="E85" s="40">
        <f>GrossMargin!E83</f>
        <v>0</v>
      </c>
      <c r="F85" s="273">
        <f>GrossMargin!F83</f>
        <v>0</v>
      </c>
      <c r="G85" s="273">
        <f>GrossMargin!G83</f>
        <v>0</v>
      </c>
      <c r="H85" s="280">
        <f>GrossMargin!H83</f>
        <v>0</v>
      </c>
      <c r="I85" s="180">
        <f>SUM(C85:H85)</f>
        <v>104519</v>
      </c>
      <c r="J85" s="257">
        <v>118538</v>
      </c>
      <c r="K85" s="280">
        <f>J85-I85</f>
        <v>14019</v>
      </c>
    </row>
    <row r="86" spans="1:11" s="33" customFormat="1" ht="12.75" customHeight="1" x14ac:dyDescent="0.25">
      <c r="A86" s="163" t="str">
        <f>'QTD Mgmt Summary'!A84</f>
        <v>Facility Costs</v>
      </c>
      <c r="B86" s="229"/>
      <c r="C86" s="180">
        <f>GrossMargin!C84</f>
        <v>0</v>
      </c>
      <c r="D86" s="257">
        <f>GrossMargin!D84</f>
        <v>0</v>
      </c>
      <c r="E86" s="40">
        <f>GrossMargin!E84</f>
        <v>0</v>
      </c>
      <c r="F86" s="273">
        <f>GrossMargin!F84</f>
        <v>0</v>
      </c>
      <c r="G86" s="273">
        <f>GrossMargin!G84-36988</f>
        <v>-47922</v>
      </c>
      <c r="H86" s="280">
        <f>GrossMargin!H84</f>
        <v>0</v>
      </c>
      <c r="I86" s="180">
        <f>SUM(C86:H86)</f>
        <v>-47922</v>
      </c>
      <c r="J86" s="257">
        <v>-52000</v>
      </c>
      <c r="K86" s="280">
        <f>I86-J86</f>
        <v>4078</v>
      </c>
    </row>
    <row r="87" spans="1:11" ht="12.75" customHeight="1" thickBot="1" x14ac:dyDescent="0.3">
      <c r="A87" s="163" t="str">
        <f>'QTD Mgmt Summary'!A85</f>
        <v>Capital Charge Offset</v>
      </c>
      <c r="B87" s="229"/>
      <c r="C87" s="180">
        <f>GrossMargin!C85</f>
        <v>0</v>
      </c>
      <c r="D87" s="257">
        <f>GrossMargin!D85</f>
        <v>0</v>
      </c>
      <c r="E87" s="40">
        <f>GrossMargin!E85</f>
        <v>0</v>
      </c>
      <c r="F87" s="273">
        <f>GrossMargin!F85</f>
        <v>0</v>
      </c>
      <c r="G87" s="273">
        <f>GrossMargin!G85</f>
        <v>0</v>
      </c>
      <c r="H87" s="280">
        <f>GrossMargin!H85+5195</f>
        <v>8078</v>
      </c>
      <c r="I87" s="281">
        <f>SUM(C87:H87)</f>
        <v>8078</v>
      </c>
      <c r="J87" s="273">
        <v>0</v>
      </c>
      <c r="K87" s="280">
        <f>J87-I87</f>
        <v>-8078</v>
      </c>
    </row>
    <row r="88" spans="1:11" s="150" customFormat="1" ht="12.75" customHeight="1" thickBot="1" x14ac:dyDescent="0.25">
      <c r="A88" s="35" t="s">
        <v>173</v>
      </c>
      <c r="B88" s="277"/>
      <c r="C88" s="292">
        <f>SUM(C84:C87)+C83+C67</f>
        <v>1909003</v>
      </c>
      <c r="D88" s="293">
        <f t="shared" ref="D88:K88" si="21">SUM(D84:D87)+D83+D67</f>
        <v>134040</v>
      </c>
      <c r="E88" s="293">
        <f t="shared" si="21"/>
        <v>786084</v>
      </c>
      <c r="F88" s="293">
        <f t="shared" si="21"/>
        <v>55776</v>
      </c>
      <c r="G88" s="293">
        <f t="shared" si="21"/>
        <v>2943</v>
      </c>
      <c r="H88" s="297">
        <f t="shared" si="21"/>
        <v>7688</v>
      </c>
      <c r="I88" s="292">
        <f t="shared" si="21"/>
        <v>2895534</v>
      </c>
      <c r="J88" s="293">
        <f t="shared" si="21"/>
        <v>1649990</v>
      </c>
      <c r="K88" s="297">
        <f t="shared" si="21"/>
        <v>1257426</v>
      </c>
    </row>
    <row r="89" spans="1:11" ht="3" customHeight="1" x14ac:dyDescent="0.25">
      <c r="A89" s="38"/>
      <c r="C89" s="39"/>
      <c r="D89" s="40"/>
      <c r="E89" s="38"/>
    </row>
    <row r="91" spans="1:11" x14ac:dyDescent="0.25">
      <c r="A91" s="10" t="s">
        <v>202</v>
      </c>
      <c r="C91" s="41"/>
      <c r="D91" s="41"/>
      <c r="E91" s="41"/>
      <c r="F91" s="267"/>
      <c r="G91" s="267"/>
      <c r="H91" s="267"/>
      <c r="I91" s="267"/>
    </row>
    <row r="92" spans="1:11" x14ac:dyDescent="0.25">
      <c r="C92" s="41"/>
      <c r="D92" s="41"/>
      <c r="E92" s="41"/>
      <c r="F92" s="267"/>
      <c r="G92" s="267"/>
      <c r="H92" s="267"/>
      <c r="I92" s="267"/>
    </row>
    <row r="93" spans="1:11" x14ac:dyDescent="0.25">
      <c r="C93" s="41"/>
      <c r="D93" s="41"/>
      <c r="E93" s="41"/>
      <c r="F93" s="267"/>
      <c r="G93" s="267"/>
      <c r="H93" s="267"/>
      <c r="I93" s="267"/>
    </row>
    <row r="94" spans="1:11" x14ac:dyDescent="0.25">
      <c r="C94" s="41"/>
      <c r="D94" s="41"/>
      <c r="E94" s="41"/>
      <c r="F94" s="41"/>
      <c r="G94" s="41"/>
      <c r="H94" s="41"/>
      <c r="I94" s="267"/>
    </row>
    <row r="95" spans="1:11" x14ac:dyDescent="0.25">
      <c r="I95" s="259"/>
    </row>
    <row r="96" spans="1:11" x14ac:dyDescent="0.25">
      <c r="C96" s="117"/>
      <c r="D96" s="117"/>
      <c r="E96" s="117"/>
      <c r="F96" s="117"/>
      <c r="G96" s="117"/>
      <c r="H96" s="117"/>
      <c r="I96" s="259"/>
    </row>
  </sheetData>
  <mergeCells count="5">
    <mergeCell ref="A2:K2"/>
    <mergeCell ref="A3:K3"/>
    <mergeCell ref="A4:K4"/>
    <mergeCell ref="I6:K6"/>
    <mergeCell ref="C6:H7"/>
  </mergeCells>
  <phoneticPr fontId="0" type="noConversion"/>
  <printOptions horizontalCentered="1"/>
  <pageMargins left="0.25" right="0.25" top="0.2" bottom="0.16" header="0.17" footer="0.18"/>
  <pageSetup scale="78" orientation="portrait" r:id="rId1"/>
  <headerFooter alignWithMargins="0">
    <oddFooter>&amp;L&amp;D&amp;T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GM-WklyChnge</vt:lpstr>
      <vt:lpstr>GrossMargin</vt:lpstr>
      <vt:lpstr>WeeklyExpChange</vt:lpstr>
      <vt:lpstr>Expenses</vt:lpstr>
      <vt:lpstr>Cap Charge</vt:lpstr>
      <vt:lpstr>YTD Mgmt Summ</vt:lpstr>
      <vt:lpstr>YTD GrossMargin</vt:lpstr>
      <vt:lpstr>'Cap Charge'!Print_Area</vt:lpstr>
      <vt:lpstr>Expenses!Print_Area</vt:lpstr>
      <vt:lpstr>'GM-WklyChnge'!Print_Area</vt:lpstr>
      <vt:lpstr>GrossMargin!Print_Area</vt:lpstr>
      <vt:lpstr>'QTD Mgmt Summary'!Print_Area</vt:lpstr>
      <vt:lpstr>WeeklyExpChange!Print_Area</vt:lpstr>
      <vt:lpstr>'YTD GrossMargin'!Print_Area</vt:lpstr>
      <vt:lpstr>'YTD Mgmt Summ'!Print_Area</vt:lpstr>
      <vt:lpstr>'YTD Mgmt Summary'!Print_Area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Hardy</dc:creator>
  <cp:lastModifiedBy>Jan Havlíček</cp:lastModifiedBy>
  <cp:lastPrinted>2001-08-06T20:27:00Z</cp:lastPrinted>
  <dcterms:created xsi:type="dcterms:W3CDTF">2001-01-02T19:05:14Z</dcterms:created>
  <dcterms:modified xsi:type="dcterms:W3CDTF">2023-09-11T23:56:00Z</dcterms:modified>
</cp:coreProperties>
</file>