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D1803CD5-DC00-4E59-A705-E2434F9541DF}" xr6:coauthVersionLast="47" xr6:coauthVersionMax="47" xr10:uidLastSave="{00000000-0000-0000-0000-000000000000}"/>
  <bookViews>
    <workbookView xWindow="-120" yWindow="-120" windowWidth="38640" windowHeight="15720" activeTab="1"/>
  </bookViews>
  <sheets>
    <sheet name="Recon to Houston" sheetId="5" r:id="rId1"/>
    <sheet name="SUM-USD" sheetId="4" r:id="rId2"/>
    <sheet name="SUM - C$" sheetId="1"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calcPr calcId="92512" calcMode="manual" calcOnSave="0"/>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5" i="5" l="1"/>
  <c r="D5" i="5"/>
  <c r="F5" i="5"/>
  <c r="G5" i="5"/>
  <c r="I5" i="5"/>
  <c r="J5" i="5"/>
  <c r="L5" i="5"/>
  <c r="M5" i="5"/>
  <c r="P5" i="5"/>
  <c r="Q5" i="5"/>
  <c r="S5" i="5"/>
  <c r="T5" i="5"/>
  <c r="U5" i="5"/>
  <c r="X5" i="5"/>
  <c r="Y5" i="5"/>
  <c r="C6" i="5"/>
  <c r="D6" i="5"/>
  <c r="F6" i="5"/>
  <c r="G6" i="5"/>
  <c r="I6" i="5"/>
  <c r="J6" i="5"/>
  <c r="L6" i="5"/>
  <c r="M6" i="5"/>
  <c r="P6" i="5"/>
  <c r="Q6" i="5"/>
  <c r="S6" i="5"/>
  <c r="T6" i="5"/>
  <c r="U6" i="5"/>
  <c r="X6" i="5"/>
  <c r="Y6" i="5"/>
  <c r="C7" i="5"/>
  <c r="D7" i="5"/>
  <c r="F7" i="5"/>
  <c r="G7" i="5"/>
  <c r="I7" i="5"/>
  <c r="J7" i="5"/>
  <c r="L7" i="5"/>
  <c r="M7" i="5"/>
  <c r="Q7" i="5"/>
  <c r="S7" i="5"/>
  <c r="T7" i="5"/>
  <c r="U7" i="5"/>
  <c r="X7" i="5"/>
  <c r="Y7" i="5"/>
  <c r="D8" i="5"/>
  <c r="G8" i="5"/>
  <c r="J8" i="5"/>
  <c r="M8" i="5"/>
  <c r="Q8" i="5"/>
  <c r="S8" i="5"/>
  <c r="T8" i="5"/>
  <c r="U8" i="5"/>
  <c r="X8" i="5"/>
  <c r="Y8" i="5"/>
  <c r="C9" i="5"/>
  <c r="D9" i="5"/>
  <c r="F9" i="5"/>
  <c r="G9" i="5"/>
  <c r="I9" i="5"/>
  <c r="J9" i="5"/>
  <c r="L9" i="5"/>
  <c r="M9" i="5"/>
  <c r="P9" i="5"/>
  <c r="Q9" i="5"/>
  <c r="S9" i="5"/>
  <c r="T9" i="5"/>
  <c r="U9" i="5"/>
  <c r="X9" i="5"/>
  <c r="Y9" i="5"/>
  <c r="C10" i="5"/>
  <c r="D10" i="5"/>
  <c r="F10" i="5"/>
  <c r="G10" i="5"/>
  <c r="I10" i="5"/>
  <c r="J10" i="5"/>
  <c r="L10" i="5"/>
  <c r="M10" i="5"/>
  <c r="P10" i="5"/>
  <c r="Q10" i="5"/>
  <c r="S10" i="5"/>
  <c r="T10" i="5"/>
  <c r="U10" i="5"/>
  <c r="X10" i="5"/>
  <c r="Y10" i="5"/>
  <c r="C11" i="5"/>
  <c r="D11" i="5"/>
  <c r="F11" i="5"/>
  <c r="G11" i="5"/>
  <c r="I11" i="5"/>
  <c r="J11" i="5"/>
  <c r="L11" i="5"/>
  <c r="M11" i="5"/>
  <c r="P11" i="5"/>
  <c r="Q11" i="5"/>
  <c r="S11" i="5"/>
  <c r="T11" i="5"/>
  <c r="U11" i="5"/>
  <c r="X11" i="5"/>
  <c r="Y11" i="5"/>
  <c r="C12" i="5"/>
  <c r="D12" i="5"/>
  <c r="F12" i="5"/>
  <c r="G12" i="5"/>
  <c r="I12" i="5"/>
  <c r="J12" i="5"/>
  <c r="L12" i="5"/>
  <c r="M12" i="5"/>
  <c r="P12" i="5"/>
  <c r="Q12" i="5"/>
  <c r="S12" i="5"/>
  <c r="T12" i="5"/>
  <c r="U12" i="5"/>
  <c r="X12" i="5"/>
  <c r="Y12" i="5"/>
  <c r="C13" i="5"/>
  <c r="D13" i="5"/>
  <c r="F13" i="5"/>
  <c r="G13" i="5"/>
  <c r="I13" i="5"/>
  <c r="J13" i="5"/>
  <c r="L13" i="5"/>
  <c r="M13" i="5"/>
  <c r="P13" i="5"/>
  <c r="Q13" i="5"/>
  <c r="S13" i="5"/>
  <c r="T13" i="5"/>
  <c r="U13" i="5"/>
  <c r="X13" i="5"/>
  <c r="Y13" i="5"/>
  <c r="C14" i="5"/>
  <c r="D14" i="5"/>
  <c r="F14" i="5"/>
  <c r="G14" i="5"/>
  <c r="I14" i="5"/>
  <c r="J14" i="5"/>
  <c r="L14" i="5"/>
  <c r="M14" i="5"/>
  <c r="P14" i="5"/>
  <c r="Q14" i="5"/>
  <c r="S14" i="5"/>
  <c r="T14" i="5"/>
  <c r="U14" i="5"/>
  <c r="X14" i="5"/>
  <c r="Y14" i="5"/>
  <c r="B15" i="5"/>
  <c r="C15" i="5"/>
  <c r="D15" i="5"/>
  <c r="E15" i="5"/>
  <c r="F15" i="5"/>
  <c r="G15" i="5"/>
  <c r="H15" i="5"/>
  <c r="I15" i="5"/>
  <c r="J15" i="5"/>
  <c r="K15" i="5"/>
  <c r="L15" i="5"/>
  <c r="M15" i="5"/>
  <c r="O15" i="5"/>
  <c r="P15" i="5"/>
  <c r="Q15" i="5"/>
  <c r="T15" i="5"/>
  <c r="U15" i="5"/>
  <c r="W15" i="5"/>
  <c r="X15" i="5"/>
  <c r="Y15" i="5"/>
  <c r="C17" i="5"/>
  <c r="F17" i="5"/>
  <c r="I17" i="5"/>
  <c r="L17" i="5"/>
  <c r="P17" i="5"/>
  <c r="C18" i="5"/>
  <c r="F18" i="5"/>
  <c r="C19" i="5"/>
  <c r="F19" i="5"/>
  <c r="I19" i="5"/>
  <c r="L19" i="5"/>
  <c r="P19" i="5"/>
  <c r="Q5" i="1"/>
  <c r="B7" i="1"/>
  <c r="C7" i="1"/>
  <c r="D7" i="1"/>
  <c r="E7" i="1"/>
  <c r="F7" i="1"/>
  <c r="O7" i="1"/>
  <c r="Q7" i="1"/>
  <c r="R7" i="1"/>
  <c r="S7" i="1"/>
  <c r="T7" i="1"/>
  <c r="V7" i="1"/>
  <c r="B8" i="1"/>
  <c r="C8" i="1"/>
  <c r="D8" i="1"/>
  <c r="E8" i="1"/>
  <c r="F8" i="1"/>
  <c r="O8" i="1"/>
  <c r="Q8" i="1"/>
  <c r="R8" i="1"/>
  <c r="S8" i="1"/>
  <c r="T8" i="1"/>
  <c r="V8" i="1"/>
  <c r="B9" i="1"/>
  <c r="C9" i="1"/>
  <c r="D9" i="1"/>
  <c r="E9" i="1"/>
  <c r="F9" i="1"/>
  <c r="O9" i="1"/>
  <c r="Q9" i="1"/>
  <c r="R9" i="1"/>
  <c r="S9" i="1"/>
  <c r="T9" i="1"/>
  <c r="V9" i="1"/>
  <c r="B10" i="1"/>
  <c r="C10" i="1"/>
  <c r="D10" i="1"/>
  <c r="E10" i="1"/>
  <c r="F10" i="1"/>
  <c r="O10" i="1"/>
  <c r="Q10" i="1"/>
  <c r="R10" i="1"/>
  <c r="S10" i="1"/>
  <c r="T10" i="1"/>
  <c r="V10" i="1"/>
  <c r="O11" i="1"/>
  <c r="Q11" i="1"/>
  <c r="R11" i="1"/>
  <c r="S11" i="1"/>
  <c r="T11" i="1"/>
  <c r="B12" i="1"/>
  <c r="C12" i="1"/>
  <c r="D12" i="1"/>
  <c r="E12" i="1"/>
  <c r="F12" i="1"/>
  <c r="O12" i="1"/>
  <c r="Q12" i="1"/>
  <c r="R12" i="1"/>
  <c r="S12" i="1"/>
  <c r="T12" i="1"/>
  <c r="V12" i="1"/>
  <c r="B13" i="1"/>
  <c r="C13" i="1"/>
  <c r="D13" i="1"/>
  <c r="E13" i="1"/>
  <c r="F13" i="1"/>
  <c r="O13" i="1"/>
  <c r="Q13" i="1"/>
  <c r="R13" i="1"/>
  <c r="S13" i="1"/>
  <c r="T13" i="1"/>
  <c r="V13" i="1"/>
  <c r="B14" i="1"/>
  <c r="C14" i="1"/>
  <c r="D14" i="1"/>
  <c r="E14" i="1"/>
  <c r="F14" i="1"/>
  <c r="O14" i="1"/>
  <c r="Q14" i="1"/>
  <c r="R14" i="1"/>
  <c r="S14" i="1"/>
  <c r="T14" i="1"/>
  <c r="V14" i="1"/>
  <c r="B15" i="1"/>
  <c r="C15" i="1"/>
  <c r="D15" i="1"/>
  <c r="E15" i="1"/>
  <c r="F15" i="1"/>
  <c r="O15" i="1"/>
  <c r="Q15" i="1"/>
  <c r="R15" i="1"/>
  <c r="S15" i="1"/>
  <c r="T15" i="1"/>
  <c r="V15" i="1"/>
  <c r="B16" i="1"/>
  <c r="C16" i="1"/>
  <c r="D16" i="1"/>
  <c r="E16" i="1"/>
  <c r="F16" i="1"/>
  <c r="O16" i="1"/>
  <c r="Q16" i="1"/>
  <c r="R16" i="1"/>
  <c r="S16" i="1"/>
  <c r="T16" i="1"/>
  <c r="V16" i="1"/>
  <c r="B17" i="1"/>
  <c r="C17" i="1"/>
  <c r="D17" i="1"/>
  <c r="E17" i="1"/>
  <c r="F17" i="1"/>
  <c r="G17" i="1"/>
  <c r="H17" i="1"/>
  <c r="I17" i="1"/>
  <c r="J17" i="1"/>
  <c r="K17" i="1"/>
  <c r="L17" i="1"/>
  <c r="M17" i="1"/>
  <c r="O17" i="1"/>
  <c r="Q17" i="1"/>
  <c r="R17" i="1"/>
  <c r="S17" i="1"/>
  <c r="T17" i="1"/>
  <c r="V17" i="1"/>
  <c r="B21" i="1"/>
  <c r="C21" i="1"/>
  <c r="D21" i="1"/>
  <c r="E21" i="1"/>
  <c r="F21" i="1"/>
  <c r="O21" i="1"/>
  <c r="Q21" i="1"/>
  <c r="R21" i="1"/>
  <c r="S21" i="1"/>
  <c r="T21" i="1"/>
  <c r="V21" i="1"/>
  <c r="B22" i="1"/>
  <c r="C22" i="1"/>
  <c r="D22" i="1"/>
  <c r="E22" i="1"/>
  <c r="F22" i="1"/>
  <c r="G22" i="1"/>
  <c r="H22" i="1"/>
  <c r="I22" i="1"/>
  <c r="J22" i="1"/>
  <c r="K22" i="1"/>
  <c r="L22" i="1"/>
  <c r="M22" i="1"/>
  <c r="O22" i="1"/>
  <c r="Q22" i="1"/>
  <c r="R22" i="1"/>
  <c r="S22" i="1"/>
  <c r="T22" i="1"/>
  <c r="V22" i="1"/>
  <c r="B23" i="1"/>
  <c r="C23" i="1"/>
  <c r="D23" i="1"/>
  <c r="E23" i="1"/>
  <c r="F23" i="1"/>
  <c r="O23" i="1"/>
  <c r="Q23" i="1"/>
  <c r="R23" i="1"/>
  <c r="S23" i="1"/>
  <c r="T23" i="1"/>
  <c r="V23" i="1"/>
  <c r="B24" i="1"/>
  <c r="C24" i="1"/>
  <c r="D24" i="1"/>
  <c r="E24" i="1"/>
  <c r="F24" i="1"/>
  <c r="G24" i="1"/>
  <c r="H24" i="1"/>
  <c r="I24" i="1"/>
  <c r="J24" i="1"/>
  <c r="K24" i="1"/>
  <c r="L24" i="1"/>
  <c r="M24" i="1"/>
  <c r="O24" i="1"/>
  <c r="Q24" i="1"/>
  <c r="R24" i="1"/>
  <c r="S24" i="1"/>
  <c r="T24" i="1"/>
  <c r="U24" i="1"/>
  <c r="V24" i="1"/>
  <c r="B25" i="1"/>
  <c r="C25" i="1"/>
  <c r="D25" i="1"/>
  <c r="E25" i="1"/>
  <c r="F25" i="1"/>
  <c r="G25" i="1"/>
  <c r="H25" i="1"/>
  <c r="I25" i="1"/>
  <c r="J25" i="1"/>
  <c r="K25" i="1"/>
  <c r="L25" i="1"/>
  <c r="M25" i="1"/>
  <c r="O25" i="1"/>
  <c r="Q25" i="1"/>
  <c r="R25" i="1"/>
  <c r="S25" i="1"/>
  <c r="T25" i="1"/>
  <c r="V25" i="1"/>
  <c r="Q28" i="1"/>
  <c r="B29" i="1"/>
  <c r="C29" i="1"/>
  <c r="D29" i="1"/>
  <c r="E29" i="1"/>
  <c r="F29" i="1"/>
  <c r="O29" i="1"/>
  <c r="Q29" i="1"/>
  <c r="R29" i="1"/>
  <c r="S29" i="1"/>
  <c r="T29" i="1"/>
  <c r="V29" i="1"/>
  <c r="B30" i="1"/>
  <c r="C30" i="1"/>
  <c r="D30" i="1"/>
  <c r="O30" i="1"/>
  <c r="Q30" i="1"/>
  <c r="R30" i="1"/>
  <c r="S30" i="1"/>
  <c r="T30" i="1"/>
  <c r="V30" i="1"/>
  <c r="B31" i="1"/>
  <c r="C31" i="1"/>
  <c r="D31" i="1"/>
  <c r="E31" i="1"/>
  <c r="F31" i="1"/>
  <c r="O31" i="1"/>
  <c r="Q31" i="1"/>
  <c r="R31" i="1"/>
  <c r="S31" i="1"/>
  <c r="T31" i="1"/>
  <c r="V31" i="1"/>
  <c r="B32" i="1"/>
  <c r="C32" i="1"/>
  <c r="D32" i="1"/>
  <c r="E32" i="1"/>
  <c r="F32" i="1"/>
  <c r="O32" i="1"/>
  <c r="Q32" i="1"/>
  <c r="R32" i="1"/>
  <c r="S32" i="1"/>
  <c r="T32" i="1"/>
  <c r="V32" i="1"/>
  <c r="B33" i="1"/>
  <c r="C33" i="1"/>
  <c r="D33" i="1"/>
  <c r="E33" i="1"/>
  <c r="F33" i="1"/>
  <c r="O33" i="1"/>
  <c r="Q33" i="1"/>
  <c r="R33" i="1"/>
  <c r="S33" i="1"/>
  <c r="T33" i="1"/>
  <c r="V33" i="1"/>
  <c r="B34" i="1"/>
  <c r="C34" i="1"/>
  <c r="D34" i="1"/>
  <c r="E34" i="1"/>
  <c r="F34" i="1"/>
  <c r="G34" i="1"/>
  <c r="H34" i="1"/>
  <c r="I34" i="1"/>
  <c r="J34" i="1"/>
  <c r="K34" i="1"/>
  <c r="L34" i="1"/>
  <c r="M34" i="1"/>
  <c r="O34" i="1"/>
  <c r="Q34" i="1"/>
  <c r="R34" i="1"/>
  <c r="S34" i="1"/>
  <c r="T34" i="1"/>
  <c r="V34" i="1"/>
  <c r="B35" i="1"/>
  <c r="C35" i="1"/>
  <c r="D35" i="1"/>
  <c r="E35" i="1"/>
  <c r="F35" i="1"/>
  <c r="G35" i="1"/>
  <c r="H35" i="1"/>
  <c r="I35" i="1"/>
  <c r="J35" i="1"/>
  <c r="K35" i="1"/>
  <c r="L35" i="1"/>
  <c r="M35" i="1"/>
  <c r="Q35" i="1"/>
  <c r="R35" i="1"/>
  <c r="S35" i="1"/>
  <c r="T35" i="1"/>
  <c r="B37" i="1"/>
  <c r="C37" i="1"/>
  <c r="D37" i="1"/>
  <c r="E37" i="1"/>
  <c r="F37" i="1"/>
  <c r="G37" i="1"/>
  <c r="H37" i="1"/>
  <c r="I37" i="1"/>
  <c r="J37" i="1"/>
  <c r="K37" i="1"/>
  <c r="L37" i="1"/>
  <c r="M37" i="1"/>
  <c r="O37" i="1"/>
  <c r="Q37" i="1"/>
  <c r="R37" i="1"/>
  <c r="S37" i="1"/>
  <c r="T37" i="1"/>
  <c r="V37" i="1"/>
  <c r="B38" i="1"/>
  <c r="C38" i="1"/>
  <c r="D38" i="1"/>
  <c r="E38" i="1"/>
  <c r="F38" i="1"/>
  <c r="G38" i="1"/>
  <c r="H38" i="1"/>
  <c r="I38" i="1"/>
  <c r="J38" i="1"/>
  <c r="K38" i="1"/>
  <c r="L38" i="1"/>
  <c r="M38" i="1"/>
  <c r="O38" i="1"/>
  <c r="Q38" i="1"/>
  <c r="R38" i="1"/>
  <c r="S38" i="1"/>
  <c r="T38" i="1"/>
  <c r="V38" i="1"/>
  <c r="B39" i="1"/>
  <c r="C39" i="1"/>
  <c r="D39" i="1"/>
  <c r="E39" i="1"/>
  <c r="F39" i="1"/>
  <c r="G39" i="1"/>
  <c r="H39" i="1"/>
  <c r="I39" i="1"/>
  <c r="J39" i="1"/>
  <c r="K39" i="1"/>
  <c r="L39" i="1"/>
  <c r="M39" i="1"/>
  <c r="O39" i="1"/>
  <c r="Q39" i="1"/>
  <c r="R39" i="1"/>
  <c r="S39" i="1"/>
  <c r="T39" i="1"/>
  <c r="V39" i="1"/>
  <c r="B3" i="4"/>
  <c r="C3" i="4"/>
  <c r="D3" i="4"/>
  <c r="E3" i="4"/>
  <c r="F3" i="4"/>
  <c r="G3" i="4"/>
  <c r="H3" i="4"/>
  <c r="I3" i="4"/>
  <c r="J3" i="4"/>
  <c r="K3" i="4"/>
  <c r="L3" i="4"/>
  <c r="M3" i="4"/>
  <c r="O4" i="4"/>
  <c r="B6" i="4"/>
  <c r="C6" i="4"/>
  <c r="D6" i="4"/>
  <c r="E6" i="4"/>
  <c r="F6" i="4"/>
  <c r="G6" i="4"/>
  <c r="H6" i="4"/>
  <c r="I6" i="4"/>
  <c r="J6" i="4"/>
  <c r="K6" i="4"/>
  <c r="L6" i="4"/>
  <c r="M6" i="4"/>
  <c r="Q7" i="4"/>
  <c r="A9" i="4"/>
  <c r="B9" i="4"/>
  <c r="C9" i="4"/>
  <c r="D9" i="4"/>
  <c r="E9" i="4"/>
  <c r="F9" i="4"/>
  <c r="G9" i="4"/>
  <c r="H9" i="4"/>
  <c r="I9" i="4"/>
  <c r="J9" i="4"/>
  <c r="K9" i="4"/>
  <c r="L9" i="4"/>
  <c r="M9" i="4"/>
  <c r="O9" i="4"/>
  <c r="Q9" i="4"/>
  <c r="R9" i="4"/>
  <c r="S9" i="4"/>
  <c r="T9" i="4"/>
  <c r="V9" i="4"/>
  <c r="A10" i="4"/>
  <c r="B10" i="4"/>
  <c r="C10" i="4"/>
  <c r="D10" i="4"/>
  <c r="E10" i="4"/>
  <c r="F10" i="4"/>
  <c r="G10" i="4"/>
  <c r="H10" i="4"/>
  <c r="I10" i="4"/>
  <c r="J10" i="4"/>
  <c r="K10" i="4"/>
  <c r="L10" i="4"/>
  <c r="M10" i="4"/>
  <c r="O10" i="4"/>
  <c r="Q10" i="4"/>
  <c r="R10" i="4"/>
  <c r="S10" i="4"/>
  <c r="T10" i="4"/>
  <c r="V10" i="4"/>
  <c r="A11" i="4"/>
  <c r="B11" i="4"/>
  <c r="C11" i="4"/>
  <c r="D11" i="4"/>
  <c r="E11" i="4"/>
  <c r="F11" i="4"/>
  <c r="G11" i="4"/>
  <c r="H11" i="4"/>
  <c r="I11" i="4"/>
  <c r="J11" i="4"/>
  <c r="K11" i="4"/>
  <c r="L11" i="4"/>
  <c r="M11" i="4"/>
  <c r="O11" i="4"/>
  <c r="Q11" i="4"/>
  <c r="R11" i="4"/>
  <c r="S11" i="4"/>
  <c r="T11" i="4"/>
  <c r="V11" i="4"/>
  <c r="A12" i="4"/>
  <c r="B12" i="4"/>
  <c r="C12" i="4"/>
  <c r="D12" i="4"/>
  <c r="E12" i="4"/>
  <c r="F12" i="4"/>
  <c r="G12" i="4"/>
  <c r="H12" i="4"/>
  <c r="I12" i="4"/>
  <c r="J12" i="4"/>
  <c r="K12" i="4"/>
  <c r="L12" i="4"/>
  <c r="M12" i="4"/>
  <c r="O12" i="4"/>
  <c r="Q12" i="4"/>
  <c r="R12" i="4"/>
  <c r="S12" i="4"/>
  <c r="T12" i="4"/>
  <c r="V12" i="4"/>
  <c r="Q13" i="4"/>
  <c r="R13" i="4"/>
  <c r="S13" i="4"/>
  <c r="T13" i="4"/>
  <c r="B14" i="4"/>
  <c r="C14" i="4"/>
  <c r="D14" i="4"/>
  <c r="E14" i="4"/>
  <c r="F14" i="4"/>
  <c r="G14" i="4"/>
  <c r="H14" i="4"/>
  <c r="I14" i="4"/>
  <c r="J14" i="4"/>
  <c r="K14" i="4"/>
  <c r="L14" i="4"/>
  <c r="M14" i="4"/>
  <c r="O14" i="4"/>
  <c r="Q14" i="4"/>
  <c r="R14" i="4"/>
  <c r="S14" i="4"/>
  <c r="T14" i="4"/>
  <c r="V14" i="4"/>
  <c r="B15" i="4"/>
  <c r="C15" i="4"/>
  <c r="D15" i="4"/>
  <c r="E15" i="4"/>
  <c r="F15" i="4"/>
  <c r="G15" i="4"/>
  <c r="H15" i="4"/>
  <c r="I15" i="4"/>
  <c r="J15" i="4"/>
  <c r="K15" i="4"/>
  <c r="L15" i="4"/>
  <c r="M15" i="4"/>
  <c r="O15" i="4"/>
  <c r="Q15" i="4"/>
  <c r="R15" i="4"/>
  <c r="S15" i="4"/>
  <c r="T15" i="4"/>
  <c r="V15" i="4"/>
  <c r="B16" i="4"/>
  <c r="C16" i="4"/>
  <c r="D16" i="4"/>
  <c r="E16" i="4"/>
  <c r="F16" i="4"/>
  <c r="G16" i="4"/>
  <c r="H16" i="4"/>
  <c r="I16" i="4"/>
  <c r="J16" i="4"/>
  <c r="K16" i="4"/>
  <c r="L16" i="4"/>
  <c r="M16" i="4"/>
  <c r="O16" i="4"/>
  <c r="Q16" i="4"/>
  <c r="R16" i="4"/>
  <c r="S16" i="4"/>
  <c r="T16" i="4"/>
  <c r="V16" i="4"/>
  <c r="B17" i="4"/>
  <c r="C17" i="4"/>
  <c r="D17" i="4"/>
  <c r="E17" i="4"/>
  <c r="F17" i="4"/>
  <c r="G17" i="4"/>
  <c r="H17" i="4"/>
  <c r="I17" i="4"/>
  <c r="J17" i="4"/>
  <c r="K17" i="4"/>
  <c r="L17" i="4"/>
  <c r="M17" i="4"/>
  <c r="O17" i="4"/>
  <c r="Q17" i="4"/>
  <c r="R17" i="4"/>
  <c r="S17" i="4"/>
  <c r="T17" i="4"/>
  <c r="V17" i="4"/>
  <c r="B18" i="4"/>
  <c r="C18" i="4"/>
  <c r="D18" i="4"/>
  <c r="E18" i="4"/>
  <c r="F18" i="4"/>
  <c r="G18" i="4"/>
  <c r="H18" i="4"/>
  <c r="I18" i="4"/>
  <c r="J18" i="4"/>
  <c r="K18" i="4"/>
  <c r="L18" i="4"/>
  <c r="M18" i="4"/>
  <c r="O18" i="4"/>
  <c r="Q18" i="4"/>
  <c r="R18" i="4"/>
  <c r="S18" i="4"/>
  <c r="T18" i="4"/>
  <c r="V18" i="4"/>
  <c r="B19" i="4"/>
  <c r="C19" i="4"/>
  <c r="D19" i="4"/>
  <c r="E19" i="4"/>
  <c r="F19" i="4"/>
  <c r="G19" i="4"/>
  <c r="H19" i="4"/>
  <c r="I19" i="4"/>
  <c r="J19" i="4"/>
  <c r="K19" i="4"/>
  <c r="L19" i="4"/>
  <c r="M19" i="4"/>
  <c r="O19" i="4"/>
  <c r="Q19" i="4"/>
  <c r="R19" i="4"/>
  <c r="S19" i="4"/>
  <c r="T19" i="4"/>
  <c r="V19" i="4"/>
  <c r="B23" i="4"/>
  <c r="C23" i="4"/>
  <c r="D23" i="4"/>
  <c r="E23" i="4"/>
  <c r="F23" i="4"/>
  <c r="G23" i="4"/>
  <c r="H23" i="4"/>
  <c r="I23" i="4"/>
  <c r="J23" i="4"/>
  <c r="K23" i="4"/>
  <c r="L23" i="4"/>
  <c r="M23" i="4"/>
  <c r="O23" i="4"/>
  <c r="Q23" i="4"/>
  <c r="R23" i="4"/>
  <c r="S23" i="4"/>
  <c r="T23" i="4"/>
  <c r="V23" i="4"/>
  <c r="B24" i="4"/>
  <c r="C24" i="4"/>
  <c r="D24" i="4"/>
  <c r="E24" i="4"/>
  <c r="F24" i="4"/>
  <c r="G24" i="4"/>
  <c r="H24" i="4"/>
  <c r="I24" i="4"/>
  <c r="J24" i="4"/>
  <c r="K24" i="4"/>
  <c r="L24" i="4"/>
  <c r="M24" i="4"/>
  <c r="O24" i="4"/>
  <c r="Q24" i="4"/>
  <c r="R24" i="4"/>
  <c r="S24" i="4"/>
  <c r="T24" i="4"/>
  <c r="V24" i="4"/>
  <c r="B25" i="4"/>
  <c r="C25" i="4"/>
  <c r="D25" i="4"/>
  <c r="E25" i="4"/>
  <c r="F25" i="4"/>
  <c r="G25" i="4"/>
  <c r="H25" i="4"/>
  <c r="I25" i="4"/>
  <c r="J25" i="4"/>
  <c r="K25" i="4"/>
  <c r="L25" i="4"/>
  <c r="M25" i="4"/>
  <c r="O25" i="4"/>
  <c r="Q25" i="4"/>
  <c r="R25" i="4"/>
  <c r="S25" i="4"/>
  <c r="T25" i="4"/>
  <c r="V25" i="4"/>
  <c r="B26" i="4"/>
  <c r="C26" i="4"/>
  <c r="D26" i="4"/>
  <c r="E26" i="4"/>
  <c r="F26" i="4"/>
  <c r="G26" i="4"/>
  <c r="H26" i="4"/>
  <c r="I26" i="4"/>
  <c r="J26" i="4"/>
  <c r="K26" i="4"/>
  <c r="L26" i="4"/>
  <c r="M26" i="4"/>
  <c r="O26" i="4"/>
  <c r="Q26" i="4"/>
  <c r="R26" i="4"/>
  <c r="S26" i="4"/>
  <c r="T26" i="4"/>
  <c r="U26" i="4"/>
  <c r="V26" i="4"/>
  <c r="B27" i="4"/>
  <c r="C27" i="4"/>
  <c r="D27" i="4"/>
  <c r="E27" i="4"/>
  <c r="F27" i="4"/>
  <c r="G27" i="4"/>
  <c r="H27" i="4"/>
  <c r="I27" i="4"/>
  <c r="J27" i="4"/>
  <c r="K27" i="4"/>
  <c r="L27" i="4"/>
  <c r="M27" i="4"/>
  <c r="O27" i="4"/>
  <c r="Q27" i="4"/>
  <c r="R27" i="4"/>
  <c r="S27" i="4"/>
  <c r="T27" i="4"/>
  <c r="V27" i="4"/>
  <c r="Q30" i="4"/>
  <c r="B31" i="4"/>
  <c r="C31" i="4"/>
  <c r="D31" i="4"/>
  <c r="E31" i="4"/>
  <c r="F31" i="4"/>
  <c r="G31" i="4"/>
  <c r="H31" i="4"/>
  <c r="I31" i="4"/>
  <c r="J31" i="4"/>
  <c r="K31" i="4"/>
  <c r="L31" i="4"/>
  <c r="M31" i="4"/>
  <c r="O31" i="4"/>
  <c r="Q31" i="4"/>
  <c r="R31" i="4"/>
  <c r="S31" i="4"/>
  <c r="T31" i="4"/>
  <c r="V31" i="4"/>
  <c r="B32" i="4"/>
  <c r="C32" i="4"/>
  <c r="D32" i="4"/>
  <c r="E32" i="4"/>
  <c r="F32" i="4"/>
  <c r="G32" i="4"/>
  <c r="H32" i="4"/>
  <c r="I32" i="4"/>
  <c r="J32" i="4"/>
  <c r="K32" i="4"/>
  <c r="L32" i="4"/>
  <c r="M32" i="4"/>
  <c r="O32" i="4"/>
  <c r="Q32" i="4"/>
  <c r="R32" i="4"/>
  <c r="S32" i="4"/>
  <c r="T32" i="4"/>
  <c r="V32" i="4"/>
  <c r="B33" i="4"/>
  <c r="C33" i="4"/>
  <c r="D33" i="4"/>
  <c r="E33" i="4"/>
  <c r="F33" i="4"/>
  <c r="G33" i="4"/>
  <c r="H33" i="4"/>
  <c r="I33" i="4"/>
  <c r="J33" i="4"/>
  <c r="K33" i="4"/>
  <c r="L33" i="4"/>
  <c r="M33" i="4"/>
  <c r="O33" i="4"/>
  <c r="Q33" i="4"/>
  <c r="R33" i="4"/>
  <c r="S33" i="4"/>
  <c r="T33" i="4"/>
  <c r="V33" i="4"/>
  <c r="B34" i="4"/>
  <c r="C34" i="4"/>
  <c r="D34" i="4"/>
  <c r="E34" i="4"/>
  <c r="F34" i="4"/>
  <c r="G34" i="4"/>
  <c r="H34" i="4"/>
  <c r="I34" i="4"/>
  <c r="J34" i="4"/>
  <c r="K34" i="4"/>
  <c r="L34" i="4"/>
  <c r="M34" i="4"/>
  <c r="O34" i="4"/>
  <c r="Q34" i="4"/>
  <c r="R34" i="4"/>
  <c r="S34" i="4"/>
  <c r="T34" i="4"/>
  <c r="V34" i="4"/>
  <c r="B35" i="4"/>
  <c r="C35" i="4"/>
  <c r="D35" i="4"/>
  <c r="E35" i="4"/>
  <c r="F35" i="4"/>
  <c r="G35" i="4"/>
  <c r="H35" i="4"/>
  <c r="I35" i="4"/>
  <c r="J35" i="4"/>
  <c r="K35" i="4"/>
  <c r="L35" i="4"/>
  <c r="M35" i="4"/>
  <c r="O35" i="4"/>
  <c r="Q35" i="4"/>
  <c r="R35" i="4"/>
  <c r="S35" i="4"/>
  <c r="T35" i="4"/>
  <c r="V35" i="4"/>
  <c r="B36" i="4"/>
  <c r="C36" i="4"/>
  <c r="D36" i="4"/>
  <c r="E36" i="4"/>
  <c r="F36" i="4"/>
  <c r="G36" i="4"/>
  <c r="H36" i="4"/>
  <c r="I36" i="4"/>
  <c r="J36" i="4"/>
  <c r="K36" i="4"/>
  <c r="L36" i="4"/>
  <c r="M36" i="4"/>
  <c r="O36" i="4"/>
  <c r="Q36" i="4"/>
  <c r="R36" i="4"/>
  <c r="S36" i="4"/>
  <c r="T36" i="4"/>
  <c r="V36" i="4"/>
  <c r="B37" i="4"/>
  <c r="C37" i="4"/>
  <c r="D37" i="4"/>
  <c r="E37" i="4"/>
  <c r="F37" i="4"/>
  <c r="G37" i="4"/>
  <c r="H37" i="4"/>
  <c r="I37" i="4"/>
  <c r="J37" i="4"/>
  <c r="K37" i="4"/>
  <c r="L37" i="4"/>
  <c r="M37" i="4"/>
  <c r="Q37" i="4"/>
  <c r="R37" i="4"/>
  <c r="S37" i="4"/>
  <c r="T37" i="4"/>
  <c r="B39" i="4"/>
  <c r="C39" i="4"/>
  <c r="D39" i="4"/>
  <c r="E39" i="4"/>
  <c r="F39" i="4"/>
  <c r="G39" i="4"/>
  <c r="H39" i="4"/>
  <c r="I39" i="4"/>
  <c r="J39" i="4"/>
  <c r="K39" i="4"/>
  <c r="L39" i="4"/>
  <c r="M39" i="4"/>
  <c r="O39" i="4"/>
  <c r="Q39" i="4"/>
  <c r="R39" i="4"/>
  <c r="S39" i="4"/>
  <c r="T39" i="4"/>
  <c r="V39" i="4"/>
  <c r="B40" i="4"/>
  <c r="C40" i="4"/>
  <c r="D40" i="4"/>
  <c r="E40" i="4"/>
  <c r="F40" i="4"/>
  <c r="G40" i="4"/>
  <c r="H40" i="4"/>
  <c r="I40" i="4"/>
  <c r="J40" i="4"/>
  <c r="K40" i="4"/>
  <c r="L40" i="4"/>
  <c r="M40" i="4"/>
  <c r="O40" i="4"/>
  <c r="Q40" i="4"/>
  <c r="R40" i="4"/>
  <c r="S40" i="4"/>
  <c r="T40" i="4"/>
  <c r="V40" i="4"/>
  <c r="B41" i="4"/>
  <c r="C41" i="4"/>
  <c r="D41" i="4"/>
  <c r="E41" i="4"/>
  <c r="F41" i="4"/>
  <c r="G41" i="4"/>
  <c r="H41" i="4"/>
  <c r="I41" i="4"/>
  <c r="J41" i="4"/>
  <c r="K41" i="4"/>
  <c r="L41" i="4"/>
  <c r="M41" i="4"/>
  <c r="O41" i="4"/>
  <c r="Q41" i="4"/>
  <c r="R41" i="4"/>
  <c r="S41" i="4"/>
  <c r="T41" i="4"/>
  <c r="V41" i="4"/>
  <c r="G43" i="4"/>
  <c r="H43" i="4"/>
  <c r="I43" i="4"/>
  <c r="J43" i="4"/>
  <c r="K43" i="4"/>
  <c r="L43" i="4"/>
  <c r="M43" i="4"/>
  <c r="O43" i="4"/>
  <c r="G44" i="4"/>
  <c r="H44" i="4"/>
  <c r="I44" i="4"/>
  <c r="J44" i="4"/>
  <c r="K44" i="4"/>
  <c r="L44" i="4"/>
  <c r="M44" i="4"/>
  <c r="O44" i="4"/>
</calcChain>
</file>

<file path=xl/comments1.xml><?xml version="1.0" encoding="utf-8"?>
<comments xmlns="http://schemas.openxmlformats.org/spreadsheetml/2006/main">
  <authors>
    <author>kreeve1</author>
  </authors>
  <commentList>
    <comment ref="G5" authorId="0" shapeId="0">
      <text>
        <r>
          <rPr>
            <b/>
            <sz val="12"/>
            <color indexed="81"/>
            <rFont val="Tahoma"/>
          </rPr>
          <t>kreeve1:</t>
        </r>
        <r>
          <rPr>
            <sz val="12"/>
            <color indexed="81"/>
            <rFont val="Tahoma"/>
          </rPr>
          <t xml:space="preserve">
As per Robin, they must have picked up a non final DPR, she will carry it through to March's p&amp;l</t>
        </r>
      </text>
    </comment>
    <comment ref="J5" authorId="0" shapeId="0">
      <text>
        <r>
          <rPr>
            <b/>
            <sz val="12"/>
            <color indexed="81"/>
            <rFont val="Tahoma"/>
          </rPr>
          <t>kreeve1:</t>
        </r>
        <r>
          <rPr>
            <sz val="12"/>
            <color indexed="81"/>
            <rFont val="Tahoma"/>
          </rPr>
          <t xml:space="preserve">
As per Robin, they must have picked up a non final DPR, she will carry it through to March's p&amp;l</t>
        </r>
      </text>
    </comment>
    <comment ref="U5" authorId="0" shapeId="0">
      <text>
        <r>
          <rPr>
            <b/>
            <sz val="12"/>
            <color indexed="81"/>
            <rFont val="Tahoma"/>
          </rPr>
          <t>kreeve1:</t>
        </r>
        <r>
          <rPr>
            <sz val="12"/>
            <color indexed="81"/>
            <rFont val="Tahoma"/>
          </rPr>
          <t xml:space="preserve">
As per Robin, they must have picked up a non final DPR, she will carry it through to March's p&amp;l</t>
        </r>
      </text>
    </comment>
    <comment ref="Y5" authorId="0" shapeId="0">
      <text>
        <r>
          <rPr>
            <b/>
            <sz val="12"/>
            <color indexed="81"/>
            <rFont val="Tahoma"/>
          </rPr>
          <t>kreeve1:</t>
        </r>
        <r>
          <rPr>
            <sz val="12"/>
            <color indexed="81"/>
            <rFont val="Tahoma"/>
          </rPr>
          <t xml:space="preserve">
As per Robin, they must have picked up a non final DPR, she will carry it through to March's p&amp;l</t>
        </r>
      </text>
    </comment>
    <comment ref="D13" authorId="0" shapeId="0">
      <text>
        <r>
          <rPr>
            <b/>
            <sz val="12"/>
            <color indexed="81"/>
            <rFont val="Tahoma"/>
          </rPr>
          <t>kreeve1:</t>
        </r>
        <r>
          <rPr>
            <sz val="12"/>
            <color indexed="81"/>
            <rFont val="Tahoma"/>
          </rPr>
          <t xml:space="preserve">
Origination recorded in IM not picked up by Houston.  This is orig will be backed out of IM in Feb and booked in term so that Houston can pick it up.</t>
        </r>
      </text>
    </comment>
  </commentList>
</comments>
</file>

<file path=xl/comments2.xml><?xml version="1.0" encoding="utf-8"?>
<comments xmlns="http://schemas.openxmlformats.org/spreadsheetml/2006/main">
  <authors>
    <author>kreeve1</author>
  </authors>
  <commentList>
    <comment ref="E32" authorId="0" shapeId="0">
      <text>
        <r>
          <rPr>
            <b/>
            <sz val="12"/>
            <color indexed="81"/>
            <rFont val="Tahoma"/>
          </rPr>
          <t>kreeve1:</t>
        </r>
        <r>
          <rPr>
            <sz val="12"/>
            <color indexed="81"/>
            <rFont val="Tahoma"/>
          </rPr>
          <t xml:space="preserve">
P&amp;L from bc pipe accrues to Lambie to April 23rd and then to McKay</t>
        </r>
      </text>
    </comment>
  </commentList>
</comments>
</file>

<file path=xl/comments3.xml><?xml version="1.0" encoding="utf-8"?>
<comments xmlns="http://schemas.openxmlformats.org/spreadsheetml/2006/main">
  <authors>
    <author>kreeve1</author>
  </authors>
  <commentList>
    <comment ref="E30" authorId="0" shapeId="0">
      <text>
        <r>
          <rPr>
            <b/>
            <sz val="12"/>
            <color indexed="81"/>
            <rFont val="Tahoma"/>
          </rPr>
          <t>kreeve1:</t>
        </r>
        <r>
          <rPr>
            <sz val="12"/>
            <color indexed="81"/>
            <rFont val="Tahoma"/>
          </rPr>
          <t xml:space="preserve">
BC p&amp;l to go to Lambie to the 23rd and McKay thereafter</t>
        </r>
      </text>
    </comment>
  </commentList>
</comments>
</file>

<file path=xl/sharedStrings.xml><?xml version="1.0" encoding="utf-8"?>
<sst xmlns="http://schemas.openxmlformats.org/spreadsheetml/2006/main" count="120" uniqueCount="62">
  <si>
    <t>Alberta Term</t>
  </si>
  <si>
    <t>Options</t>
  </si>
  <si>
    <t>Total Term</t>
  </si>
  <si>
    <t>Check</t>
  </si>
  <si>
    <t>BC Term</t>
  </si>
  <si>
    <t>TOTAL</t>
  </si>
  <si>
    <t>TERM:</t>
  </si>
  <si>
    <t>CASH</t>
  </si>
  <si>
    <t>Alberta Cash</t>
  </si>
  <si>
    <t>BC Cash</t>
  </si>
  <si>
    <t>BC Pipe Cash</t>
  </si>
  <si>
    <t>Options - GD</t>
  </si>
  <si>
    <t>Alberta Term - GD</t>
  </si>
  <si>
    <t>Total Cash</t>
  </si>
  <si>
    <t>TOTAL CANADA</t>
  </si>
  <si>
    <t>BY BOOK:</t>
  </si>
  <si>
    <t>BY RISK TYPE:</t>
  </si>
  <si>
    <t>Q1</t>
  </si>
  <si>
    <t>Q2</t>
  </si>
  <si>
    <t>Q3</t>
  </si>
  <si>
    <t>To date</t>
  </si>
  <si>
    <t>Q4</t>
  </si>
  <si>
    <t>BY AREA/TRADER:</t>
  </si>
  <si>
    <r>
      <t xml:space="preserve">Options - </t>
    </r>
    <r>
      <rPr>
        <b/>
        <sz val="10"/>
        <rFont val="Arial"/>
        <family val="2"/>
      </rPr>
      <t>Disturnal</t>
    </r>
  </si>
  <si>
    <r>
      <t>Alberta Cash -</t>
    </r>
    <r>
      <rPr>
        <b/>
        <sz val="10"/>
        <rFont val="Arial"/>
        <family val="2"/>
      </rPr>
      <t xml:space="preserve"> Cowan</t>
    </r>
  </si>
  <si>
    <r>
      <t xml:space="preserve">BC Cash - </t>
    </r>
    <r>
      <rPr>
        <b/>
        <sz val="10"/>
        <rFont val="Arial"/>
        <family val="2"/>
      </rPr>
      <t>Clark</t>
    </r>
  </si>
  <si>
    <t>FX - AVG OF MNTH</t>
  </si>
  <si>
    <t>SUMMARY OF CANADA'S TRADING INCOME BY TRADER - IN US$</t>
  </si>
  <si>
    <t>RECONCILATION TO HOUSTON REPORTED P&amp;L</t>
  </si>
  <si>
    <t>Pipe Book - Term</t>
  </si>
  <si>
    <r>
      <t>BC Term -</t>
    </r>
    <r>
      <rPr>
        <b/>
        <sz val="10"/>
        <rFont val="Arial"/>
        <family val="2"/>
      </rPr>
      <t xml:space="preserve"> Lambie</t>
    </r>
  </si>
  <si>
    <t>BY AREA - TRADER:</t>
  </si>
  <si>
    <t>Trader</t>
  </si>
  <si>
    <t>McKay Firm</t>
  </si>
  <si>
    <t>McKay Intra</t>
  </si>
  <si>
    <t>Lambie Firm</t>
  </si>
  <si>
    <t>Lambie Intra</t>
  </si>
  <si>
    <t>Mckay</t>
  </si>
  <si>
    <t>Clark</t>
  </si>
  <si>
    <t>Cowan</t>
  </si>
  <si>
    <t>Lambie</t>
  </si>
  <si>
    <t>Le Dain (Origination)</t>
  </si>
  <si>
    <t>Disturnal</t>
  </si>
  <si>
    <t>January</t>
  </si>
  <si>
    <t>HOUSTON</t>
  </si>
  <si>
    <t>CALGARY</t>
  </si>
  <si>
    <t>DIFF</t>
  </si>
  <si>
    <t>Origination - Term</t>
  </si>
  <si>
    <t>Origination - IM</t>
  </si>
  <si>
    <t>Origination - Total</t>
  </si>
  <si>
    <r>
      <t xml:space="preserve">Alberta Term - </t>
    </r>
    <r>
      <rPr>
        <b/>
        <sz val="10"/>
        <rFont val="Arial"/>
        <family val="2"/>
      </rPr>
      <t>Mckay</t>
    </r>
  </si>
  <si>
    <t>February</t>
  </si>
  <si>
    <t>Total</t>
  </si>
  <si>
    <t>WITHOUT OPTIONS</t>
  </si>
  <si>
    <t>SUMMARY OF CANADA'S TRADING INCOME BY TRADER - IN C$</t>
  </si>
  <si>
    <t>ORIGINATION</t>
  </si>
  <si>
    <t>ADJUSTED CANADA</t>
  </si>
  <si>
    <t>AS PER HOUSTON</t>
  </si>
  <si>
    <t>DIFFERENCE</t>
  </si>
  <si>
    <t>March</t>
  </si>
  <si>
    <t>April</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</si>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</sst>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5" formatCode="&quot;$&quot;#,##0_);\(&quot;$&quot;#,##0\)"/>
    <numFmt numFmtId="6" formatCode="&quot;$&quot;#,##0_);[Red]\(&quot;$&quot;#,##0\)"/>
    <numFmt numFmtId="41" formatCode="_(* #,##0_);_(* \(#,##0\);_(* &quot;-&quot;_);_(@_)"/>
    <numFmt numFmtId="43" formatCode="_(* #,##0.00_);_(* \(#,##0.00\);_(* &quot;-&quot;??_);_(@_)"/>
    <numFmt numFmtId="164" formatCode="mmm\-yyyy"/>
    <numFmt numFmtId="167" formatCode="0.0000"/>
    <numFmt numFmtId="169" formatCode="_(* #,##0_);_(* \(#,##0\);_(* &quot;-&quot;??_);_(@_)"/>
  </numFmts>
  <fonts count="17" x14ac:knownFonts="1">
    <font>
      <sz val="10"/>
      <name val="Arial"/>
    </font>
    <font>
      <sz val="10"/>
      <name val="Arial"/>
    </font>
    <font>
      <b/>
      <u/>
      <sz val="10"/>
      <name val="Arial"/>
      <family val="2"/>
    </font>
    <font>
      <b/>
      <sz val="12"/>
      <name val="Arial"/>
      <family val="2"/>
    </font>
    <font>
      <sz val="8"/>
      <name val="Arial"/>
      <family val="2"/>
    </font>
    <font>
      <sz val="10"/>
      <name val="Arial"/>
    </font>
    <font>
      <i/>
      <sz val="10"/>
      <name val="Arial"/>
      <family val="2"/>
    </font>
    <font>
      <sz val="10"/>
      <name val="Arial"/>
    </font>
    <font>
      <i/>
      <u/>
      <sz val="10"/>
      <name val="Arial"/>
      <family val="2"/>
    </font>
    <font>
      <b/>
      <sz val="10"/>
      <name val="Arial"/>
      <family val="2"/>
    </font>
    <font>
      <sz val="10"/>
      <name val="Arial"/>
    </font>
    <font>
      <sz val="10"/>
      <name val="Arial"/>
    </font>
    <font>
      <b/>
      <sz val="14"/>
      <name val="Arial"/>
      <family val="2"/>
    </font>
    <font>
      <sz val="10"/>
      <name val="Arial"/>
    </font>
    <font>
      <sz val="12"/>
      <color indexed="81"/>
      <name val="Tahoma"/>
    </font>
    <font>
      <b/>
      <sz val="12"/>
      <color indexed="81"/>
      <name val="Tahoma"/>
    </font>
    <font>
      <i/>
      <sz val="8"/>
      <name val="Arial"/>
      <family val="2"/>
    </font>
  </fonts>
  <fills count="12">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13"/>
        <bgColor indexed="64"/>
      </patternFill>
    </fill>
    <fill>
      <patternFill patternType="solid">
        <fgColor indexed="44"/>
        <bgColor indexed="64"/>
      </patternFill>
    </fill>
    <fill>
      <patternFill patternType="solid">
        <fgColor indexed="46"/>
        <bgColor indexed="64"/>
      </patternFill>
    </fill>
    <fill>
      <patternFill patternType="solid">
        <fgColor indexed="45"/>
        <bgColor indexed="64"/>
      </patternFill>
    </fill>
    <fill>
      <patternFill patternType="solid">
        <fgColor indexed="22"/>
        <bgColor indexed="64"/>
      </patternFill>
    </fill>
    <fill>
      <patternFill patternType="solid">
        <fgColor indexed="41"/>
        <bgColor indexed="64"/>
      </patternFill>
    </fill>
    <fill>
      <patternFill patternType="solid">
        <fgColor indexed="47"/>
        <bgColor indexed="64"/>
      </patternFill>
    </fill>
    <fill>
      <patternFill patternType="solid">
        <fgColor indexed="11"/>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cellStyleXfs>
  <cellXfs count="114">
    <xf numFmtId="0" fontId="0" fillId="0" borderId="0" xfId="0"/>
    <xf numFmtId="41" fontId="0" fillId="0" borderId="0" xfId="0" applyNumberFormat="1"/>
    <xf numFmtId="0" fontId="3" fillId="0" borderId="0" xfId="0" applyFont="1"/>
    <xf numFmtId="41" fontId="4" fillId="0" borderId="0" xfId="0" applyNumberFormat="1" applyFont="1"/>
    <xf numFmtId="0" fontId="5" fillId="0" borderId="0" xfId="0" applyFont="1"/>
    <xf numFmtId="41" fontId="5" fillId="0" borderId="0" xfId="0" applyNumberFormat="1" applyFont="1"/>
    <xf numFmtId="0" fontId="0" fillId="0" borderId="0" xfId="0" applyBorder="1"/>
    <xf numFmtId="17" fontId="0" fillId="0" borderId="0" xfId="0" applyNumberFormat="1" applyBorder="1"/>
    <xf numFmtId="41" fontId="4" fillId="0" borderId="0" xfId="0" applyNumberFormat="1" applyFont="1" applyBorder="1"/>
    <xf numFmtId="41" fontId="5" fillId="0" borderId="0" xfId="0" applyNumberFormat="1" applyFont="1" applyBorder="1"/>
    <xf numFmtId="0" fontId="2" fillId="0" borderId="1" xfId="0" applyFont="1" applyBorder="1"/>
    <xf numFmtId="17" fontId="2" fillId="0" borderId="2" xfId="0" applyNumberFormat="1" applyFont="1" applyBorder="1" applyAlignment="1">
      <alignment horizontal="center"/>
    </xf>
    <xf numFmtId="17" fontId="0" fillId="0" borderId="2" xfId="0" applyNumberFormat="1" applyBorder="1"/>
    <xf numFmtId="17" fontId="2" fillId="0" borderId="3" xfId="0" applyNumberFormat="1" applyFont="1" applyBorder="1" applyAlignment="1">
      <alignment horizontal="center"/>
    </xf>
    <xf numFmtId="0" fontId="2" fillId="0" borderId="4" xfId="0" applyFont="1" applyBorder="1"/>
    <xf numFmtId="17" fontId="2" fillId="0" borderId="0" xfId="0" applyNumberFormat="1" applyFont="1" applyBorder="1" applyAlignment="1">
      <alignment horizontal="center"/>
    </xf>
    <xf numFmtId="17" fontId="2" fillId="0" borderId="5" xfId="0" applyNumberFormat="1" applyFont="1" applyBorder="1" applyAlignment="1">
      <alignment horizontal="center"/>
    </xf>
    <xf numFmtId="0" fontId="0" fillId="0" borderId="4" xfId="0" applyBorder="1"/>
    <xf numFmtId="41" fontId="4" fillId="0" borderId="5" xfId="0" applyNumberFormat="1" applyFont="1" applyBorder="1"/>
    <xf numFmtId="0" fontId="0" fillId="0" borderId="6" xfId="0" applyBorder="1"/>
    <xf numFmtId="41" fontId="4" fillId="0" borderId="7" xfId="0" applyNumberFormat="1" applyFont="1" applyBorder="1"/>
    <xf numFmtId="41" fontId="4" fillId="0" borderId="8" xfId="0" applyNumberFormat="1" applyFont="1" applyBorder="1"/>
    <xf numFmtId="41" fontId="4" fillId="0" borderId="9" xfId="0" applyNumberFormat="1" applyFont="1" applyBorder="1"/>
    <xf numFmtId="164" fontId="2" fillId="0" borderId="1" xfId="0" applyNumberFormat="1" applyFont="1" applyBorder="1" applyAlignment="1">
      <alignment horizontal="center"/>
    </xf>
    <xf numFmtId="164" fontId="2" fillId="0" borderId="2" xfId="0" applyNumberFormat="1" applyFont="1" applyBorder="1" applyAlignment="1">
      <alignment horizontal="center"/>
    </xf>
    <xf numFmtId="17" fontId="2" fillId="0" borderId="4" xfId="0" applyNumberFormat="1" applyFont="1" applyBorder="1" applyAlignment="1">
      <alignment horizontal="center"/>
    </xf>
    <xf numFmtId="41" fontId="4" fillId="0" borderId="4" xfId="0" applyNumberFormat="1" applyFont="1" applyBorder="1"/>
    <xf numFmtId="41" fontId="4" fillId="0" borderId="6" xfId="0" applyNumberFormat="1" applyFont="1" applyBorder="1"/>
    <xf numFmtId="41" fontId="4" fillId="0" borderId="2" xfId="0" applyNumberFormat="1" applyFont="1" applyBorder="1"/>
    <xf numFmtId="41" fontId="4" fillId="0" borderId="3" xfId="0" applyNumberFormat="1" applyFont="1" applyBorder="1"/>
    <xf numFmtId="0" fontId="5" fillId="0" borderId="4" xfId="0" applyFont="1" applyBorder="1"/>
    <xf numFmtId="41" fontId="5" fillId="0" borderId="5" xfId="0" applyNumberFormat="1" applyFont="1" applyBorder="1"/>
    <xf numFmtId="41" fontId="5" fillId="0" borderId="4" xfId="0" applyNumberFormat="1" applyFont="1" applyBorder="1"/>
    <xf numFmtId="41" fontId="0" fillId="0" borderId="2" xfId="0" applyNumberFormat="1" applyBorder="1"/>
    <xf numFmtId="41" fontId="0" fillId="0" borderId="3" xfId="0" applyNumberFormat="1" applyBorder="1"/>
    <xf numFmtId="41" fontId="7" fillId="0" borderId="1" xfId="0" applyNumberFormat="1" applyFont="1" applyBorder="1"/>
    <xf numFmtId="0" fontId="0" fillId="2" borderId="1" xfId="0" applyFill="1" applyBorder="1"/>
    <xf numFmtId="0" fontId="0" fillId="2" borderId="2" xfId="0" applyFill="1" applyBorder="1"/>
    <xf numFmtId="0" fontId="6" fillId="2" borderId="2" xfId="0" applyFont="1" applyFill="1" applyBorder="1" applyAlignment="1">
      <alignment horizontal="center"/>
    </xf>
    <xf numFmtId="0" fontId="0" fillId="2" borderId="3" xfId="0" applyFill="1" applyBorder="1"/>
    <xf numFmtId="17" fontId="2" fillId="2" borderId="10" xfId="0" applyNumberFormat="1" applyFont="1" applyFill="1" applyBorder="1" applyAlignment="1">
      <alignment horizontal="center"/>
    </xf>
    <xf numFmtId="17" fontId="2" fillId="2" borderId="8" xfId="0" applyNumberFormat="1" applyFont="1" applyFill="1" applyBorder="1" applyAlignment="1">
      <alignment horizontal="center"/>
    </xf>
    <xf numFmtId="17" fontId="0" fillId="2" borderId="8" xfId="0" applyNumberFormat="1" applyFill="1" applyBorder="1"/>
    <xf numFmtId="17" fontId="2" fillId="2" borderId="11" xfId="0" applyNumberFormat="1" applyFont="1" applyFill="1" applyBorder="1" applyAlignment="1">
      <alignment horizontal="center"/>
    </xf>
    <xf numFmtId="0" fontId="0" fillId="3" borderId="1" xfId="0" applyFill="1" applyBorder="1"/>
    <xf numFmtId="0" fontId="0" fillId="3" borderId="2" xfId="0" applyFill="1" applyBorder="1"/>
    <xf numFmtId="0" fontId="6" fillId="3" borderId="2" xfId="0" applyFont="1" applyFill="1" applyBorder="1" applyAlignment="1">
      <alignment horizontal="center"/>
    </xf>
    <xf numFmtId="0" fontId="0" fillId="3" borderId="3" xfId="0" applyFill="1" applyBorder="1"/>
    <xf numFmtId="164" fontId="2" fillId="3" borderId="10" xfId="0" applyNumberFormat="1" applyFont="1" applyFill="1" applyBorder="1" applyAlignment="1">
      <alignment horizontal="center"/>
    </xf>
    <xf numFmtId="164" fontId="2" fillId="3" borderId="8" xfId="0" applyNumberFormat="1" applyFont="1" applyFill="1" applyBorder="1" applyAlignment="1">
      <alignment horizontal="center"/>
    </xf>
    <xf numFmtId="17" fontId="0" fillId="3" borderId="8" xfId="0" applyNumberFormat="1" applyFill="1" applyBorder="1"/>
    <xf numFmtId="17" fontId="2" fillId="3" borderId="11" xfId="0" applyNumberFormat="1" applyFont="1" applyFill="1" applyBorder="1" applyAlignment="1">
      <alignment horizontal="center"/>
    </xf>
    <xf numFmtId="17" fontId="8" fillId="0" borderId="0" xfId="0" applyNumberFormat="1" applyFont="1" applyBorder="1" applyAlignment="1">
      <alignment horizontal="left"/>
    </xf>
    <xf numFmtId="164" fontId="2" fillId="2" borderId="8" xfId="0" applyNumberFormat="1" applyFont="1" applyFill="1" applyBorder="1" applyAlignment="1">
      <alignment horizontal="center"/>
    </xf>
    <xf numFmtId="0" fontId="6" fillId="0" borderId="0" xfId="0" applyFont="1" applyAlignment="1">
      <alignment horizontal="center"/>
    </xf>
    <xf numFmtId="41" fontId="4" fillId="4" borderId="0" xfId="0" applyNumberFormat="1" applyFont="1" applyFill="1" applyBorder="1"/>
    <xf numFmtId="41" fontId="4" fillId="2" borderId="0" xfId="0" applyNumberFormat="1" applyFont="1" applyFill="1" applyBorder="1"/>
    <xf numFmtId="41" fontId="4" fillId="5" borderId="0" xfId="0" applyNumberFormat="1" applyFont="1" applyFill="1" applyBorder="1"/>
    <xf numFmtId="41" fontId="4" fillId="6" borderId="0" xfId="0" applyNumberFormat="1" applyFont="1" applyFill="1" applyBorder="1"/>
    <xf numFmtId="164" fontId="2" fillId="2" borderId="10" xfId="0" applyNumberFormat="1" applyFont="1" applyFill="1" applyBorder="1" applyAlignment="1">
      <alignment horizontal="center"/>
    </xf>
    <xf numFmtId="0" fontId="3" fillId="0" borderId="12" xfId="0" applyFont="1" applyBorder="1"/>
    <xf numFmtId="167" fontId="9" fillId="0" borderId="13" xfId="0" applyNumberFormat="1" applyFont="1" applyBorder="1"/>
    <xf numFmtId="41" fontId="4" fillId="0" borderId="0" xfId="0" applyNumberFormat="1" applyFont="1" applyFill="1" applyBorder="1"/>
    <xf numFmtId="41" fontId="4" fillId="7" borderId="0" xfId="0" applyNumberFormat="1" applyFont="1" applyFill="1" applyBorder="1"/>
    <xf numFmtId="43" fontId="9" fillId="6" borderId="14" xfId="0" applyNumberFormat="1" applyFont="1" applyFill="1" applyBorder="1" applyAlignment="1"/>
    <xf numFmtId="5" fontId="4" fillId="0" borderId="0" xfId="0" applyNumberFormat="1" applyFont="1" applyFill="1" applyBorder="1"/>
    <xf numFmtId="41" fontId="4" fillId="0" borderId="7" xfId="0" applyNumberFormat="1" applyFont="1" applyFill="1" applyBorder="1"/>
    <xf numFmtId="41" fontId="4" fillId="0" borderId="0" xfId="0" applyNumberFormat="1" applyFont="1" applyFill="1"/>
    <xf numFmtId="41" fontId="4" fillId="0" borderId="2" xfId="0" applyNumberFormat="1" applyFont="1" applyFill="1" applyBorder="1"/>
    <xf numFmtId="41" fontId="5" fillId="0" borderId="0" xfId="0" applyNumberFormat="1" applyFont="1" applyFill="1" applyBorder="1"/>
    <xf numFmtId="41" fontId="0" fillId="0" borderId="2" xfId="0" applyNumberFormat="1" applyFill="1" applyBorder="1"/>
    <xf numFmtId="5" fontId="4" fillId="4" borderId="0" xfId="0" applyNumberFormat="1" applyFont="1" applyFill="1" applyBorder="1"/>
    <xf numFmtId="0" fontId="10" fillId="8" borderId="15" xfId="1" applyFont="1" applyFill="1" applyBorder="1" applyAlignment="1">
      <alignment horizontal="center"/>
    </xf>
    <xf numFmtId="38" fontId="11" fillId="0" borderId="16" xfId="1" applyNumberFormat="1" applyFont="1" applyBorder="1"/>
    <xf numFmtId="0" fontId="10" fillId="9" borderId="4" xfId="1" applyFont="1" applyFill="1" applyBorder="1" applyAlignment="1">
      <alignment horizontal="left"/>
    </xf>
    <xf numFmtId="0" fontId="0" fillId="4" borderId="17" xfId="0" applyFill="1" applyBorder="1"/>
    <xf numFmtId="0" fontId="10" fillId="4" borderId="12" xfId="1" applyFont="1" applyFill="1" applyBorder="1" applyAlignment="1">
      <alignment horizontal="center"/>
    </xf>
    <xf numFmtId="0" fontId="10" fillId="4" borderId="13" xfId="1" applyFont="1" applyFill="1" applyBorder="1" applyAlignment="1">
      <alignment horizontal="center"/>
    </xf>
    <xf numFmtId="0" fontId="12" fillId="0" borderId="0" xfId="0" applyFont="1"/>
    <xf numFmtId="0" fontId="9" fillId="2" borderId="14" xfId="0" applyFont="1" applyFill="1" applyBorder="1" applyAlignment="1">
      <alignment horizontal="center"/>
    </xf>
    <xf numFmtId="0" fontId="10" fillId="9" borderId="18" xfId="1" applyFont="1" applyFill="1" applyBorder="1" applyAlignment="1">
      <alignment horizontal="left"/>
    </xf>
    <xf numFmtId="38" fontId="11" fillId="0" borderId="19" xfId="1" applyNumberFormat="1" applyFont="1" applyBorder="1"/>
    <xf numFmtId="38" fontId="11" fillId="0" borderId="20" xfId="1" applyNumberFormat="1" applyFont="1" applyBorder="1"/>
    <xf numFmtId="38" fontId="11" fillId="0" borderId="21" xfId="1" applyNumberFormat="1" applyFont="1" applyBorder="1"/>
    <xf numFmtId="0" fontId="10" fillId="9" borderId="10" xfId="1" applyFont="1" applyFill="1" applyBorder="1" applyAlignment="1">
      <alignment horizontal="left"/>
    </xf>
    <xf numFmtId="38" fontId="11" fillId="0" borderId="22" xfId="1" applyNumberFormat="1" applyFont="1" applyBorder="1"/>
    <xf numFmtId="38" fontId="11" fillId="0" borderId="23" xfId="1" applyNumberFormat="1" applyFont="1" applyBorder="1"/>
    <xf numFmtId="38" fontId="11" fillId="0" borderId="24" xfId="1" applyNumberFormat="1" applyFont="1" applyBorder="1"/>
    <xf numFmtId="38" fontId="11" fillId="0" borderId="25" xfId="1" applyNumberFormat="1" applyFont="1" applyBorder="1"/>
    <xf numFmtId="38" fontId="13" fillId="0" borderId="26" xfId="1" applyNumberFormat="1" applyFont="1" applyBorder="1"/>
    <xf numFmtId="38" fontId="13" fillId="0" borderId="27" xfId="1" applyNumberFormat="1" applyFont="1" applyBorder="1"/>
    <xf numFmtId="38" fontId="13" fillId="0" borderId="28" xfId="1" applyNumberFormat="1" applyFont="1" applyBorder="1"/>
    <xf numFmtId="0" fontId="0" fillId="0" borderId="2" xfId="0" applyBorder="1"/>
    <xf numFmtId="0" fontId="0" fillId="0" borderId="8" xfId="0" applyBorder="1"/>
    <xf numFmtId="0" fontId="9" fillId="2" borderId="1" xfId="0" applyFont="1" applyFill="1" applyBorder="1"/>
    <xf numFmtId="0" fontId="9" fillId="2" borderId="4" xfId="0" applyFont="1" applyFill="1" applyBorder="1"/>
    <xf numFmtId="0" fontId="9" fillId="2" borderId="10" xfId="0" applyFont="1" applyFill="1" applyBorder="1"/>
    <xf numFmtId="167" fontId="9" fillId="10" borderId="13" xfId="0" applyNumberFormat="1" applyFont="1" applyFill="1" applyBorder="1"/>
    <xf numFmtId="167" fontId="9" fillId="10" borderId="17" xfId="0" applyNumberFormat="1" applyFont="1" applyFill="1" applyBorder="1"/>
    <xf numFmtId="38" fontId="11" fillId="3" borderId="21" xfId="1" applyNumberFormat="1" applyFont="1" applyFill="1" applyBorder="1"/>
    <xf numFmtId="0" fontId="9" fillId="0" borderId="0" xfId="0" applyFont="1"/>
    <xf numFmtId="38" fontId="11" fillId="0" borderId="21" xfId="1" applyNumberFormat="1" applyFont="1" applyFill="1" applyBorder="1"/>
    <xf numFmtId="38" fontId="11" fillId="7" borderId="20" xfId="1" applyNumberFormat="1" applyFont="1" applyFill="1" applyBorder="1"/>
    <xf numFmtId="0" fontId="16" fillId="2" borderId="2" xfId="0" applyFont="1" applyFill="1" applyBorder="1"/>
    <xf numFmtId="6" fontId="4" fillId="0" borderId="7" xfId="0" applyNumberFormat="1" applyFont="1" applyBorder="1"/>
    <xf numFmtId="0" fontId="9" fillId="0" borderId="6" xfId="0" applyFont="1" applyBorder="1"/>
    <xf numFmtId="0" fontId="9" fillId="2" borderId="6" xfId="0" applyFont="1" applyFill="1" applyBorder="1"/>
    <xf numFmtId="41" fontId="4" fillId="2" borderId="7" xfId="0" applyNumberFormat="1" applyFont="1" applyFill="1" applyBorder="1"/>
    <xf numFmtId="41" fontId="4" fillId="2" borderId="8" xfId="0" applyNumberFormat="1" applyFont="1" applyFill="1" applyBorder="1"/>
    <xf numFmtId="41" fontId="4" fillId="2" borderId="0" xfId="0" applyNumberFormat="1" applyFont="1" applyFill="1"/>
    <xf numFmtId="41" fontId="4" fillId="2" borderId="6" xfId="0" applyNumberFormat="1" applyFont="1" applyFill="1" applyBorder="1"/>
    <xf numFmtId="41" fontId="4" fillId="2" borderId="9" xfId="0" applyNumberFormat="1" applyFont="1" applyFill="1" applyBorder="1"/>
    <xf numFmtId="41" fontId="4" fillId="11" borderId="0" xfId="0" applyNumberFormat="1" applyFont="1" applyFill="1" applyBorder="1"/>
    <xf numFmtId="169" fontId="4" fillId="4" borderId="0" xfId="0" applyNumberFormat="1" applyFont="1" applyFill="1" applyBorder="1"/>
  </cellXfs>
  <cellStyles count="2">
    <cellStyle name="Normal" xfId="0" builtinId="0"/>
    <cellStyle name="Normal_Greg Pos"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isk%20Management/GASBOOK/00_rolls/CAN$06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Risk%20Management/Intra%20Month/2001/Feb%2001/0228_CA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Risk%20Management/GASBOOK/01_rolls/CAN$02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Risk%20Management/GASBOOK/01_rolls/CAN$03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isk%20Management/Intra%20Month/2001/Mar%2001/0330_CA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TEMP/~001579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Risk%20Management/Intra%20Month/2001/Apr%2001/0430_CAN.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Risk%20Management/GASBOOK/01_rolls/CAN$040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Risk%20Management/GASBOOK/01_rolls/CAN$05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Risk%20Management/Intra%20Month/2001/May%2001/0531_CA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isk%20Management/GASBOOK/00_rolls/CAN$07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isk%20Management/GASBOOK/00_rolls/CAN$08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isk%20Management/GASBOOK/00_rolls/CAN$09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Risk%20Management/GASBOOK/00_rolls/CAN$10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isk%20Management/GASBOOK/00_rolls/CAN$11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isk%20Management/GASBOOK/CAN$120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Risk%20Management/Intra%20Month/2001/Jan%2001/0131_CA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isk%20Management/GASBOOK/01_rolls/CAN$01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riceAlberta"/>
      <sheetName val="AlbertaIndex"/>
      <sheetName val="Straddle-Exotic"/>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1.4760866666666663</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stDeals"/>
      <sheetName val="Input"/>
      <sheetName val="Origination"/>
      <sheetName val="Cand P&amp;L"/>
      <sheetName val="AB P &amp; L Summary"/>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8">
          <cell r="I18">
            <v>-841902.25807876978</v>
          </cell>
        </row>
        <row r="38">
          <cell r="I38">
            <v>1313859.5407439987</v>
          </cell>
        </row>
        <row r="50">
          <cell r="I50">
            <v>53498.852100012824</v>
          </cell>
        </row>
        <row r="54">
          <cell r="I54">
            <v>329145</v>
          </cell>
        </row>
        <row r="56">
          <cell r="I56">
            <v>127218</v>
          </cell>
        </row>
        <row r="63">
          <cell r="I63">
            <v>981819.13476524176</v>
          </cell>
        </row>
      </sheetData>
      <sheetData sheetId="17"/>
      <sheetData sheetId="18"/>
      <sheetData sheetId="19" refreshError="1"/>
      <sheetData sheetId="2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L by Trader"/>
      <sheetName val="JArnold PL"/>
      <sheetName val="PriceAlberta"/>
      <sheetName val="AlbertaIndex"/>
      <sheetName val="PipeBook"/>
      <sheetName val="PipeBookIndex"/>
      <sheetName val="PriceBC"/>
      <sheetName val="BC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row r="56">
          <cell r="G56">
            <v>-881957</v>
          </cell>
          <cell r="M56">
            <v>3643562</v>
          </cell>
          <cell r="S56">
            <v>182876</v>
          </cell>
          <cell r="AA56">
            <v>3583108</v>
          </cell>
          <cell r="AC56">
            <v>6527589</v>
          </cell>
        </row>
      </sheetData>
      <sheetData sheetId="3"/>
      <sheetData sheetId="4"/>
      <sheetData sheetId="5"/>
      <sheetData sheetId="6"/>
      <sheetData sheetId="7"/>
      <sheetData sheetId="8"/>
      <sheetData sheetId="9"/>
      <sheetData sheetId="10"/>
      <sheetData sheetId="11"/>
      <sheetData sheetId="12"/>
      <sheetData sheetId="13"/>
      <sheetData sheetId="14"/>
      <sheetData sheetId="15">
        <row r="36">
          <cell r="F36">
            <v>1.5222321428571435</v>
          </cell>
        </row>
      </sheetData>
      <sheetData sheetId="16"/>
      <sheetData sheetId="17"/>
      <sheetData sheetId="18"/>
      <sheetData sheetId="19"/>
      <sheetData sheetId="20">
        <row r="127">
          <cell r="O127">
            <v>35</v>
          </cell>
        </row>
        <row r="181">
          <cell r="O181">
            <v>663.92415222293346</v>
          </cell>
        </row>
        <row r="183">
          <cell r="O183">
            <v>628924.15222293348</v>
          </cell>
          <cell r="Q183">
            <v>949954.82850000029</v>
          </cell>
        </row>
      </sheetData>
      <sheetData sheetId="21"/>
      <sheetData sheetId="22"/>
      <sheetData sheetId="23"/>
      <sheetData sheetId="2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L by Trader"/>
      <sheetName val="JArnold PL"/>
      <sheetName val="PriceAlberta"/>
      <sheetName val="AlbertaIndex"/>
      <sheetName val="PriceBC"/>
      <sheetName val="BCIndex"/>
      <sheetName val="PipeBook"/>
      <sheetName val="PipeBook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refreshError="1"/>
      <sheetData sheetId="1" refreshError="1"/>
      <sheetData sheetId="2">
        <row r="56">
          <cell r="G56">
            <v>16900.080000000075</v>
          </cell>
          <cell r="M56">
            <v>-49863600</v>
          </cell>
          <cell r="S56">
            <v>-27556</v>
          </cell>
          <cell r="AA56">
            <v>9435184</v>
          </cell>
          <cell r="AC56">
            <v>-40439071.920000002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36">
          <cell r="F36">
            <v>1.5487866666666672</v>
          </cell>
        </row>
      </sheetData>
      <sheetData sheetId="16" refreshError="1"/>
      <sheetData sheetId="17" refreshError="1"/>
      <sheetData sheetId="18" refreshError="1"/>
      <sheetData sheetId="19" refreshError="1"/>
      <sheetData sheetId="20">
        <row r="183">
          <cell r="O183">
            <v>880527.69567845727</v>
          </cell>
          <cell r="Q183">
            <v>1376624.4146612883</v>
          </cell>
        </row>
      </sheetData>
      <sheetData sheetId="21" refreshError="1"/>
      <sheetData sheetId="22" refreshError="1"/>
      <sheetData sheetId="23" refreshError="1"/>
      <sheetData sheetId="2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stDeals"/>
      <sheetName val="Input"/>
      <sheetName val="Origination"/>
      <sheetName val="Cand P&amp;L"/>
      <sheetName val="AB &amp; BC P &amp; L Summary"/>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8">
          <cell r="I18">
            <v>1228992.8015619847</v>
          </cell>
        </row>
        <row r="38">
          <cell r="I38">
            <v>663692.82000000007</v>
          </cell>
        </row>
        <row r="50">
          <cell r="I50">
            <v>350610.97785755154</v>
          </cell>
        </row>
        <row r="54">
          <cell r="I54">
            <v>1550719.8</v>
          </cell>
        </row>
        <row r="56">
          <cell r="I56">
            <v>259060</v>
          </cell>
        </row>
        <row r="63">
          <cell r="I63">
            <v>4053075.974419537</v>
          </cell>
        </row>
      </sheetData>
      <sheetData sheetId="17"/>
      <sheetData sheetId="18"/>
      <sheetData sheetId="19"/>
      <sheetData sheetId="2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L by Trader"/>
      <sheetName val="JArnold PL"/>
      <sheetName val="Chart2"/>
      <sheetName val="PriceAlberta"/>
      <sheetName val="AlbertaIndex"/>
      <sheetName val="PriceBC"/>
      <sheetName val="BCIndex"/>
      <sheetName val="PipeBook"/>
      <sheetName val="PipeBook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83">
          <cell r="Q183">
            <v>3189977.159366624</v>
          </cell>
        </row>
      </sheetData>
      <sheetData sheetId="22"/>
      <sheetData sheetId="23" refreshError="1"/>
      <sheetData sheetId="24" refreshError="1"/>
      <sheetData sheetId="2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stDeals"/>
      <sheetName val="Input"/>
      <sheetName val="Origination"/>
      <sheetName val="Cand P&amp;L"/>
      <sheetName val="AB &amp; BC P &amp; L Summary"/>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8">
          <cell r="I18">
            <v>1180364.29012358</v>
          </cell>
        </row>
        <row r="38">
          <cell r="I38">
            <v>1000880.8</v>
          </cell>
        </row>
        <row r="50">
          <cell r="I50">
            <v>0</v>
          </cell>
        </row>
        <row r="54">
          <cell r="I54">
            <v>1853890</v>
          </cell>
        </row>
        <row r="56">
          <cell r="I56">
            <v>-58681</v>
          </cell>
        </row>
        <row r="63">
          <cell r="I63">
            <v>3976454.0901235798</v>
          </cell>
        </row>
      </sheetData>
      <sheetData sheetId="17"/>
      <sheetData sheetId="18"/>
      <sheetData sheetId="19"/>
      <sheetData sheetId="2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wDeals"/>
      <sheetName val="Front"/>
      <sheetName val="Report"/>
      <sheetName val="PL by Trader"/>
      <sheetName val="JArnold PL"/>
      <sheetName val="Chart2"/>
      <sheetName val="PriceAlberta"/>
      <sheetName val="AlbertaIndex"/>
      <sheetName val="PriceBC"/>
      <sheetName val="BCIndex"/>
      <sheetName val="PipeBook"/>
      <sheetName val="PipeBook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row r="56">
          <cell r="G56">
            <v>1982231.7599999998</v>
          </cell>
          <cell r="M56">
            <v>-83164940</v>
          </cell>
          <cell r="S56">
            <v>0</v>
          </cell>
          <cell r="AA56">
            <v>-1318991</v>
          </cell>
          <cell r="AC56">
            <v>-82501699.239999995</v>
          </cell>
        </row>
      </sheetData>
      <sheetData sheetId="3">
        <row r="55">
          <cell r="E55">
            <v>-40891153.950873673</v>
          </cell>
        </row>
      </sheetData>
      <sheetData sheetId="4"/>
      <sheetData sheetId="5" refreshError="1"/>
      <sheetData sheetId="6"/>
      <sheetData sheetId="7"/>
      <sheetData sheetId="8"/>
      <sheetData sheetId="9"/>
      <sheetData sheetId="10"/>
      <sheetData sheetId="11"/>
      <sheetData sheetId="12"/>
      <sheetData sheetId="13"/>
      <sheetData sheetId="14"/>
      <sheetData sheetId="15"/>
      <sheetData sheetId="16">
        <row r="36">
          <cell r="F36">
            <v>1.5572433333333331</v>
          </cell>
        </row>
      </sheetData>
      <sheetData sheetId="17"/>
      <sheetData sheetId="18"/>
      <sheetData sheetId="19"/>
      <sheetData sheetId="20"/>
      <sheetData sheetId="21">
        <row r="239">
          <cell r="O239">
            <v>3270694.8418641421</v>
          </cell>
        </row>
      </sheetData>
      <sheetData sheetId="22"/>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wDeals"/>
      <sheetName val="Front"/>
      <sheetName val="Report"/>
      <sheetName val="JArnold PL"/>
      <sheetName val="PL by Trader"/>
      <sheetName val="Chart2"/>
      <sheetName val="PriceAlberta"/>
      <sheetName val="AlbertaIndex"/>
      <sheetName val="PriceBC"/>
      <sheetName val="BCIndex"/>
      <sheetName val="PipeBook"/>
      <sheetName val="PipeBook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row r="56">
          <cell r="G56">
            <v>7649551</v>
          </cell>
          <cell r="M56">
            <v>7920382</v>
          </cell>
          <cell r="S56">
            <v>0</v>
          </cell>
          <cell r="AA56">
            <v>5041958</v>
          </cell>
          <cell r="AC56">
            <v>20611891</v>
          </cell>
        </row>
      </sheetData>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row r="36">
          <cell r="F36">
            <v>1.5407967741935484</v>
          </cell>
        </row>
      </sheetData>
      <sheetData sheetId="17"/>
      <sheetData sheetId="18"/>
      <sheetData sheetId="19"/>
      <sheetData sheetId="20"/>
      <sheetData sheetId="21">
        <row r="239">
          <cell r="O239">
            <v>587258.52205482544</v>
          </cell>
          <cell r="Q239">
            <v>903346.69788941473</v>
          </cell>
        </row>
      </sheetData>
      <sheetData sheetId="22"/>
      <sheetData sheetId="23" refreshError="1"/>
      <sheetData sheetId="24" refreshError="1"/>
      <sheetData sheetId="2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stDeals"/>
      <sheetName val="Input"/>
      <sheetName val="Origination"/>
      <sheetName val="Cand P&amp;L"/>
      <sheetName val="AB &amp; BC P &amp; L Summary"/>
      <sheetName val="West Recon"/>
      <sheetName val="BC Pos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8">
          <cell r="I18">
            <v>3225638.6239257343</v>
          </cell>
        </row>
        <row r="38">
          <cell r="I38">
            <v>1516209.8200000003</v>
          </cell>
        </row>
        <row r="50">
          <cell r="I50">
            <v>0</v>
          </cell>
        </row>
        <row r="54">
          <cell r="I54">
            <v>1732977</v>
          </cell>
        </row>
        <row r="56">
          <cell r="I56">
            <v>201630</v>
          </cell>
        </row>
        <row r="63">
          <cell r="I63">
            <v>6676455.4439257346</v>
          </cell>
        </row>
      </sheetData>
      <sheetData sheetId="18"/>
      <sheetData sheetId="19"/>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riceAlberta"/>
      <sheetName val="AlbertaIndex"/>
      <sheetName val="Straddle"/>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1.4778161290322582</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riceAlberta"/>
      <sheetName val="AlbertaIndex"/>
      <sheetName val="Straddle"/>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1.4822467741935481</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riceAlberta"/>
      <sheetName val="AlbertaIndex"/>
      <sheetName val="PriceEOL"/>
      <sheetName val="EOLIndex"/>
      <sheetName val="Options"/>
      <sheetName val="OptionsIndex"/>
      <sheetName val="OptionsProp"/>
      <sheetName val="Straddle"/>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1.4833206896551727</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riceAlberta"/>
      <sheetName val="AlbertaIndex"/>
      <sheetName val="PriceBC"/>
      <sheetName val="BCIndex"/>
      <sheetName val="PriceEOL"/>
      <sheetName val="EOLIndex"/>
      <sheetName val="Options"/>
      <sheetName val="OptionsIndex"/>
      <sheetName val="OptionsProp"/>
      <sheetName val="Straddle"/>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6">
          <cell r="F36">
            <v>1.5107942157953278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L by Trader"/>
      <sheetName val="PriceAlberta"/>
      <sheetName val="AlbertaIndex"/>
      <sheetName val="PriceBC"/>
      <sheetName val="BCIndex"/>
      <sheetName val="PriceEOL"/>
      <sheetName val="EOLIndex"/>
      <sheetName val="Options"/>
      <sheetName val="OptionsIndex"/>
      <sheetName val="Straddle"/>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6">
          <cell r="F36">
            <v>1.5429099999999993</v>
          </cell>
        </row>
      </sheetData>
      <sheetData sheetId="15"/>
      <sheetData sheetId="16"/>
      <sheetData sheetId="17"/>
      <sheetData sheetId="18"/>
      <sheetData sheetId="19"/>
      <sheetData sheetId="20"/>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L by Trader"/>
      <sheetName val="PriceAlberta"/>
      <sheetName val="AlbertaIndex"/>
      <sheetName val="PriceBC"/>
      <sheetName val="BCIndex"/>
      <sheetName val="PriceEOL"/>
      <sheetName val="EOLIndex"/>
      <sheetName val="Options"/>
      <sheetName val="OptionsIndex"/>
      <sheetName val="Straddle"/>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6">
          <cell r="F36">
            <v>1.5237310344827593</v>
          </cell>
        </row>
      </sheetData>
      <sheetData sheetId="15"/>
      <sheetData sheetId="16"/>
      <sheetData sheetId="17"/>
      <sheetData sheetId="18"/>
      <sheetData sheetId="19"/>
      <sheetData sheetId="20"/>
      <sheetData sheetId="21" refreshError="1"/>
      <sheetData sheetId="22" refreshError="1"/>
      <sheetData sheetId="2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stDeals"/>
      <sheetName val="Input"/>
      <sheetName val="Origination"/>
      <sheetName val="Cand P&amp;L"/>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row r="22">
          <cell r="Q22">
            <v>33936.06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row r="18">
          <cell r="I18">
            <v>2562489.7879205053</v>
          </cell>
        </row>
        <row r="31">
          <cell r="P31">
            <v>4248324.0684209801</v>
          </cell>
        </row>
        <row r="38">
          <cell r="I38">
            <v>4976317.0999999996</v>
          </cell>
        </row>
        <row r="50">
          <cell r="I50">
            <v>-1226698.5999999996</v>
          </cell>
        </row>
        <row r="54">
          <cell r="I54">
            <v>367</v>
          </cell>
        </row>
        <row r="56">
          <cell r="I56">
            <v>72660</v>
          </cell>
        </row>
        <row r="63">
          <cell r="I63">
            <v>6385135.2879205048</v>
          </cell>
        </row>
      </sheetData>
      <sheetData sheetId="16"/>
      <sheetData sheetId="17"/>
      <sheetData sheetId="18"/>
      <sheetData sheetId="1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NewDeals"/>
      <sheetName val="Report"/>
      <sheetName val="PL by Trader"/>
      <sheetName val="PriceAlberta"/>
      <sheetName val="AlbertaIndex"/>
      <sheetName val="PipeBook"/>
      <sheetName val="PipeBookIndex"/>
      <sheetName val="PriceBC"/>
      <sheetName val="BC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refreshError="1"/>
      <sheetData sheetId="1" refreshError="1"/>
      <sheetData sheetId="2">
        <row r="56">
          <cell r="G56">
            <v>810557.72000000067</v>
          </cell>
          <cell r="M56">
            <v>3582468</v>
          </cell>
          <cell r="S56">
            <v>5706304</v>
          </cell>
          <cell r="AA56">
            <v>-440421</v>
          </cell>
          <cell r="AC56">
            <v>9658908.7199999988</v>
          </cell>
          <cell r="AE56">
            <v>6425091.5382533865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6">
          <cell r="F36">
            <v>1.5033106785317021</v>
          </cell>
        </row>
      </sheetData>
      <sheetData sheetId="15" refreshError="1"/>
      <sheetData sheetId="16" refreshError="1"/>
      <sheetData sheetId="17" refreshError="1"/>
      <sheetData sheetId="18" refreshError="1"/>
      <sheetData sheetId="19">
        <row r="181">
          <cell r="O181">
            <v>5334.6681737164918</v>
          </cell>
        </row>
        <row r="183">
          <cell r="O183">
            <v>5334668.173716492</v>
          </cell>
          <cell r="Q183">
            <v>8025858.6524862833</v>
          </cell>
        </row>
      </sheetData>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9"/>
  <sheetViews>
    <sheetView topLeftCell="J1" workbookViewId="0">
      <selection activeCell="W14" sqref="W14"/>
    </sheetView>
  </sheetViews>
  <sheetFormatPr defaultRowHeight="12.75" x14ac:dyDescent="0.2"/>
  <cols>
    <col min="1" max="1" width="30.85546875" customWidth="1"/>
    <col min="2" max="2" width="11.140625" customWidth="1"/>
    <col min="3" max="3" width="11.5703125" customWidth="1"/>
    <col min="4" max="4" width="9.140625" customWidth="1"/>
    <col min="5" max="6" width="10.42578125" customWidth="1"/>
    <col min="7" max="7" width="10.140625" customWidth="1"/>
    <col min="8" max="9" width="10.42578125" customWidth="1"/>
    <col min="10" max="10" width="10.140625" customWidth="1"/>
    <col min="11" max="12" width="10.42578125" customWidth="1"/>
    <col min="13" max="13" width="10.140625" customWidth="1"/>
    <col min="14" max="14" width="1.85546875" customWidth="1"/>
    <col min="15" max="16" width="10.42578125" customWidth="1"/>
    <col min="17" max="17" width="10.140625" customWidth="1"/>
    <col min="18" max="18" width="1.85546875" customWidth="1"/>
    <col min="19" max="19" width="11.140625" customWidth="1"/>
    <col min="20" max="20" width="12" customWidth="1"/>
    <col min="21" max="21" width="10.140625" customWidth="1"/>
    <col min="22" max="22" width="1.85546875" customWidth="1"/>
    <col min="23" max="23" width="10.85546875" customWidth="1"/>
    <col min="24" max="24" width="11.28515625" customWidth="1"/>
    <col min="25" max="25" width="11.7109375" customWidth="1"/>
  </cols>
  <sheetData>
    <row r="1" spans="1:25" ht="18" x14ac:dyDescent="0.25">
      <c r="A1" s="78" t="s">
        <v>28</v>
      </c>
      <c r="W1" s="6"/>
    </row>
    <row r="2" spans="1:25" ht="16.5" thickBot="1" x14ac:dyDescent="0.3">
      <c r="A2" s="2"/>
      <c r="W2" s="6"/>
    </row>
    <row r="3" spans="1:25" ht="16.5" thickBot="1" x14ac:dyDescent="0.3">
      <c r="A3" s="2"/>
      <c r="B3" s="76"/>
      <c r="C3" s="77" t="s">
        <v>43</v>
      </c>
      <c r="D3" s="75"/>
      <c r="E3" s="76"/>
      <c r="F3" s="77" t="s">
        <v>51</v>
      </c>
      <c r="G3" s="75"/>
      <c r="H3" s="76"/>
      <c r="I3" s="77" t="s">
        <v>59</v>
      </c>
      <c r="J3" s="75"/>
      <c r="K3" s="76"/>
      <c r="L3" s="77" t="s">
        <v>60</v>
      </c>
      <c r="M3" s="75"/>
      <c r="O3" s="76"/>
      <c r="P3" s="77" t="s">
        <v>61</v>
      </c>
      <c r="Q3" s="75"/>
      <c r="S3" s="76"/>
      <c r="T3" s="77" t="s">
        <v>52</v>
      </c>
      <c r="U3" s="75"/>
      <c r="W3" s="76"/>
      <c r="X3" s="77" t="s">
        <v>52</v>
      </c>
      <c r="Y3" s="75"/>
    </row>
    <row r="4" spans="1:25" ht="13.5" thickBot="1" x14ac:dyDescent="0.25">
      <c r="A4" s="72" t="s">
        <v>32</v>
      </c>
      <c r="B4" s="79" t="s">
        <v>44</v>
      </c>
      <c r="C4" s="79" t="s">
        <v>45</v>
      </c>
      <c r="D4" s="79" t="s">
        <v>46</v>
      </c>
      <c r="E4" s="79" t="s">
        <v>44</v>
      </c>
      <c r="F4" s="79" t="s">
        <v>45</v>
      </c>
      <c r="G4" s="79" t="s">
        <v>46</v>
      </c>
      <c r="H4" s="79" t="s">
        <v>44</v>
      </c>
      <c r="I4" s="79" t="s">
        <v>45</v>
      </c>
      <c r="J4" s="79" t="s">
        <v>46</v>
      </c>
      <c r="K4" s="79" t="s">
        <v>44</v>
      </c>
      <c r="L4" s="79" t="s">
        <v>45</v>
      </c>
      <c r="M4" s="79" t="s">
        <v>46</v>
      </c>
      <c r="O4" s="79" t="s">
        <v>44</v>
      </c>
      <c r="P4" s="79" t="s">
        <v>45</v>
      </c>
      <c r="Q4" s="79" t="s">
        <v>46</v>
      </c>
      <c r="S4" s="79" t="s">
        <v>44</v>
      </c>
      <c r="T4" s="79" t="s">
        <v>45</v>
      </c>
      <c r="U4" s="79" t="s">
        <v>46</v>
      </c>
      <c r="W4" s="79" t="s">
        <v>44</v>
      </c>
      <c r="X4" s="79" t="s">
        <v>45</v>
      </c>
      <c r="Y4" s="79" t="s">
        <v>46</v>
      </c>
    </row>
    <row r="5" spans="1:25" x14ac:dyDescent="0.2">
      <c r="A5" s="80" t="s">
        <v>33</v>
      </c>
      <c r="B5" s="81">
        <v>4334.540604466536</v>
      </c>
      <c r="C5" s="81">
        <f>+('SUM-USD'!B9+'SUM-USD'!B11)/1000</f>
        <v>4335.0066044665382</v>
      </c>
      <c r="D5" s="82">
        <f>+B5-C5</f>
        <v>-0.46600000000216824</v>
      </c>
      <c r="E5" s="81">
        <v>-423.97913484661854</v>
      </c>
      <c r="F5" s="81">
        <f>+('SUM-USD'!C9+'SUM-USD'!C11)/1000</f>
        <v>-459.24729896181577</v>
      </c>
      <c r="G5" s="102">
        <f>+E5-F5</f>
        <v>35.268164115197237</v>
      </c>
      <c r="H5" s="81">
        <v>-42.03017286650195</v>
      </c>
      <c r="I5" s="81">
        <f>+('SUM-USD'!D9+'SUM-USD'!D11)/1000</f>
        <v>-6.8801728665018977</v>
      </c>
      <c r="J5" s="102">
        <f>+H5-I5</f>
        <v>-35.150000000000048</v>
      </c>
      <c r="K5" s="81">
        <v>-11240.554350171136</v>
      </c>
      <c r="L5" s="81">
        <f>+('SUM-USD'!E9+'SUM-USD'!E11)/1000-12513</f>
        <v>-11240.089262435971</v>
      </c>
      <c r="M5" s="82">
        <f>+K5-L5</f>
        <v>-0.46508773516507063</v>
      </c>
      <c r="N5" s="100"/>
      <c r="O5" s="81">
        <v>10105.160859004664</v>
      </c>
      <c r="P5" s="81">
        <f>+('SUM-USD'!F9+'SUM-USD'!F11+'SUM-USD'!F10)/1000</f>
        <v>10105.117859004662</v>
      </c>
      <c r="Q5" s="82">
        <f>+O5-P5</f>
        <v>4.3000000001484295E-2</v>
      </c>
      <c r="R5" s="100"/>
      <c r="S5" s="81">
        <f>+E5+B5+H5+K5+O5</f>
        <v>2733.1378055869427</v>
      </c>
      <c r="T5" s="81">
        <f>+F5+C5+I5+L5+P5</f>
        <v>2733.9077292069105</v>
      </c>
      <c r="U5" s="82">
        <f>+S5-T5</f>
        <v>-0.76992361996781256</v>
      </c>
      <c r="W5" s="81">
        <v>2733.1927911640419</v>
      </c>
      <c r="X5" s="81">
        <f>+T5</f>
        <v>2733.9077292069105</v>
      </c>
      <c r="Y5" s="82">
        <f>+W5-X5</f>
        <v>-0.7149380428686527</v>
      </c>
    </row>
    <row r="6" spans="1:25" x14ac:dyDescent="0.2">
      <c r="A6" s="74" t="s">
        <v>34</v>
      </c>
      <c r="B6" s="73">
        <v>-815.99806182320731</v>
      </c>
      <c r="C6" s="73">
        <f>+('SUM-USD'!B16+'SUM-USD'!B17)/1000</f>
        <v>-815.75393397575624</v>
      </c>
      <c r="D6" s="83">
        <f t="shared" ref="D6:D14" si="0">+B6-C6</f>
        <v>-0.24412784745106819</v>
      </c>
      <c r="E6" s="73">
        <v>251.3703227168744</v>
      </c>
      <c r="F6" s="73">
        <f>+('SUM-USD'!C16+'SUM-USD'!C17)/1000</f>
        <v>251.37023541088286</v>
      </c>
      <c r="G6" s="83">
        <f t="shared" ref="G6:G14" si="1">+E6-F6</f>
        <v>8.7305991542052652E-5</v>
      </c>
      <c r="H6" s="73">
        <v>1220.5488752215042</v>
      </c>
      <c r="I6" s="73">
        <f>+('SUM-USD'!D16+'SUM-USD'!D17)/1000</f>
        <v>1227.6259983239897</v>
      </c>
      <c r="J6" s="83">
        <f t="shared" ref="J6:J14" si="2">+H6-I6</f>
        <v>-7.0771231024855297</v>
      </c>
      <c r="K6" s="73">
        <v>1190.31129279072</v>
      </c>
      <c r="L6" s="73">
        <f>+('SUM-USD'!E16+'SUM-USD'!E17)/1000</f>
        <v>1190.4947417766011</v>
      </c>
      <c r="M6" s="83">
        <f t="shared" ref="M6:M14" si="3">+K6-L6</f>
        <v>-0.18344898588111391</v>
      </c>
      <c r="N6" s="100"/>
      <c r="O6" s="73">
        <v>1124.3206019002969</v>
      </c>
      <c r="P6" s="73">
        <f>+('SUM-USD'!F16+'SUM-USD'!F17)/1000</f>
        <v>1124.7278220108153</v>
      </c>
      <c r="Q6" s="83">
        <f t="shared" ref="Q6:Q14" si="4">+O6-P6</f>
        <v>-0.40722011051843765</v>
      </c>
      <c r="R6" s="100"/>
      <c r="S6" s="73">
        <f t="shared" ref="S6:S14" si="5">+E6+B6+H6+K6+O6</f>
        <v>2970.553030806188</v>
      </c>
      <c r="T6" s="73">
        <f t="shared" ref="T6:T14" si="6">+F6+C6+I6+L6+P6</f>
        <v>2978.4648635465328</v>
      </c>
      <c r="U6" s="83">
        <f t="shared" ref="U6:U14" si="7">+S6-T6</f>
        <v>-7.9118327403448347</v>
      </c>
      <c r="W6" s="73">
        <v>2970.7975185598716</v>
      </c>
      <c r="X6" s="73">
        <f t="shared" ref="X6:X14" si="8">+T6</f>
        <v>2978.4648635465328</v>
      </c>
      <c r="Y6" s="83">
        <f t="shared" ref="Y6:Y14" si="9">+W6-X6</f>
        <v>-7.6673449866611918</v>
      </c>
    </row>
    <row r="7" spans="1:25" x14ac:dyDescent="0.2">
      <c r="A7" s="74" t="s">
        <v>35</v>
      </c>
      <c r="B7" s="73">
        <v>2383.0523198963979</v>
      </c>
      <c r="C7" s="73">
        <f>+'SUM-USD'!B10/1000</f>
        <v>2383.0523198963974</v>
      </c>
      <c r="D7" s="83">
        <f t="shared" si="0"/>
        <v>0</v>
      </c>
      <c r="E7" s="73">
        <v>2393.5652765558098</v>
      </c>
      <c r="F7" s="73">
        <f>+'SUM-USD'!C10/1000</f>
        <v>2393.5652765558089</v>
      </c>
      <c r="G7" s="83">
        <f t="shared" si="1"/>
        <v>0</v>
      </c>
      <c r="H7" s="73">
        <v>-32195.268769531413</v>
      </c>
      <c r="I7" s="73">
        <f>+'SUM-USD'!D10/1000</f>
        <v>-32195.266832531262</v>
      </c>
      <c r="J7" s="83">
        <f t="shared" si="2"/>
        <v>-1.9370001500647049E-3</v>
      </c>
      <c r="K7" s="73">
        <v>-40891.153950873668</v>
      </c>
      <c r="L7" s="73">
        <f>+'SUM-USD'!E10/1000+12513</f>
        <v>-40892.231038608836</v>
      </c>
      <c r="M7" s="83">
        <f t="shared" si="3"/>
        <v>1.0770877351678791</v>
      </c>
      <c r="O7" s="73">
        <v>0</v>
      </c>
      <c r="P7" s="73">
        <v>0</v>
      </c>
      <c r="Q7" s="83">
        <f t="shared" si="4"/>
        <v>0</v>
      </c>
      <c r="S7" s="73">
        <f t="shared" si="5"/>
        <v>-68309.805123952872</v>
      </c>
      <c r="T7" s="73">
        <f t="shared" si="6"/>
        <v>-68310.880274687894</v>
      </c>
      <c r="U7" s="83">
        <f t="shared" si="7"/>
        <v>1.0751507350214524</v>
      </c>
      <c r="W7" s="73">
        <v>-68309.807194437904</v>
      </c>
      <c r="X7" s="73">
        <f t="shared" si="8"/>
        <v>-68310.880274687894</v>
      </c>
      <c r="Y7" s="83">
        <f t="shared" si="9"/>
        <v>1.0730802499892889</v>
      </c>
    </row>
    <row r="8" spans="1:25" ht="13.5" thickBot="1" x14ac:dyDescent="0.25">
      <c r="A8" s="84" t="s">
        <v>36</v>
      </c>
      <c r="B8" s="85">
        <v>0.24412784745096897</v>
      </c>
      <c r="C8" s="85">
        <v>0</v>
      </c>
      <c r="D8" s="86">
        <f t="shared" si="0"/>
        <v>0.24412784745096897</v>
      </c>
      <c r="E8" s="85">
        <v>0</v>
      </c>
      <c r="F8" s="85">
        <v>0</v>
      </c>
      <c r="G8" s="86">
        <f t="shared" si="1"/>
        <v>0</v>
      </c>
      <c r="H8" s="85">
        <v>0</v>
      </c>
      <c r="I8" s="85">
        <v>0</v>
      </c>
      <c r="J8" s="86">
        <f t="shared" si="2"/>
        <v>0</v>
      </c>
      <c r="K8" s="85">
        <v>0</v>
      </c>
      <c r="L8" s="85">
        <v>0</v>
      </c>
      <c r="M8" s="86">
        <f t="shared" si="3"/>
        <v>0</v>
      </c>
      <c r="N8" s="100"/>
      <c r="O8" s="85">
        <v>0</v>
      </c>
      <c r="P8" s="85">
        <v>0</v>
      </c>
      <c r="Q8" s="86">
        <f t="shared" si="4"/>
        <v>0</v>
      </c>
      <c r="R8" s="100"/>
      <c r="S8" s="85">
        <f t="shared" si="5"/>
        <v>0.24412784745096897</v>
      </c>
      <c r="T8" s="85">
        <f t="shared" si="6"/>
        <v>0</v>
      </c>
      <c r="U8" s="86">
        <f t="shared" si="7"/>
        <v>0.24412784745096897</v>
      </c>
      <c r="W8" s="85">
        <v>0</v>
      </c>
      <c r="X8" s="85">
        <f t="shared" si="8"/>
        <v>0</v>
      </c>
      <c r="Y8" s="86">
        <f t="shared" si="9"/>
        <v>0</v>
      </c>
    </row>
    <row r="9" spans="1:25" x14ac:dyDescent="0.2">
      <c r="A9" s="80" t="s">
        <v>37</v>
      </c>
      <c r="B9" s="81">
        <v>3518.5425426433285</v>
      </c>
      <c r="C9" s="81">
        <f>+C5+C6</f>
        <v>3519.2526704907818</v>
      </c>
      <c r="D9" s="82">
        <f t="shared" si="0"/>
        <v>-0.71012784745335011</v>
      </c>
      <c r="E9" s="81">
        <v>-172.60881212974414</v>
      </c>
      <c r="F9" s="81">
        <f>+F5+F6</f>
        <v>-207.87706355093292</v>
      </c>
      <c r="G9" s="82">
        <f t="shared" si="1"/>
        <v>35.268251421188779</v>
      </c>
      <c r="H9" s="81">
        <v>1178.5187023550022</v>
      </c>
      <c r="I9" s="81">
        <f>+I5+I6</f>
        <v>1220.7458254574879</v>
      </c>
      <c r="J9" s="82">
        <f t="shared" si="2"/>
        <v>-42.227123102485621</v>
      </c>
      <c r="K9" s="81">
        <v>-10050.243057380416</v>
      </c>
      <c r="L9" s="81">
        <f>+L5+L6</f>
        <v>-10049.59452065937</v>
      </c>
      <c r="M9" s="82">
        <f t="shared" si="3"/>
        <v>-0.64853672104618454</v>
      </c>
      <c r="O9" s="81">
        <v>11229.481460904961</v>
      </c>
      <c r="P9" s="81">
        <f>+P5+P6</f>
        <v>11229.845681015477</v>
      </c>
      <c r="Q9" s="82">
        <f t="shared" si="4"/>
        <v>-0.36422011051581649</v>
      </c>
      <c r="S9" s="81">
        <f t="shared" si="5"/>
        <v>5703.6908363931316</v>
      </c>
      <c r="T9" s="81">
        <f t="shared" si="6"/>
        <v>5712.3725927534433</v>
      </c>
      <c r="U9" s="82">
        <f t="shared" si="7"/>
        <v>-8.6817563603117378</v>
      </c>
      <c r="W9" s="81">
        <v>5703.990309723913</v>
      </c>
      <c r="X9" s="81">
        <f t="shared" si="8"/>
        <v>5712.3725927534433</v>
      </c>
      <c r="Y9" s="82">
        <f t="shared" si="9"/>
        <v>-8.3822830295302992</v>
      </c>
    </row>
    <row r="10" spans="1:25" x14ac:dyDescent="0.2">
      <c r="A10" s="74" t="s">
        <v>38</v>
      </c>
      <c r="B10" s="73">
        <v>3310.2386426606217</v>
      </c>
      <c r="C10" s="73">
        <f>+'SUM-USD'!B15/1000</f>
        <v>3310.2386426606217</v>
      </c>
      <c r="D10" s="83">
        <f t="shared" si="0"/>
        <v>0</v>
      </c>
      <c r="E10" s="73">
        <v>863.1137812383588</v>
      </c>
      <c r="F10" s="73">
        <f>+'SUM-USD'!C15/1000</f>
        <v>863.1137812383588</v>
      </c>
      <c r="G10" s="83">
        <f t="shared" si="1"/>
        <v>0</v>
      </c>
      <c r="H10" s="73">
        <v>426.05406457963318</v>
      </c>
      <c r="I10" s="73">
        <f>+'SUM-USD'!D15/1000</f>
        <v>428.52436315739618</v>
      </c>
      <c r="J10" s="83">
        <f t="shared" si="2"/>
        <v>-2.4702985777630033</v>
      </c>
      <c r="K10" s="73">
        <v>642.62697300131629</v>
      </c>
      <c r="L10" s="73">
        <f>+'SUM-USD'!E15/1000</f>
        <v>642.72601370370307</v>
      </c>
      <c r="M10" s="83">
        <f t="shared" si="3"/>
        <v>-9.9040702386787416E-2</v>
      </c>
      <c r="O10" s="73">
        <v>983.68641789795333</v>
      </c>
      <c r="P10" s="73">
        <f>+'SUM-USD'!F15/1000</f>
        <v>984.04270140919982</v>
      </c>
      <c r="Q10" s="83">
        <f t="shared" si="4"/>
        <v>-0.35628351124648816</v>
      </c>
      <c r="S10" s="73">
        <f t="shared" si="5"/>
        <v>6225.7198793778825</v>
      </c>
      <c r="T10" s="73">
        <f t="shared" si="6"/>
        <v>6228.6455021692791</v>
      </c>
      <c r="U10" s="83">
        <f t="shared" si="7"/>
        <v>-2.9256227913965631</v>
      </c>
      <c r="W10" s="73">
        <v>6225.7200290269366</v>
      </c>
      <c r="X10" s="73">
        <f t="shared" si="8"/>
        <v>6228.6455021692791</v>
      </c>
      <c r="Y10" s="83">
        <f t="shared" si="9"/>
        <v>-2.9254731423425255</v>
      </c>
    </row>
    <row r="11" spans="1:25" x14ac:dyDescent="0.2">
      <c r="A11" s="74" t="s">
        <v>39</v>
      </c>
      <c r="B11" s="73">
        <v>1705.5060371317893</v>
      </c>
      <c r="C11" s="73">
        <f>+'SUM-USD'!B14/1000</f>
        <v>1704.5643488831688</v>
      </c>
      <c r="D11" s="83">
        <f t="shared" si="0"/>
        <v>0.94168824862049405</v>
      </c>
      <c r="E11" s="73">
        <v>-553.07087163365702</v>
      </c>
      <c r="F11" s="73">
        <f>+'SUM-USD'!C14/1000</f>
        <v>-553.07087163365702</v>
      </c>
      <c r="G11" s="83">
        <f t="shared" si="1"/>
        <v>0</v>
      </c>
      <c r="H11" s="73">
        <v>788.94537151176974</v>
      </c>
      <c r="I11" s="73">
        <f>+'SUM-USD'!D14/1000</f>
        <v>793.51974549667966</v>
      </c>
      <c r="J11" s="83">
        <f t="shared" si="2"/>
        <v>-4.5743739849099256</v>
      </c>
      <c r="K11" s="73">
        <v>757.86640207401683</v>
      </c>
      <c r="L11" s="73">
        <f>+'SUM-USD'!E14/1000</f>
        <v>757.98320330385968</v>
      </c>
      <c r="M11" s="83">
        <f t="shared" si="3"/>
        <v>-0.11680122984284935</v>
      </c>
      <c r="O11" s="73">
        <v>2092.7294240864289</v>
      </c>
      <c r="P11" s="73">
        <f>+'SUM-USD'!F14/1000</f>
        <v>2093.4873942827603</v>
      </c>
      <c r="Q11" s="83">
        <f t="shared" si="4"/>
        <v>-0.75797019633137097</v>
      </c>
      <c r="S11" s="73">
        <f t="shared" si="5"/>
        <v>4791.9763631703481</v>
      </c>
      <c r="T11" s="73">
        <f t="shared" si="6"/>
        <v>4796.4838203328109</v>
      </c>
      <c r="U11" s="83">
        <f t="shared" si="7"/>
        <v>-4.5074571624627424</v>
      </c>
      <c r="W11" s="73">
        <v>4791.9767254449389</v>
      </c>
      <c r="X11" s="73">
        <f t="shared" si="8"/>
        <v>4796.4838203328109</v>
      </c>
      <c r="Y11" s="83">
        <f t="shared" si="9"/>
        <v>-4.5070948878719719</v>
      </c>
    </row>
    <row r="12" spans="1:25" x14ac:dyDescent="0.2">
      <c r="A12" s="74" t="s">
        <v>40</v>
      </c>
      <c r="B12" s="73">
        <v>2383.2964477438491</v>
      </c>
      <c r="C12" s="73">
        <f>+C8+C7</f>
        <v>2383.0523198963974</v>
      </c>
      <c r="D12" s="83">
        <f t="shared" si="0"/>
        <v>0.24412784745163663</v>
      </c>
      <c r="E12" s="73">
        <v>2393.5652765558098</v>
      </c>
      <c r="F12" s="73">
        <f>+F8+F7</f>
        <v>2393.5652765558089</v>
      </c>
      <c r="G12" s="83">
        <f t="shared" si="1"/>
        <v>0</v>
      </c>
      <c r="H12" s="73">
        <v>-32195.268769531413</v>
      </c>
      <c r="I12" s="73">
        <f>+I8+I7</f>
        <v>-32195.266832531262</v>
      </c>
      <c r="J12" s="83">
        <f t="shared" si="2"/>
        <v>-1.9370001500647049E-3</v>
      </c>
      <c r="K12" s="73">
        <v>-40891.153950873668</v>
      </c>
      <c r="L12" s="73">
        <f>+'SUM-USD'!E32/1000</f>
        <v>-40891.153950873675</v>
      </c>
      <c r="M12" s="83">
        <f t="shared" si="3"/>
        <v>0</v>
      </c>
      <c r="O12" s="73">
        <v>0</v>
      </c>
      <c r="P12" s="73">
        <f>+'SUM-USD'!F32/1000</f>
        <v>0</v>
      </c>
      <c r="Q12" s="83">
        <f t="shared" si="4"/>
        <v>0</v>
      </c>
      <c r="S12" s="73">
        <f t="shared" si="5"/>
        <v>-68309.560996105429</v>
      </c>
      <c r="T12" s="73">
        <f t="shared" si="6"/>
        <v>-68309.803186952733</v>
      </c>
      <c r="U12" s="83">
        <f t="shared" si="7"/>
        <v>0.24219084730430041</v>
      </c>
      <c r="W12" s="73">
        <v>-68309.807194437904</v>
      </c>
      <c r="X12" s="73">
        <f t="shared" si="8"/>
        <v>-68309.803186952733</v>
      </c>
      <c r="Y12" s="83">
        <f t="shared" si="9"/>
        <v>-4.0074851713143289E-3</v>
      </c>
    </row>
    <row r="13" spans="1:25" x14ac:dyDescent="0.2">
      <c r="A13" s="74" t="s">
        <v>41</v>
      </c>
      <c r="B13" s="73">
        <v>5334.6681737164918</v>
      </c>
      <c r="C13" s="73">
        <f>+C19</f>
        <v>5357.2423897349299</v>
      </c>
      <c r="D13" s="99">
        <f t="shared" si="0"/>
        <v>-22.574216018438165</v>
      </c>
      <c r="E13" s="73">
        <v>628.92415222293346</v>
      </c>
      <c r="F13" s="73">
        <f>+F19</f>
        <v>606.34993620449495</v>
      </c>
      <c r="G13" s="99">
        <f t="shared" si="1"/>
        <v>22.574216018438506</v>
      </c>
      <c r="H13" s="73">
        <v>880.52769567845723</v>
      </c>
      <c r="I13" s="73">
        <f>+I19</f>
        <v>880.52769567845723</v>
      </c>
      <c r="J13" s="101">
        <f t="shared" si="2"/>
        <v>0</v>
      </c>
      <c r="K13" s="73">
        <v>3270.6948418641423</v>
      </c>
      <c r="L13" s="73">
        <f>+L19</f>
        <v>3270.6948418641423</v>
      </c>
      <c r="M13" s="101">
        <f t="shared" si="3"/>
        <v>0</v>
      </c>
      <c r="O13" s="73">
        <v>587.25852205482545</v>
      </c>
      <c r="P13" s="73">
        <f>+P19</f>
        <v>587.25852205482545</v>
      </c>
      <c r="Q13" s="101">
        <f t="shared" si="4"/>
        <v>0</v>
      </c>
      <c r="S13" s="73">
        <f t="shared" si="5"/>
        <v>10702.073385536851</v>
      </c>
      <c r="T13" s="73">
        <f t="shared" si="6"/>
        <v>10702.073385536851</v>
      </c>
      <c r="U13" s="101">
        <f t="shared" si="7"/>
        <v>0</v>
      </c>
      <c r="W13" s="73">
        <v>10702.073385536849</v>
      </c>
      <c r="X13" s="73">
        <f t="shared" si="8"/>
        <v>10702.073385536851</v>
      </c>
      <c r="Y13" s="101">
        <f t="shared" si="9"/>
        <v>0</v>
      </c>
    </row>
    <row r="14" spans="1:25" x14ac:dyDescent="0.2">
      <c r="A14" s="74" t="s">
        <v>42</v>
      </c>
      <c r="B14" s="87">
        <v>-244.63406350522001</v>
      </c>
      <c r="C14" s="87">
        <f>+'SUM-USD'!B33/1000</f>
        <v>-244.63406350522013</v>
      </c>
      <c r="D14" s="88">
        <f t="shared" si="0"/>
        <v>0</v>
      </c>
      <c r="E14" s="87">
        <v>2437.4245527596918</v>
      </c>
      <c r="F14" s="87">
        <f>+'SUM-USD'!C33/1000</f>
        <v>2437.4245527596918</v>
      </c>
      <c r="G14" s="88">
        <f t="shared" si="1"/>
        <v>0</v>
      </c>
      <c r="H14" s="87">
        <v>6258.2864477015955</v>
      </c>
      <c r="I14" s="87">
        <f>+'SUM-USD'!D33/1000</f>
        <v>6259.2506822544938</v>
      </c>
      <c r="J14" s="88">
        <f t="shared" si="2"/>
        <v>-0.96423455289823323</v>
      </c>
      <c r="K14" s="87">
        <v>-884.6805942763126</v>
      </c>
      <c r="L14" s="87">
        <f>+'SUM-USD'!E33/1000</f>
        <v>-884.68640096923423</v>
      </c>
      <c r="M14" s="88">
        <f t="shared" si="3"/>
        <v>5.806692921623835E-3</v>
      </c>
      <c r="O14" s="87">
        <v>3403.1191429379419</v>
      </c>
      <c r="P14" s="87">
        <f>+'SUM-USD'!F33/1000</f>
        <v>3403.1665225574534</v>
      </c>
      <c r="Q14" s="88">
        <f t="shared" si="4"/>
        <v>-4.7379619511502824E-2</v>
      </c>
      <c r="S14" s="87">
        <f t="shared" si="5"/>
        <v>10969.515485617696</v>
      </c>
      <c r="T14" s="87">
        <f t="shared" si="6"/>
        <v>10970.521293097183</v>
      </c>
      <c r="U14" s="88">
        <f t="shared" si="7"/>
        <v>-1.0058074794869754</v>
      </c>
      <c r="W14" s="87">
        <v>10969.517379462148</v>
      </c>
      <c r="X14" s="87">
        <f t="shared" si="8"/>
        <v>10970.521293097183</v>
      </c>
      <c r="Y14" s="88">
        <f t="shared" si="9"/>
        <v>-1.0039136350351328</v>
      </c>
    </row>
    <row r="15" spans="1:25" ht="13.5" thickBot="1" x14ac:dyDescent="0.25">
      <c r="A15" s="84" t="s">
        <v>5</v>
      </c>
      <c r="B15" s="85">
        <f>+SUM(B9:B14)</f>
        <v>16007.617780390859</v>
      </c>
      <c r="C15" s="85">
        <f>+SUM(C9:C14)</f>
        <v>16029.71630816068</v>
      </c>
      <c r="D15" s="86">
        <f>SUM(D9:D14)</f>
        <v>-22.098527769819384</v>
      </c>
      <c r="E15" s="85">
        <f>+SUM(E9:E14)</f>
        <v>5597.3480790133926</v>
      </c>
      <c r="F15" s="85">
        <f>+SUM(F9:F14)</f>
        <v>5539.5056115737643</v>
      </c>
      <c r="G15" s="86">
        <f>SUM(G9:G14)</f>
        <v>57.842467439627285</v>
      </c>
      <c r="H15" s="85">
        <f>+SUM(H9:H14)</f>
        <v>-22662.936487704952</v>
      </c>
      <c r="I15" s="85">
        <f>+SUM(I9:I14)</f>
        <v>-22612.698520486749</v>
      </c>
      <c r="J15" s="86">
        <f>SUM(J9:J14)</f>
        <v>-50.237967218206848</v>
      </c>
      <c r="K15" s="85">
        <f>+SUM(K9:K14)</f>
        <v>-47154.889385590919</v>
      </c>
      <c r="L15" s="85">
        <f>+SUM(L9:L14)</f>
        <v>-47154.030813630576</v>
      </c>
      <c r="M15" s="86">
        <f>SUM(M9:M14)</f>
        <v>-0.85857196035419747</v>
      </c>
      <c r="O15" s="85">
        <f>+SUM(O9:O14)</f>
        <v>18296.274967882113</v>
      </c>
      <c r="P15" s="85">
        <f>+SUM(P9:P14)</f>
        <v>18297.800821319717</v>
      </c>
      <c r="Q15" s="86">
        <f>SUM(Q9:Q14)</f>
        <v>-1.5258534376051784</v>
      </c>
      <c r="S15" s="85">
        <v>-48197.50741438289</v>
      </c>
      <c r="T15" s="85">
        <f>+SUM(T9:T14)</f>
        <v>-29899.706593063165</v>
      </c>
      <c r="U15" s="86">
        <f>SUM(U9:U14)</f>
        <v>-16.878452946353718</v>
      </c>
      <c r="W15" s="85">
        <f>+SUM(W9:W14)</f>
        <v>-29916.529365243117</v>
      </c>
      <c r="X15" s="85">
        <f>+SUM(X9:X14)</f>
        <v>-29899.706593063165</v>
      </c>
      <c r="Y15" s="86">
        <f>SUM(Y9:Y14)</f>
        <v>-16.822772179951244</v>
      </c>
    </row>
    <row r="16" spans="1:25" ht="13.5" thickBot="1" x14ac:dyDescent="0.25"/>
    <row r="17" spans="1:16" x14ac:dyDescent="0.2">
      <c r="A17" s="94" t="s">
        <v>47</v>
      </c>
      <c r="B17" s="92"/>
      <c r="C17" s="89">
        <f>+'[9]Orig Sched'!$O$181</f>
        <v>5334.6681737164918</v>
      </c>
      <c r="F17" s="89">
        <f>+'[11]Orig Sched'!$O$181-'[11]Orig Sched'!$O$127</f>
        <v>628.92415222293346</v>
      </c>
      <c r="I17" s="89">
        <f>+'[12]Orig Sched'!$O$183/1000</f>
        <v>880.52769567845723</v>
      </c>
      <c r="L17" s="89">
        <f>+'[16]Orig Sched'!$O$239/1000</f>
        <v>3270.6948418641423</v>
      </c>
      <c r="P17" s="89">
        <f>+'SUM-USD'!F40/1000</f>
        <v>587.25852205482545</v>
      </c>
    </row>
    <row r="18" spans="1:16" x14ac:dyDescent="0.2">
      <c r="A18" s="95" t="s">
        <v>48</v>
      </c>
      <c r="B18" s="6"/>
      <c r="C18" s="90">
        <f>+[8]Input!$Q$22/'SUM-USD'!B3/1000</f>
        <v>22.574216018438499</v>
      </c>
      <c r="F18" s="90">
        <f>-C18</f>
        <v>-22.574216018438499</v>
      </c>
      <c r="I18" s="90"/>
      <c r="L18" s="90"/>
      <c r="P18" s="90"/>
    </row>
    <row r="19" spans="1:16" ht="13.5" thickBot="1" x14ac:dyDescent="0.25">
      <c r="A19" s="96" t="s">
        <v>49</v>
      </c>
      <c r="B19" s="93"/>
      <c r="C19" s="91">
        <f>+C18+C17</f>
        <v>5357.2423897349299</v>
      </c>
      <c r="F19" s="91">
        <f>+F18+F17</f>
        <v>606.34993620449495</v>
      </c>
      <c r="I19" s="91">
        <f>+I18+I17</f>
        <v>880.52769567845723</v>
      </c>
      <c r="L19" s="91">
        <f>+L18+L17</f>
        <v>3270.6948418641423</v>
      </c>
      <c r="P19" s="91">
        <f>+P18+P17</f>
        <v>587.25852205482545</v>
      </c>
    </row>
  </sheetData>
  <phoneticPr fontId="0" type="noConversion"/>
  <pageMargins left="0.75" right="0.75" top="1" bottom="1" header="0.5" footer="0.5"/>
  <pageSetup orientation="portrait"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48"/>
  <sheetViews>
    <sheetView tabSelected="1" topLeftCell="A8" workbookViewId="0">
      <selection activeCell="A15" sqref="A15"/>
    </sheetView>
  </sheetViews>
  <sheetFormatPr defaultRowHeight="12.75" x14ac:dyDescent="0.2"/>
  <cols>
    <col min="1" max="1" width="22.28515625" customWidth="1"/>
    <col min="2" max="2" width="10.28515625" customWidth="1"/>
    <col min="3" max="3" width="9.85546875" customWidth="1"/>
    <col min="4" max="4" width="11" customWidth="1"/>
    <col min="5" max="5" width="10.140625" customWidth="1"/>
    <col min="6" max="6" width="9.85546875" customWidth="1"/>
    <col min="7" max="7" width="9.5703125" customWidth="1"/>
    <col min="8" max="8" width="10.42578125" hidden="1" customWidth="1"/>
    <col min="9" max="9" width="9.5703125" hidden="1" customWidth="1"/>
    <col min="10" max="13" width="10.140625" hidden="1" customWidth="1"/>
    <col min="14" max="14" width="1" style="6" customWidth="1"/>
    <col min="15" max="15" width="11.7109375" customWidth="1"/>
    <col min="16" max="16" width="1.7109375" customWidth="1"/>
    <col min="17" max="17" width="11.42578125" customWidth="1"/>
    <col min="18" max="18" width="10.28515625" customWidth="1"/>
    <col min="19" max="19" width="11.140625" customWidth="1"/>
    <col min="20" max="20" width="11" customWidth="1"/>
    <col min="21" max="21" width="2" customWidth="1"/>
    <col min="22" max="22" width="11.7109375" customWidth="1"/>
  </cols>
  <sheetData>
    <row r="1" spans="1:22" ht="18" x14ac:dyDescent="0.25">
      <c r="A1" s="78" t="s">
        <v>27</v>
      </c>
    </row>
    <row r="2" spans="1:22" ht="16.5" thickBot="1" x14ac:dyDescent="0.3">
      <c r="A2" s="2"/>
    </row>
    <row r="3" spans="1:22" ht="16.5" thickBot="1" x14ac:dyDescent="0.3">
      <c r="A3" s="60" t="s">
        <v>26</v>
      </c>
      <c r="B3" s="61">
        <f>+[9]SpotRates!$F$36</f>
        <v>1.5033106785317021</v>
      </c>
      <c r="C3" s="61">
        <f>+[11]SpotRates!$F$36</f>
        <v>1.5222321428571435</v>
      </c>
      <c r="D3" s="61">
        <f>+[12]SpotRates!$F$36</f>
        <v>1.5487866666666672</v>
      </c>
      <c r="E3" s="61">
        <f>+[16]SpotRates!$F$36</f>
        <v>1.5572433333333331</v>
      </c>
      <c r="F3" s="61">
        <f>+[17]SpotRates!$F$36</f>
        <v>1.5407967741935484</v>
      </c>
      <c r="G3" s="97">
        <f>+[1]SpotRates!$F$36</f>
        <v>1.4760866666666663</v>
      </c>
      <c r="H3" s="97">
        <f>+[2]SpotRates!$F$36</f>
        <v>1.4778161290322582</v>
      </c>
      <c r="I3" s="97">
        <f>+[3]SpotRates!$F$36</f>
        <v>1.4822467741935481</v>
      </c>
      <c r="J3" s="97">
        <f>+[4]SpotRates!$F$36</f>
        <v>1.4833206896551727</v>
      </c>
      <c r="K3" s="97">
        <f>+[5]SpotRates!$F$36</f>
        <v>1.5107942157953278</v>
      </c>
      <c r="L3" s="97">
        <f>+[6]SpotRates!$F$36</f>
        <v>1.5429099999999993</v>
      </c>
      <c r="M3" s="98">
        <f>+[7]SpotRates!$F$36</f>
        <v>1.5237310344827593</v>
      </c>
    </row>
    <row r="4" spans="1:22" ht="13.5" thickBot="1" x14ac:dyDescent="0.25">
      <c r="L4" s="54"/>
      <c r="M4" s="54"/>
      <c r="O4" s="64">
        <f>+'SUM - C$'!O17/'SUM-USD'!O19</f>
        <v>1.577954033608314</v>
      </c>
    </row>
    <row r="5" spans="1:22" x14ac:dyDescent="0.2">
      <c r="B5" s="36"/>
      <c r="C5" s="37"/>
      <c r="D5" s="37"/>
      <c r="E5" s="103"/>
      <c r="F5" s="37"/>
      <c r="G5" s="37"/>
      <c r="H5" s="37"/>
      <c r="I5" s="37"/>
      <c r="J5" s="37"/>
      <c r="K5" s="38"/>
      <c r="L5" s="38"/>
      <c r="M5" s="38"/>
      <c r="N5" s="37"/>
      <c r="O5" s="39"/>
      <c r="Q5" s="44"/>
      <c r="R5" s="45"/>
      <c r="S5" s="45"/>
      <c r="T5" s="46"/>
      <c r="U5" s="45"/>
      <c r="V5" s="47"/>
    </row>
    <row r="6" spans="1:22" ht="13.5" thickBot="1" x14ac:dyDescent="0.25">
      <c r="B6" s="59">
        <f>+'SUM - C$'!B4</f>
        <v>36892</v>
      </c>
      <c r="C6" s="53">
        <f>+'SUM - C$'!C4</f>
        <v>36923</v>
      </c>
      <c r="D6" s="53">
        <f>+'SUM - C$'!D4</f>
        <v>36951</v>
      </c>
      <c r="E6" s="53">
        <f>+'SUM - C$'!E4</f>
        <v>36982</v>
      </c>
      <c r="F6" s="53">
        <f>+'SUM - C$'!F4</f>
        <v>37012</v>
      </c>
      <c r="G6" s="53">
        <f>+'SUM - C$'!G4</f>
        <v>37043</v>
      </c>
      <c r="H6" s="53">
        <f>+'SUM - C$'!H4</f>
        <v>37073</v>
      </c>
      <c r="I6" s="53">
        <f>+'SUM - C$'!I4</f>
        <v>37104</v>
      </c>
      <c r="J6" s="53">
        <f>+'SUM - C$'!J4</f>
        <v>37135</v>
      </c>
      <c r="K6" s="53">
        <f>+'SUM - C$'!K4</f>
        <v>37165</v>
      </c>
      <c r="L6" s="53">
        <f>+'SUM - C$'!L4</f>
        <v>37196</v>
      </c>
      <c r="M6" s="53">
        <f>+'SUM - C$'!M4</f>
        <v>37226</v>
      </c>
      <c r="N6" s="42"/>
      <c r="O6" s="43" t="s">
        <v>5</v>
      </c>
      <c r="Q6" s="48" t="s">
        <v>17</v>
      </c>
      <c r="R6" s="49" t="s">
        <v>18</v>
      </c>
      <c r="S6" s="49" t="s">
        <v>19</v>
      </c>
      <c r="T6" s="49" t="s">
        <v>21</v>
      </c>
      <c r="U6" s="50"/>
      <c r="V6" s="51" t="s">
        <v>5</v>
      </c>
    </row>
    <row r="7" spans="1:22" x14ac:dyDescent="0.2">
      <c r="A7" s="10" t="s">
        <v>15</v>
      </c>
      <c r="B7" s="11"/>
      <c r="C7" s="11"/>
      <c r="D7" s="11"/>
      <c r="E7" s="11"/>
      <c r="F7" s="11"/>
      <c r="G7" s="11"/>
      <c r="H7" s="11"/>
      <c r="I7" s="11"/>
      <c r="J7" s="11"/>
      <c r="K7" s="11"/>
      <c r="L7" s="11"/>
      <c r="M7" s="11"/>
      <c r="N7" s="12"/>
      <c r="O7" s="13"/>
      <c r="Q7" s="23" t="str">
        <f>+A7</f>
        <v>BY BOOK:</v>
      </c>
      <c r="R7" s="24"/>
      <c r="S7" s="24"/>
      <c r="T7" s="24"/>
      <c r="U7" s="12"/>
      <c r="V7" s="13"/>
    </row>
    <row r="8" spans="1:22" x14ac:dyDescent="0.2">
      <c r="A8" s="14" t="s">
        <v>6</v>
      </c>
      <c r="B8" s="52"/>
      <c r="C8" s="15"/>
      <c r="D8" s="15"/>
      <c r="E8" s="15"/>
      <c r="F8" s="15"/>
      <c r="G8" s="15"/>
      <c r="H8" s="15"/>
      <c r="I8" s="15"/>
      <c r="J8" s="15"/>
      <c r="K8" s="15"/>
      <c r="L8" s="15"/>
      <c r="M8" s="15"/>
      <c r="N8" s="7"/>
      <c r="O8" s="16"/>
      <c r="Q8" s="25"/>
      <c r="R8" s="15"/>
      <c r="S8" s="15"/>
      <c r="T8" s="15"/>
      <c r="U8" s="7"/>
      <c r="V8" s="16"/>
    </row>
    <row r="9" spans="1:22" x14ac:dyDescent="0.2">
      <c r="A9" s="17" t="str">
        <f>+'SUM - C$'!A7</f>
        <v>Alberta Term</v>
      </c>
      <c r="B9" s="55">
        <f>+'SUM - C$'!B7/'SUM-USD'!B$3</f>
        <v>539181.774981922</v>
      </c>
      <c r="C9" s="55">
        <f>+'SUM - C$'!C7/'SUM-USD'!C$3</f>
        <v>-579384.03425420821</v>
      </c>
      <c r="D9" s="55">
        <f>+'SUM - C$'!D7/'SUM-USD'!D$3</f>
        <v>10911.819144448602</v>
      </c>
      <c r="E9" s="55">
        <f>+'SUM - C$'!E7/'SUM-USD'!E$3</f>
        <v>1272910.7375640287</v>
      </c>
      <c r="F9" s="55">
        <f>+'SUM - C$'!F7/'SUM-USD'!F$3</f>
        <v>4964672.2579645636</v>
      </c>
      <c r="G9" s="62">
        <f>+'SUM - C$'!G7/'SUM-USD'!G$3</f>
        <v>0</v>
      </c>
      <c r="H9" s="62">
        <f>+'SUM - C$'!H7/'SUM-USD'!H$3</f>
        <v>0</v>
      </c>
      <c r="I9" s="62">
        <f>+'SUM - C$'!I7/'SUM-USD'!I$3</f>
        <v>0</v>
      </c>
      <c r="J9" s="62">
        <f>+'SUM - C$'!J7/'SUM-USD'!J$3</f>
        <v>0</v>
      </c>
      <c r="K9" s="62">
        <f>+'SUM - C$'!K7/'SUM-USD'!K$3</f>
        <v>0</v>
      </c>
      <c r="L9" s="62">
        <f>+'SUM - C$'!L7/'SUM-USD'!L$3</f>
        <v>0</v>
      </c>
      <c r="M9" s="62">
        <f>+'SUM - C$'!M7/'SUM-USD'!M$3</f>
        <v>0</v>
      </c>
      <c r="N9" s="8"/>
      <c r="O9" s="18">
        <f>SUM(B9:N9)</f>
        <v>6208292.5554007543</v>
      </c>
      <c r="P9" s="1"/>
      <c r="Q9" s="26">
        <f>+SUM(B9:D9)</f>
        <v>-29290.440127837603</v>
      </c>
      <c r="R9" s="8">
        <f>+SUM(E9:G9)</f>
        <v>6237582.9955285918</v>
      </c>
      <c r="S9" s="8">
        <f>+SUM(H9:J9)</f>
        <v>0</v>
      </c>
      <c r="T9" s="8">
        <f t="shared" ref="T9:T18" si="0">+SUM(K9:M9)</f>
        <v>0</v>
      </c>
      <c r="U9" s="8"/>
      <c r="V9" s="18">
        <f>SUM(Q9:U9)</f>
        <v>6208292.5554007543</v>
      </c>
    </row>
    <row r="10" spans="1:22" x14ac:dyDescent="0.2">
      <c r="A10" s="17" t="str">
        <f>+'SUM - C$'!A8</f>
        <v>BC Term</v>
      </c>
      <c r="B10" s="58">
        <f>+'SUM - C$'!B8/'SUM-USD'!B$3</f>
        <v>2383052.3198963976</v>
      </c>
      <c r="C10" s="58">
        <f>+'SUM - C$'!C8/'SUM-USD'!C$3</f>
        <v>2393565.2765558087</v>
      </c>
      <c r="D10" s="58">
        <f>+'SUM - C$'!D8/'SUM-USD'!D$3</f>
        <v>-32195266.832531262</v>
      </c>
      <c r="E10" s="58">
        <f>+'SUM - C$'!E8/'SUM-USD'!E$3</f>
        <v>-53405231.038608834</v>
      </c>
      <c r="F10" s="58">
        <f>+'SUM - C$'!F8/'SUM-USD'!F$3</f>
        <v>5140445.6010400988</v>
      </c>
      <c r="G10" s="62">
        <f>+'SUM - C$'!G8/'SUM-USD'!G$3</f>
        <v>0</v>
      </c>
      <c r="H10" s="62">
        <f>+'SUM - C$'!H8/'SUM-USD'!H$3</f>
        <v>0</v>
      </c>
      <c r="I10" s="62">
        <f>+'SUM - C$'!I8/'SUM-USD'!I$3</f>
        <v>0</v>
      </c>
      <c r="J10" s="62">
        <f>+'SUM - C$'!J8/'SUM-USD'!J$3</f>
        <v>0</v>
      </c>
      <c r="K10" s="62">
        <f>+'SUM - C$'!K8/'SUM-USD'!K$3</f>
        <v>0</v>
      </c>
      <c r="L10" s="62">
        <f>+'SUM - C$'!L8/'SUM-USD'!L$3</f>
        <v>0</v>
      </c>
      <c r="M10" s="62">
        <f>+'SUM - C$'!M8/'SUM-USD'!M$3</f>
        <v>0</v>
      </c>
      <c r="N10" s="8"/>
      <c r="O10" s="18">
        <f t="shared" ref="O10:O18" si="1">SUM(B10:N10)</f>
        <v>-75683434.673647791</v>
      </c>
      <c r="P10" s="1"/>
      <c r="Q10" s="26">
        <f t="shared" ref="Q10:Q18" si="2">+SUM(B10:D10)</f>
        <v>-27418649.236079056</v>
      </c>
      <c r="R10" s="8">
        <f t="shared" ref="R10:R18" si="3">+SUM(E10:G10)</f>
        <v>-48264785.437568739</v>
      </c>
      <c r="S10" s="8">
        <f t="shared" ref="S10:S18" si="4">+SUM(H10:J10)</f>
        <v>0</v>
      </c>
      <c r="T10" s="8">
        <f t="shared" si="0"/>
        <v>0</v>
      </c>
      <c r="U10" s="8"/>
      <c r="V10" s="18">
        <f>SUM(Q10:U10)</f>
        <v>-75683434.673647791</v>
      </c>
    </row>
    <row r="11" spans="1:22" x14ac:dyDescent="0.2">
      <c r="A11" s="17" t="str">
        <f>+'SUM - C$'!A9</f>
        <v>Pipe Book - Term</v>
      </c>
      <c r="B11" s="55">
        <f>+'SUM - C$'!B9/'SUM-USD'!B$3</f>
        <v>3795824.8294846159</v>
      </c>
      <c r="C11" s="55">
        <f>+'SUM - C$'!C9/'SUM-USD'!C$3</f>
        <v>120136.73529239246</v>
      </c>
      <c r="D11" s="55">
        <f>+'SUM - C$'!D9/'SUM-USD'!D$3</f>
        <v>-17791.9920109505</v>
      </c>
      <c r="E11" s="55">
        <f>+'SUM - C$'!E9/'SUM-USD'!E$3</f>
        <v>0</v>
      </c>
      <c r="F11" s="55">
        <f>+'SUM - C$'!F9/'SUM-USD'!F$3</f>
        <v>0</v>
      </c>
      <c r="G11" s="62">
        <f>+'SUM - C$'!G9/'SUM-USD'!G$3</f>
        <v>0</v>
      </c>
      <c r="H11" s="62">
        <f>+'SUM - C$'!H9/'SUM-USD'!H$3</f>
        <v>0</v>
      </c>
      <c r="I11" s="62">
        <f>+'SUM - C$'!I9/'SUM-USD'!I$3</f>
        <v>0</v>
      </c>
      <c r="J11" s="62">
        <f>+'SUM - C$'!J9/'SUM-USD'!J$3</f>
        <v>0</v>
      </c>
      <c r="K11" s="62">
        <f>+'SUM - C$'!K9/'SUM-USD'!K$3</f>
        <v>0</v>
      </c>
      <c r="L11" s="62">
        <f>+'SUM - C$'!L9/'SUM-USD'!L$3</f>
        <v>0</v>
      </c>
      <c r="M11" s="62">
        <f>+'SUM - C$'!M9/'SUM-USD'!M$3</f>
        <v>0</v>
      </c>
      <c r="N11" s="8"/>
      <c r="O11" s="18">
        <f t="shared" si="1"/>
        <v>3898169.5727660577</v>
      </c>
      <c r="P11" s="1"/>
      <c r="Q11" s="26">
        <f t="shared" si="2"/>
        <v>3898169.5727660577</v>
      </c>
      <c r="R11" s="8">
        <f t="shared" si="3"/>
        <v>0</v>
      </c>
      <c r="S11" s="8">
        <f t="shared" si="4"/>
        <v>0</v>
      </c>
      <c r="T11" s="8">
        <f t="shared" si="0"/>
        <v>0</v>
      </c>
      <c r="U11" s="8"/>
      <c r="V11" s="18">
        <f>SUM(Q11:U11)</f>
        <v>3898169.5727660577</v>
      </c>
    </row>
    <row r="12" spans="1:22" x14ac:dyDescent="0.2">
      <c r="A12" s="17" t="str">
        <f>+'SUM - C$'!A10</f>
        <v>Options</v>
      </c>
      <c r="B12" s="56">
        <f>+'SUM - C$'!B10/'SUM-USD'!B$3</f>
        <v>-292967.38610954548</v>
      </c>
      <c r="C12" s="56">
        <f>+'SUM - C$'!C10/'SUM-USD'!C$3</f>
        <v>2353851.2288110731</v>
      </c>
      <c r="D12" s="56">
        <f>+'SUM - C$'!D10/'SUM-USD'!D$3</f>
        <v>6091984.2629499203</v>
      </c>
      <c r="E12" s="56">
        <f>+'SUM - C$'!E10/'SUM-USD'!E$3</f>
        <v>-847003.78660581855</v>
      </c>
      <c r="F12" s="56">
        <f>+'SUM - C$'!F10/'SUM-USD'!F$3</f>
        <v>3272305.6566878888</v>
      </c>
      <c r="G12" s="62">
        <f>+'SUM - C$'!G10/'SUM-USD'!G$3</f>
        <v>0</v>
      </c>
      <c r="H12" s="62">
        <f>+'SUM - C$'!H10/'SUM-USD'!H$3</f>
        <v>0</v>
      </c>
      <c r="I12" s="62">
        <f>+'SUM - C$'!I10/'SUM-USD'!I$3</f>
        <v>0</v>
      </c>
      <c r="J12" s="62">
        <f>+'SUM - C$'!J10/'SUM-USD'!J$3</f>
        <v>0</v>
      </c>
      <c r="K12" s="62">
        <f>+'SUM - C$'!K10/'SUM-USD'!K$3</f>
        <v>0</v>
      </c>
      <c r="L12" s="62">
        <f>+'SUM - C$'!L10/'SUM-USD'!L$3</f>
        <v>0</v>
      </c>
      <c r="M12" s="62">
        <f>+'SUM - C$'!M10/'SUM-USD'!M$3</f>
        <v>0</v>
      </c>
      <c r="N12" s="8"/>
      <c r="O12" s="18">
        <f t="shared" si="1"/>
        <v>10578169.975733519</v>
      </c>
      <c r="P12" s="1"/>
      <c r="Q12" s="26">
        <f t="shared" si="2"/>
        <v>8152868.1056514475</v>
      </c>
      <c r="R12" s="8">
        <f t="shared" si="3"/>
        <v>2425301.8700820701</v>
      </c>
      <c r="S12" s="8">
        <f t="shared" si="4"/>
        <v>0</v>
      </c>
      <c r="T12" s="8">
        <f t="shared" si="0"/>
        <v>0</v>
      </c>
      <c r="U12" s="8"/>
      <c r="V12" s="18">
        <f>SUM(Q12:U12)</f>
        <v>10578169.975733519</v>
      </c>
    </row>
    <row r="13" spans="1:22" x14ac:dyDescent="0.2">
      <c r="A13" s="14" t="s">
        <v>7</v>
      </c>
      <c r="B13" s="8"/>
      <c r="C13" s="8"/>
      <c r="D13" s="8"/>
      <c r="E13" s="8"/>
      <c r="F13" s="8"/>
      <c r="G13" s="62"/>
      <c r="H13" s="62"/>
      <c r="I13" s="62"/>
      <c r="J13" s="62"/>
      <c r="K13" s="62"/>
      <c r="L13" s="62"/>
      <c r="M13" s="62"/>
      <c r="N13" s="8"/>
      <c r="O13" s="18"/>
      <c r="P13" s="1"/>
      <c r="Q13" s="26">
        <f t="shared" si="2"/>
        <v>0</v>
      </c>
      <c r="R13" s="8">
        <f t="shared" si="3"/>
        <v>0</v>
      </c>
      <c r="S13" s="8">
        <f t="shared" si="4"/>
        <v>0</v>
      </c>
      <c r="T13" s="8">
        <f t="shared" si="0"/>
        <v>0</v>
      </c>
      <c r="U13" s="8"/>
      <c r="V13" s="18"/>
    </row>
    <row r="14" spans="1:22" x14ac:dyDescent="0.2">
      <c r="A14" s="17" t="s">
        <v>8</v>
      </c>
      <c r="B14" s="57">
        <f>+'SUM - C$'!B12/'SUM-USD'!B$3</f>
        <v>1704564.3488831688</v>
      </c>
      <c r="C14" s="57">
        <f>+'SUM - C$'!C12/'SUM-USD'!C$3</f>
        <v>-553070.87163365702</v>
      </c>
      <c r="D14" s="57">
        <f>+'SUM - C$'!D12/'SUM-USD'!D$3</f>
        <v>793519.74549667968</v>
      </c>
      <c r="E14" s="57">
        <f>+'SUM - C$'!E12/'SUM-USD'!E$3</f>
        <v>757983.20330385969</v>
      </c>
      <c r="F14" s="57">
        <f>+'SUM - C$'!F12/'SUM-USD'!F$3</f>
        <v>2093487.3942827603</v>
      </c>
      <c r="G14" s="62">
        <f>+'SUM - C$'!G12/'SUM-USD'!G$3</f>
        <v>0</v>
      </c>
      <c r="H14" s="62">
        <f>+'SUM - C$'!H12/'SUM-USD'!H$3</f>
        <v>0</v>
      </c>
      <c r="I14" s="62">
        <f>+'SUM - C$'!I12/'SUM-USD'!I$3</f>
        <v>0</v>
      </c>
      <c r="J14" s="62">
        <f>+'SUM - C$'!J12/'SUM-USD'!J$3</f>
        <v>0</v>
      </c>
      <c r="K14" s="62">
        <f>+'SUM - C$'!K12/'SUM-USD'!K$3</f>
        <v>0</v>
      </c>
      <c r="L14" s="62">
        <f>+'SUM - C$'!L12/'SUM-USD'!L$3</f>
        <v>0</v>
      </c>
      <c r="M14" s="62">
        <f>+'SUM - C$'!M12/'SUM-USD'!M$3</f>
        <v>0</v>
      </c>
      <c r="N14" s="8"/>
      <c r="O14" s="18">
        <f t="shared" si="1"/>
        <v>4796483.8203328112</v>
      </c>
      <c r="P14" s="1"/>
      <c r="Q14" s="26">
        <f t="shared" si="2"/>
        <v>1945013.2227461915</v>
      </c>
      <c r="R14" s="8">
        <f t="shared" si="3"/>
        <v>2851470.5975866201</v>
      </c>
      <c r="S14" s="8">
        <f t="shared" si="4"/>
        <v>0</v>
      </c>
      <c r="T14" s="8">
        <f t="shared" si="0"/>
        <v>0</v>
      </c>
      <c r="U14" s="8"/>
      <c r="V14" s="18">
        <f>SUM(Q14:U14)</f>
        <v>4796483.8203328121</v>
      </c>
    </row>
    <row r="15" spans="1:22" x14ac:dyDescent="0.2">
      <c r="A15" s="17" t="s">
        <v>9</v>
      </c>
      <c r="B15" s="63">
        <f>+'SUM - C$'!B13/'SUM-USD'!B$3</f>
        <v>3310238.6426606216</v>
      </c>
      <c r="C15" s="63">
        <f>+'SUM - C$'!C13/'SUM-USD'!C$3</f>
        <v>863113.78123835882</v>
      </c>
      <c r="D15" s="63">
        <f>+'SUM - C$'!D13/'SUM-USD'!D$3</f>
        <v>428524.3631573962</v>
      </c>
      <c r="E15" s="63">
        <f>+'SUM - C$'!E13/'SUM-USD'!E$3</f>
        <v>642726.01370370307</v>
      </c>
      <c r="F15" s="63">
        <f>+'SUM - C$'!F13/'SUM-USD'!F$3</f>
        <v>984042.70140919986</v>
      </c>
      <c r="G15" s="62">
        <f>+'SUM - C$'!G13/'SUM-USD'!G$3</f>
        <v>0</v>
      </c>
      <c r="H15" s="62">
        <f>+'SUM - C$'!H13/'SUM-USD'!H$3</f>
        <v>0</v>
      </c>
      <c r="I15" s="62">
        <f>+'SUM - C$'!I13/'SUM-USD'!I$3</f>
        <v>0</v>
      </c>
      <c r="J15" s="62">
        <f>+'SUM - C$'!J13/'SUM-USD'!J$3</f>
        <v>0</v>
      </c>
      <c r="K15" s="62">
        <f>+'SUM - C$'!K13/'SUM-USD'!K$3</f>
        <v>0</v>
      </c>
      <c r="L15" s="62">
        <f>+'SUM - C$'!L13/'SUM-USD'!L$3</f>
        <v>0</v>
      </c>
      <c r="M15" s="62">
        <f>+'SUM - C$'!M13/'SUM-USD'!M$3</f>
        <v>0</v>
      </c>
      <c r="N15" s="8"/>
      <c r="O15" s="18">
        <f t="shared" si="1"/>
        <v>6228645.5021692803</v>
      </c>
      <c r="P15" s="1"/>
      <c r="Q15" s="26">
        <f t="shared" si="2"/>
        <v>4601876.7870563772</v>
      </c>
      <c r="R15" s="8">
        <f t="shared" si="3"/>
        <v>1626768.7151129029</v>
      </c>
      <c r="S15" s="8">
        <f t="shared" si="4"/>
        <v>0</v>
      </c>
      <c r="T15" s="8">
        <f t="shared" si="0"/>
        <v>0</v>
      </c>
      <c r="U15" s="8"/>
      <c r="V15" s="18">
        <f>SUM(Q15:U15)</f>
        <v>6228645.5021692803</v>
      </c>
    </row>
    <row r="16" spans="1:22" x14ac:dyDescent="0.2">
      <c r="A16" s="17" t="s">
        <v>10</v>
      </c>
      <c r="B16" s="55">
        <f>+'SUM - C$'!B14/'SUM-USD'!B$3</f>
        <v>-815998.0618232073</v>
      </c>
      <c r="C16" s="55">
        <f>+'SUM - C$'!C14/'SUM-USD'!C$3</f>
        <v>35145.00225937846</v>
      </c>
      <c r="D16" s="55">
        <f>+'SUM - C$'!D14/'SUM-USD'!D$3</f>
        <v>226377.83847412904</v>
      </c>
      <c r="E16" s="55">
        <f>+'SUM - C$'!E14/'SUM-USD'!E$3</f>
        <v>0</v>
      </c>
      <c r="F16" s="55">
        <f>+'SUM - C$'!F14/'SUM-USD'!F$3</f>
        <v>0</v>
      </c>
      <c r="G16" s="62">
        <f>+'SUM - C$'!G14/'SUM-USD'!G$3</f>
        <v>0</v>
      </c>
      <c r="H16" s="62">
        <f>+'SUM - C$'!H14/'SUM-USD'!H$3</f>
        <v>0</v>
      </c>
      <c r="I16" s="62">
        <f>+'SUM - C$'!I14/'SUM-USD'!I$3</f>
        <v>0</v>
      </c>
      <c r="J16" s="62">
        <f>+'SUM - C$'!J14/'SUM-USD'!J$3</f>
        <v>0</v>
      </c>
      <c r="K16" s="62">
        <f>+'SUM - C$'!K14/'SUM-USD'!K$3</f>
        <v>0</v>
      </c>
      <c r="L16" s="62">
        <f>+'SUM - C$'!L14/'SUM-USD'!L$3</f>
        <v>0</v>
      </c>
      <c r="M16" s="62">
        <f>+'SUM - C$'!M14/'SUM-USD'!M$3</f>
        <v>0</v>
      </c>
      <c r="N16" s="8"/>
      <c r="O16" s="18">
        <f t="shared" si="1"/>
        <v>-554475.22108969977</v>
      </c>
      <c r="P16" s="1"/>
      <c r="Q16" s="26">
        <f t="shared" si="2"/>
        <v>-554475.22108969977</v>
      </c>
      <c r="R16" s="8">
        <f t="shared" si="3"/>
        <v>0</v>
      </c>
      <c r="S16" s="8">
        <f t="shared" si="4"/>
        <v>0</v>
      </c>
      <c r="T16" s="8">
        <f t="shared" si="0"/>
        <v>0</v>
      </c>
      <c r="U16" s="8"/>
      <c r="V16" s="18">
        <f>SUM(Q16:U16)</f>
        <v>-554475.22108969977</v>
      </c>
    </row>
    <row r="17" spans="1:22" x14ac:dyDescent="0.2">
      <c r="A17" s="17" t="s">
        <v>12</v>
      </c>
      <c r="B17" s="55">
        <f>+'SUM - C$'!B15/'SUM-USD'!B$3</f>
        <v>244.12784745096897</v>
      </c>
      <c r="C17" s="55">
        <f>+'SUM - C$'!C15/'SUM-USD'!C$3</f>
        <v>216225.23315150439</v>
      </c>
      <c r="D17" s="55">
        <f>+'SUM - C$'!D15/'SUM-USD'!D$3</f>
        <v>1001248.1598498607</v>
      </c>
      <c r="E17" s="55">
        <f>+'SUM - C$'!E15/'SUM-USD'!E$3</f>
        <v>1190494.7417766012</v>
      </c>
      <c r="F17" s="55">
        <f>+'SUM - C$'!F15/'SUM-USD'!F$3</f>
        <v>1124727.8220108154</v>
      </c>
      <c r="G17" s="62">
        <f>+'SUM - C$'!G15/'SUM-USD'!G$3</f>
        <v>0</v>
      </c>
      <c r="H17" s="62">
        <f>+'SUM - C$'!H15/'SUM-USD'!H$3</f>
        <v>0</v>
      </c>
      <c r="I17" s="62">
        <f>+'SUM - C$'!I15/'SUM-USD'!I$3</f>
        <v>0</v>
      </c>
      <c r="J17" s="62">
        <f>+'SUM - C$'!J15/'SUM-USD'!J$3</f>
        <v>0</v>
      </c>
      <c r="K17" s="62">
        <f>+'SUM - C$'!K15/'SUM-USD'!K$3</f>
        <v>0</v>
      </c>
      <c r="L17" s="62">
        <f>+'SUM - C$'!L15/'SUM-USD'!L$3</f>
        <v>0</v>
      </c>
      <c r="M17" s="62">
        <f>+'SUM - C$'!M15/'SUM-USD'!M$3</f>
        <v>0</v>
      </c>
      <c r="N17" s="8"/>
      <c r="O17" s="18">
        <f t="shared" si="1"/>
        <v>3532940.0846362328</v>
      </c>
      <c r="P17" s="1"/>
      <c r="Q17" s="26">
        <f t="shared" si="2"/>
        <v>1217717.520848816</v>
      </c>
      <c r="R17" s="8">
        <f t="shared" si="3"/>
        <v>2315222.5637874166</v>
      </c>
      <c r="S17" s="8">
        <f t="shared" si="4"/>
        <v>0</v>
      </c>
      <c r="T17" s="8">
        <f t="shared" si="0"/>
        <v>0</v>
      </c>
      <c r="U17" s="8"/>
      <c r="V17" s="18">
        <f>SUM(Q17:U17)</f>
        <v>3532940.0846362328</v>
      </c>
    </row>
    <row r="18" spans="1:22" x14ac:dyDescent="0.2">
      <c r="A18" s="17" t="s">
        <v>11</v>
      </c>
      <c r="B18" s="56">
        <f>+'SUM - C$'!B16/'SUM-USD'!B$3</f>
        <v>48333.322604325353</v>
      </c>
      <c r="C18" s="56">
        <f>+'SUM - C$'!C16/'SUM-USD'!C$3</f>
        <v>83573.32394861865</v>
      </c>
      <c r="D18" s="56">
        <f>+'SUM - C$'!D16/'SUM-USD'!D$3</f>
        <v>167266.41930457385</v>
      </c>
      <c r="E18" s="56">
        <f>+'SUM - C$'!E16/'SUM-USD'!E$3</f>
        <v>-37682.614363415698</v>
      </c>
      <c r="F18" s="56">
        <f>+'SUM - C$'!F16/'SUM-USD'!F$3</f>
        <v>130860.86586956476</v>
      </c>
      <c r="G18" s="62">
        <f>+'SUM - C$'!G16/'SUM-USD'!G$3</f>
        <v>0</v>
      </c>
      <c r="H18" s="62">
        <f>+'SUM - C$'!H16/'SUM-USD'!H$3</f>
        <v>0</v>
      </c>
      <c r="I18" s="62">
        <f>+'SUM - C$'!I16/'SUM-USD'!I$3</f>
        <v>0</v>
      </c>
      <c r="J18" s="62">
        <f>+'SUM - C$'!J16/'SUM-USD'!J$3</f>
        <v>0</v>
      </c>
      <c r="K18" s="62">
        <f>+'SUM - C$'!K16/'SUM-USD'!K$3</f>
        <v>0</v>
      </c>
      <c r="L18" s="62">
        <f>+'SUM - C$'!L16/'SUM-USD'!L$3</f>
        <v>0</v>
      </c>
      <c r="M18" s="62">
        <f>+'SUM - C$'!M16/'SUM-USD'!M$3</f>
        <v>0</v>
      </c>
      <c r="N18" s="8"/>
      <c r="O18" s="18">
        <f t="shared" si="1"/>
        <v>392351.31736366695</v>
      </c>
      <c r="P18" s="1"/>
      <c r="Q18" s="26">
        <f t="shared" si="2"/>
        <v>299173.06585751788</v>
      </c>
      <c r="R18" s="8">
        <f t="shared" si="3"/>
        <v>93178.25150614907</v>
      </c>
      <c r="S18" s="8">
        <f t="shared" si="4"/>
        <v>0</v>
      </c>
      <c r="T18" s="8">
        <f t="shared" si="0"/>
        <v>0</v>
      </c>
      <c r="U18" s="8"/>
      <c r="V18" s="18">
        <f>SUM(Q18:U18)</f>
        <v>392351.31736366695</v>
      </c>
    </row>
    <row r="19" spans="1:22" ht="13.5" thickBot="1" x14ac:dyDescent="0.25">
      <c r="A19" s="19" t="s">
        <v>14</v>
      </c>
      <c r="B19" s="20">
        <f t="shared" ref="B19:M19" si="5">SUM(B9:B18)</f>
        <v>10672473.918425748</v>
      </c>
      <c r="C19" s="66">
        <f t="shared" si="5"/>
        <v>4933155.6753692692</v>
      </c>
      <c r="D19" s="66">
        <f t="shared" si="5"/>
        <v>-23493226.216165207</v>
      </c>
      <c r="E19" s="66">
        <f t="shared" si="5"/>
        <v>-50425802.743229881</v>
      </c>
      <c r="F19" s="66">
        <f t="shared" si="5"/>
        <v>17710542.299264889</v>
      </c>
      <c r="G19" s="66">
        <f t="shared" si="5"/>
        <v>0</v>
      </c>
      <c r="H19" s="66">
        <f t="shared" si="5"/>
        <v>0</v>
      </c>
      <c r="I19" s="66">
        <f t="shared" si="5"/>
        <v>0</v>
      </c>
      <c r="J19" s="66">
        <f t="shared" si="5"/>
        <v>0</v>
      </c>
      <c r="K19" s="66">
        <f t="shared" si="5"/>
        <v>0</v>
      </c>
      <c r="L19" s="66">
        <f t="shared" si="5"/>
        <v>0</v>
      </c>
      <c r="M19" s="66">
        <f t="shared" si="5"/>
        <v>0</v>
      </c>
      <c r="N19" s="21"/>
      <c r="O19" s="22">
        <f>SUM(O9:O18)</f>
        <v>-40602857.066335164</v>
      </c>
      <c r="P19" s="1"/>
      <c r="Q19" s="27">
        <f>SUM(Q9:Q18)</f>
        <v>-7887596.6223701863</v>
      </c>
      <c r="R19" s="20">
        <f>SUM(R9:R18)</f>
        <v>-32715260.443964988</v>
      </c>
      <c r="S19" s="20">
        <f>SUM(S9:S18)</f>
        <v>0</v>
      </c>
      <c r="T19" s="20">
        <f>SUM(T9:T18)</f>
        <v>0</v>
      </c>
      <c r="U19" s="21"/>
      <c r="V19" s="22">
        <f>SUM(V9:V18)</f>
        <v>-40602857.066335164</v>
      </c>
    </row>
    <row r="20" spans="1:22" x14ac:dyDescent="0.2">
      <c r="B20" s="3"/>
      <c r="C20" s="67"/>
      <c r="D20" s="67"/>
      <c r="E20" s="67"/>
      <c r="F20" s="67"/>
      <c r="G20" s="67"/>
      <c r="H20" s="67"/>
      <c r="I20" s="67"/>
      <c r="J20" s="67"/>
      <c r="K20" s="67"/>
      <c r="L20" s="67"/>
      <c r="M20" s="67"/>
      <c r="N20" s="8"/>
      <c r="O20" s="3"/>
      <c r="P20" s="1"/>
      <c r="Q20" s="3"/>
      <c r="R20" s="3"/>
      <c r="S20" s="3"/>
      <c r="T20" s="3"/>
      <c r="U20" s="8"/>
      <c r="V20" s="3"/>
    </row>
    <row r="21" spans="1:22" ht="13.5" thickBot="1" x14ac:dyDescent="0.25">
      <c r="B21" s="3"/>
      <c r="C21" s="67"/>
      <c r="D21" s="67"/>
      <c r="E21" s="67"/>
      <c r="F21" s="67"/>
      <c r="G21" s="67"/>
      <c r="H21" s="67"/>
      <c r="I21" s="67"/>
      <c r="J21" s="67"/>
      <c r="K21" s="67"/>
      <c r="L21" s="67"/>
      <c r="M21" s="67"/>
      <c r="N21" s="8"/>
      <c r="O21" s="3"/>
      <c r="P21" s="1"/>
      <c r="Q21" s="3"/>
      <c r="R21" s="3"/>
      <c r="S21" s="3"/>
      <c r="T21" s="3"/>
      <c r="U21" s="8"/>
      <c r="V21" s="3"/>
    </row>
    <row r="22" spans="1:22" x14ac:dyDescent="0.2">
      <c r="A22" s="10" t="s">
        <v>16</v>
      </c>
      <c r="B22" s="28"/>
      <c r="C22" s="68"/>
      <c r="D22" s="68"/>
      <c r="E22" s="68"/>
      <c r="F22" s="68"/>
      <c r="G22" s="68"/>
      <c r="H22" s="68"/>
      <c r="I22" s="68"/>
      <c r="J22" s="68"/>
      <c r="K22" s="68"/>
      <c r="L22" s="68"/>
      <c r="M22" s="68"/>
      <c r="N22" s="28"/>
      <c r="O22" s="29"/>
      <c r="P22" s="1"/>
      <c r="Q22" s="10" t="s">
        <v>16</v>
      </c>
      <c r="R22" s="28"/>
      <c r="S22" s="28"/>
      <c r="T22" s="28"/>
      <c r="U22" s="28"/>
      <c r="V22" s="29"/>
    </row>
    <row r="23" spans="1:22" x14ac:dyDescent="0.2">
      <c r="A23" s="17" t="s">
        <v>2</v>
      </c>
      <c r="B23" s="62">
        <f>+'SUM - C$'!B21/'SUM-USD'!B$3</f>
        <v>6425091.5382533884</v>
      </c>
      <c r="C23" s="62">
        <f>+'SUM - C$'!C21/'SUM-USD'!C$3</f>
        <v>4288169.206405066</v>
      </c>
      <c r="D23" s="62">
        <f>+'SUM - C$'!D21/'SUM-USD'!D$3</f>
        <v>-26110162.742447846</v>
      </c>
      <c r="E23" s="62">
        <f>+'SUM - C$'!E21/'SUM-USD'!E$3</f>
        <v>-52979324.087650619</v>
      </c>
      <c r="F23" s="62">
        <f>+'SUM - C$'!F21/'SUM-USD'!F$3</f>
        <v>13377423.515692551</v>
      </c>
      <c r="G23" s="62">
        <f>+'SUM - C$'!G21/'SUM-USD'!G$3</f>
        <v>0</v>
      </c>
      <c r="H23" s="62">
        <f>+'SUM - C$'!H21/'SUM-USD'!H$3</f>
        <v>0</v>
      </c>
      <c r="I23" s="62">
        <f>+'SUM - C$'!I21/'SUM-USD'!I$3</f>
        <v>0</v>
      </c>
      <c r="J23" s="62">
        <f>+'SUM - C$'!J21/'SUM-USD'!J$3</f>
        <v>0</v>
      </c>
      <c r="K23" s="62">
        <f>+'SUM - C$'!K21/'SUM-USD'!K$3</f>
        <v>0</v>
      </c>
      <c r="L23" s="62">
        <f>+'SUM - C$'!L21/'SUM-USD'!L$3</f>
        <v>0</v>
      </c>
      <c r="M23" s="62">
        <f>+'SUM - C$'!M21/'SUM-USD'!M$3</f>
        <v>0</v>
      </c>
      <c r="N23" s="8"/>
      <c r="O23" s="18">
        <f>SUM(B23:N23)</f>
        <v>-54998802.569747463</v>
      </c>
      <c r="P23" s="1"/>
      <c r="Q23" s="26">
        <f>+SUM(B23:D23)</f>
        <v>-15396901.99778939</v>
      </c>
      <c r="R23" s="8">
        <f>+SUM(E23:G23)</f>
        <v>-39601900.571958065</v>
      </c>
      <c r="S23" s="8">
        <f>+SUM(H23:J23)</f>
        <v>0</v>
      </c>
      <c r="T23" s="8">
        <f>+SUM(K23:M23)</f>
        <v>0</v>
      </c>
      <c r="U23" s="8"/>
      <c r="V23" s="18">
        <f>SUM(Q23:U23)</f>
        <v>-54998802.569747455</v>
      </c>
    </row>
    <row r="24" spans="1:22" s="4" customFormat="1" x14ac:dyDescent="0.2">
      <c r="A24" s="30" t="s">
        <v>3</v>
      </c>
      <c r="B24" s="9">
        <f>+B23-[9]Report!$AE$56</f>
        <v>0</v>
      </c>
      <c r="C24" s="69">
        <f t="shared" ref="C24:M24" si="6">+C23-SUM(C9:C12)</f>
        <v>0</v>
      </c>
      <c r="D24" s="69">
        <f t="shared" si="6"/>
        <v>0</v>
      </c>
      <c r="E24" s="69">
        <f t="shared" si="6"/>
        <v>0</v>
      </c>
      <c r="F24" s="69">
        <f t="shared" si="6"/>
        <v>0</v>
      </c>
      <c r="G24" s="69">
        <f t="shared" si="6"/>
        <v>0</v>
      </c>
      <c r="H24" s="69">
        <f t="shared" si="6"/>
        <v>0</v>
      </c>
      <c r="I24" s="69">
        <f t="shared" si="6"/>
        <v>0</v>
      </c>
      <c r="J24" s="69">
        <f t="shared" si="6"/>
        <v>0</v>
      </c>
      <c r="K24" s="69">
        <f t="shared" si="6"/>
        <v>0</v>
      </c>
      <c r="L24" s="69">
        <f t="shared" si="6"/>
        <v>0</v>
      </c>
      <c r="M24" s="69">
        <f t="shared" si="6"/>
        <v>0</v>
      </c>
      <c r="N24" s="9"/>
      <c r="O24" s="18">
        <f>SUM(B24:N24)</f>
        <v>0</v>
      </c>
      <c r="P24" s="5"/>
      <c r="Q24" s="26">
        <f>+SUM(B24:D24)</f>
        <v>0</v>
      </c>
      <c r="R24" s="8">
        <f>+SUM(E24:G24)</f>
        <v>0</v>
      </c>
      <c r="S24" s="8">
        <f>+SUM(H24:J24)</f>
        <v>0</v>
      </c>
      <c r="T24" s="8">
        <f>+SUM(K24:M24)</f>
        <v>0</v>
      </c>
      <c r="U24" s="9"/>
      <c r="V24" s="18">
        <f>SUM(I24:U24)</f>
        <v>0</v>
      </c>
    </row>
    <row r="25" spans="1:22" x14ac:dyDescent="0.2">
      <c r="A25" s="17" t="s">
        <v>13</v>
      </c>
      <c r="B25" s="62">
        <f>+'SUM - C$'!B23/'SUM-USD'!B$3</f>
        <v>4247382.3801723588</v>
      </c>
      <c r="C25" s="62">
        <f>+'SUM - C$'!C23/'SUM-USD'!C$3</f>
        <v>644986.46896420338</v>
      </c>
      <c r="D25" s="62">
        <f>+'SUM - C$'!D23/'SUM-USD'!D$3</f>
        <v>2616936.2518742858</v>
      </c>
      <c r="E25" s="62">
        <f>+'SUM - C$'!E23/'SUM-USD'!E$3</f>
        <v>2553521.3444207483</v>
      </c>
      <c r="F25" s="62">
        <f>+'SUM - C$'!F23/'SUM-USD'!F$3</f>
        <v>4333118.7835723404</v>
      </c>
      <c r="G25" s="62">
        <f>+'SUM - C$'!G23/'SUM-USD'!G$3</f>
        <v>0</v>
      </c>
      <c r="H25" s="62">
        <f>+'SUM - C$'!H23/'SUM-USD'!H$3</f>
        <v>0</v>
      </c>
      <c r="I25" s="62">
        <f>+'SUM - C$'!I23/'SUM-USD'!I$3</f>
        <v>0</v>
      </c>
      <c r="J25" s="62">
        <f>+'SUM - C$'!J23/'SUM-USD'!J$3</f>
        <v>0</v>
      </c>
      <c r="K25" s="62">
        <f>+'SUM - C$'!K23/'SUM-USD'!K$3</f>
        <v>0</v>
      </c>
      <c r="L25" s="62">
        <f>+'SUM - C$'!L23/'SUM-USD'!L$3</f>
        <v>0</v>
      </c>
      <c r="M25" s="62">
        <f>+'SUM - C$'!M23/'SUM-USD'!M$3</f>
        <v>0</v>
      </c>
      <c r="N25" s="8"/>
      <c r="O25" s="18">
        <f>SUM(B25:N25)</f>
        <v>14395945.229003936</v>
      </c>
      <c r="P25" s="1"/>
      <c r="Q25" s="26">
        <f>+SUM(B25:D25)</f>
        <v>7509305.1010108478</v>
      </c>
      <c r="R25" s="8">
        <f>+SUM(E25:G25)</f>
        <v>6886640.1279930882</v>
      </c>
      <c r="S25" s="8">
        <f>+SUM(H25:J25)</f>
        <v>0</v>
      </c>
      <c r="T25" s="8">
        <f>+SUM(K25:M25)</f>
        <v>0</v>
      </c>
      <c r="U25" s="8"/>
      <c r="V25" s="18">
        <f>SUM(Q25:T25)</f>
        <v>14395945.229003936</v>
      </c>
    </row>
    <row r="26" spans="1:22" s="4" customFormat="1" x14ac:dyDescent="0.2">
      <c r="A26" s="30" t="s">
        <v>3</v>
      </c>
      <c r="B26" s="8">
        <f>+B25-[8]Lavo!$P$31</f>
        <v>-941.68824862129986</v>
      </c>
      <c r="C26" s="8">
        <f t="shared" ref="C26:M26" si="7">+C25-SUM(C14:C18)</f>
        <v>0</v>
      </c>
      <c r="D26" s="8">
        <f t="shared" si="7"/>
        <v>-0.27440835349261761</v>
      </c>
      <c r="E26" s="8">
        <f t="shared" si="7"/>
        <v>0</v>
      </c>
      <c r="F26" s="69">
        <f t="shared" si="7"/>
        <v>0</v>
      </c>
      <c r="G26" s="69">
        <f t="shared" si="7"/>
        <v>0</v>
      </c>
      <c r="H26" s="69">
        <f t="shared" si="7"/>
        <v>0</v>
      </c>
      <c r="I26" s="69">
        <f t="shared" si="7"/>
        <v>0</v>
      </c>
      <c r="J26" s="69">
        <f t="shared" si="7"/>
        <v>0</v>
      </c>
      <c r="K26" s="69">
        <f t="shared" si="7"/>
        <v>0</v>
      </c>
      <c r="L26" s="69">
        <f t="shared" si="7"/>
        <v>0</v>
      </c>
      <c r="M26" s="69">
        <f t="shared" si="7"/>
        <v>0</v>
      </c>
      <c r="N26" s="9"/>
      <c r="O26" s="31">
        <f>+O25+O23-O19</f>
        <v>-0.27440836280584335</v>
      </c>
      <c r="P26" s="5"/>
      <c r="Q26" s="32">
        <f t="shared" ref="Q26:V26" si="8">+Q25-SUM(Q14:Q18)</f>
        <v>-0.27440835442394018</v>
      </c>
      <c r="R26" s="9">
        <f t="shared" si="8"/>
        <v>0</v>
      </c>
      <c r="S26" s="9">
        <f t="shared" si="8"/>
        <v>0</v>
      </c>
      <c r="T26" s="9">
        <f t="shared" si="8"/>
        <v>0</v>
      </c>
      <c r="U26" s="9">
        <f t="shared" si="8"/>
        <v>0</v>
      </c>
      <c r="V26" s="31">
        <f t="shared" si="8"/>
        <v>-0.27440835349261761</v>
      </c>
    </row>
    <row r="27" spans="1:22" ht="13.5" thickBot="1" x14ac:dyDescent="0.25">
      <c r="A27" s="19" t="s">
        <v>14</v>
      </c>
      <c r="B27" s="20">
        <f>+B25+B23</f>
        <v>10672473.918425746</v>
      </c>
      <c r="C27" s="66">
        <f t="shared" ref="C27:L27" si="9">+C25+C23</f>
        <v>4933155.6753692692</v>
      </c>
      <c r="D27" s="66">
        <f t="shared" si="9"/>
        <v>-23493226.490573559</v>
      </c>
      <c r="E27" s="66">
        <f t="shared" si="9"/>
        <v>-50425802.743229873</v>
      </c>
      <c r="F27" s="66">
        <f t="shared" si="9"/>
        <v>17710542.299264893</v>
      </c>
      <c r="G27" s="66">
        <f t="shared" si="9"/>
        <v>0</v>
      </c>
      <c r="H27" s="66">
        <f t="shared" si="9"/>
        <v>0</v>
      </c>
      <c r="I27" s="66">
        <f t="shared" si="9"/>
        <v>0</v>
      </c>
      <c r="J27" s="66">
        <f t="shared" si="9"/>
        <v>0</v>
      </c>
      <c r="K27" s="66">
        <f t="shared" si="9"/>
        <v>0</v>
      </c>
      <c r="L27" s="66">
        <f t="shared" si="9"/>
        <v>0</v>
      </c>
      <c r="M27" s="66">
        <f>+M25+M23</f>
        <v>0</v>
      </c>
      <c r="N27" s="21"/>
      <c r="O27" s="22">
        <f>+O25+O23</f>
        <v>-40602857.340743527</v>
      </c>
      <c r="P27" s="1"/>
      <c r="Q27" s="27">
        <f>+Q25+Q23</f>
        <v>-7887596.8967785425</v>
      </c>
      <c r="R27" s="20">
        <f>+R25+R23</f>
        <v>-32715260.443964977</v>
      </c>
      <c r="S27" s="20">
        <f>+S25+S23</f>
        <v>0</v>
      </c>
      <c r="T27" s="20">
        <f>+T25+T23</f>
        <v>0</v>
      </c>
      <c r="U27" s="21"/>
      <c r="V27" s="22">
        <f>+V25+V23</f>
        <v>-40602857.340743519</v>
      </c>
    </row>
    <row r="28" spans="1:22" x14ac:dyDescent="0.2">
      <c r="A28" s="6"/>
      <c r="B28" s="8"/>
      <c r="C28" s="62"/>
      <c r="D28" s="62"/>
      <c r="E28" s="62"/>
      <c r="F28" s="62"/>
      <c r="G28" s="62"/>
      <c r="H28" s="62"/>
      <c r="I28" s="62"/>
      <c r="J28" s="62"/>
      <c r="K28" s="62"/>
      <c r="L28" s="62"/>
      <c r="M28" s="62"/>
      <c r="N28" s="8"/>
      <c r="O28" s="8"/>
      <c r="P28" s="1"/>
      <c r="Q28" s="8"/>
      <c r="R28" s="8"/>
      <c r="S28" s="8"/>
      <c r="T28" s="8"/>
      <c r="U28" s="8"/>
      <c r="V28" s="8"/>
    </row>
    <row r="29" spans="1:22" ht="13.5" thickBot="1" x14ac:dyDescent="0.25">
      <c r="A29" s="6"/>
      <c r="B29" s="8"/>
      <c r="C29" s="62"/>
      <c r="D29" s="62"/>
      <c r="E29" s="62"/>
      <c r="F29" s="62"/>
      <c r="G29" s="62"/>
      <c r="H29" s="62"/>
      <c r="I29" s="62"/>
      <c r="J29" s="62"/>
      <c r="K29" s="62"/>
      <c r="L29" s="62"/>
      <c r="M29" s="62"/>
      <c r="N29" s="8"/>
      <c r="O29" s="8"/>
      <c r="P29" s="1"/>
      <c r="Q29" s="8"/>
      <c r="R29" s="8"/>
      <c r="S29" s="8"/>
      <c r="T29" s="8"/>
      <c r="U29" s="8"/>
      <c r="V29" s="8"/>
    </row>
    <row r="30" spans="1:22" x14ac:dyDescent="0.2">
      <c r="A30" s="10" t="s">
        <v>31</v>
      </c>
      <c r="B30" s="33"/>
      <c r="C30" s="70"/>
      <c r="D30" s="70"/>
      <c r="E30" s="70"/>
      <c r="F30" s="70"/>
      <c r="G30" s="70"/>
      <c r="H30" s="70"/>
      <c r="I30" s="70"/>
      <c r="J30" s="70"/>
      <c r="K30" s="70"/>
      <c r="L30" s="70"/>
      <c r="M30" s="70"/>
      <c r="N30" s="33"/>
      <c r="O30" s="34"/>
      <c r="P30" s="1"/>
      <c r="Q30" s="35" t="str">
        <f>+A30</f>
        <v>BY AREA - TRADER:</v>
      </c>
      <c r="R30" s="33"/>
      <c r="S30" s="33"/>
      <c r="T30" s="33"/>
      <c r="U30" s="33"/>
      <c r="V30" s="34"/>
    </row>
    <row r="31" spans="1:22" x14ac:dyDescent="0.2">
      <c r="A31" s="17" t="s">
        <v>50</v>
      </c>
      <c r="B31" s="55">
        <f>+'SUM - C$'!B29/'SUM-USD'!B$3</f>
        <v>3519252.6704907813</v>
      </c>
      <c r="C31" s="55">
        <f>+'SUM - C$'!C29/'SUM-USD'!C$3</f>
        <v>-207877.06355093289</v>
      </c>
      <c r="D31" s="55">
        <f>+'SUM - C$'!D29/'SUM-USD'!D$3</f>
        <v>1220745.8254574877</v>
      </c>
      <c r="E31" s="113">
        <f>+(('SUM - C$'!E29)/'SUM-USD'!E$3)+('SUM - C$'!E30/'SUM-USD'!E3)-'SUM-USD'!E32</f>
        <v>-10050671.608394526</v>
      </c>
      <c r="F31" s="55">
        <f>+'SUM - C$'!F29/'SUM-USD'!F$3</f>
        <v>11229845.681015478</v>
      </c>
      <c r="G31" s="62">
        <f>+'SUM - C$'!G29/'SUM-USD'!G$3</f>
        <v>0</v>
      </c>
      <c r="H31" s="62">
        <f>+'SUM - C$'!H29/'SUM-USD'!H$3</f>
        <v>0</v>
      </c>
      <c r="I31" s="62">
        <f>+'SUM - C$'!I29/'SUM-USD'!I$3</f>
        <v>0</v>
      </c>
      <c r="J31" s="62">
        <f>+'SUM - C$'!J29/'SUM-USD'!J$3</f>
        <v>0</v>
      </c>
      <c r="K31" s="62">
        <f>+'SUM - C$'!K29/'SUM-USD'!K$3</f>
        <v>0</v>
      </c>
      <c r="L31" s="62">
        <f>+'SUM - C$'!L29/'SUM-USD'!L$3</f>
        <v>0</v>
      </c>
      <c r="M31" s="62">
        <f>+'SUM - C$'!M29/'SUM-USD'!M$3</f>
        <v>0</v>
      </c>
      <c r="N31" s="8"/>
      <c r="O31" s="18">
        <f>SUM(B31:N31)</f>
        <v>5711295.5050182883</v>
      </c>
      <c r="P31" s="3"/>
      <c r="Q31" s="26">
        <f>+SUM(B31:D31)</f>
        <v>4532121.4323973358</v>
      </c>
      <c r="R31" s="8">
        <f>+SUM(E31:G31)</f>
        <v>1179174.0726209525</v>
      </c>
      <c r="S31" s="8">
        <f>+SUM(H31:J31)</f>
        <v>0</v>
      </c>
      <c r="T31" s="8">
        <f>+SUM(K31:M31)</f>
        <v>0</v>
      </c>
      <c r="U31" s="8"/>
      <c r="V31" s="18">
        <f>SUM(Q31:U31)</f>
        <v>5711295.5050182883</v>
      </c>
    </row>
    <row r="32" spans="1:22" x14ac:dyDescent="0.2">
      <c r="A32" s="17" t="s">
        <v>30</v>
      </c>
      <c r="B32" s="58">
        <f>+'SUM - C$'!B30/'SUM-USD'!B$3</f>
        <v>2383052.3198963976</v>
      </c>
      <c r="C32" s="58">
        <f>+'SUM - C$'!C30/'SUM-USD'!C$3</f>
        <v>2393565.2765558087</v>
      </c>
      <c r="D32" s="58">
        <f>+'SUM - C$'!D30/'SUM-USD'!D$3</f>
        <v>-32195266.832531262</v>
      </c>
      <c r="E32" s="58">
        <f>+'[16]PL by Trader'!$E$55</f>
        <v>-40891153.950873673</v>
      </c>
      <c r="F32" s="58">
        <f>+'SUM - C$'!F30/'SUM-USD'!F$3</f>
        <v>0</v>
      </c>
      <c r="G32" s="62">
        <f>+'SUM - C$'!G30/'SUM-USD'!G$3</f>
        <v>0</v>
      </c>
      <c r="H32" s="62">
        <f>+'SUM - C$'!H30/'SUM-USD'!H$3</f>
        <v>0</v>
      </c>
      <c r="I32" s="62">
        <f>+'SUM - C$'!I30/'SUM-USD'!I$3</f>
        <v>0</v>
      </c>
      <c r="J32" s="62">
        <f>+'SUM - C$'!J30/'SUM-USD'!J$3</f>
        <v>0</v>
      </c>
      <c r="K32" s="62">
        <f>+'SUM - C$'!K30/'SUM-USD'!K$3</f>
        <v>0</v>
      </c>
      <c r="L32" s="62">
        <f>+'SUM - C$'!L30/'SUM-USD'!L$3</f>
        <v>0</v>
      </c>
      <c r="M32" s="62">
        <f>+'SUM - C$'!M30/'SUM-USD'!M$3</f>
        <v>0</v>
      </c>
      <c r="N32" s="8"/>
      <c r="O32" s="18">
        <f>SUM(B32:N32)</f>
        <v>-68309803.186952725</v>
      </c>
      <c r="P32" s="3"/>
      <c r="Q32" s="26">
        <f>+SUM(B32:D32)</f>
        <v>-27418649.236079056</v>
      </c>
      <c r="R32" s="8">
        <f>+SUM(E32:G32)</f>
        <v>-40891153.950873673</v>
      </c>
      <c r="S32" s="8">
        <f>+SUM(H32:J32)</f>
        <v>0</v>
      </c>
      <c r="T32" s="8">
        <f>+SUM(K32:M32)</f>
        <v>0</v>
      </c>
      <c r="U32" s="8"/>
      <c r="V32" s="18">
        <f>SUM(Q32:U32)</f>
        <v>-68309803.186952725</v>
      </c>
    </row>
    <row r="33" spans="1:22" x14ac:dyDescent="0.2">
      <c r="A33" s="17" t="s">
        <v>23</v>
      </c>
      <c r="B33" s="56">
        <f>+'SUM - C$'!B31/'SUM-USD'!B$3</f>
        <v>-244634.06350522014</v>
      </c>
      <c r="C33" s="56">
        <f>+'SUM - C$'!C31/'SUM-USD'!C$3</f>
        <v>2437424.5527596916</v>
      </c>
      <c r="D33" s="56">
        <f>+'SUM - C$'!D31/'SUM-USD'!D$3</f>
        <v>6259250.6822544942</v>
      </c>
      <c r="E33" s="56">
        <f>+'SUM - C$'!E31/'SUM-USD'!E$3</f>
        <v>-884686.40096923418</v>
      </c>
      <c r="F33" s="56">
        <f>+'SUM - C$'!F31/'SUM-USD'!F$3</f>
        <v>3403166.5225574533</v>
      </c>
      <c r="G33" s="62">
        <f>+'SUM - C$'!G31/'SUM-USD'!G$3</f>
        <v>0</v>
      </c>
      <c r="H33" s="62">
        <f>+'SUM - C$'!H31/'SUM-USD'!H$3</f>
        <v>0</v>
      </c>
      <c r="I33" s="62">
        <f>+'SUM - C$'!I31/'SUM-USD'!I$3</f>
        <v>0</v>
      </c>
      <c r="J33" s="62">
        <f>+'SUM - C$'!J31/'SUM-USD'!J$3</f>
        <v>0</v>
      </c>
      <c r="K33" s="62">
        <f>+'SUM - C$'!K31/'SUM-USD'!K$3</f>
        <v>0</v>
      </c>
      <c r="L33" s="62">
        <f>+'SUM - C$'!L31/'SUM-USD'!L$3</f>
        <v>0</v>
      </c>
      <c r="M33" s="62">
        <f>+'SUM - C$'!M31/'SUM-USD'!M$3</f>
        <v>0</v>
      </c>
      <c r="N33" s="8"/>
      <c r="O33" s="18">
        <f>SUM(B33:N33)</f>
        <v>10970521.293097185</v>
      </c>
      <c r="P33" s="3"/>
      <c r="Q33" s="26">
        <f>+SUM(B33:D33)</f>
        <v>8452041.171508966</v>
      </c>
      <c r="R33" s="8">
        <f>+SUM(E33:G33)</f>
        <v>2518480.121588219</v>
      </c>
      <c r="S33" s="8">
        <f>+SUM(H33:J33)</f>
        <v>0</v>
      </c>
      <c r="T33" s="8">
        <f>+SUM(K33:M33)</f>
        <v>0</v>
      </c>
      <c r="U33" s="8"/>
      <c r="V33" s="18">
        <f>SUM(Q33:U33)</f>
        <v>10970521.293097185</v>
      </c>
    </row>
    <row r="34" spans="1:22" x14ac:dyDescent="0.2">
      <c r="A34" s="17" t="s">
        <v>24</v>
      </c>
      <c r="B34" s="57">
        <f>+'SUM - C$'!B32/'SUM-USD'!B$3</f>
        <v>1704564.3488831688</v>
      </c>
      <c r="C34" s="57">
        <f>+'SUM - C$'!C32/'SUM-USD'!C$3</f>
        <v>-553070.87163365702</v>
      </c>
      <c r="D34" s="57">
        <f>+'SUM - C$'!D32/'SUM-USD'!D$3</f>
        <v>793519.74549667968</v>
      </c>
      <c r="E34" s="57">
        <f>+'SUM - C$'!E32/'SUM-USD'!E$3</f>
        <v>757983.20330385969</v>
      </c>
      <c r="F34" s="57">
        <f>+'SUM - C$'!F32/'SUM-USD'!F$3</f>
        <v>2093487.3942827603</v>
      </c>
      <c r="G34" s="62">
        <f>+'SUM - C$'!G32/'SUM-USD'!G$3</f>
        <v>0</v>
      </c>
      <c r="H34" s="62">
        <f>+'SUM - C$'!H32/'SUM-USD'!H$3</f>
        <v>0</v>
      </c>
      <c r="I34" s="62">
        <f>+'SUM - C$'!I32/'SUM-USD'!I$3</f>
        <v>0</v>
      </c>
      <c r="J34" s="62">
        <f>+'SUM - C$'!J32/'SUM-USD'!J$3</f>
        <v>0</v>
      </c>
      <c r="K34" s="62">
        <f>+'SUM - C$'!K32/'SUM-USD'!K$3</f>
        <v>0</v>
      </c>
      <c r="L34" s="62">
        <f>+'SUM - C$'!L32/'SUM-USD'!L$3</f>
        <v>0</v>
      </c>
      <c r="M34" s="62">
        <f>+'SUM - C$'!M32/'SUM-USD'!M$3</f>
        <v>0</v>
      </c>
      <c r="N34" s="8"/>
      <c r="O34" s="18">
        <f>SUM(B34:N34)</f>
        <v>4796483.8203328112</v>
      </c>
      <c r="P34" s="3"/>
      <c r="Q34" s="26">
        <f>+SUM(B34:D34)</f>
        <v>1945013.2227461915</v>
      </c>
      <c r="R34" s="8">
        <f>+SUM(E34:G34)</f>
        <v>2851470.5975866201</v>
      </c>
      <c r="S34" s="8">
        <f>+SUM(H34:J34)</f>
        <v>0</v>
      </c>
      <c r="T34" s="8">
        <f>+SUM(K34:M34)</f>
        <v>0</v>
      </c>
      <c r="U34" s="8"/>
      <c r="V34" s="18">
        <f>SUM(Q34:U34)</f>
        <v>4796483.8203328121</v>
      </c>
    </row>
    <row r="35" spans="1:22" x14ac:dyDescent="0.2">
      <c r="A35" s="17" t="s">
        <v>25</v>
      </c>
      <c r="B35" s="63">
        <f>+'SUM - C$'!B33/'SUM-USD'!B$3</f>
        <v>3310238.6426606216</v>
      </c>
      <c r="C35" s="63">
        <f>+'SUM - C$'!C33/'SUM-USD'!C$3</f>
        <v>863113.78123835882</v>
      </c>
      <c r="D35" s="63">
        <f>+'SUM - C$'!D33/'SUM-USD'!D$3</f>
        <v>428524.3631573962</v>
      </c>
      <c r="E35" s="63">
        <f>+'SUM - C$'!E33/'SUM-USD'!E$3</f>
        <v>642726.01370370307</v>
      </c>
      <c r="F35" s="63">
        <f>+'SUM - C$'!F33/'SUM-USD'!F$3</f>
        <v>984042.70140919986</v>
      </c>
      <c r="G35" s="62">
        <f>+'SUM - C$'!G33/'SUM-USD'!G$3</f>
        <v>0</v>
      </c>
      <c r="H35" s="62">
        <f>+'SUM - C$'!H33/'SUM-USD'!H$3</f>
        <v>0</v>
      </c>
      <c r="I35" s="62">
        <f>+'SUM - C$'!I33/'SUM-USD'!I$3</f>
        <v>0</v>
      </c>
      <c r="J35" s="62">
        <f>+'SUM - C$'!J33/'SUM-USD'!J$3</f>
        <v>0</v>
      </c>
      <c r="K35" s="62">
        <f>+'SUM - C$'!K33/'SUM-USD'!K$3</f>
        <v>0</v>
      </c>
      <c r="L35" s="62">
        <f>+'SUM - C$'!L33/'SUM-USD'!L$3</f>
        <v>0</v>
      </c>
      <c r="M35" s="62">
        <f>+'SUM - C$'!M33/'SUM-USD'!M$3</f>
        <v>0</v>
      </c>
      <c r="N35" s="8"/>
      <c r="O35" s="18">
        <f>SUM(B35:N35)</f>
        <v>6228645.5021692803</v>
      </c>
      <c r="P35" s="3"/>
      <c r="Q35" s="26">
        <f>+SUM(B35:D35)</f>
        <v>4601876.7870563772</v>
      </c>
      <c r="R35" s="8">
        <f>+SUM(E35:G35)</f>
        <v>1626768.7151129029</v>
      </c>
      <c r="S35" s="8">
        <f>+SUM(H35:J35)</f>
        <v>0</v>
      </c>
      <c r="T35" s="8">
        <f>+SUM(K35:M35)</f>
        <v>0</v>
      </c>
      <c r="U35" s="8"/>
      <c r="V35" s="18">
        <f>SUM(Q35:U35)</f>
        <v>6228645.5021692803</v>
      </c>
    </row>
    <row r="36" spans="1:22" ht="13.5" thickBot="1" x14ac:dyDescent="0.25">
      <c r="A36" s="19" t="s">
        <v>14</v>
      </c>
      <c r="B36" s="20">
        <f t="shared" ref="B36:M36" si="10">SUM(B31:B35)</f>
        <v>10672473.91842575</v>
      </c>
      <c r="C36" s="20">
        <f t="shared" si="10"/>
        <v>4933155.6753692692</v>
      </c>
      <c r="D36" s="20">
        <f t="shared" si="10"/>
        <v>-23493226.216165207</v>
      </c>
      <c r="E36" s="20">
        <f t="shared" si="10"/>
        <v>-50425802.743229873</v>
      </c>
      <c r="F36" s="20">
        <f t="shared" si="10"/>
        <v>17710542.299264893</v>
      </c>
      <c r="G36" s="20">
        <f t="shared" si="10"/>
        <v>0</v>
      </c>
      <c r="H36" s="20">
        <f t="shared" si="10"/>
        <v>0</v>
      </c>
      <c r="I36" s="20">
        <f t="shared" si="10"/>
        <v>0</v>
      </c>
      <c r="J36" s="20">
        <f t="shared" si="10"/>
        <v>0</v>
      </c>
      <c r="K36" s="20">
        <f t="shared" si="10"/>
        <v>0</v>
      </c>
      <c r="L36" s="20">
        <f t="shared" si="10"/>
        <v>0</v>
      </c>
      <c r="M36" s="20">
        <f t="shared" si="10"/>
        <v>0</v>
      </c>
      <c r="N36" s="21"/>
      <c r="O36" s="22">
        <f>SUM(O31:O35)</f>
        <v>-40602857.066335164</v>
      </c>
      <c r="P36" s="3"/>
      <c r="Q36" s="27">
        <f>SUM(Q31:Q35)</f>
        <v>-7887596.6223701853</v>
      </c>
      <c r="R36" s="20">
        <f>SUM(R31:R35)</f>
        <v>-32715260.443964981</v>
      </c>
      <c r="S36" s="20">
        <f>SUM(S31:S35)</f>
        <v>0</v>
      </c>
      <c r="T36" s="20">
        <f>SUM(T31:T35)</f>
        <v>0</v>
      </c>
      <c r="U36" s="21"/>
      <c r="V36" s="22">
        <f>SUM(V31:V35)</f>
        <v>-40602857.066335164</v>
      </c>
    </row>
    <row r="37" spans="1:22" hidden="1" x14ac:dyDescent="0.2">
      <c r="A37" t="s">
        <v>3</v>
      </c>
      <c r="B37" s="3">
        <f t="shared" ref="B37:M37" si="11">+B36-B19</f>
        <v>0</v>
      </c>
      <c r="C37" s="3">
        <f t="shared" si="11"/>
        <v>0</v>
      </c>
      <c r="D37" s="3">
        <f t="shared" si="11"/>
        <v>0</v>
      </c>
      <c r="E37" s="3">
        <f t="shared" si="11"/>
        <v>0</v>
      </c>
      <c r="F37" s="3">
        <f t="shared" si="11"/>
        <v>0</v>
      </c>
      <c r="G37" s="3">
        <f t="shared" si="11"/>
        <v>0</v>
      </c>
      <c r="H37" s="3">
        <f t="shared" si="11"/>
        <v>0</v>
      </c>
      <c r="I37" s="3">
        <f t="shared" si="11"/>
        <v>0</v>
      </c>
      <c r="J37" s="3">
        <f t="shared" si="11"/>
        <v>0</v>
      </c>
      <c r="K37" s="3">
        <f t="shared" si="11"/>
        <v>0</v>
      </c>
      <c r="L37" s="3">
        <f t="shared" si="11"/>
        <v>0</v>
      </c>
      <c r="M37" s="3">
        <f t="shared" si="11"/>
        <v>0</v>
      </c>
      <c r="N37" s="3"/>
      <c r="O37" s="3"/>
      <c r="P37" s="3"/>
      <c r="Q37" s="3">
        <f>+Q36-Q19</f>
        <v>0</v>
      </c>
      <c r="R37" s="3">
        <f>+R36-R19</f>
        <v>0</v>
      </c>
      <c r="S37" s="3">
        <f>+S36-S19</f>
        <v>0</v>
      </c>
      <c r="T37" s="3">
        <f>+T36-T19</f>
        <v>0</v>
      </c>
      <c r="U37" s="3"/>
      <c r="V37" s="3"/>
    </row>
    <row r="38" spans="1:22" x14ac:dyDescent="0.2">
      <c r="B38" s="3"/>
      <c r="C38" s="3"/>
      <c r="D38" s="3"/>
      <c r="E38" s="3"/>
      <c r="F38" s="3"/>
      <c r="G38" s="3"/>
      <c r="H38" s="3"/>
      <c r="I38" s="3"/>
      <c r="J38" s="3"/>
      <c r="K38" s="3"/>
      <c r="L38" s="3"/>
      <c r="M38" s="3"/>
      <c r="N38" s="3"/>
      <c r="O38" s="3"/>
      <c r="P38" s="3"/>
      <c r="Q38" s="3"/>
      <c r="R38" s="3"/>
      <c r="S38" s="3"/>
      <c r="T38" s="3"/>
      <c r="U38" s="3"/>
      <c r="V38" s="3"/>
    </row>
    <row r="39" spans="1:22" ht="13.5" thickBot="1" x14ac:dyDescent="0.25">
      <c r="A39" s="105" t="s">
        <v>53</v>
      </c>
      <c r="B39" s="20">
        <f>+B36-B33</f>
        <v>10917107.981930969</v>
      </c>
      <c r="C39" s="20">
        <f>+C36-C33</f>
        <v>2495731.1226095776</v>
      </c>
      <c r="D39" s="20">
        <f>+D36-D33</f>
        <v>-29752476.898419701</v>
      </c>
      <c r="E39" s="20">
        <f t="shared" ref="E39:M40" si="12">SUM(E33:E37)</f>
        <v>-49909779.927191548</v>
      </c>
      <c r="F39" s="20">
        <f t="shared" si="12"/>
        <v>24191238.917514306</v>
      </c>
      <c r="G39" s="20">
        <f t="shared" si="12"/>
        <v>0</v>
      </c>
      <c r="H39" s="20">
        <f t="shared" si="12"/>
        <v>0</v>
      </c>
      <c r="I39" s="20">
        <f t="shared" si="12"/>
        <v>0</v>
      </c>
      <c r="J39" s="20">
        <f t="shared" si="12"/>
        <v>0</v>
      </c>
      <c r="K39" s="20">
        <f t="shared" si="12"/>
        <v>0</v>
      </c>
      <c r="L39" s="20">
        <f t="shared" si="12"/>
        <v>0</v>
      </c>
      <c r="M39" s="20">
        <f t="shared" si="12"/>
        <v>0</v>
      </c>
      <c r="N39" s="21"/>
      <c r="O39" s="22">
        <f>SUM(B39:N39)</f>
        <v>-42058178.803556398</v>
      </c>
      <c r="P39" s="3"/>
      <c r="Q39" s="27">
        <f t="shared" ref="Q39:T41" si="13">SUM(Q33:Q37)</f>
        <v>7111334.5589413494</v>
      </c>
      <c r="R39" s="20">
        <f t="shared" si="13"/>
        <v>-25718541.009677239</v>
      </c>
      <c r="S39" s="20">
        <f t="shared" si="13"/>
        <v>0</v>
      </c>
      <c r="T39" s="20">
        <f t="shared" si="13"/>
        <v>0</v>
      </c>
      <c r="U39" s="21"/>
      <c r="V39" s="22">
        <f>SUM(V33:V37)</f>
        <v>-18607206.450735886</v>
      </c>
    </row>
    <row r="40" spans="1:22" ht="13.5" thickBot="1" x14ac:dyDescent="0.25">
      <c r="A40" s="105" t="s">
        <v>55</v>
      </c>
      <c r="B40" s="104">
        <f>+'[9]Orig Sched'!$O$183</f>
        <v>5334668.173716492</v>
      </c>
      <c r="C40" s="104">
        <f>+'[11]Orig Sched'!$O$183</f>
        <v>628924.15222293348</v>
      </c>
      <c r="D40" s="104">
        <f>+'[12]Orig Sched'!$O$183</f>
        <v>880527.69567845727</v>
      </c>
      <c r="E40" s="104">
        <f>+'[16]Orig Sched'!$O$239</f>
        <v>3270694.8418641421</v>
      </c>
      <c r="F40" s="104">
        <f>+'[17]Orig Sched'!$O$239</f>
        <v>587258.52205482544</v>
      </c>
      <c r="G40" s="20">
        <f t="shared" si="12"/>
        <v>0</v>
      </c>
      <c r="H40" s="20">
        <f t="shared" si="12"/>
        <v>0</v>
      </c>
      <c r="I40" s="20">
        <f t="shared" si="12"/>
        <v>0</v>
      </c>
      <c r="J40" s="20">
        <f t="shared" si="12"/>
        <v>0</v>
      </c>
      <c r="K40" s="20">
        <f t="shared" si="12"/>
        <v>0</v>
      </c>
      <c r="L40" s="20">
        <f t="shared" si="12"/>
        <v>0</v>
      </c>
      <c r="M40" s="20">
        <f t="shared" si="12"/>
        <v>0</v>
      </c>
      <c r="N40" s="21"/>
      <c r="O40" s="22">
        <f>SUM(B40:N40)</f>
        <v>10702073.385536849</v>
      </c>
      <c r="P40" s="3"/>
      <c r="Q40" s="27">
        <f t="shared" si="13"/>
        <v>-1340706.6125676166</v>
      </c>
      <c r="R40" s="20">
        <f t="shared" si="13"/>
        <v>-28237021.131265458</v>
      </c>
      <c r="S40" s="20">
        <f t="shared" si="13"/>
        <v>0</v>
      </c>
      <c r="T40" s="20">
        <f t="shared" si="13"/>
        <v>0</v>
      </c>
      <c r="U40" s="21"/>
      <c r="V40" s="22">
        <f>SUM(V34:V38)</f>
        <v>-29577727.743833072</v>
      </c>
    </row>
    <row r="41" spans="1:22" ht="13.5" thickBot="1" x14ac:dyDescent="0.25">
      <c r="A41" s="105" t="s">
        <v>56</v>
      </c>
      <c r="B41" s="20">
        <f>+B40+B39</f>
        <v>16251776.15564746</v>
      </c>
      <c r="C41" s="20">
        <f>+C40+C39</f>
        <v>3124655.2748325113</v>
      </c>
      <c r="D41" s="20">
        <f>+D40+D39</f>
        <v>-28871949.202741243</v>
      </c>
      <c r="E41" s="20">
        <f>+E40+E39</f>
        <v>-46639085.085327409</v>
      </c>
      <c r="F41" s="20">
        <f t="shared" ref="F41:M41" si="14">+F40+F39</f>
        <v>24778497.439569131</v>
      </c>
      <c r="G41" s="20">
        <f t="shared" si="14"/>
        <v>0</v>
      </c>
      <c r="H41" s="20">
        <f t="shared" si="14"/>
        <v>0</v>
      </c>
      <c r="I41" s="20">
        <f t="shared" si="14"/>
        <v>0</v>
      </c>
      <c r="J41" s="20">
        <f t="shared" si="14"/>
        <v>0</v>
      </c>
      <c r="K41" s="20">
        <f t="shared" si="14"/>
        <v>0</v>
      </c>
      <c r="L41" s="20">
        <f t="shared" si="14"/>
        <v>0</v>
      </c>
      <c r="M41" s="20">
        <f t="shared" si="14"/>
        <v>0</v>
      </c>
      <c r="N41" s="21"/>
      <c r="O41" s="22">
        <f>SUM(B41:N41)</f>
        <v>-31356105.418019548</v>
      </c>
      <c r="P41" s="3"/>
      <c r="Q41" s="27">
        <f t="shared" si="13"/>
        <v>3825614.7236275412</v>
      </c>
      <c r="R41" s="20">
        <f t="shared" si="13"/>
        <v>-56807032.738529317</v>
      </c>
      <c r="S41" s="20">
        <f t="shared" si="13"/>
        <v>0</v>
      </c>
      <c r="T41" s="20">
        <f t="shared" si="13"/>
        <v>0</v>
      </c>
      <c r="U41" s="21"/>
      <c r="V41" s="22">
        <f>SUM(V35:V39)</f>
        <v>-52981418.014901772</v>
      </c>
    </row>
    <row r="42" spans="1:22" x14ac:dyDescent="0.2">
      <c r="U42" s="6"/>
    </row>
    <row r="43" spans="1:22" ht="13.5" thickBot="1" x14ac:dyDescent="0.25">
      <c r="A43" s="106" t="s">
        <v>57</v>
      </c>
      <c r="B43" s="107"/>
      <c r="C43" s="107"/>
      <c r="D43" s="107"/>
      <c r="E43" s="107"/>
      <c r="F43" s="107"/>
      <c r="G43" s="107">
        <f t="shared" ref="G43:M44" si="15">+G42+G41</f>
        <v>0</v>
      </c>
      <c r="H43" s="107">
        <f t="shared" si="15"/>
        <v>0</v>
      </c>
      <c r="I43" s="107">
        <f t="shared" si="15"/>
        <v>0</v>
      </c>
      <c r="J43" s="107">
        <f t="shared" si="15"/>
        <v>0</v>
      </c>
      <c r="K43" s="107">
        <f t="shared" si="15"/>
        <v>0</v>
      </c>
      <c r="L43" s="107">
        <f t="shared" si="15"/>
        <v>0</v>
      </c>
      <c r="M43" s="107">
        <f t="shared" si="15"/>
        <v>0</v>
      </c>
      <c r="N43" s="108"/>
      <c r="O43" s="107">
        <f>+'Recon to Houston'!W15*1000</f>
        <v>-29916529.365243118</v>
      </c>
      <c r="P43" s="109"/>
      <c r="Q43" s="110"/>
      <c r="R43" s="107"/>
      <c r="S43" s="107"/>
      <c r="T43" s="107"/>
      <c r="U43" s="108"/>
      <c r="V43" s="111"/>
    </row>
    <row r="44" spans="1:22" ht="13.5" thickBot="1" x14ac:dyDescent="0.25">
      <c r="A44" s="106" t="s">
        <v>58</v>
      </c>
      <c r="B44" s="107"/>
      <c r="C44" s="107"/>
      <c r="D44" s="107"/>
      <c r="E44" s="107"/>
      <c r="F44" s="107"/>
      <c r="G44" s="107">
        <f t="shared" si="15"/>
        <v>0</v>
      </c>
      <c r="H44" s="107">
        <f t="shared" si="15"/>
        <v>0</v>
      </c>
      <c r="I44" s="107">
        <f t="shared" si="15"/>
        <v>0</v>
      </c>
      <c r="J44" s="107">
        <f t="shared" si="15"/>
        <v>0</v>
      </c>
      <c r="K44" s="107">
        <f t="shared" si="15"/>
        <v>0</v>
      </c>
      <c r="L44" s="107">
        <f t="shared" si="15"/>
        <v>0</v>
      </c>
      <c r="M44" s="107">
        <f t="shared" si="15"/>
        <v>0</v>
      </c>
      <c r="N44" s="108"/>
      <c r="O44" s="107">
        <f>+O43-O36-O40</f>
        <v>-15745.684444803745</v>
      </c>
      <c r="P44" s="109"/>
      <c r="Q44" s="110"/>
      <c r="R44" s="107"/>
      <c r="S44" s="107"/>
      <c r="T44" s="107"/>
      <c r="U44" s="108"/>
      <c r="V44" s="111"/>
    </row>
    <row r="45" spans="1:22" x14ac:dyDescent="0.2">
      <c r="U45" s="6"/>
    </row>
    <row r="46" spans="1:22" x14ac:dyDescent="0.2">
      <c r="U46" s="6"/>
    </row>
    <row r="47" spans="1:22" x14ac:dyDescent="0.2">
      <c r="U47" s="6"/>
    </row>
    <row r="48" spans="1:22" x14ac:dyDescent="0.2">
      <c r="U48" s="6"/>
    </row>
  </sheetData>
  <phoneticPr fontId="0" type="noConversion"/>
  <pageMargins left="0.75" right="0.75" top="1" bottom="1" header="0.5" footer="0.5"/>
  <pageSetup paperSize="5" scale="76" orientation="landscape"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46"/>
  <sheetViews>
    <sheetView topLeftCell="B27" workbookViewId="0">
      <selection activeCell="N42" sqref="N42"/>
    </sheetView>
  </sheetViews>
  <sheetFormatPr defaultRowHeight="12.75" x14ac:dyDescent="0.2"/>
  <cols>
    <col min="1" max="1" width="20.5703125" customWidth="1"/>
    <col min="2" max="2" width="10.28515625" bestFit="1" customWidth="1"/>
    <col min="3" max="3" width="9.85546875" bestFit="1" customWidth="1"/>
    <col min="4" max="4" width="11.28515625" customWidth="1"/>
    <col min="5" max="5" width="10.7109375" bestFit="1" customWidth="1"/>
    <col min="6" max="6" width="11.140625" customWidth="1"/>
    <col min="7" max="7" width="9.5703125" bestFit="1" customWidth="1"/>
    <col min="8" max="8" width="10.42578125" bestFit="1" customWidth="1"/>
    <col min="9" max="9" width="9.5703125" bestFit="1" customWidth="1"/>
    <col min="10" max="11" width="10.140625" customWidth="1"/>
    <col min="12" max="13" width="10.5703125" customWidth="1"/>
    <col min="14" max="14" width="1" style="6" customWidth="1"/>
    <col min="15" max="15" width="12.85546875" customWidth="1"/>
    <col min="16" max="16" width="1.7109375" customWidth="1"/>
    <col min="17" max="17" width="11.5703125" customWidth="1"/>
    <col min="18" max="18" width="10.28515625" customWidth="1"/>
    <col min="19" max="19" width="11.140625" customWidth="1"/>
    <col min="20" max="20" width="11" customWidth="1"/>
    <col min="21" max="21" width="2" customWidth="1"/>
    <col min="22" max="22" width="11" customWidth="1"/>
  </cols>
  <sheetData>
    <row r="1" spans="1:22" ht="18" x14ac:dyDescent="0.25">
      <c r="A1" s="78" t="s">
        <v>54</v>
      </c>
    </row>
    <row r="2" spans="1:22" ht="13.5" thickBot="1" x14ac:dyDescent="0.25">
      <c r="L2" s="54"/>
      <c r="M2" s="54"/>
    </row>
    <row r="3" spans="1:22" x14ac:dyDescent="0.2">
      <c r="B3" s="36"/>
      <c r="C3" s="37"/>
      <c r="D3" s="37"/>
      <c r="E3" s="103"/>
      <c r="F3" s="37"/>
      <c r="G3" s="37"/>
      <c r="H3" s="37"/>
      <c r="I3" s="37"/>
      <c r="J3" s="37"/>
      <c r="K3" s="38"/>
      <c r="L3" s="38"/>
      <c r="M3" s="38"/>
      <c r="N3" s="37"/>
      <c r="O3" s="39"/>
      <c r="Q3" s="44"/>
      <c r="R3" s="45"/>
      <c r="S3" s="45"/>
      <c r="T3" s="46" t="s">
        <v>20</v>
      </c>
      <c r="U3" s="45"/>
      <c r="V3" s="47"/>
    </row>
    <row r="4" spans="1:22" ht="13.5" thickBot="1" x14ac:dyDescent="0.25">
      <c r="B4" s="40">
        <v>36892</v>
      </c>
      <c r="C4" s="41">
        <v>36923</v>
      </c>
      <c r="D4" s="41">
        <v>36951</v>
      </c>
      <c r="E4" s="41">
        <v>36982</v>
      </c>
      <c r="F4" s="41">
        <v>37012</v>
      </c>
      <c r="G4" s="41">
        <v>37043</v>
      </c>
      <c r="H4" s="41">
        <v>37073</v>
      </c>
      <c r="I4" s="41">
        <v>37104</v>
      </c>
      <c r="J4" s="41">
        <v>37135</v>
      </c>
      <c r="K4" s="41">
        <v>37165</v>
      </c>
      <c r="L4" s="53">
        <v>37196</v>
      </c>
      <c r="M4" s="53">
        <v>37226</v>
      </c>
      <c r="N4" s="42"/>
      <c r="O4" s="43" t="s">
        <v>5</v>
      </c>
      <c r="Q4" s="48" t="s">
        <v>17</v>
      </c>
      <c r="R4" s="49" t="s">
        <v>18</v>
      </c>
      <c r="S4" s="49" t="s">
        <v>19</v>
      </c>
      <c r="T4" s="49" t="s">
        <v>21</v>
      </c>
      <c r="U4" s="50"/>
      <c r="V4" s="51" t="s">
        <v>5</v>
      </c>
    </row>
    <row r="5" spans="1:22" x14ac:dyDescent="0.2">
      <c r="A5" s="10" t="s">
        <v>15</v>
      </c>
      <c r="B5" s="11"/>
      <c r="C5" s="11"/>
      <c r="D5" s="11"/>
      <c r="E5" s="11"/>
      <c r="F5" s="11"/>
      <c r="G5" s="11"/>
      <c r="H5" s="11"/>
      <c r="I5" s="11"/>
      <c r="J5" s="11"/>
      <c r="K5" s="11"/>
      <c r="L5" s="11"/>
      <c r="M5" s="11"/>
      <c r="N5" s="12"/>
      <c r="O5" s="13"/>
      <c r="Q5" s="23" t="str">
        <f>+A5</f>
        <v>BY BOOK:</v>
      </c>
      <c r="R5" s="24"/>
      <c r="S5" s="24"/>
      <c r="T5" s="24"/>
      <c r="U5" s="12"/>
      <c r="V5" s="13"/>
    </row>
    <row r="6" spans="1:22" x14ac:dyDescent="0.2">
      <c r="A6" s="14" t="s">
        <v>6</v>
      </c>
      <c r="B6" s="52"/>
      <c r="C6" s="15"/>
      <c r="D6" s="15"/>
      <c r="E6" s="15"/>
      <c r="F6" s="15"/>
      <c r="G6" s="15"/>
      <c r="H6" s="15"/>
      <c r="I6" s="15"/>
      <c r="J6" s="15"/>
      <c r="K6" s="15"/>
      <c r="L6" s="15"/>
      <c r="M6" s="15"/>
      <c r="N6" s="7"/>
      <c r="O6" s="16"/>
      <c r="Q6" s="25"/>
      <c r="R6" s="15"/>
      <c r="S6" s="15"/>
      <c r="T6" s="15"/>
      <c r="U6" s="7"/>
      <c r="V6" s="16"/>
    </row>
    <row r="7" spans="1:22" x14ac:dyDescent="0.2">
      <c r="A7" s="17" t="s">
        <v>0</v>
      </c>
      <c r="B7" s="55">
        <f>+[9]Report!$G$56</f>
        <v>810557.72000000067</v>
      </c>
      <c r="C7" s="55">
        <f>+[11]Report!$G$56</f>
        <v>-881957</v>
      </c>
      <c r="D7" s="55">
        <f>+[12]Report!$G$56</f>
        <v>16900.080000000075</v>
      </c>
      <c r="E7" s="55">
        <f>+[16]Report!$G$56</f>
        <v>1982231.7599999998</v>
      </c>
      <c r="F7" s="55">
        <f>+[17]Report!$G$56</f>
        <v>7649551</v>
      </c>
      <c r="G7" s="62"/>
      <c r="H7" s="62"/>
      <c r="I7" s="62"/>
      <c r="J7" s="62"/>
      <c r="K7" s="62"/>
      <c r="L7" s="62"/>
      <c r="M7" s="62"/>
      <c r="N7" s="8"/>
      <c r="O7" s="18">
        <f t="shared" ref="O7:O16" si="0">SUM(B7:N7)</f>
        <v>9577283.5600000005</v>
      </c>
      <c r="P7" s="1"/>
      <c r="Q7" s="26">
        <f>+SUM(B7:D7)</f>
        <v>-54499.199999999255</v>
      </c>
      <c r="R7" s="8">
        <f>+SUM(E7:G7)</f>
        <v>9631782.7599999998</v>
      </c>
      <c r="S7" s="8">
        <f>+SUM(H7:J7)</f>
        <v>0</v>
      </c>
      <c r="T7" s="8">
        <f t="shared" ref="T7:T16" si="1">+SUM(K7:M7)</f>
        <v>0</v>
      </c>
      <c r="U7" s="8"/>
      <c r="V7" s="18">
        <f>SUM(Q7:U7)</f>
        <v>9577283.5600000005</v>
      </c>
    </row>
    <row r="8" spans="1:22" x14ac:dyDescent="0.2">
      <c r="A8" s="17" t="s">
        <v>4</v>
      </c>
      <c r="B8" s="58">
        <f>+[9]Report!$M$56</f>
        <v>3582468</v>
      </c>
      <c r="C8" s="58">
        <f>+[11]Report!$M$56</f>
        <v>3643562</v>
      </c>
      <c r="D8" s="58">
        <f>+[12]Report!$M$56</f>
        <v>-49863600</v>
      </c>
      <c r="E8" s="112">
        <f>+[16]Report!$M$56</f>
        <v>-83164940</v>
      </c>
      <c r="F8" s="55">
        <f>+[17]Report!$M$56</f>
        <v>7920382</v>
      </c>
      <c r="G8" s="62"/>
      <c r="H8" s="62"/>
      <c r="I8" s="62"/>
      <c r="J8" s="62"/>
      <c r="K8" s="62"/>
      <c r="L8" s="65"/>
      <c r="M8" s="65"/>
      <c r="N8" s="8"/>
      <c r="O8" s="18">
        <f t="shared" si="0"/>
        <v>-117882128</v>
      </c>
      <c r="P8" s="1"/>
      <c r="Q8" s="26">
        <f t="shared" ref="Q8:Q16" si="2">+SUM(B8:D8)</f>
        <v>-42637570</v>
      </c>
      <c r="R8" s="8">
        <f t="shared" ref="R8:R16" si="3">+SUM(E8:G8)</f>
        <v>-75244558</v>
      </c>
      <c r="S8" s="8">
        <f t="shared" ref="S8:S16" si="4">+SUM(H8:J8)</f>
        <v>0</v>
      </c>
      <c r="T8" s="8">
        <f t="shared" si="1"/>
        <v>0</v>
      </c>
      <c r="U8" s="8"/>
      <c r="V8" s="18">
        <f>SUM(Q8:U8)</f>
        <v>-117882128</v>
      </c>
    </row>
    <row r="9" spans="1:22" x14ac:dyDescent="0.2">
      <c r="A9" s="17" t="s">
        <v>29</v>
      </c>
      <c r="B9" s="71">
        <f>+[9]Report!$S$56</f>
        <v>5706304</v>
      </c>
      <c r="C9" s="71">
        <f>+[11]Report!$S$56</f>
        <v>182876</v>
      </c>
      <c r="D9" s="71">
        <f>+[12]Report!$S$56</f>
        <v>-27556</v>
      </c>
      <c r="E9" s="71">
        <f>+[16]Report!$S$56</f>
        <v>0</v>
      </c>
      <c r="F9" s="71">
        <f>+[17]Report!$S$56</f>
        <v>0</v>
      </c>
      <c r="G9" s="62"/>
      <c r="H9" s="62"/>
      <c r="I9" s="62"/>
      <c r="J9" s="62"/>
      <c r="K9" s="62"/>
      <c r="L9" s="62"/>
      <c r="M9" s="62"/>
      <c r="N9" s="8"/>
      <c r="O9" s="18">
        <f t="shared" si="0"/>
        <v>5861624</v>
      </c>
      <c r="P9" s="1"/>
      <c r="Q9" s="26">
        <f t="shared" si="2"/>
        <v>5861624</v>
      </c>
      <c r="R9" s="8">
        <f t="shared" si="3"/>
        <v>0</v>
      </c>
      <c r="S9" s="8">
        <f t="shared" si="4"/>
        <v>0</v>
      </c>
      <c r="T9" s="8">
        <f t="shared" si="1"/>
        <v>0</v>
      </c>
      <c r="U9" s="8"/>
      <c r="V9" s="18">
        <f>SUM(Q9:U9)</f>
        <v>5861624</v>
      </c>
    </row>
    <row r="10" spans="1:22" x14ac:dyDescent="0.2">
      <c r="A10" s="17" t="s">
        <v>1</v>
      </c>
      <c r="B10" s="56">
        <f>+[9]Report!$AA$56</f>
        <v>-440421</v>
      </c>
      <c r="C10" s="56">
        <f>+[11]Report!$AA$56</f>
        <v>3583108</v>
      </c>
      <c r="D10" s="56">
        <f>+[12]Report!$AA$56</f>
        <v>9435184</v>
      </c>
      <c r="E10" s="56">
        <f>+[16]Report!$AA$56</f>
        <v>-1318991</v>
      </c>
      <c r="F10" s="56">
        <f>+[17]Report!$AA$56</f>
        <v>5041958</v>
      </c>
      <c r="G10" s="62"/>
      <c r="H10" s="62"/>
      <c r="I10" s="62"/>
      <c r="J10" s="62"/>
      <c r="K10" s="65"/>
      <c r="L10" s="62"/>
      <c r="M10" s="62"/>
      <c r="N10" s="8"/>
      <c r="O10" s="18">
        <f t="shared" si="0"/>
        <v>16300838</v>
      </c>
      <c r="P10" s="1"/>
      <c r="Q10" s="26">
        <f t="shared" si="2"/>
        <v>12577871</v>
      </c>
      <c r="R10" s="8">
        <f t="shared" si="3"/>
        <v>3722967</v>
      </c>
      <c r="S10" s="8">
        <f t="shared" si="4"/>
        <v>0</v>
      </c>
      <c r="T10" s="8">
        <f t="shared" si="1"/>
        <v>0</v>
      </c>
      <c r="U10" s="8"/>
      <c r="V10" s="18">
        <f>SUM(Q10:U10)</f>
        <v>16300838</v>
      </c>
    </row>
    <row r="11" spans="1:22" x14ac:dyDescent="0.2">
      <c r="A11" s="14" t="s">
        <v>7</v>
      </c>
      <c r="B11" s="8"/>
      <c r="C11" s="62"/>
      <c r="D11" s="62"/>
      <c r="E11" s="62"/>
      <c r="F11" s="62"/>
      <c r="G11" s="62"/>
      <c r="H11" s="62"/>
      <c r="I11" s="62"/>
      <c r="J11" s="62"/>
      <c r="K11" s="62"/>
      <c r="L11" s="62"/>
      <c r="M11" s="62"/>
      <c r="N11" s="8"/>
      <c r="O11" s="18">
        <f t="shared" si="0"/>
        <v>0</v>
      </c>
      <c r="P11" s="1"/>
      <c r="Q11" s="26">
        <f t="shared" si="2"/>
        <v>0</v>
      </c>
      <c r="R11" s="8">
        <f t="shared" si="3"/>
        <v>0</v>
      </c>
      <c r="S11" s="8">
        <f t="shared" si="4"/>
        <v>0</v>
      </c>
      <c r="T11" s="8">
        <f t="shared" si="1"/>
        <v>0</v>
      </c>
      <c r="U11" s="8"/>
      <c r="V11" s="18"/>
    </row>
    <row r="12" spans="1:22" x14ac:dyDescent="0.2">
      <c r="A12" s="17" t="s">
        <v>8</v>
      </c>
      <c r="B12" s="57">
        <f>+[8]Lavo!$I$18</f>
        <v>2562489.7879205053</v>
      </c>
      <c r="C12" s="57">
        <f>+[10]Lavo!$I$18</f>
        <v>-841902.25807876978</v>
      </c>
      <c r="D12" s="57">
        <f>+[13]Lavo!$I$18</f>
        <v>1228992.8015619847</v>
      </c>
      <c r="E12" s="57">
        <f>+[15]Lavo!$I$18</f>
        <v>1180364.29012358</v>
      </c>
      <c r="F12" s="57">
        <f>+[18]Lavo!$I$18</f>
        <v>3225638.6239257343</v>
      </c>
      <c r="G12" s="62"/>
      <c r="H12" s="62"/>
      <c r="I12" s="62"/>
      <c r="J12" s="62"/>
      <c r="K12" s="62"/>
      <c r="L12" s="62"/>
      <c r="M12" s="62"/>
      <c r="N12" s="8"/>
      <c r="O12" s="18">
        <f t="shared" si="0"/>
        <v>7355583.2454530345</v>
      </c>
      <c r="P12" s="1"/>
      <c r="Q12" s="26">
        <f t="shared" si="2"/>
        <v>2949580.3314037202</v>
      </c>
      <c r="R12" s="8">
        <f t="shared" si="3"/>
        <v>4406002.9140493143</v>
      </c>
      <c r="S12" s="8">
        <f t="shared" si="4"/>
        <v>0</v>
      </c>
      <c r="T12" s="8">
        <f t="shared" si="1"/>
        <v>0</v>
      </c>
      <c r="U12" s="8"/>
      <c r="V12" s="18">
        <f>SUM(Q12:U12)</f>
        <v>7355583.2454530345</v>
      </c>
    </row>
    <row r="13" spans="1:22" x14ac:dyDescent="0.2">
      <c r="A13" s="17" t="s">
        <v>9</v>
      </c>
      <c r="B13" s="63">
        <f>+[8]Lavo!$I$38</f>
        <v>4976317.0999999996</v>
      </c>
      <c r="C13" s="63">
        <f>+[10]Lavo!$I$38</f>
        <v>1313859.5407439987</v>
      </c>
      <c r="D13" s="63">
        <f>+[13]Lavo!$I$38</f>
        <v>663692.82000000007</v>
      </c>
      <c r="E13" s="63">
        <f>+[15]Lavo!$I$38</f>
        <v>1000880.8</v>
      </c>
      <c r="F13" s="63">
        <f>+[18]Lavo!$I$38</f>
        <v>1516209.8200000003</v>
      </c>
      <c r="G13" s="62"/>
      <c r="H13" s="62"/>
      <c r="I13" s="62"/>
      <c r="J13" s="62"/>
      <c r="K13" s="62"/>
      <c r="L13" s="62"/>
      <c r="M13" s="62"/>
      <c r="N13" s="8"/>
      <c r="O13" s="18">
        <f t="shared" si="0"/>
        <v>9470960.0807439983</v>
      </c>
      <c r="P13" s="1"/>
      <c r="Q13" s="26">
        <f t="shared" si="2"/>
        <v>6953869.4607439991</v>
      </c>
      <c r="R13" s="8">
        <f t="shared" si="3"/>
        <v>2517090.62</v>
      </c>
      <c r="S13" s="8">
        <f t="shared" si="4"/>
        <v>0</v>
      </c>
      <c r="T13" s="8">
        <f t="shared" si="1"/>
        <v>0</v>
      </c>
      <c r="U13" s="8"/>
      <c r="V13" s="18">
        <f>SUM(Q13:U13)</f>
        <v>9470960.0807439983</v>
      </c>
    </row>
    <row r="14" spans="1:22" x14ac:dyDescent="0.2">
      <c r="A14" s="17" t="s">
        <v>10</v>
      </c>
      <c r="B14" s="55">
        <f>+[8]Lavo!$I$50</f>
        <v>-1226698.5999999996</v>
      </c>
      <c r="C14" s="55">
        <f>+[10]Lavo!$I$50</f>
        <v>53498.852100012824</v>
      </c>
      <c r="D14" s="55">
        <f>+[13]Lavo!$I$50</f>
        <v>350610.97785755154</v>
      </c>
      <c r="E14" s="55">
        <f>+[15]Lavo!$I$50</f>
        <v>0</v>
      </c>
      <c r="F14" s="55">
        <f>+[18]Lavo!$I$50</f>
        <v>0</v>
      </c>
      <c r="G14" s="62"/>
      <c r="H14" s="62"/>
      <c r="I14" s="62"/>
      <c r="J14" s="62"/>
      <c r="K14" s="62"/>
      <c r="L14" s="62"/>
      <c r="M14" s="62"/>
      <c r="N14" s="8"/>
      <c r="O14" s="18">
        <f t="shared" si="0"/>
        <v>-822588.77004243527</v>
      </c>
      <c r="P14" s="1"/>
      <c r="Q14" s="26">
        <f t="shared" si="2"/>
        <v>-822588.77004243527</v>
      </c>
      <c r="R14" s="8">
        <f t="shared" si="3"/>
        <v>0</v>
      </c>
      <c r="S14" s="8">
        <f t="shared" si="4"/>
        <v>0</v>
      </c>
      <c r="T14" s="8">
        <f t="shared" si="1"/>
        <v>0</v>
      </c>
      <c r="U14" s="8"/>
      <c r="V14" s="18">
        <f>SUM(Q14:U14)</f>
        <v>-822588.77004243527</v>
      </c>
    </row>
    <row r="15" spans="1:22" x14ac:dyDescent="0.2">
      <c r="A15" s="17" t="s">
        <v>12</v>
      </c>
      <c r="B15" s="55">
        <f>+[8]Lavo!$I$54</f>
        <v>367</v>
      </c>
      <c r="C15" s="55">
        <f>+[10]Lavo!$I$54</f>
        <v>329145</v>
      </c>
      <c r="D15" s="55">
        <f>+[13]Lavo!$I$54</f>
        <v>1550719.8</v>
      </c>
      <c r="E15" s="55">
        <f>+[15]Lavo!$I$54</f>
        <v>1853890</v>
      </c>
      <c r="F15" s="55">
        <f>+[18]Lavo!$I$54</f>
        <v>1732977</v>
      </c>
      <c r="G15" s="62"/>
      <c r="H15" s="62"/>
      <c r="I15" s="62"/>
      <c r="J15" s="62"/>
      <c r="K15" s="62"/>
      <c r="L15" s="62"/>
      <c r="M15" s="62"/>
      <c r="N15" s="8"/>
      <c r="O15" s="18">
        <f t="shared" si="0"/>
        <v>5467098.7999999998</v>
      </c>
      <c r="P15" s="1"/>
      <c r="Q15" s="26">
        <f t="shared" si="2"/>
        <v>1880231.8</v>
      </c>
      <c r="R15" s="8">
        <f t="shared" si="3"/>
        <v>3586867</v>
      </c>
      <c r="S15" s="8">
        <f t="shared" si="4"/>
        <v>0</v>
      </c>
      <c r="T15" s="8">
        <f t="shared" si="1"/>
        <v>0</v>
      </c>
      <c r="U15" s="8"/>
      <c r="V15" s="18">
        <f>SUM(Q15:U15)</f>
        <v>5467098.7999999998</v>
      </c>
    </row>
    <row r="16" spans="1:22" x14ac:dyDescent="0.2">
      <c r="A16" s="17" t="s">
        <v>11</v>
      </c>
      <c r="B16" s="56">
        <f>+[8]Lavo!$I$56</f>
        <v>72660</v>
      </c>
      <c r="C16" s="56">
        <f>+[10]Lavo!$I$56</f>
        <v>127218</v>
      </c>
      <c r="D16" s="56">
        <f>+[13]Lavo!$I$56</f>
        <v>259060</v>
      </c>
      <c r="E16" s="56">
        <f>+[15]Lavo!$I$56</f>
        <v>-58681</v>
      </c>
      <c r="F16" s="56">
        <f>+[18]Lavo!$I$56</f>
        <v>201630</v>
      </c>
      <c r="G16" s="62"/>
      <c r="H16" s="62"/>
      <c r="I16" s="62"/>
      <c r="J16" s="62"/>
      <c r="K16" s="62"/>
      <c r="L16" s="62"/>
      <c r="M16" s="62"/>
      <c r="N16" s="8"/>
      <c r="O16" s="18">
        <f t="shared" si="0"/>
        <v>601887</v>
      </c>
      <c r="P16" s="1"/>
      <c r="Q16" s="26">
        <f t="shared" si="2"/>
        <v>458938</v>
      </c>
      <c r="R16" s="8">
        <f t="shared" si="3"/>
        <v>142949</v>
      </c>
      <c r="S16" s="8">
        <f t="shared" si="4"/>
        <v>0</v>
      </c>
      <c r="T16" s="8">
        <f t="shared" si="1"/>
        <v>0</v>
      </c>
      <c r="U16" s="8"/>
      <c r="V16" s="18">
        <f>SUM(Q16:U16)</f>
        <v>601887</v>
      </c>
    </row>
    <row r="17" spans="1:22" ht="13.5" thickBot="1" x14ac:dyDescent="0.25">
      <c r="A17" s="19" t="s">
        <v>14</v>
      </c>
      <c r="B17" s="20">
        <f t="shared" ref="B17:M17" si="5">SUM(B7:B16)</f>
        <v>16044044.007920505</v>
      </c>
      <c r="C17" s="66">
        <f t="shared" si="5"/>
        <v>7509408.1347652413</v>
      </c>
      <c r="D17" s="66">
        <f t="shared" si="5"/>
        <v>-36385995.520580471</v>
      </c>
      <c r="E17" s="66">
        <f t="shared" si="5"/>
        <v>-78525245.149876416</v>
      </c>
      <c r="F17" s="66">
        <f t="shared" si="5"/>
        <v>27288346.443925735</v>
      </c>
      <c r="G17" s="66">
        <f t="shared" si="5"/>
        <v>0</v>
      </c>
      <c r="H17" s="66">
        <f t="shared" si="5"/>
        <v>0</v>
      </c>
      <c r="I17" s="66">
        <f t="shared" si="5"/>
        <v>0</v>
      </c>
      <c r="J17" s="66">
        <f t="shared" si="5"/>
        <v>0</v>
      </c>
      <c r="K17" s="66">
        <f t="shared" si="5"/>
        <v>0</v>
      </c>
      <c r="L17" s="66">
        <f t="shared" si="5"/>
        <v>0</v>
      </c>
      <c r="M17" s="66">
        <f t="shared" si="5"/>
        <v>0</v>
      </c>
      <c r="N17" s="21"/>
      <c r="O17" s="22">
        <f>SUM(O7:O16)</f>
        <v>-64069442.083845407</v>
      </c>
      <c r="P17" s="1"/>
      <c r="Q17" s="27">
        <f>SUM(Q7:Q16)</f>
        <v>-12832543.377894718</v>
      </c>
      <c r="R17" s="20">
        <f>SUM(R7:R16)</f>
        <v>-51236898.705950692</v>
      </c>
      <c r="S17" s="20">
        <f>SUM(S7:S16)</f>
        <v>0</v>
      </c>
      <c r="T17" s="20">
        <f>SUM(T7:T16)</f>
        <v>0</v>
      </c>
      <c r="U17" s="21"/>
      <c r="V17" s="22">
        <f>SUM(V7:V16)</f>
        <v>-64069442.083845407</v>
      </c>
    </row>
    <row r="18" spans="1:22" x14ac:dyDescent="0.2">
      <c r="B18" s="3"/>
      <c r="C18" s="67"/>
      <c r="D18" s="67"/>
      <c r="E18" s="67"/>
      <c r="F18" s="67"/>
      <c r="G18" s="67"/>
      <c r="H18" s="67"/>
      <c r="I18" s="67"/>
      <c r="J18" s="67"/>
      <c r="K18" s="67"/>
      <c r="L18" s="67"/>
      <c r="M18" s="67"/>
      <c r="N18" s="8"/>
      <c r="O18" s="3"/>
      <c r="P18" s="1"/>
      <c r="Q18" s="3"/>
      <c r="R18" s="3"/>
      <c r="S18" s="3"/>
      <c r="T18" s="3"/>
      <c r="U18" s="8"/>
      <c r="V18" s="3"/>
    </row>
    <row r="19" spans="1:22" ht="13.5" thickBot="1" x14ac:dyDescent="0.25">
      <c r="B19" s="3"/>
      <c r="C19" s="67"/>
      <c r="D19" s="67"/>
      <c r="E19" s="67"/>
      <c r="F19" s="67"/>
      <c r="G19" s="67"/>
      <c r="H19" s="67"/>
      <c r="I19" s="67"/>
      <c r="J19" s="67"/>
      <c r="K19" s="67"/>
      <c r="L19" s="67"/>
      <c r="M19" s="67"/>
      <c r="N19" s="8"/>
      <c r="O19" s="3"/>
      <c r="P19" s="1"/>
      <c r="Q19" s="3"/>
      <c r="R19" s="3"/>
      <c r="S19" s="3"/>
      <c r="T19" s="3"/>
      <c r="U19" s="8"/>
      <c r="V19" s="3"/>
    </row>
    <row r="20" spans="1:22" x14ac:dyDescent="0.2">
      <c r="A20" s="10" t="s">
        <v>16</v>
      </c>
      <c r="B20" s="28"/>
      <c r="C20" s="68"/>
      <c r="D20" s="68"/>
      <c r="E20" s="68"/>
      <c r="F20" s="68"/>
      <c r="G20" s="68"/>
      <c r="H20" s="68"/>
      <c r="I20" s="68"/>
      <c r="J20" s="68"/>
      <c r="K20" s="68"/>
      <c r="L20" s="68"/>
      <c r="M20" s="68"/>
      <c r="N20" s="28"/>
      <c r="O20" s="29"/>
      <c r="P20" s="1"/>
      <c r="Q20" s="10" t="s">
        <v>16</v>
      </c>
      <c r="R20" s="28"/>
      <c r="S20" s="28"/>
      <c r="T20" s="28"/>
      <c r="U20" s="28"/>
      <c r="V20" s="29"/>
    </row>
    <row r="21" spans="1:22" x14ac:dyDescent="0.2">
      <c r="A21" s="17" t="s">
        <v>2</v>
      </c>
      <c r="B21" s="8">
        <f>+[9]Report!$AC$56</f>
        <v>9658908.7199999988</v>
      </c>
      <c r="C21" s="8">
        <f>+[11]Report!$AC$56</f>
        <v>6527589</v>
      </c>
      <c r="D21" s="8">
        <f>+[12]Report!$AC$56</f>
        <v>-40439071.920000002</v>
      </c>
      <c r="E21" s="8">
        <f>+[16]Report!$AC$56</f>
        <v>-82501699.239999995</v>
      </c>
      <c r="F21" s="8">
        <f>+[17]Report!$AC$56</f>
        <v>20611891</v>
      </c>
      <c r="G21" s="62"/>
      <c r="H21" s="62"/>
      <c r="I21" s="62"/>
      <c r="J21" s="62"/>
      <c r="K21" s="62"/>
      <c r="L21" s="62"/>
      <c r="M21" s="62"/>
      <c r="N21" s="8"/>
      <c r="O21" s="18">
        <f>SUM(B21:N21)</f>
        <v>-86142382.439999998</v>
      </c>
      <c r="P21" s="1"/>
      <c r="Q21" s="26">
        <f>+SUM(B21:D21)</f>
        <v>-24252574.200000003</v>
      </c>
      <c r="R21" s="8">
        <f>+SUM(E21:G21)</f>
        <v>-61889808.239999995</v>
      </c>
      <c r="S21" s="8">
        <f>+SUM(H21:J21)</f>
        <v>0</v>
      </c>
      <c r="T21" s="8">
        <f>+SUM(K21:M21)</f>
        <v>0</v>
      </c>
      <c r="U21" s="8"/>
      <c r="V21" s="18">
        <f>SUM(Q21:U21)</f>
        <v>-86142382.439999998</v>
      </c>
    </row>
    <row r="22" spans="1:22" s="4" customFormat="1" x14ac:dyDescent="0.2">
      <c r="A22" s="30" t="s">
        <v>3</v>
      </c>
      <c r="B22" s="9">
        <f t="shared" ref="B22:M22" si="6">+B21-SUM(B7:B10)</f>
        <v>0</v>
      </c>
      <c r="C22" s="69">
        <f t="shared" si="6"/>
        <v>0</v>
      </c>
      <c r="D22" s="69">
        <f t="shared" si="6"/>
        <v>0</v>
      </c>
      <c r="E22" s="69">
        <f t="shared" si="6"/>
        <v>0</v>
      </c>
      <c r="F22" s="69">
        <f t="shared" si="6"/>
        <v>0</v>
      </c>
      <c r="G22" s="69">
        <f t="shared" si="6"/>
        <v>0</v>
      </c>
      <c r="H22" s="69">
        <f t="shared" si="6"/>
        <v>0</v>
      </c>
      <c r="I22" s="69">
        <f t="shared" si="6"/>
        <v>0</v>
      </c>
      <c r="J22" s="69">
        <f t="shared" si="6"/>
        <v>0</v>
      </c>
      <c r="K22" s="69">
        <f t="shared" si="6"/>
        <v>0</v>
      </c>
      <c r="L22" s="69">
        <f t="shared" si="6"/>
        <v>0</v>
      </c>
      <c r="M22" s="69">
        <f t="shared" si="6"/>
        <v>0</v>
      </c>
      <c r="N22" s="9"/>
      <c r="O22" s="18">
        <f>SUM(B22:N22)</f>
        <v>0</v>
      </c>
      <c r="P22" s="5"/>
      <c r="Q22" s="26">
        <f>+SUM(B22:D22)</f>
        <v>0</v>
      </c>
      <c r="R22" s="8">
        <f>+SUM(E22:G22)</f>
        <v>0</v>
      </c>
      <c r="S22" s="8">
        <f>+SUM(H22:J22)</f>
        <v>0</v>
      </c>
      <c r="T22" s="8">
        <f>+SUM(K22:M22)</f>
        <v>0</v>
      </c>
      <c r="U22" s="9"/>
      <c r="V22" s="18">
        <f>SUM(I22:U22)</f>
        <v>0</v>
      </c>
    </row>
    <row r="23" spans="1:22" x14ac:dyDescent="0.2">
      <c r="A23" s="17" t="s">
        <v>13</v>
      </c>
      <c r="B23" s="8">
        <f>+[8]Lavo!$I$63</f>
        <v>6385135.2879205048</v>
      </c>
      <c r="C23" s="8">
        <f>+[10]Lavo!$I$63</f>
        <v>981819.13476524176</v>
      </c>
      <c r="D23" s="8">
        <f>+[13]Lavo!$I$63</f>
        <v>4053075.974419537</v>
      </c>
      <c r="E23" s="62">
        <f>+[15]Lavo!$I$63</f>
        <v>3976454.0901235798</v>
      </c>
      <c r="F23" s="62">
        <f>+[18]Lavo!$I$63</f>
        <v>6676455.4439257346</v>
      </c>
      <c r="G23" s="62"/>
      <c r="H23" s="62"/>
      <c r="I23" s="62"/>
      <c r="J23" s="62"/>
      <c r="K23" s="62"/>
      <c r="L23" s="62"/>
      <c r="M23" s="62"/>
      <c r="N23" s="8"/>
      <c r="O23" s="18">
        <f>SUM(B23:N23)</f>
        <v>22072939.931154598</v>
      </c>
      <c r="P23" s="1"/>
      <c r="Q23" s="26">
        <f>+SUM(B23:D23)</f>
        <v>11420030.397105284</v>
      </c>
      <c r="R23" s="8">
        <f>+SUM(E23:G23)</f>
        <v>10652909.534049314</v>
      </c>
      <c r="S23" s="8">
        <f>+SUM(H23:J23)</f>
        <v>0</v>
      </c>
      <c r="T23" s="8">
        <f>+SUM(K23:M23)</f>
        <v>0</v>
      </c>
      <c r="U23" s="8"/>
      <c r="V23" s="18">
        <f>SUM(Q23:T23)</f>
        <v>22072939.931154598</v>
      </c>
    </row>
    <row r="24" spans="1:22" s="4" customFormat="1" x14ac:dyDescent="0.2">
      <c r="A24" s="30" t="s">
        <v>3</v>
      </c>
      <c r="B24" s="9">
        <f t="shared" ref="B24:M24" si="7">+B23-SUM(B12:B16)</f>
        <v>0</v>
      </c>
      <c r="C24" s="69">
        <f t="shared" si="7"/>
        <v>0</v>
      </c>
      <c r="D24" s="69">
        <f t="shared" si="7"/>
        <v>-0.42499999888241291</v>
      </c>
      <c r="E24" s="69">
        <f t="shared" si="7"/>
        <v>0</v>
      </c>
      <c r="F24" s="69">
        <f t="shared" si="7"/>
        <v>0</v>
      </c>
      <c r="G24" s="69">
        <f t="shared" si="7"/>
        <v>0</v>
      </c>
      <c r="H24" s="69">
        <f t="shared" si="7"/>
        <v>0</v>
      </c>
      <c r="I24" s="69">
        <f t="shared" si="7"/>
        <v>0</v>
      </c>
      <c r="J24" s="69">
        <f t="shared" si="7"/>
        <v>0</v>
      </c>
      <c r="K24" s="69">
        <f t="shared" si="7"/>
        <v>0</v>
      </c>
      <c r="L24" s="69">
        <f t="shared" si="7"/>
        <v>0</v>
      </c>
      <c r="M24" s="69">
        <f t="shared" si="7"/>
        <v>0</v>
      </c>
      <c r="N24" s="9"/>
      <c r="O24" s="31">
        <f>SUM(B24:N24)</f>
        <v>-0.42499999888241291</v>
      </c>
      <c r="P24" s="5"/>
      <c r="Q24" s="32">
        <f t="shared" ref="Q24:V24" si="8">+Q23-SUM(Q12:Q16)</f>
        <v>-0.42500000074505806</v>
      </c>
      <c r="R24" s="9">
        <f t="shared" si="8"/>
        <v>0</v>
      </c>
      <c r="S24" s="9">
        <f t="shared" si="8"/>
        <v>0</v>
      </c>
      <c r="T24" s="9">
        <f t="shared" si="8"/>
        <v>0</v>
      </c>
      <c r="U24" s="9">
        <f t="shared" si="8"/>
        <v>0</v>
      </c>
      <c r="V24" s="31">
        <f t="shared" si="8"/>
        <v>-0.42500000074505806</v>
      </c>
    </row>
    <row r="25" spans="1:22" ht="13.5" thickBot="1" x14ac:dyDescent="0.25">
      <c r="A25" s="19" t="s">
        <v>14</v>
      </c>
      <c r="B25" s="20">
        <f>+B23+B21</f>
        <v>16044044.007920504</v>
      </c>
      <c r="C25" s="66">
        <f t="shared" ref="C25:K25" si="9">+C23+C21</f>
        <v>7509408.1347652413</v>
      </c>
      <c r="D25" s="66">
        <f>+D23+D21</f>
        <v>-36385995.945580468</v>
      </c>
      <c r="E25" s="66">
        <f t="shared" si="9"/>
        <v>-78525245.149876416</v>
      </c>
      <c r="F25" s="66">
        <f t="shared" si="9"/>
        <v>27288346.443925735</v>
      </c>
      <c r="G25" s="66">
        <f t="shared" si="9"/>
        <v>0</v>
      </c>
      <c r="H25" s="66">
        <f t="shared" si="9"/>
        <v>0</v>
      </c>
      <c r="I25" s="66">
        <f t="shared" si="9"/>
        <v>0</v>
      </c>
      <c r="J25" s="66">
        <f t="shared" si="9"/>
        <v>0</v>
      </c>
      <c r="K25" s="66">
        <f t="shared" si="9"/>
        <v>0</v>
      </c>
      <c r="L25" s="66">
        <f>+L23+L21</f>
        <v>0</v>
      </c>
      <c r="M25" s="66">
        <f>+M23+M21</f>
        <v>0</v>
      </c>
      <c r="N25" s="21"/>
      <c r="O25" s="22">
        <f>+O23+O21</f>
        <v>-64069442.508845404</v>
      </c>
      <c r="P25" s="1"/>
      <c r="Q25" s="27">
        <f>+Q23+Q21</f>
        <v>-12832543.802894719</v>
      </c>
      <c r="R25" s="20">
        <f>+R23+R21</f>
        <v>-51236898.705950677</v>
      </c>
      <c r="S25" s="20">
        <f>+S23+S21</f>
        <v>0</v>
      </c>
      <c r="T25" s="20">
        <f>+T23+T21</f>
        <v>0</v>
      </c>
      <c r="U25" s="21"/>
      <c r="V25" s="22">
        <f>+V23+V21</f>
        <v>-64069442.508845404</v>
      </c>
    </row>
    <row r="26" spans="1:22" x14ac:dyDescent="0.2">
      <c r="A26" s="6"/>
      <c r="B26" s="8"/>
      <c r="C26" s="62"/>
      <c r="D26" s="62"/>
      <c r="E26" s="62"/>
      <c r="F26" s="62"/>
      <c r="G26" s="62"/>
      <c r="H26" s="62"/>
      <c r="I26" s="62"/>
      <c r="J26" s="62"/>
      <c r="K26" s="62"/>
      <c r="L26" s="62"/>
      <c r="M26" s="62"/>
      <c r="N26" s="8"/>
      <c r="O26" s="8"/>
      <c r="P26" s="1"/>
      <c r="Q26" s="8"/>
      <c r="R26" s="8"/>
      <c r="S26" s="8"/>
      <c r="T26" s="8"/>
      <c r="U26" s="8"/>
      <c r="V26" s="8"/>
    </row>
    <row r="27" spans="1:22" ht="13.5" thickBot="1" x14ac:dyDescent="0.25">
      <c r="A27" s="6"/>
      <c r="B27" s="8"/>
      <c r="C27" s="62"/>
      <c r="D27" s="62"/>
      <c r="E27" s="62"/>
      <c r="F27" s="62"/>
      <c r="G27" s="62"/>
      <c r="H27" s="62"/>
      <c r="I27" s="62"/>
      <c r="J27" s="62"/>
      <c r="K27" s="62"/>
      <c r="L27" s="62"/>
      <c r="M27" s="62"/>
      <c r="N27" s="8"/>
      <c r="O27" s="8"/>
      <c r="P27" s="1"/>
      <c r="Q27" s="8"/>
      <c r="R27" s="8"/>
      <c r="S27" s="8"/>
      <c r="T27" s="8"/>
      <c r="U27" s="8"/>
      <c r="V27" s="8"/>
    </row>
    <row r="28" spans="1:22" x14ac:dyDescent="0.2">
      <c r="A28" s="10" t="s">
        <v>22</v>
      </c>
      <c r="B28" s="33"/>
      <c r="C28" s="70"/>
      <c r="D28" s="70"/>
      <c r="E28" s="70"/>
      <c r="F28" s="70"/>
      <c r="G28" s="70"/>
      <c r="H28" s="70"/>
      <c r="I28" s="70"/>
      <c r="J28" s="70"/>
      <c r="K28" s="70"/>
      <c r="L28" s="70"/>
      <c r="M28" s="70"/>
      <c r="N28" s="33"/>
      <c r="O28" s="34"/>
      <c r="P28" s="1"/>
      <c r="Q28" s="35" t="str">
        <f>+A28</f>
        <v>BY AREA/TRADER:</v>
      </c>
      <c r="R28" s="33"/>
      <c r="S28" s="33"/>
      <c r="T28" s="33"/>
      <c r="U28" s="33"/>
      <c r="V28" s="34"/>
    </row>
    <row r="29" spans="1:22" x14ac:dyDescent="0.2">
      <c r="A29" s="17" t="s">
        <v>50</v>
      </c>
      <c r="B29" s="55">
        <f>+B7+B9+B15+B14</f>
        <v>5290530.120000001</v>
      </c>
      <c r="C29" s="55">
        <f>+C7+C9+C15+C14</f>
        <v>-316437.14789998718</v>
      </c>
      <c r="D29" s="55">
        <f>+D7+D9+D15+D14</f>
        <v>1890674.8578575517</v>
      </c>
      <c r="E29" s="55">
        <f>+E7+E9+E15+E14+E8-E30</f>
        <v>-15500112.239999995</v>
      </c>
      <c r="F29" s="55">
        <f>+F7+F9+F15+F14+F8</f>
        <v>17302910</v>
      </c>
      <c r="G29" s="62"/>
      <c r="H29" s="62"/>
      <c r="I29" s="62"/>
      <c r="J29" s="62"/>
      <c r="K29" s="62"/>
      <c r="L29" s="62"/>
      <c r="M29" s="62"/>
      <c r="N29" s="8"/>
      <c r="O29" s="18">
        <f>SUM(B29:N29)</f>
        <v>8667565.5899575707</v>
      </c>
      <c r="P29" s="3"/>
      <c r="Q29" s="26">
        <f>+SUM(B29:D29)</f>
        <v>6864767.8299575653</v>
      </c>
      <c r="R29" s="8">
        <f>+SUM(E29:G29)</f>
        <v>1802797.7600000054</v>
      </c>
      <c r="S29" s="8">
        <f>+SUM(H29:J29)</f>
        <v>0</v>
      </c>
      <c r="T29" s="8">
        <f>+SUM(K29:M29)</f>
        <v>0</v>
      </c>
      <c r="U29" s="8"/>
      <c r="V29" s="18">
        <f>SUM(Q29:U29)</f>
        <v>8667565.5899575707</v>
      </c>
    </row>
    <row r="30" spans="1:22" x14ac:dyDescent="0.2">
      <c r="A30" s="17" t="s">
        <v>30</v>
      </c>
      <c r="B30" s="58">
        <f>+B8</f>
        <v>3582468</v>
      </c>
      <c r="C30" s="58">
        <f>+C8</f>
        <v>3643562</v>
      </c>
      <c r="D30" s="58">
        <f>+D8</f>
        <v>-49863600</v>
      </c>
      <c r="E30" s="58">
        <v>-63828706</v>
      </c>
      <c r="F30" s="58">
        <v>0</v>
      </c>
      <c r="G30" s="62"/>
      <c r="H30" s="62"/>
      <c r="I30" s="62"/>
      <c r="J30" s="62"/>
      <c r="K30" s="62"/>
      <c r="L30" s="62"/>
      <c r="M30" s="62"/>
      <c r="N30" s="8"/>
      <c r="O30" s="18">
        <f>SUM(B30:N30)</f>
        <v>-106466276</v>
      </c>
      <c r="P30" s="3"/>
      <c r="Q30" s="26">
        <f>+SUM(B30:D30)</f>
        <v>-42637570</v>
      </c>
      <c r="R30" s="8">
        <f>+SUM(E30:G30)</f>
        <v>-63828706</v>
      </c>
      <c r="S30" s="8">
        <f>+SUM(H30:J30)</f>
        <v>0</v>
      </c>
      <c r="T30" s="8">
        <f>+SUM(K30:M30)</f>
        <v>0</v>
      </c>
      <c r="U30" s="8"/>
      <c r="V30" s="18">
        <f>SUM(Q30:U30)</f>
        <v>-106466276</v>
      </c>
    </row>
    <row r="31" spans="1:22" x14ac:dyDescent="0.2">
      <c r="A31" s="17" t="s">
        <v>23</v>
      </c>
      <c r="B31" s="56">
        <f>+B10+B16</f>
        <v>-367761</v>
      </c>
      <c r="C31" s="56">
        <f>+C10+C16</f>
        <v>3710326</v>
      </c>
      <c r="D31" s="56">
        <f>+D10+D16</f>
        <v>9694244</v>
      </c>
      <c r="E31" s="56">
        <f>+E10+E16</f>
        <v>-1377672</v>
      </c>
      <c r="F31" s="56">
        <f>+F10+F16</f>
        <v>5243588</v>
      </c>
      <c r="G31" s="62"/>
      <c r="H31" s="62"/>
      <c r="I31" s="62"/>
      <c r="J31" s="62"/>
      <c r="K31" s="62"/>
      <c r="L31" s="62"/>
      <c r="M31" s="62"/>
      <c r="N31" s="8"/>
      <c r="O31" s="18">
        <f>SUM(B31:N31)</f>
        <v>16902725</v>
      </c>
      <c r="P31" s="3"/>
      <c r="Q31" s="26">
        <f>+SUM(B31:D31)</f>
        <v>13036809</v>
      </c>
      <c r="R31" s="8">
        <f>+SUM(E31:G31)</f>
        <v>3865916</v>
      </c>
      <c r="S31" s="8">
        <f>+SUM(H31:J31)</f>
        <v>0</v>
      </c>
      <c r="T31" s="8">
        <f>+SUM(K31:M31)</f>
        <v>0</v>
      </c>
      <c r="U31" s="8"/>
      <c r="V31" s="18">
        <f>SUM(Q31:U31)</f>
        <v>16902725</v>
      </c>
    </row>
    <row r="32" spans="1:22" x14ac:dyDescent="0.2">
      <c r="A32" s="17" t="s">
        <v>24</v>
      </c>
      <c r="B32" s="57">
        <f t="shared" ref="B32:D33" si="10">+B12</f>
        <v>2562489.7879205053</v>
      </c>
      <c r="C32" s="57">
        <f t="shared" si="10"/>
        <v>-841902.25807876978</v>
      </c>
      <c r="D32" s="57">
        <f t="shared" si="10"/>
        <v>1228992.8015619847</v>
      </c>
      <c r="E32" s="57">
        <f>+E12</f>
        <v>1180364.29012358</v>
      </c>
      <c r="F32" s="57">
        <f>+F12</f>
        <v>3225638.6239257343</v>
      </c>
      <c r="G32" s="62"/>
      <c r="H32" s="62"/>
      <c r="I32" s="62"/>
      <c r="J32" s="62"/>
      <c r="K32" s="62"/>
      <c r="L32" s="62"/>
      <c r="M32" s="62"/>
      <c r="N32" s="8"/>
      <c r="O32" s="18">
        <f>SUM(B32:N32)</f>
        <v>7355583.2454530345</v>
      </c>
      <c r="P32" s="3"/>
      <c r="Q32" s="26">
        <f>+SUM(B32:D32)</f>
        <v>2949580.3314037202</v>
      </c>
      <c r="R32" s="8">
        <f>+SUM(E32:G32)</f>
        <v>4406002.9140493143</v>
      </c>
      <c r="S32" s="8">
        <f>+SUM(H32:J32)</f>
        <v>0</v>
      </c>
      <c r="T32" s="8">
        <f>+SUM(K32:M32)</f>
        <v>0</v>
      </c>
      <c r="U32" s="8"/>
      <c r="V32" s="18">
        <f>SUM(Q32:U32)</f>
        <v>7355583.2454530345</v>
      </c>
    </row>
    <row r="33" spans="1:22" x14ac:dyDescent="0.2">
      <c r="A33" s="17" t="s">
        <v>25</v>
      </c>
      <c r="B33" s="63">
        <f t="shared" si="10"/>
        <v>4976317.0999999996</v>
      </c>
      <c r="C33" s="63">
        <f t="shared" si="10"/>
        <v>1313859.5407439987</v>
      </c>
      <c r="D33" s="63">
        <f t="shared" si="10"/>
        <v>663692.82000000007</v>
      </c>
      <c r="E33" s="63">
        <f>+E13</f>
        <v>1000880.8</v>
      </c>
      <c r="F33" s="63">
        <f>+F13</f>
        <v>1516209.8200000003</v>
      </c>
      <c r="G33" s="62"/>
      <c r="H33" s="62"/>
      <c r="I33" s="62"/>
      <c r="J33" s="62"/>
      <c r="K33" s="62"/>
      <c r="L33" s="62"/>
      <c r="M33" s="62"/>
      <c r="N33" s="8"/>
      <c r="O33" s="18">
        <f>SUM(B33:N33)</f>
        <v>9470960.0807439983</v>
      </c>
      <c r="P33" s="3"/>
      <c r="Q33" s="26">
        <f>+SUM(B33:D33)</f>
        <v>6953869.4607439991</v>
      </c>
      <c r="R33" s="8">
        <f>+SUM(E33:G33)</f>
        <v>2517090.62</v>
      </c>
      <c r="S33" s="8">
        <f>+SUM(H33:J33)</f>
        <v>0</v>
      </c>
      <c r="T33" s="8">
        <f>+SUM(K33:M33)</f>
        <v>0</v>
      </c>
      <c r="U33" s="8"/>
      <c r="V33" s="18">
        <f>SUM(Q33:U33)</f>
        <v>9470960.0807439983</v>
      </c>
    </row>
    <row r="34" spans="1:22" ht="13.5" thickBot="1" x14ac:dyDescent="0.25">
      <c r="A34" s="19" t="s">
        <v>14</v>
      </c>
      <c r="B34" s="20">
        <f t="shared" ref="B34:M34" si="11">SUM(B29:B33)</f>
        <v>16044044.007920505</v>
      </c>
      <c r="C34" s="20">
        <f t="shared" si="11"/>
        <v>7509408.1347652413</v>
      </c>
      <c r="D34" s="20">
        <f t="shared" si="11"/>
        <v>-36385995.520580463</v>
      </c>
      <c r="E34" s="20">
        <f t="shared" si="11"/>
        <v>-78525245.149876416</v>
      </c>
      <c r="F34" s="20">
        <f t="shared" si="11"/>
        <v>27288346.443925735</v>
      </c>
      <c r="G34" s="20">
        <f t="shared" si="11"/>
        <v>0</v>
      </c>
      <c r="H34" s="20">
        <f t="shared" si="11"/>
        <v>0</v>
      </c>
      <c r="I34" s="20">
        <f t="shared" si="11"/>
        <v>0</v>
      </c>
      <c r="J34" s="20">
        <f t="shared" si="11"/>
        <v>0</v>
      </c>
      <c r="K34" s="20">
        <f t="shared" si="11"/>
        <v>0</v>
      </c>
      <c r="L34" s="20">
        <f t="shared" si="11"/>
        <v>0</v>
      </c>
      <c r="M34" s="20">
        <f t="shared" si="11"/>
        <v>0</v>
      </c>
      <c r="N34" s="21"/>
      <c r="O34" s="22">
        <f>SUM(O29:O33)</f>
        <v>-64069442.083845407</v>
      </c>
      <c r="P34" s="3"/>
      <c r="Q34" s="27">
        <f>SUM(Q29:Q33)</f>
        <v>-12832543.377894713</v>
      </c>
      <c r="R34" s="20">
        <f>SUM(R29:R33)</f>
        <v>-51236898.705950685</v>
      </c>
      <c r="S34" s="20">
        <f>SUM(S29:S33)</f>
        <v>0</v>
      </c>
      <c r="T34" s="20">
        <f>SUM(T29:T33)</f>
        <v>0</v>
      </c>
      <c r="U34" s="21"/>
      <c r="V34" s="22">
        <f>SUM(V29:V33)</f>
        <v>-64069442.083845407</v>
      </c>
    </row>
    <row r="35" spans="1:22" hidden="1" x14ac:dyDescent="0.2">
      <c r="A35" t="s">
        <v>3</v>
      </c>
      <c r="B35" s="3">
        <f t="shared" ref="B35:M35" si="12">+B34-B17</f>
        <v>0</v>
      </c>
      <c r="C35" s="3">
        <f t="shared" si="12"/>
        <v>0</v>
      </c>
      <c r="D35" s="3">
        <f t="shared" si="12"/>
        <v>0</v>
      </c>
      <c r="E35" s="3">
        <f t="shared" si="12"/>
        <v>0</v>
      </c>
      <c r="F35" s="3">
        <f t="shared" si="12"/>
        <v>0</v>
      </c>
      <c r="G35" s="3">
        <f t="shared" si="12"/>
        <v>0</v>
      </c>
      <c r="H35" s="3">
        <f t="shared" si="12"/>
        <v>0</v>
      </c>
      <c r="I35" s="3">
        <f t="shared" si="12"/>
        <v>0</v>
      </c>
      <c r="J35" s="3">
        <f t="shared" si="12"/>
        <v>0</v>
      </c>
      <c r="K35" s="3">
        <f t="shared" si="12"/>
        <v>0</v>
      </c>
      <c r="L35" s="3">
        <f t="shared" si="12"/>
        <v>0</v>
      </c>
      <c r="M35" s="3">
        <f t="shared" si="12"/>
        <v>0</v>
      </c>
      <c r="N35" s="3"/>
      <c r="O35" s="3"/>
      <c r="P35" s="3"/>
      <c r="Q35" s="3">
        <f>+Q34-Q17</f>
        <v>0</v>
      </c>
      <c r="R35" s="3">
        <f>+R34-R17</f>
        <v>0</v>
      </c>
      <c r="S35" s="3">
        <f>+S34-S17</f>
        <v>0</v>
      </c>
      <c r="T35" s="3">
        <f>+T34-T17</f>
        <v>0</v>
      </c>
      <c r="U35" s="3"/>
      <c r="V35" s="3"/>
    </row>
    <row r="36" spans="1:22" x14ac:dyDescent="0.2">
      <c r="B36" s="3"/>
      <c r="C36" s="3"/>
      <c r="D36" s="3"/>
      <c r="E36" s="3"/>
      <c r="F36" s="3"/>
      <c r="G36" s="3"/>
      <c r="H36" s="3"/>
      <c r="I36" s="3"/>
      <c r="J36" s="3"/>
      <c r="K36" s="3"/>
      <c r="L36" s="3"/>
      <c r="M36" s="3"/>
      <c r="N36" s="3"/>
      <c r="O36" s="3"/>
      <c r="P36" s="3"/>
      <c r="Q36" s="3"/>
      <c r="R36" s="3"/>
      <c r="S36" s="3"/>
      <c r="T36" s="3"/>
      <c r="U36" s="3"/>
      <c r="V36" s="3"/>
    </row>
    <row r="37" spans="1:22" ht="13.5" thickBot="1" x14ac:dyDescent="0.25">
      <c r="A37" s="105" t="s">
        <v>53</v>
      </c>
      <c r="B37" s="20">
        <f>+B34-B31</f>
        <v>16411805.007920505</v>
      </c>
      <c r="C37" s="20">
        <f>+C34-C31</f>
        <v>3799082.1347652413</v>
      </c>
      <c r="D37" s="20">
        <f>+D34-D31</f>
        <v>-46080239.520580463</v>
      </c>
      <c r="E37" s="20">
        <f t="shared" ref="E37:M37" si="13">SUM(E31:E35)</f>
        <v>-77721672.059752837</v>
      </c>
      <c r="F37" s="20">
        <f t="shared" si="13"/>
        <v>37273782.887851469</v>
      </c>
      <c r="G37" s="20">
        <f t="shared" si="13"/>
        <v>0</v>
      </c>
      <c r="H37" s="20">
        <f t="shared" si="13"/>
        <v>0</v>
      </c>
      <c r="I37" s="20">
        <f t="shared" si="13"/>
        <v>0</v>
      </c>
      <c r="J37" s="20">
        <f t="shared" si="13"/>
        <v>0</v>
      </c>
      <c r="K37" s="20">
        <f t="shared" si="13"/>
        <v>0</v>
      </c>
      <c r="L37" s="20">
        <f t="shared" si="13"/>
        <v>0</v>
      </c>
      <c r="M37" s="20">
        <f t="shared" si="13"/>
        <v>0</v>
      </c>
      <c r="N37" s="21"/>
      <c r="O37" s="22">
        <f>SUM(B37:N37)</f>
        <v>-66317241.549796082</v>
      </c>
      <c r="P37" s="3"/>
      <c r="Q37" s="27">
        <f t="shared" ref="Q37:T39" si="14">SUM(Q31:Q35)</f>
        <v>10107715.414253006</v>
      </c>
      <c r="R37" s="20">
        <f t="shared" si="14"/>
        <v>-40447889.171901375</v>
      </c>
      <c r="S37" s="20">
        <f t="shared" si="14"/>
        <v>0</v>
      </c>
      <c r="T37" s="20">
        <f t="shared" si="14"/>
        <v>0</v>
      </c>
      <c r="U37" s="21"/>
      <c r="V37" s="22">
        <f>SUM(V31:V35)</f>
        <v>-30340173.757648379</v>
      </c>
    </row>
    <row r="38" spans="1:22" ht="13.5" thickBot="1" x14ac:dyDescent="0.25">
      <c r="A38" s="105" t="s">
        <v>55</v>
      </c>
      <c r="B38" s="20">
        <f>+'[9]Orig Sched'!$Q$183</f>
        <v>8025858.6524862833</v>
      </c>
      <c r="C38" s="20">
        <f>+'[11]Orig Sched'!$Q$183</f>
        <v>949954.82850000029</v>
      </c>
      <c r="D38" s="20">
        <f>+'[12]Orig Sched'!$Q$183</f>
        <v>1376624.4146612883</v>
      </c>
      <c r="E38" s="20">
        <f>+'[14]Orig Sched'!$Q$183</f>
        <v>3189977.159366624</v>
      </c>
      <c r="F38" s="104">
        <f>+'[17]Orig Sched'!$Q$239</f>
        <v>903346.69788941473</v>
      </c>
      <c r="G38" s="20">
        <f t="shared" ref="G38:M38" si="15">SUM(G32:G36)</f>
        <v>0</v>
      </c>
      <c r="H38" s="20">
        <f t="shared" si="15"/>
        <v>0</v>
      </c>
      <c r="I38" s="20">
        <f t="shared" si="15"/>
        <v>0</v>
      </c>
      <c r="J38" s="20">
        <f t="shared" si="15"/>
        <v>0</v>
      </c>
      <c r="K38" s="20">
        <f t="shared" si="15"/>
        <v>0</v>
      </c>
      <c r="L38" s="20">
        <f t="shared" si="15"/>
        <v>0</v>
      </c>
      <c r="M38" s="20">
        <f t="shared" si="15"/>
        <v>0</v>
      </c>
      <c r="N38" s="21"/>
      <c r="O38" s="22">
        <f>SUM(B38:N38)</f>
        <v>14445761.752903612</v>
      </c>
      <c r="P38" s="3"/>
      <c r="Q38" s="27">
        <f t="shared" si="14"/>
        <v>-2929093.5857469942</v>
      </c>
      <c r="R38" s="20">
        <f t="shared" si="14"/>
        <v>-44313805.171901368</v>
      </c>
      <c r="S38" s="20">
        <f t="shared" si="14"/>
        <v>0</v>
      </c>
      <c r="T38" s="20">
        <f t="shared" si="14"/>
        <v>0</v>
      </c>
      <c r="U38" s="21"/>
      <c r="V38" s="22">
        <f>SUM(V32:V36)</f>
        <v>-47242898.757648379</v>
      </c>
    </row>
    <row r="39" spans="1:22" ht="13.5" thickBot="1" x14ac:dyDescent="0.25">
      <c r="A39" s="105" t="s">
        <v>56</v>
      </c>
      <c r="B39" s="20">
        <f>+B38+B37</f>
        <v>24437663.660406791</v>
      </c>
      <c r="C39" s="20">
        <f>+C38+C37</f>
        <v>4749036.9632652421</v>
      </c>
      <c r="D39" s="20">
        <f>+D38+D37</f>
        <v>-44703615.105919175</v>
      </c>
      <c r="E39" s="20">
        <f>+E38+E37</f>
        <v>-74531694.900386214</v>
      </c>
      <c r="F39" s="20">
        <f t="shared" ref="F39:M39" si="16">+F38+F37</f>
        <v>38177129.585740887</v>
      </c>
      <c r="G39" s="20">
        <f t="shared" si="16"/>
        <v>0</v>
      </c>
      <c r="H39" s="20">
        <f t="shared" si="16"/>
        <v>0</v>
      </c>
      <c r="I39" s="20">
        <f t="shared" si="16"/>
        <v>0</v>
      </c>
      <c r="J39" s="20">
        <f t="shared" si="16"/>
        <v>0</v>
      </c>
      <c r="K39" s="20">
        <f t="shared" si="16"/>
        <v>0</v>
      </c>
      <c r="L39" s="20">
        <f t="shared" si="16"/>
        <v>0</v>
      </c>
      <c r="M39" s="20">
        <f t="shared" si="16"/>
        <v>0</v>
      </c>
      <c r="N39" s="21"/>
      <c r="O39" s="22">
        <f>SUM(B39:N39)</f>
        <v>-51871479.796892472</v>
      </c>
      <c r="P39" s="3"/>
      <c r="Q39" s="27">
        <f t="shared" si="14"/>
        <v>4229041.4971022923</v>
      </c>
      <c r="R39" s="20">
        <f t="shared" si="14"/>
        <v>-89167697.257852063</v>
      </c>
      <c r="S39" s="20">
        <f t="shared" si="14"/>
        <v>0</v>
      </c>
      <c r="T39" s="20">
        <f t="shared" si="14"/>
        <v>0</v>
      </c>
      <c r="U39" s="21"/>
      <c r="V39" s="22">
        <f>SUM(V33:V37)</f>
        <v>-84938655.760749787</v>
      </c>
    </row>
    <row r="40" spans="1:22" x14ac:dyDescent="0.2">
      <c r="A40" s="100"/>
      <c r="U40" s="6"/>
    </row>
    <row r="41" spans="1:22" x14ac:dyDescent="0.2">
      <c r="U41" s="6"/>
    </row>
    <row r="42" spans="1:22" x14ac:dyDescent="0.2">
      <c r="U42" s="6"/>
    </row>
    <row r="43" spans="1:22" x14ac:dyDescent="0.2">
      <c r="U43" s="6"/>
    </row>
    <row r="44" spans="1:22" x14ac:dyDescent="0.2">
      <c r="U44" s="6"/>
    </row>
    <row r="45" spans="1:22" x14ac:dyDescent="0.2">
      <c r="U45" s="6"/>
    </row>
    <row r="46" spans="1:22" x14ac:dyDescent="0.2">
      <c r="U46" s="6"/>
    </row>
  </sheetData>
  <phoneticPr fontId="0" type="noConversion"/>
  <pageMargins left="0.75" right="0.75" top="1" bottom="1" header="0.5" footer="0.5"/>
  <pageSetup paperSize="5" scale="74" orientation="landscape"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Recon to Houston</vt:lpstr>
      <vt:lpstr>SUM-USD</vt:lpstr>
      <vt:lpstr>SUM - C$</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kreeve1</dc:creator>
  <cp:lastModifiedBy>Jan Havlíček</cp:lastModifiedBy>
  <cp:lastPrinted>2001-04-20T17:02:30Z</cp:lastPrinted>
  <dcterms:created xsi:type="dcterms:W3CDTF">2000-10-27T20:37:45Z</dcterms:created>
  <dcterms:modified xsi:type="dcterms:W3CDTF">2023-09-11T23:58:25Z</dcterms:modified>
</cp:coreProperties>
</file>