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DCCC5-0CB5-43D7-B36C-14CCFCEDDB33}" xr6:coauthVersionLast="47" xr6:coauthVersionMax="47" xr10:uidLastSave="{00000000-0000-0000-0000-000000000000}"/>
  <bookViews>
    <workbookView xWindow="-120" yWindow="-120" windowWidth="23280" windowHeight="13200" tabRatio="839" firstSheet="2" activeTab="5"/>
  </bookViews>
  <sheets>
    <sheet name="Presentation" sheetId="25" r:id="rId1"/>
    <sheet name="Total by RC" sheetId="21" r:id="rId2"/>
    <sheet name="Overhead Allocation" sheetId="22" r:id="rId3"/>
    <sheet name="Cmpy Rpt" sheetId="23" r:id="rId4"/>
    <sheet name="Report" sheetId="24" r:id="rId5"/>
    <sheet name="Legal Summary" sheetId="1" r:id="rId6"/>
    <sheet name="111678 (0013)" sheetId="2" r:id="rId7"/>
    <sheet name="111679 (0014)" sheetId="20" r:id="rId8"/>
    <sheet name="111681 (0026)" sheetId="19" r:id="rId9"/>
    <sheet name="111693 (0162)" sheetId="18" r:id="rId10"/>
    <sheet name="111705 (0237)" sheetId="17" r:id="rId11"/>
    <sheet name="111706 (0238)" sheetId="16" r:id="rId12"/>
  </sheets>
  <definedNames>
    <definedName name="_xlnm.Print_Area" localSheetId="6">'111678 (0013)'!$A$2:$AD$82</definedName>
    <definedName name="_xlnm.Print_Area" localSheetId="7">'111679 (0014)'!$A$2:$AD$86</definedName>
    <definedName name="_xlnm.Print_Area" localSheetId="8">'111681 (0026)'!$A$2:$AD$86</definedName>
    <definedName name="_xlnm.Print_Area" localSheetId="9">'111693 (0162)'!$A$2:$AD$86</definedName>
    <definedName name="_xlnm.Print_Area" localSheetId="10">'111705 (0237)'!$A$2:$AD$86</definedName>
    <definedName name="_xlnm.Print_Area" localSheetId="11">'111706 (0238)'!$A$2:$AD$82</definedName>
    <definedName name="_xlnm.Print_Area" localSheetId="3">'Cmpy Rpt'!$A$2:$R$34</definedName>
    <definedName name="_xlnm.Print_Area" localSheetId="5">'Legal Summary'!$A$2:$AD$82</definedName>
    <definedName name="_xlnm.Print_Area" localSheetId="2">'Overhead Allocation'!$A$1:$O$59</definedName>
    <definedName name="_xlnm.Print_Area" localSheetId="0">Presentation!$1:$1048576</definedName>
  </definedNames>
  <calcPr calcId="0" fullCalcOnLoad="1"/>
</workbook>
</file>

<file path=xl/calcChain.xml><?xml version="1.0" encoding="utf-8"?>
<calcChain xmlns="http://schemas.openxmlformats.org/spreadsheetml/2006/main">
  <c r="AA5" i="2" l="1"/>
  <c r="AA6" i="2"/>
  <c r="AB7" i="2"/>
  <c r="W14" i="2"/>
  <c r="Y14" i="2"/>
  <c r="AA14" i="2"/>
  <c r="W15" i="2"/>
  <c r="Y15" i="2"/>
  <c r="AA15" i="2"/>
  <c r="W16" i="2"/>
  <c r="Y16" i="2"/>
  <c r="AA16" i="2"/>
  <c r="W17" i="2"/>
  <c r="Y17" i="2"/>
  <c r="AA17" i="2"/>
  <c r="W18" i="2"/>
  <c r="Y18" i="2"/>
  <c r="AA18" i="2"/>
  <c r="W19" i="2"/>
  <c r="Y19" i="2"/>
  <c r="AA19" i="2"/>
  <c r="W20" i="2"/>
  <c r="Y20" i="2"/>
  <c r="AA20" i="2"/>
  <c r="W21" i="2"/>
  <c r="Y21" i="2"/>
  <c r="AA21" i="2"/>
  <c r="W22" i="2"/>
  <c r="Y22" i="2"/>
  <c r="AA22" i="2"/>
  <c r="W23" i="2"/>
  <c r="Y23" i="2"/>
  <c r="AA23" i="2"/>
  <c r="W24" i="2"/>
  <c r="Y24" i="2"/>
  <c r="AA24" i="2"/>
  <c r="W25" i="2"/>
  <c r="Y25" i="2"/>
  <c r="AA25" i="2"/>
  <c r="W26" i="2"/>
  <c r="Y26" i="2"/>
  <c r="AA26" i="2"/>
  <c r="W27" i="2"/>
  <c r="Y27" i="2"/>
  <c r="AA27" i="2"/>
  <c r="W28" i="2"/>
  <c r="Y28" i="2"/>
  <c r="AA28" i="2"/>
  <c r="W29" i="2"/>
  <c r="Y29" i="2"/>
  <c r="AA29" i="2"/>
  <c r="W30" i="2"/>
  <c r="Y30" i="2"/>
  <c r="AA30" i="2"/>
  <c r="W31" i="2"/>
  <c r="Y31" i="2"/>
  <c r="AA31" i="2"/>
  <c r="W32" i="2"/>
  <c r="Y32" i="2"/>
  <c r="AA32" i="2"/>
  <c r="W33" i="2"/>
  <c r="Y33" i="2"/>
  <c r="AA33" i="2"/>
  <c r="W34" i="2"/>
  <c r="Y34" i="2"/>
  <c r="AA34" i="2"/>
  <c r="W35" i="2"/>
  <c r="Y35" i="2"/>
  <c r="AA35" i="2"/>
  <c r="W36" i="2"/>
  <c r="Y36" i="2"/>
  <c r="AA36" i="2"/>
  <c r="W37" i="2"/>
  <c r="Y37" i="2"/>
  <c r="AA37" i="2"/>
  <c r="W38" i="2"/>
  <c r="Y38" i="2"/>
  <c r="AA38" i="2"/>
  <c r="W39" i="2"/>
  <c r="Y39" i="2"/>
  <c r="AA39" i="2"/>
  <c r="W40" i="2"/>
  <c r="Y40" i="2"/>
  <c r="AA40" i="2"/>
  <c r="W41" i="2"/>
  <c r="Y41" i="2"/>
  <c r="AA41" i="2"/>
  <c r="W42" i="2"/>
  <c r="Y42" i="2"/>
  <c r="AA42" i="2"/>
  <c r="W43" i="2"/>
  <c r="Y43" i="2"/>
  <c r="AA43" i="2"/>
  <c r="W44" i="2"/>
  <c r="Y44" i="2"/>
  <c r="AA44" i="2"/>
  <c r="W45" i="2"/>
  <c r="Y45" i="2"/>
  <c r="AA45" i="2"/>
  <c r="W46" i="2"/>
  <c r="Y46" i="2"/>
  <c r="AA46" i="2"/>
  <c r="W47" i="2"/>
  <c r="Y47" i="2"/>
  <c r="AA47" i="2"/>
  <c r="W48" i="2"/>
  <c r="Y48" i="2"/>
  <c r="AA48" i="2"/>
  <c r="W49" i="2"/>
  <c r="Y49" i="2"/>
  <c r="AA49" i="2"/>
  <c r="W51" i="2"/>
  <c r="Y51" i="2"/>
  <c r="AA51" i="2"/>
  <c r="W52" i="2"/>
  <c r="Y52" i="2"/>
  <c r="AA52" i="2"/>
  <c r="W53" i="2"/>
  <c r="Y53" i="2"/>
  <c r="AA53" i="2"/>
  <c r="W54" i="2"/>
  <c r="Y54" i="2"/>
  <c r="AA54" i="2"/>
  <c r="W55" i="2"/>
  <c r="Y55" i="2"/>
  <c r="AA55" i="2"/>
  <c r="W56" i="2"/>
  <c r="Y56" i="2"/>
  <c r="AA56" i="2"/>
  <c r="W62" i="2"/>
  <c r="Y62" i="2"/>
  <c r="AA62" i="2"/>
  <c r="W63" i="2"/>
  <c r="Y63" i="2"/>
  <c r="AA63" i="2"/>
  <c r="W64" i="2"/>
  <c r="Y64" i="2"/>
  <c r="AA64" i="2"/>
  <c r="W65" i="2"/>
  <c r="Y65" i="2"/>
  <c r="AA65" i="2"/>
  <c r="W66" i="2"/>
  <c r="Y66" i="2"/>
  <c r="AA66" i="2"/>
  <c r="W67" i="2"/>
  <c r="Y67" i="2"/>
  <c r="AA67" i="2"/>
  <c r="AE67" i="2"/>
  <c r="W68" i="2"/>
  <c r="Y68" i="2"/>
  <c r="AA68" i="2"/>
  <c r="W69" i="2"/>
  <c r="Y69" i="2"/>
  <c r="AA69" i="2"/>
  <c r="W70" i="2"/>
  <c r="Y70" i="2"/>
  <c r="AA70" i="2"/>
  <c r="W71" i="2"/>
  <c r="Y71" i="2"/>
  <c r="AA71" i="2"/>
  <c r="W72" i="2"/>
  <c r="Y72" i="2"/>
  <c r="AA72" i="2"/>
  <c r="W73" i="2"/>
  <c r="Y73" i="2"/>
  <c r="AA73" i="2"/>
  <c r="W74" i="2"/>
  <c r="Y74" i="2"/>
  <c r="AA74" i="2"/>
  <c r="W75" i="2"/>
  <c r="Y75" i="2"/>
  <c r="AA75" i="2"/>
  <c r="W76" i="2"/>
  <c r="Y76" i="2"/>
  <c r="AA76" i="2"/>
  <c r="W77" i="2"/>
  <c r="Y77" i="2"/>
  <c r="AA77" i="2"/>
  <c r="W78" i="2"/>
  <c r="Y78" i="2"/>
  <c r="AA78" i="2"/>
  <c r="W79" i="2"/>
  <c r="Y79" i="2"/>
  <c r="AA79" i="2"/>
  <c r="W80" i="2"/>
  <c r="Y80" i="2"/>
  <c r="AA80" i="2"/>
  <c r="W81" i="2"/>
  <c r="Y81" i="2"/>
  <c r="AA81" i="2"/>
  <c r="AE81" i="2"/>
  <c r="W82" i="2"/>
  <c r="Y82" i="2"/>
  <c r="AA82" i="2"/>
  <c r="AA5" i="20"/>
  <c r="AA6" i="20"/>
  <c r="AB7" i="20"/>
  <c r="W14" i="20"/>
  <c r="Y14" i="20"/>
  <c r="AA14" i="20"/>
  <c r="W15" i="20"/>
  <c r="Y15" i="20"/>
  <c r="AA15" i="20"/>
  <c r="W16" i="20"/>
  <c r="Y16" i="20"/>
  <c r="AA16" i="20"/>
  <c r="W17" i="20"/>
  <c r="Y17" i="20"/>
  <c r="AA17" i="20"/>
  <c r="W18" i="20"/>
  <c r="Y18" i="20"/>
  <c r="AA18" i="20"/>
  <c r="W19" i="20"/>
  <c r="Y19" i="20"/>
  <c r="AA19" i="20"/>
  <c r="W20" i="20"/>
  <c r="Y20" i="20"/>
  <c r="AA20" i="20"/>
  <c r="W21" i="20"/>
  <c r="Y21" i="20"/>
  <c r="AA21" i="20"/>
  <c r="W22" i="20"/>
  <c r="Y22" i="20"/>
  <c r="AA22" i="20"/>
  <c r="W23" i="20"/>
  <c r="Y23" i="20"/>
  <c r="AA23" i="20"/>
  <c r="W24" i="20"/>
  <c r="Y24" i="20"/>
  <c r="AA24" i="20"/>
  <c r="W25" i="20"/>
  <c r="Y25" i="20"/>
  <c r="AA25" i="20"/>
  <c r="W26" i="20"/>
  <c r="Y26" i="20"/>
  <c r="AA26" i="20"/>
  <c r="W27" i="20"/>
  <c r="Y27" i="20"/>
  <c r="AA27" i="20"/>
  <c r="W28" i="20"/>
  <c r="Y28" i="20"/>
  <c r="AA28" i="20"/>
  <c r="W29" i="20"/>
  <c r="Y29" i="20"/>
  <c r="AA29" i="20"/>
  <c r="W30" i="20"/>
  <c r="Y30" i="20"/>
  <c r="AA30" i="20"/>
  <c r="W31" i="20"/>
  <c r="Y31" i="20"/>
  <c r="AA31" i="20"/>
  <c r="W32" i="20"/>
  <c r="Y32" i="20"/>
  <c r="AA32" i="20"/>
  <c r="W33" i="20"/>
  <c r="Y33" i="20"/>
  <c r="AA33" i="20"/>
  <c r="W34" i="20"/>
  <c r="Y34" i="20"/>
  <c r="AA34" i="20"/>
  <c r="W35" i="20"/>
  <c r="Y35" i="20"/>
  <c r="AA35" i="20"/>
  <c r="W36" i="20"/>
  <c r="Y36" i="20"/>
  <c r="AA36" i="20"/>
  <c r="W37" i="20"/>
  <c r="Y37" i="20"/>
  <c r="AA37" i="20"/>
  <c r="W38" i="20"/>
  <c r="Y38" i="20"/>
  <c r="AA38" i="20"/>
  <c r="W39" i="20"/>
  <c r="Y39" i="20"/>
  <c r="AA39" i="20"/>
  <c r="W40" i="20"/>
  <c r="Y40" i="20"/>
  <c r="AA40" i="20"/>
  <c r="W41" i="20"/>
  <c r="Y41" i="20"/>
  <c r="AA41" i="20"/>
  <c r="W42" i="20"/>
  <c r="Y42" i="20"/>
  <c r="AA42" i="20"/>
  <c r="W43" i="20"/>
  <c r="Y43" i="20"/>
  <c r="AA43" i="20"/>
  <c r="W44" i="20"/>
  <c r="Y44" i="20"/>
  <c r="AA44" i="20"/>
  <c r="W45" i="20"/>
  <c r="Y45" i="20"/>
  <c r="AA45" i="20"/>
  <c r="W46" i="20"/>
  <c r="Y46" i="20"/>
  <c r="AA46" i="20"/>
  <c r="W47" i="20"/>
  <c r="Y47" i="20"/>
  <c r="AA47" i="20"/>
  <c r="W48" i="20"/>
  <c r="Y48" i="20"/>
  <c r="AA48" i="20"/>
  <c r="W49" i="20"/>
  <c r="Y49" i="20"/>
  <c r="AA49" i="20"/>
  <c r="W51" i="20"/>
  <c r="Y51" i="20"/>
  <c r="AA51" i="20"/>
  <c r="W52" i="20"/>
  <c r="Y52" i="20"/>
  <c r="AA52" i="20"/>
  <c r="W53" i="20"/>
  <c r="Y53" i="20"/>
  <c r="AA53" i="20"/>
  <c r="W54" i="20"/>
  <c r="Y54" i="20"/>
  <c r="AA54" i="20"/>
  <c r="W55" i="20"/>
  <c r="Y55" i="20"/>
  <c r="AA55" i="20"/>
  <c r="W56" i="20"/>
  <c r="Y56" i="20"/>
  <c r="AA56" i="20"/>
  <c r="W62" i="20"/>
  <c r="Y62" i="20"/>
  <c r="AA62" i="20"/>
  <c r="W63" i="20"/>
  <c r="Y63" i="20"/>
  <c r="AA63" i="20"/>
  <c r="W64" i="20"/>
  <c r="Y64" i="20"/>
  <c r="AA64" i="20"/>
  <c r="W65" i="20"/>
  <c r="Y65" i="20"/>
  <c r="AA65" i="20"/>
  <c r="W66" i="20"/>
  <c r="Y66" i="20"/>
  <c r="AA66" i="20"/>
  <c r="AE66" i="20"/>
  <c r="W67" i="20"/>
  <c r="Y67" i="20"/>
  <c r="AA67" i="20"/>
  <c r="W68" i="20"/>
  <c r="Y68" i="20"/>
  <c r="AA68" i="20"/>
  <c r="W69" i="20"/>
  <c r="Y69" i="20"/>
  <c r="AA69" i="20"/>
  <c r="W70" i="20"/>
  <c r="Y70" i="20"/>
  <c r="AA70" i="20"/>
  <c r="W71" i="20"/>
  <c r="Y71" i="20"/>
  <c r="AA71" i="20"/>
  <c r="W72" i="20"/>
  <c r="Y72" i="20"/>
  <c r="AA72" i="20"/>
  <c r="W73" i="20"/>
  <c r="Y73" i="20"/>
  <c r="AA73" i="20"/>
  <c r="W74" i="20"/>
  <c r="Y74" i="20"/>
  <c r="AA74" i="20"/>
  <c r="W75" i="20"/>
  <c r="Y75" i="20"/>
  <c r="AA75" i="20"/>
  <c r="W76" i="20"/>
  <c r="Y76" i="20"/>
  <c r="AA76" i="20"/>
  <c r="W77" i="20"/>
  <c r="Y77" i="20"/>
  <c r="AA77" i="20"/>
  <c r="W78" i="20"/>
  <c r="Y78" i="20"/>
  <c r="AA78" i="20"/>
  <c r="W79" i="20"/>
  <c r="Y79" i="20"/>
  <c r="AA79" i="20"/>
  <c r="W80" i="20"/>
  <c r="Y80" i="20"/>
  <c r="AA80" i="20"/>
  <c r="W81" i="20"/>
  <c r="Y81" i="20"/>
  <c r="AA81" i="20"/>
  <c r="W82" i="20"/>
  <c r="Y82" i="20"/>
  <c r="AA82" i="20"/>
  <c r="AA5" i="19"/>
  <c r="AA6" i="19"/>
  <c r="AB7" i="19"/>
  <c r="W14" i="19"/>
  <c r="Y14" i="19"/>
  <c r="AA14" i="19"/>
  <c r="W15" i="19"/>
  <c r="Y15" i="19"/>
  <c r="AA15" i="19"/>
  <c r="W16" i="19"/>
  <c r="Y16" i="19"/>
  <c r="AA16" i="19"/>
  <c r="W17" i="19"/>
  <c r="Y17" i="19"/>
  <c r="AA17" i="19"/>
  <c r="W18" i="19"/>
  <c r="Y18" i="19"/>
  <c r="AA18" i="19"/>
  <c r="W19" i="19"/>
  <c r="Y19" i="19"/>
  <c r="AA19" i="19"/>
  <c r="W20" i="19"/>
  <c r="Y20" i="19"/>
  <c r="AA20" i="19"/>
  <c r="W21" i="19"/>
  <c r="Y21" i="19"/>
  <c r="AA21" i="19"/>
  <c r="W22" i="19"/>
  <c r="Y22" i="19"/>
  <c r="AA22" i="19"/>
  <c r="W23" i="19"/>
  <c r="Y23" i="19"/>
  <c r="AA23" i="19"/>
  <c r="W24" i="19"/>
  <c r="Y24" i="19"/>
  <c r="AA24" i="19"/>
  <c r="W25" i="19"/>
  <c r="Y25" i="19"/>
  <c r="AA25" i="19"/>
  <c r="W26" i="19"/>
  <c r="Y26" i="19"/>
  <c r="AA26" i="19"/>
  <c r="W27" i="19"/>
  <c r="Y27" i="19"/>
  <c r="AA27" i="19"/>
  <c r="W28" i="19"/>
  <c r="Y28" i="19"/>
  <c r="AA28" i="19"/>
  <c r="W29" i="19"/>
  <c r="Y29" i="19"/>
  <c r="AA29" i="19"/>
  <c r="W30" i="19"/>
  <c r="Y30" i="19"/>
  <c r="AA30" i="19"/>
  <c r="W31" i="19"/>
  <c r="Y31" i="19"/>
  <c r="AA31" i="19"/>
  <c r="W32" i="19"/>
  <c r="Y32" i="19"/>
  <c r="AA32" i="19"/>
  <c r="W33" i="19"/>
  <c r="Y33" i="19"/>
  <c r="AA33" i="19"/>
  <c r="W34" i="19"/>
  <c r="Y34" i="19"/>
  <c r="AA34" i="19"/>
  <c r="W35" i="19"/>
  <c r="Y35" i="19"/>
  <c r="AA35" i="19"/>
  <c r="W36" i="19"/>
  <c r="Y36" i="19"/>
  <c r="AA36" i="19"/>
  <c r="W37" i="19"/>
  <c r="Y37" i="19"/>
  <c r="AA37" i="19"/>
  <c r="W38" i="19"/>
  <c r="Y38" i="19"/>
  <c r="AA38" i="19"/>
  <c r="W39" i="19"/>
  <c r="Y39" i="19"/>
  <c r="AA39" i="19"/>
  <c r="W40" i="19"/>
  <c r="Y40" i="19"/>
  <c r="AA40" i="19"/>
  <c r="W41" i="19"/>
  <c r="Y41" i="19"/>
  <c r="AA41" i="19"/>
  <c r="W42" i="19"/>
  <c r="Y42" i="19"/>
  <c r="AA42" i="19"/>
  <c r="W43" i="19"/>
  <c r="Y43" i="19"/>
  <c r="AA43" i="19"/>
  <c r="W44" i="19"/>
  <c r="Y44" i="19"/>
  <c r="AA44" i="19"/>
  <c r="W45" i="19"/>
  <c r="Y45" i="19"/>
  <c r="AA45" i="19"/>
  <c r="W46" i="19"/>
  <c r="Y46" i="19"/>
  <c r="AA46" i="19"/>
  <c r="W47" i="19"/>
  <c r="Y47" i="19"/>
  <c r="AA47" i="19"/>
  <c r="W48" i="19"/>
  <c r="Y48" i="19"/>
  <c r="AA48" i="19"/>
  <c r="W49" i="19"/>
  <c r="Y49" i="19"/>
  <c r="AA49" i="19"/>
  <c r="W51" i="19"/>
  <c r="Y51" i="19"/>
  <c r="AA51" i="19"/>
  <c r="W52" i="19"/>
  <c r="Y52" i="19"/>
  <c r="AA52" i="19"/>
  <c r="W53" i="19"/>
  <c r="Y53" i="19"/>
  <c r="AA53" i="19"/>
  <c r="W54" i="19"/>
  <c r="Y54" i="19"/>
  <c r="AA54" i="19"/>
  <c r="W55" i="19"/>
  <c r="Y55" i="19"/>
  <c r="AA55" i="19"/>
  <c r="W56" i="19"/>
  <c r="Y56" i="19"/>
  <c r="AA56" i="19"/>
  <c r="W62" i="19"/>
  <c r="Y62" i="19"/>
  <c r="AA62" i="19"/>
  <c r="W63" i="19"/>
  <c r="Y63" i="19"/>
  <c r="AA63" i="19"/>
  <c r="W64" i="19"/>
  <c r="Y64" i="19"/>
  <c r="AA64" i="19"/>
  <c r="W65" i="19"/>
  <c r="Y65" i="19"/>
  <c r="AA65" i="19"/>
  <c r="W66" i="19"/>
  <c r="Y66" i="19"/>
  <c r="AA66" i="19"/>
  <c r="W67" i="19"/>
  <c r="Y67" i="19"/>
  <c r="AA67" i="19"/>
  <c r="W68" i="19"/>
  <c r="Y68" i="19"/>
  <c r="AA68" i="19"/>
  <c r="W69" i="19"/>
  <c r="Y69" i="19"/>
  <c r="AA69" i="19"/>
  <c r="W70" i="19"/>
  <c r="Y70" i="19"/>
  <c r="AA70" i="19"/>
  <c r="W71" i="19"/>
  <c r="Y71" i="19"/>
  <c r="AA71" i="19"/>
  <c r="AE71" i="19"/>
  <c r="W72" i="19"/>
  <c r="Y72" i="19"/>
  <c r="AA72" i="19"/>
  <c r="W73" i="19"/>
  <c r="Y73" i="19"/>
  <c r="AA73" i="19"/>
  <c r="W74" i="19"/>
  <c r="Y74" i="19"/>
  <c r="AA74" i="19"/>
  <c r="W75" i="19"/>
  <c r="Y75" i="19"/>
  <c r="AA75" i="19"/>
  <c r="W76" i="19"/>
  <c r="Y76" i="19"/>
  <c r="AA76" i="19"/>
  <c r="W77" i="19"/>
  <c r="Y77" i="19"/>
  <c r="AA77" i="19"/>
  <c r="W78" i="19"/>
  <c r="Y78" i="19"/>
  <c r="AA78" i="19"/>
  <c r="W79" i="19"/>
  <c r="Y79" i="19"/>
  <c r="AA79" i="19"/>
  <c r="W80" i="19"/>
  <c r="Y80" i="19"/>
  <c r="AA80" i="19"/>
  <c r="W81" i="19"/>
  <c r="Y81" i="19"/>
  <c r="AA81" i="19"/>
  <c r="W82" i="19"/>
  <c r="Y82" i="19"/>
  <c r="AA82" i="19"/>
  <c r="AA5" i="18"/>
  <c r="AA6" i="18"/>
  <c r="AB7" i="18"/>
  <c r="W14" i="18"/>
  <c r="Y14" i="18"/>
  <c r="AA14" i="18"/>
  <c r="W15" i="18"/>
  <c r="Y15" i="18"/>
  <c r="AA15" i="18"/>
  <c r="W16" i="18"/>
  <c r="Y16" i="18"/>
  <c r="AA16" i="18"/>
  <c r="W17" i="18"/>
  <c r="Y17" i="18"/>
  <c r="AA17" i="18"/>
  <c r="W18" i="18"/>
  <c r="Y18" i="18"/>
  <c r="AA18" i="18"/>
  <c r="W19" i="18"/>
  <c r="Y19" i="18"/>
  <c r="AA19" i="18"/>
  <c r="W20" i="18"/>
  <c r="Y20" i="18"/>
  <c r="AA20" i="18"/>
  <c r="W21" i="18"/>
  <c r="Y21" i="18"/>
  <c r="AA21" i="18"/>
  <c r="W22" i="18"/>
  <c r="Y22" i="18"/>
  <c r="AA22" i="18"/>
  <c r="W23" i="18"/>
  <c r="Y23" i="18"/>
  <c r="AA23" i="18"/>
  <c r="W24" i="18"/>
  <c r="Y24" i="18"/>
  <c r="AA24" i="18"/>
  <c r="W25" i="18"/>
  <c r="Y25" i="18"/>
  <c r="AA25" i="18"/>
  <c r="W26" i="18"/>
  <c r="Y26" i="18"/>
  <c r="AA26" i="18"/>
  <c r="W27" i="18"/>
  <c r="Y27" i="18"/>
  <c r="AA27" i="18"/>
  <c r="W28" i="18"/>
  <c r="Y28" i="18"/>
  <c r="AA28" i="18"/>
  <c r="W29" i="18"/>
  <c r="Y29" i="18"/>
  <c r="AA29" i="18"/>
  <c r="W30" i="18"/>
  <c r="Y30" i="18"/>
  <c r="AA30" i="18"/>
  <c r="W31" i="18"/>
  <c r="Y31" i="18"/>
  <c r="AA31" i="18"/>
  <c r="W32" i="18"/>
  <c r="Y32" i="18"/>
  <c r="AA32" i="18"/>
  <c r="W33" i="18"/>
  <c r="Y33" i="18"/>
  <c r="AA33" i="18"/>
  <c r="W34" i="18"/>
  <c r="Y34" i="18"/>
  <c r="AA34" i="18"/>
  <c r="W35" i="18"/>
  <c r="Y35" i="18"/>
  <c r="AA35" i="18"/>
  <c r="W36" i="18"/>
  <c r="Y36" i="18"/>
  <c r="AA36" i="18"/>
  <c r="W37" i="18"/>
  <c r="Y37" i="18"/>
  <c r="AA37" i="18"/>
  <c r="W38" i="18"/>
  <c r="Y38" i="18"/>
  <c r="AA38" i="18"/>
  <c r="W39" i="18"/>
  <c r="Y39" i="18"/>
  <c r="AA39" i="18"/>
  <c r="W40" i="18"/>
  <c r="Y40" i="18"/>
  <c r="AA40" i="18"/>
  <c r="W41" i="18"/>
  <c r="Y41" i="18"/>
  <c r="AA41" i="18"/>
  <c r="W42" i="18"/>
  <c r="Y42" i="18"/>
  <c r="AA42" i="18"/>
  <c r="W43" i="18"/>
  <c r="Y43" i="18"/>
  <c r="AA43" i="18"/>
  <c r="W44" i="18"/>
  <c r="Y44" i="18"/>
  <c r="AA44" i="18"/>
  <c r="W45" i="18"/>
  <c r="Y45" i="18"/>
  <c r="AA45" i="18"/>
  <c r="W46" i="18"/>
  <c r="Y46" i="18"/>
  <c r="AA46" i="18"/>
  <c r="W47" i="18"/>
  <c r="Y47" i="18"/>
  <c r="AA47" i="18"/>
  <c r="W48" i="18"/>
  <c r="Y48" i="18"/>
  <c r="AA48" i="18"/>
  <c r="W49" i="18"/>
  <c r="Y49" i="18"/>
  <c r="AA49" i="18"/>
  <c r="W51" i="18"/>
  <c r="Y51" i="18"/>
  <c r="AA51" i="18"/>
  <c r="W52" i="18"/>
  <c r="Y52" i="18"/>
  <c r="AA52" i="18"/>
  <c r="W53" i="18"/>
  <c r="Y53" i="18"/>
  <c r="AA53" i="18"/>
  <c r="W54" i="18"/>
  <c r="Y54" i="18"/>
  <c r="AA54" i="18"/>
  <c r="W55" i="18"/>
  <c r="Y55" i="18"/>
  <c r="AA55" i="18"/>
  <c r="W56" i="18"/>
  <c r="Y56" i="18"/>
  <c r="AA56" i="18"/>
  <c r="W62" i="18"/>
  <c r="Y62" i="18"/>
  <c r="AA62" i="18"/>
  <c r="W63" i="18"/>
  <c r="Y63" i="18"/>
  <c r="AA63" i="18"/>
  <c r="W64" i="18"/>
  <c r="Y64" i="18"/>
  <c r="AA64" i="18"/>
  <c r="W65" i="18"/>
  <c r="Y65" i="18"/>
  <c r="AA65" i="18"/>
  <c r="W66" i="18"/>
  <c r="Y66" i="18"/>
  <c r="AA66" i="18"/>
  <c r="W67" i="18"/>
  <c r="Y67" i="18"/>
  <c r="AA67" i="18"/>
  <c r="W68" i="18"/>
  <c r="Y68" i="18"/>
  <c r="AA68" i="18"/>
  <c r="W69" i="18"/>
  <c r="Y69" i="18"/>
  <c r="AA69" i="18"/>
  <c r="W70" i="18"/>
  <c r="Y70" i="18"/>
  <c r="AA70" i="18"/>
  <c r="W71" i="18"/>
  <c r="Y71" i="18"/>
  <c r="AA71" i="18"/>
  <c r="W72" i="18"/>
  <c r="Y72" i="18"/>
  <c r="AA72" i="18"/>
  <c r="W73" i="18"/>
  <c r="Y73" i="18"/>
  <c r="AA73" i="18"/>
  <c r="W74" i="18"/>
  <c r="Y74" i="18"/>
  <c r="AA74" i="18"/>
  <c r="W75" i="18"/>
  <c r="Y75" i="18"/>
  <c r="AA75" i="18"/>
  <c r="W76" i="18"/>
  <c r="Y76" i="18"/>
  <c r="AA76" i="18"/>
  <c r="W77" i="18"/>
  <c r="Y77" i="18"/>
  <c r="AA77" i="18"/>
  <c r="W78" i="18"/>
  <c r="Y78" i="18"/>
  <c r="AA78" i="18"/>
  <c r="W79" i="18"/>
  <c r="Y79" i="18"/>
  <c r="AA79" i="18"/>
  <c r="W80" i="18"/>
  <c r="Y80" i="18"/>
  <c r="AA80" i="18"/>
  <c r="W81" i="18"/>
  <c r="Y81" i="18"/>
  <c r="AA81" i="18"/>
  <c r="W82" i="18"/>
  <c r="Y82" i="18"/>
  <c r="AA82" i="18"/>
  <c r="AA5" i="17"/>
  <c r="AA6" i="17"/>
  <c r="AB7" i="17"/>
  <c r="W14" i="17"/>
  <c r="Y14" i="17"/>
  <c r="AA14" i="17"/>
  <c r="W15" i="17"/>
  <c r="Y15" i="17"/>
  <c r="AA15" i="17"/>
  <c r="W16" i="17"/>
  <c r="Y16" i="17"/>
  <c r="AA16" i="17"/>
  <c r="W17" i="17"/>
  <c r="Y17" i="17"/>
  <c r="AA17" i="17"/>
  <c r="W18" i="17"/>
  <c r="Y18" i="17"/>
  <c r="AA18" i="17"/>
  <c r="W19" i="17"/>
  <c r="Y19" i="17"/>
  <c r="AA19" i="17"/>
  <c r="W20" i="17"/>
  <c r="Y20" i="17"/>
  <c r="AA20" i="17"/>
  <c r="W21" i="17"/>
  <c r="Y21" i="17"/>
  <c r="AA21" i="17"/>
  <c r="W22" i="17"/>
  <c r="Y22" i="17"/>
  <c r="AA22" i="17"/>
  <c r="W23" i="17"/>
  <c r="Y23" i="17"/>
  <c r="AA23" i="17"/>
  <c r="W24" i="17"/>
  <c r="Y24" i="17"/>
  <c r="AA24" i="17"/>
  <c r="W25" i="17"/>
  <c r="Y25" i="17"/>
  <c r="AA25" i="17"/>
  <c r="W26" i="17"/>
  <c r="Y26" i="17"/>
  <c r="AA26" i="17"/>
  <c r="W27" i="17"/>
  <c r="Y27" i="17"/>
  <c r="AA27" i="17"/>
  <c r="W28" i="17"/>
  <c r="Y28" i="17"/>
  <c r="AA28" i="17"/>
  <c r="W29" i="17"/>
  <c r="Y29" i="17"/>
  <c r="AA29" i="17"/>
  <c r="W30" i="17"/>
  <c r="Y30" i="17"/>
  <c r="AA30" i="17"/>
  <c r="W31" i="17"/>
  <c r="Y31" i="17"/>
  <c r="AA31" i="17"/>
  <c r="W32" i="17"/>
  <c r="Y32" i="17"/>
  <c r="AA32" i="17"/>
  <c r="W33" i="17"/>
  <c r="Y33" i="17"/>
  <c r="AA33" i="17"/>
  <c r="W34" i="17"/>
  <c r="Y34" i="17"/>
  <c r="AA34" i="17"/>
  <c r="W35" i="17"/>
  <c r="Y35" i="17"/>
  <c r="AA35" i="17"/>
  <c r="W36" i="17"/>
  <c r="Y36" i="17"/>
  <c r="AA36" i="17"/>
  <c r="W37" i="17"/>
  <c r="Y37" i="17"/>
  <c r="AA37" i="17"/>
  <c r="W38" i="17"/>
  <c r="Y38" i="17"/>
  <c r="AA38" i="17"/>
  <c r="W39" i="17"/>
  <c r="Y39" i="17"/>
  <c r="AA39" i="17"/>
  <c r="W40" i="17"/>
  <c r="Y40" i="17"/>
  <c r="AA40" i="17"/>
  <c r="W41" i="17"/>
  <c r="Y41" i="17"/>
  <c r="AA41" i="17"/>
  <c r="W42" i="17"/>
  <c r="Y42" i="17"/>
  <c r="AA42" i="17"/>
  <c r="W43" i="17"/>
  <c r="Y43" i="17"/>
  <c r="AA43" i="17"/>
  <c r="W44" i="17"/>
  <c r="Y44" i="17"/>
  <c r="AA44" i="17"/>
  <c r="W45" i="17"/>
  <c r="Y45" i="17"/>
  <c r="AA45" i="17"/>
  <c r="W46" i="17"/>
  <c r="Y46" i="17"/>
  <c r="AA46" i="17"/>
  <c r="W47" i="17"/>
  <c r="Y47" i="17"/>
  <c r="AA47" i="17"/>
  <c r="W48" i="17"/>
  <c r="Y48" i="17"/>
  <c r="AA48" i="17"/>
  <c r="W49" i="17"/>
  <c r="Y49" i="17"/>
  <c r="AA49" i="17"/>
  <c r="W51" i="17"/>
  <c r="Y51" i="17"/>
  <c r="AA51" i="17"/>
  <c r="W52" i="17"/>
  <c r="Y52" i="17"/>
  <c r="AA52" i="17"/>
  <c r="W53" i="17"/>
  <c r="Y53" i="17"/>
  <c r="AA53" i="17"/>
  <c r="W54" i="17"/>
  <c r="Y54" i="17"/>
  <c r="AA54" i="17"/>
  <c r="W55" i="17"/>
  <c r="Y55" i="17"/>
  <c r="AA55" i="17"/>
  <c r="W56" i="17"/>
  <c r="Y56" i="17"/>
  <c r="AA56" i="17"/>
  <c r="W62" i="17"/>
  <c r="Y62" i="17"/>
  <c r="AA62" i="17"/>
  <c r="W63" i="17"/>
  <c r="Y63" i="17"/>
  <c r="AA63" i="17"/>
  <c r="W64" i="17"/>
  <c r="Y64" i="17"/>
  <c r="AA64" i="17"/>
  <c r="W65" i="17"/>
  <c r="Y65" i="17"/>
  <c r="AA65" i="17"/>
  <c r="W66" i="17"/>
  <c r="Y66" i="17"/>
  <c r="AA66" i="17"/>
  <c r="AE66" i="17"/>
  <c r="W67" i="17"/>
  <c r="Y67" i="17"/>
  <c r="AA67" i="17"/>
  <c r="AE67" i="17"/>
  <c r="W68" i="17"/>
  <c r="Y68" i="17"/>
  <c r="AA68" i="17"/>
  <c r="W69" i="17"/>
  <c r="Y69" i="17"/>
  <c r="AA69" i="17"/>
  <c r="W70" i="17"/>
  <c r="Y70" i="17"/>
  <c r="AA70" i="17"/>
  <c r="W71" i="17"/>
  <c r="Y71" i="17"/>
  <c r="AA71" i="17"/>
  <c r="AE71" i="17"/>
  <c r="W72" i="17"/>
  <c r="Y72" i="17"/>
  <c r="AA72" i="17"/>
  <c r="W73" i="17"/>
  <c r="Y73" i="17"/>
  <c r="AA73" i="17"/>
  <c r="AE73" i="17"/>
  <c r="W74" i="17"/>
  <c r="Y74" i="17"/>
  <c r="AA74" i="17"/>
  <c r="W75" i="17"/>
  <c r="Y75" i="17"/>
  <c r="AA75" i="17"/>
  <c r="W76" i="17"/>
  <c r="Y76" i="17"/>
  <c r="AA76" i="17"/>
  <c r="AE76" i="17"/>
  <c r="W77" i="17"/>
  <c r="Y77" i="17"/>
  <c r="AA77" i="17"/>
  <c r="W78" i="17"/>
  <c r="Y78" i="17"/>
  <c r="AA78" i="17"/>
  <c r="W79" i="17"/>
  <c r="Y79" i="17"/>
  <c r="AA79" i="17"/>
  <c r="AE79" i="17"/>
  <c r="W80" i="17"/>
  <c r="Y80" i="17"/>
  <c r="AA80" i="17"/>
  <c r="W81" i="17"/>
  <c r="Y81" i="17"/>
  <c r="AA81" i="17"/>
  <c r="AE81" i="17"/>
  <c r="W82" i="17"/>
  <c r="Y82" i="17"/>
  <c r="AA82" i="17"/>
  <c r="AE82" i="17"/>
  <c r="AE85" i="17"/>
  <c r="AA5" i="16"/>
  <c r="AA6" i="16"/>
  <c r="AB7" i="16"/>
  <c r="W14" i="16"/>
  <c r="Y14" i="16"/>
  <c r="AA14" i="16"/>
  <c r="W15" i="16"/>
  <c r="Y15" i="16"/>
  <c r="AA15" i="16"/>
  <c r="W16" i="16"/>
  <c r="Y16" i="16"/>
  <c r="AA16" i="16"/>
  <c r="W17" i="16"/>
  <c r="Y17" i="16"/>
  <c r="AA17" i="16"/>
  <c r="W18" i="16"/>
  <c r="Y18" i="16"/>
  <c r="AA18" i="16"/>
  <c r="W19" i="16"/>
  <c r="Y19" i="16"/>
  <c r="AA19" i="16"/>
  <c r="W20" i="16"/>
  <c r="Y20" i="16"/>
  <c r="AA20" i="16"/>
  <c r="W21" i="16"/>
  <c r="Y21" i="16"/>
  <c r="AA21" i="16"/>
  <c r="W22" i="16"/>
  <c r="Y22" i="16"/>
  <c r="AA22" i="16"/>
  <c r="W23" i="16"/>
  <c r="Y23" i="16"/>
  <c r="AA23" i="16"/>
  <c r="W24" i="16"/>
  <c r="Y24" i="16"/>
  <c r="AA24" i="16"/>
  <c r="W25" i="16"/>
  <c r="Y25" i="16"/>
  <c r="AA25" i="16"/>
  <c r="W26" i="16"/>
  <c r="Y26" i="16"/>
  <c r="AA26" i="16"/>
  <c r="W27" i="16"/>
  <c r="Y27" i="16"/>
  <c r="AA27" i="16"/>
  <c r="W28" i="16"/>
  <c r="Y28" i="16"/>
  <c r="AA28" i="16"/>
  <c r="W29" i="16"/>
  <c r="Y29" i="16"/>
  <c r="AA29" i="16"/>
  <c r="W30" i="16"/>
  <c r="Y30" i="16"/>
  <c r="AA30" i="16"/>
  <c r="W31" i="16"/>
  <c r="Y31" i="16"/>
  <c r="AA31" i="16"/>
  <c r="W32" i="16"/>
  <c r="Y32" i="16"/>
  <c r="AA32" i="16"/>
  <c r="W33" i="16"/>
  <c r="Y33" i="16"/>
  <c r="AA33" i="16"/>
  <c r="W34" i="16"/>
  <c r="Y34" i="16"/>
  <c r="AA34" i="16"/>
  <c r="W35" i="16"/>
  <c r="Y35" i="16"/>
  <c r="AA35" i="16"/>
  <c r="W36" i="16"/>
  <c r="Y36" i="16"/>
  <c r="AA36" i="16"/>
  <c r="W37" i="16"/>
  <c r="Y37" i="16"/>
  <c r="AA37" i="16"/>
  <c r="W38" i="16"/>
  <c r="Y38" i="16"/>
  <c r="AA38" i="16"/>
  <c r="W39" i="16"/>
  <c r="Y39" i="16"/>
  <c r="AA39" i="16"/>
  <c r="W40" i="16"/>
  <c r="Y40" i="16"/>
  <c r="AA40" i="16"/>
  <c r="W41" i="16"/>
  <c r="Y41" i="16"/>
  <c r="AA41" i="16"/>
  <c r="W42" i="16"/>
  <c r="Y42" i="16"/>
  <c r="AA42" i="16"/>
  <c r="W43" i="16"/>
  <c r="Y43" i="16"/>
  <c r="AA43" i="16"/>
  <c r="W44" i="16"/>
  <c r="Y44" i="16"/>
  <c r="AA44" i="16"/>
  <c r="W45" i="16"/>
  <c r="Y45" i="16"/>
  <c r="AA45" i="16"/>
  <c r="W46" i="16"/>
  <c r="Y46" i="16"/>
  <c r="AA46" i="16"/>
  <c r="W47" i="16"/>
  <c r="Y47" i="16"/>
  <c r="AA47" i="16"/>
  <c r="W48" i="16"/>
  <c r="Y48" i="16"/>
  <c r="AA48" i="16"/>
  <c r="W49" i="16"/>
  <c r="Y49" i="16"/>
  <c r="AA49" i="16"/>
  <c r="W51" i="16"/>
  <c r="Y51" i="16"/>
  <c r="AA51" i="16"/>
  <c r="W52" i="16"/>
  <c r="Y52" i="16"/>
  <c r="AA52" i="16"/>
  <c r="W53" i="16"/>
  <c r="Y53" i="16"/>
  <c r="AA53" i="16"/>
  <c r="W54" i="16"/>
  <c r="Y54" i="16"/>
  <c r="AA54" i="16"/>
  <c r="E55" i="16"/>
  <c r="G55" i="16"/>
  <c r="I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Y55" i="16"/>
  <c r="AA55" i="16"/>
  <c r="E56" i="16"/>
  <c r="G56" i="16"/>
  <c r="I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Y56" i="16"/>
  <c r="AA56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Y62" i="16"/>
  <c r="AA62" i="16"/>
  <c r="AF62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Y63" i="16"/>
  <c r="AA63" i="16"/>
  <c r="AF63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Y64" i="16"/>
  <c r="AA64" i="16"/>
  <c r="AF64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Y65" i="16"/>
  <c r="AA65" i="16"/>
  <c r="AF65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Y66" i="16"/>
  <c r="AA66" i="16"/>
  <c r="AF66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Y67" i="16"/>
  <c r="AA67" i="16"/>
  <c r="AF67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Y68" i="16"/>
  <c r="AA68" i="16"/>
  <c r="AF68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Y69" i="16"/>
  <c r="AA69" i="16"/>
  <c r="AF69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Y70" i="16"/>
  <c r="AA70" i="16"/>
  <c r="AF70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Y71" i="16"/>
  <c r="AA71" i="16"/>
  <c r="AF71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Y72" i="16"/>
  <c r="AA72" i="16"/>
  <c r="AF72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Y73" i="16"/>
  <c r="AA73" i="16"/>
  <c r="AF73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Y74" i="16"/>
  <c r="AA74" i="16"/>
  <c r="AF74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Y75" i="16"/>
  <c r="AA75" i="16"/>
  <c r="AF75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Y76" i="16"/>
  <c r="AA76" i="16"/>
  <c r="AF76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Y77" i="16"/>
  <c r="AA77" i="16"/>
  <c r="AF77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Y78" i="16"/>
  <c r="AA78" i="16"/>
  <c r="AF78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Y79" i="16"/>
  <c r="AA79" i="16"/>
  <c r="AF79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Y80" i="16"/>
  <c r="AA80" i="16"/>
  <c r="AF80" i="16"/>
  <c r="E81" i="16"/>
  <c r="G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Y81" i="16"/>
  <c r="AA81" i="16"/>
  <c r="AF81" i="16"/>
  <c r="E82" i="16"/>
  <c r="G82" i="16"/>
  <c r="I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Y82" i="16"/>
  <c r="AA82" i="16"/>
  <c r="A4" i="23"/>
  <c r="O11" i="23"/>
  <c r="B14" i="23"/>
  <c r="D14" i="23"/>
  <c r="G14" i="23"/>
  <c r="I14" i="23"/>
  <c r="K14" i="23"/>
  <c r="M14" i="23"/>
  <c r="Q14" i="23"/>
  <c r="B15" i="23"/>
  <c r="D15" i="23"/>
  <c r="G15" i="23"/>
  <c r="I15" i="23"/>
  <c r="K15" i="23"/>
  <c r="M15" i="23"/>
  <c r="O15" i="23"/>
  <c r="Q15" i="23"/>
  <c r="B16" i="23"/>
  <c r="D16" i="23"/>
  <c r="G16" i="23"/>
  <c r="I16" i="23"/>
  <c r="K16" i="23"/>
  <c r="M16" i="23"/>
  <c r="O16" i="23"/>
  <c r="Q16" i="23"/>
  <c r="B17" i="23"/>
  <c r="D17" i="23"/>
  <c r="G17" i="23"/>
  <c r="I17" i="23"/>
  <c r="K17" i="23"/>
  <c r="M17" i="23"/>
  <c r="O17" i="23"/>
  <c r="Q17" i="23"/>
  <c r="B18" i="23"/>
  <c r="D18" i="23"/>
  <c r="G18" i="23"/>
  <c r="I18" i="23"/>
  <c r="K18" i="23"/>
  <c r="M18" i="23"/>
  <c r="O18" i="23"/>
  <c r="Q18" i="23"/>
  <c r="B19" i="23"/>
  <c r="D19" i="23"/>
  <c r="G19" i="23"/>
  <c r="I19" i="23"/>
  <c r="K19" i="23"/>
  <c r="M19" i="23"/>
  <c r="O19" i="23"/>
  <c r="Q19" i="23"/>
  <c r="B20" i="23"/>
  <c r="D20" i="23"/>
  <c r="G20" i="23"/>
  <c r="I20" i="23"/>
  <c r="K20" i="23"/>
  <c r="M20" i="23"/>
  <c r="Q20" i="23"/>
  <c r="B23" i="23"/>
  <c r="D23" i="23"/>
  <c r="G23" i="23"/>
  <c r="I23" i="23"/>
  <c r="K23" i="23"/>
  <c r="M23" i="23"/>
  <c r="O23" i="23"/>
  <c r="Q23" i="23"/>
  <c r="K26" i="23"/>
  <c r="M26" i="23"/>
  <c r="O26" i="23"/>
  <c r="R28" i="23"/>
  <c r="Q29" i="23"/>
  <c r="AA4" i="1"/>
  <c r="AA5" i="1"/>
  <c r="AA6" i="1"/>
  <c r="AB7" i="1"/>
  <c r="C8" i="1"/>
  <c r="C9" i="1"/>
  <c r="E14" i="1"/>
  <c r="G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Y14" i="1"/>
  <c r="AA14" i="1"/>
  <c r="E15" i="1"/>
  <c r="G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Y15" i="1"/>
  <c r="AA15" i="1"/>
  <c r="E16" i="1"/>
  <c r="G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Y16" i="1"/>
  <c r="AA16" i="1"/>
  <c r="E17" i="1"/>
  <c r="G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Y17" i="1"/>
  <c r="AA17" i="1"/>
  <c r="E18" i="1"/>
  <c r="G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Y18" i="1"/>
  <c r="AA18" i="1"/>
  <c r="E19" i="1"/>
  <c r="G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Y19" i="1"/>
  <c r="AA19" i="1"/>
  <c r="E20" i="1"/>
  <c r="G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Y20" i="1"/>
  <c r="AA20" i="1"/>
  <c r="E21" i="1"/>
  <c r="G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Y21" i="1"/>
  <c r="AA21" i="1"/>
  <c r="E22" i="1"/>
  <c r="G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Y22" i="1"/>
  <c r="AA22" i="1"/>
  <c r="E23" i="1"/>
  <c r="G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Y23" i="1"/>
  <c r="AA23" i="1"/>
  <c r="E24" i="1"/>
  <c r="G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AA24" i="1"/>
  <c r="E25" i="1"/>
  <c r="G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Y25" i="1"/>
  <c r="AA25" i="1"/>
  <c r="E26" i="1"/>
  <c r="G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Y26" i="1"/>
  <c r="AA26" i="1"/>
  <c r="E27" i="1"/>
  <c r="G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Y27" i="1"/>
  <c r="AA27" i="1"/>
  <c r="E28" i="1"/>
  <c r="G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Y28" i="1"/>
  <c r="AA28" i="1"/>
  <c r="E29" i="1"/>
  <c r="G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Y29" i="1"/>
  <c r="AA29" i="1"/>
  <c r="E30" i="1"/>
  <c r="G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Y30" i="1"/>
  <c r="AA30" i="1"/>
  <c r="E31" i="1"/>
  <c r="G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Y31" i="1"/>
  <c r="AA31" i="1"/>
  <c r="E32" i="1"/>
  <c r="G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Y32" i="1"/>
  <c r="AA32" i="1"/>
  <c r="E33" i="1"/>
  <c r="G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Y33" i="1"/>
  <c r="AA33" i="1"/>
  <c r="E34" i="1"/>
  <c r="G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Y34" i="1"/>
  <c r="AA34" i="1"/>
  <c r="E35" i="1"/>
  <c r="G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Y35" i="1"/>
  <c r="AA35" i="1"/>
  <c r="E36" i="1"/>
  <c r="G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Y36" i="1"/>
  <c r="AA36" i="1"/>
  <c r="E37" i="1"/>
  <c r="G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Y37" i="1"/>
  <c r="AA37" i="1"/>
  <c r="E38" i="1"/>
  <c r="G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Y38" i="1"/>
  <c r="AA38" i="1"/>
  <c r="E39" i="1"/>
  <c r="G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Y39" i="1"/>
  <c r="AA39" i="1"/>
  <c r="E40" i="1"/>
  <c r="G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Y40" i="1"/>
  <c r="AA40" i="1"/>
  <c r="E41" i="1"/>
  <c r="G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Y41" i="1"/>
  <c r="AA41" i="1"/>
  <c r="E42" i="1"/>
  <c r="G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Y42" i="1"/>
  <c r="AA42" i="1"/>
  <c r="E43" i="1"/>
  <c r="G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Y43" i="1"/>
  <c r="AA43" i="1"/>
  <c r="E44" i="1"/>
  <c r="G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AA44" i="1"/>
  <c r="E45" i="1"/>
  <c r="G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Y45" i="1"/>
  <c r="AA45" i="1"/>
  <c r="E46" i="1"/>
  <c r="G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AA46" i="1"/>
  <c r="E47" i="1"/>
  <c r="G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Y47" i="1"/>
  <c r="AA47" i="1"/>
  <c r="E48" i="1"/>
  <c r="G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Y48" i="1"/>
  <c r="AA48" i="1"/>
  <c r="E49" i="1"/>
  <c r="G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Y49" i="1"/>
  <c r="AA49" i="1"/>
  <c r="E51" i="1"/>
  <c r="G51" i="1"/>
  <c r="I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Y51" i="1"/>
  <c r="AA51" i="1"/>
  <c r="E52" i="1"/>
  <c r="G52" i="1"/>
  <c r="I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Y52" i="1"/>
  <c r="AA52" i="1"/>
  <c r="E53" i="1"/>
  <c r="G53" i="1"/>
  <c r="I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Y53" i="1"/>
  <c r="AA53" i="1"/>
  <c r="E54" i="1"/>
  <c r="G54" i="1"/>
  <c r="I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Y54" i="1"/>
  <c r="AA54" i="1"/>
  <c r="E55" i="1"/>
  <c r="G55" i="1"/>
  <c r="I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Y55" i="1"/>
  <c r="AA55" i="1"/>
  <c r="E56" i="1"/>
  <c r="G56" i="1"/>
  <c r="I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Y56" i="1"/>
  <c r="AA56" i="1"/>
  <c r="E62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Y62" i="1"/>
  <c r="AA62" i="1"/>
  <c r="E63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Y63" i="1"/>
  <c r="AA63" i="1"/>
  <c r="E64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Y64" i="1"/>
  <c r="AA64" i="1"/>
  <c r="E65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Y65" i="1"/>
  <c r="AA65" i="1"/>
  <c r="E66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Y66" i="1"/>
  <c r="AA66" i="1"/>
  <c r="E67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Y67" i="1"/>
  <c r="AA67" i="1"/>
  <c r="E68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Y68" i="1"/>
  <c r="AA68" i="1"/>
  <c r="E69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Y69" i="1"/>
  <c r="AA69" i="1"/>
  <c r="E70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Y70" i="1"/>
  <c r="AA70" i="1"/>
  <c r="E71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Y71" i="1"/>
  <c r="AA71" i="1"/>
  <c r="E72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Y72" i="1"/>
  <c r="AA72" i="1"/>
  <c r="E73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Y73" i="1"/>
  <c r="AA73" i="1"/>
  <c r="E74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Y74" i="1"/>
  <c r="AA74" i="1"/>
  <c r="E75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Y75" i="1"/>
  <c r="AA75" i="1"/>
  <c r="E76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Y76" i="1"/>
  <c r="AA76" i="1"/>
  <c r="E77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Y77" i="1"/>
  <c r="AA77" i="1"/>
  <c r="E78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Y78" i="1"/>
  <c r="AA78" i="1"/>
  <c r="E79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Y79" i="1"/>
  <c r="AA79" i="1"/>
  <c r="E80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Y80" i="1"/>
  <c r="AA80" i="1"/>
  <c r="E81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Y81" i="1"/>
  <c r="AA81" i="1"/>
  <c r="E82" i="1"/>
  <c r="G82" i="1"/>
  <c r="I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Y82" i="1"/>
  <c r="AA82" i="1"/>
  <c r="O6" i="22"/>
  <c r="O7" i="22"/>
  <c r="AE7" i="22"/>
  <c r="O8" i="22"/>
  <c r="AE8" i="22"/>
  <c r="O9" i="22"/>
  <c r="AE9" i="22"/>
  <c r="O10" i="22"/>
  <c r="AE10" i="22"/>
  <c r="O11" i="22"/>
  <c r="AE11" i="22"/>
  <c r="O12" i="22"/>
  <c r="AE12" i="22"/>
  <c r="D13" i="22"/>
  <c r="E13" i="22"/>
  <c r="F13" i="22"/>
  <c r="H13" i="22"/>
  <c r="I13" i="22"/>
  <c r="J13" i="22"/>
  <c r="K13" i="22"/>
  <c r="L13" i="22"/>
  <c r="M13" i="22"/>
  <c r="O13" i="22"/>
  <c r="AE13" i="22"/>
  <c r="D14" i="22"/>
  <c r="E14" i="22"/>
  <c r="F14" i="22"/>
  <c r="H14" i="22"/>
  <c r="I14" i="22"/>
  <c r="J14" i="22"/>
  <c r="K14" i="22"/>
  <c r="L14" i="22"/>
  <c r="M14" i="22"/>
  <c r="O14" i="22"/>
  <c r="U14" i="22"/>
  <c r="V14" i="22"/>
  <c r="W14" i="22"/>
  <c r="X14" i="22"/>
  <c r="Y14" i="22"/>
  <c r="Z14" i="22"/>
  <c r="AA14" i="22"/>
  <c r="AB14" i="22"/>
  <c r="AC14" i="22"/>
  <c r="AE14" i="22"/>
  <c r="D15" i="22"/>
  <c r="E15" i="22"/>
  <c r="F15" i="22"/>
  <c r="H15" i="22"/>
  <c r="I15" i="22"/>
  <c r="J15" i="22"/>
  <c r="K15" i="22"/>
  <c r="L15" i="22"/>
  <c r="M15" i="22"/>
  <c r="O15" i="22"/>
  <c r="U15" i="22"/>
  <c r="V15" i="22"/>
  <c r="W15" i="22"/>
  <c r="X15" i="22"/>
  <c r="Y15" i="22"/>
  <c r="Z15" i="22"/>
  <c r="AA15" i="22"/>
  <c r="AB15" i="22"/>
  <c r="AC15" i="22"/>
  <c r="AE15" i="22"/>
  <c r="D16" i="22"/>
  <c r="E16" i="22"/>
  <c r="F16" i="22"/>
  <c r="H16" i="22"/>
  <c r="I16" i="22"/>
  <c r="J16" i="22"/>
  <c r="K16" i="22"/>
  <c r="L16" i="22"/>
  <c r="M16" i="22"/>
  <c r="N16" i="22"/>
  <c r="O16" i="22"/>
  <c r="U16" i="22"/>
  <c r="V16" i="22"/>
  <c r="W16" i="22"/>
  <c r="X16" i="22"/>
  <c r="Y16" i="22"/>
  <c r="Z16" i="22"/>
  <c r="AA16" i="22"/>
  <c r="AB16" i="22"/>
  <c r="AC16" i="22"/>
  <c r="AE16" i="22"/>
  <c r="O17" i="22"/>
  <c r="U17" i="22"/>
  <c r="V17" i="22"/>
  <c r="W17" i="22"/>
  <c r="X17" i="22"/>
  <c r="Y17" i="22"/>
  <c r="Z17" i="22"/>
  <c r="AA17" i="22"/>
  <c r="AB17" i="22"/>
  <c r="AC17" i="22"/>
  <c r="AD17" i="22"/>
  <c r="AE17" i="22"/>
  <c r="D18" i="22"/>
  <c r="E18" i="22"/>
  <c r="F18" i="22"/>
  <c r="H18" i="22"/>
  <c r="I18" i="22"/>
  <c r="J18" i="22"/>
  <c r="K18" i="22"/>
  <c r="L18" i="22"/>
  <c r="M18" i="22"/>
  <c r="N18" i="22"/>
  <c r="O18" i="22"/>
  <c r="AE18" i="22"/>
  <c r="U19" i="22"/>
  <c r="V19" i="22"/>
  <c r="W19" i="22"/>
  <c r="X19" i="22"/>
  <c r="Y19" i="22"/>
  <c r="Z19" i="22"/>
  <c r="AA19" i="22"/>
  <c r="AB19" i="22"/>
  <c r="AC19" i="22"/>
  <c r="AD19" i="22"/>
  <c r="AE19" i="22"/>
  <c r="F21" i="22"/>
  <c r="O21" i="22"/>
  <c r="U21" i="22"/>
  <c r="V21" i="22"/>
  <c r="W21" i="22"/>
  <c r="X21" i="22"/>
  <c r="Y21" i="22"/>
  <c r="Z21" i="22"/>
  <c r="AA21" i="22"/>
  <c r="AB21" i="22"/>
  <c r="AC21" i="22"/>
  <c r="AD21" i="22"/>
  <c r="F22" i="22"/>
  <c r="O22" i="22"/>
  <c r="F23" i="22"/>
  <c r="O23" i="22"/>
  <c r="F24" i="22"/>
  <c r="O24" i="22"/>
  <c r="F25" i="22"/>
  <c r="O25" i="22"/>
  <c r="F26" i="22"/>
  <c r="O26" i="22"/>
  <c r="U26" i="22"/>
  <c r="E29" i="22"/>
  <c r="O29" i="22"/>
  <c r="E30" i="22"/>
  <c r="O30" i="22"/>
  <c r="E31" i="22"/>
  <c r="O31" i="22"/>
  <c r="AE31" i="22"/>
  <c r="E32" i="22"/>
  <c r="O32" i="22"/>
  <c r="AE32" i="22"/>
  <c r="E33" i="22"/>
  <c r="O33" i="22"/>
  <c r="AE33" i="22"/>
  <c r="E34" i="22"/>
  <c r="O34" i="22"/>
  <c r="AE34" i="22"/>
  <c r="E35" i="22"/>
  <c r="O35" i="22"/>
  <c r="AE35" i="22"/>
  <c r="E36" i="22"/>
  <c r="O36" i="22"/>
  <c r="AE36" i="22"/>
  <c r="AE37" i="22"/>
  <c r="U38" i="22"/>
  <c r="V38" i="22"/>
  <c r="W38" i="22"/>
  <c r="X38" i="22"/>
  <c r="Y38" i="22"/>
  <c r="Z38" i="22"/>
  <c r="AA38" i="22"/>
  <c r="AB38" i="22"/>
  <c r="AC38" i="22"/>
  <c r="AE38" i="22"/>
  <c r="D39" i="22"/>
  <c r="O39" i="22"/>
  <c r="U39" i="22"/>
  <c r="V39" i="22"/>
  <c r="W39" i="22"/>
  <c r="X39" i="22"/>
  <c r="Y39" i="22"/>
  <c r="Z39" i="22"/>
  <c r="AA39" i="22"/>
  <c r="AB39" i="22"/>
  <c r="AC39" i="22"/>
  <c r="AE39" i="22"/>
  <c r="D40" i="22"/>
  <c r="O40" i="22"/>
  <c r="U40" i="22"/>
  <c r="V40" i="22"/>
  <c r="W40" i="22"/>
  <c r="X40" i="22"/>
  <c r="Y40" i="22"/>
  <c r="Z40" i="22"/>
  <c r="AA40" i="22"/>
  <c r="AB40" i="22"/>
  <c r="AC40" i="22"/>
  <c r="AE40" i="22"/>
  <c r="D41" i="22"/>
  <c r="O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O42" i="22"/>
  <c r="V42" i="22"/>
  <c r="AE42" i="22"/>
  <c r="D43" i="22"/>
  <c r="O43" i="22"/>
  <c r="U43" i="22"/>
  <c r="V43" i="22"/>
  <c r="W43" i="22"/>
  <c r="X43" i="22"/>
  <c r="Y43" i="22"/>
  <c r="Z43" i="22"/>
  <c r="AA43" i="22"/>
  <c r="AB43" i="22"/>
  <c r="AC43" i="22"/>
  <c r="AD43" i="22"/>
  <c r="AE43" i="22"/>
  <c r="D44" i="22"/>
  <c r="O44" i="22"/>
  <c r="D45" i="22"/>
  <c r="O45" i="22"/>
  <c r="U45" i="22"/>
  <c r="V45" i="22"/>
  <c r="W45" i="22"/>
  <c r="X45" i="22"/>
  <c r="Y45" i="22"/>
  <c r="Z45" i="22"/>
  <c r="AA45" i="22"/>
  <c r="AB45" i="22"/>
  <c r="AC45" i="22"/>
  <c r="AD45" i="22"/>
  <c r="D46" i="22"/>
  <c r="O46" i="22"/>
  <c r="D49" i="22"/>
  <c r="E49" i="22"/>
  <c r="F49" i="22"/>
  <c r="L49" i="22"/>
  <c r="M49" i="22"/>
  <c r="O49" i="22"/>
  <c r="D50" i="22"/>
  <c r="E50" i="22"/>
  <c r="F50" i="22"/>
  <c r="L50" i="22"/>
  <c r="M50" i="22"/>
  <c r="O50" i="22"/>
  <c r="D51" i="22"/>
  <c r="E51" i="22"/>
  <c r="F51" i="22"/>
  <c r="G51" i="22"/>
  <c r="H51" i="22"/>
  <c r="I51" i="22"/>
  <c r="J51" i="22"/>
  <c r="K51" i="22"/>
  <c r="L51" i="22"/>
  <c r="M51" i="22"/>
  <c r="O51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D11" i="25"/>
  <c r="D14" i="25"/>
  <c r="D15" i="25"/>
  <c r="E17" i="25"/>
  <c r="D25" i="25"/>
  <c r="D27" i="25"/>
  <c r="E29" i="25"/>
  <c r="D37" i="25"/>
  <c r="D38" i="25"/>
  <c r="D42" i="25"/>
  <c r="E44" i="25"/>
  <c r="D66" i="25"/>
  <c r="D68" i="25"/>
  <c r="D69" i="25"/>
  <c r="D73" i="25"/>
  <c r="E75" i="25"/>
  <c r="Q11" i="24"/>
  <c r="Q12" i="24"/>
  <c r="Q13" i="24"/>
  <c r="Q14" i="24"/>
  <c r="Q15" i="24"/>
  <c r="Q16" i="24"/>
  <c r="Q17" i="24"/>
  <c r="Q20" i="24"/>
  <c r="Q23" i="24"/>
  <c r="Q25" i="24"/>
  <c r="C27" i="24"/>
  <c r="E27" i="24"/>
  <c r="G27" i="24"/>
  <c r="H27" i="24"/>
  <c r="I27" i="24"/>
  <c r="K27" i="24"/>
  <c r="M27" i="24"/>
  <c r="O27" i="24"/>
  <c r="Q27" i="24"/>
  <c r="C31" i="24"/>
  <c r="E31" i="24"/>
  <c r="G31" i="24"/>
  <c r="H31" i="24"/>
  <c r="I31" i="24"/>
  <c r="K31" i="24"/>
  <c r="M31" i="24"/>
  <c r="O31" i="24"/>
  <c r="Q31" i="24"/>
  <c r="C32" i="24"/>
  <c r="E32" i="24"/>
  <c r="G32" i="24"/>
  <c r="H32" i="24"/>
  <c r="I32" i="24"/>
  <c r="K32" i="24"/>
  <c r="M32" i="24"/>
  <c r="O32" i="24"/>
  <c r="Q32" i="24"/>
  <c r="C33" i="24"/>
  <c r="E33" i="24"/>
  <c r="G33" i="24"/>
  <c r="H33" i="24"/>
  <c r="I33" i="24"/>
  <c r="K33" i="24"/>
  <c r="M33" i="24"/>
  <c r="O33" i="24"/>
  <c r="Q33" i="24"/>
  <c r="C34" i="24"/>
  <c r="E34" i="24"/>
  <c r="G34" i="24"/>
  <c r="H34" i="24"/>
  <c r="I34" i="24"/>
  <c r="K34" i="24"/>
  <c r="M34" i="24"/>
  <c r="O34" i="24"/>
  <c r="Q34" i="24"/>
  <c r="C35" i="24"/>
  <c r="E35" i="24"/>
  <c r="G35" i="24"/>
  <c r="H35" i="24"/>
  <c r="I35" i="24"/>
  <c r="K35" i="24"/>
  <c r="M35" i="24"/>
  <c r="O35" i="24"/>
  <c r="Q35" i="24"/>
  <c r="C36" i="24"/>
  <c r="E36" i="24"/>
  <c r="G36" i="24"/>
  <c r="H36" i="24"/>
  <c r="I36" i="24"/>
  <c r="K36" i="24"/>
  <c r="M36" i="24"/>
  <c r="O36" i="24"/>
  <c r="Q36" i="24"/>
  <c r="C37" i="24"/>
  <c r="E37" i="24"/>
  <c r="G37" i="24"/>
  <c r="H37" i="24"/>
  <c r="I37" i="24"/>
  <c r="K37" i="24"/>
  <c r="M37" i="24"/>
  <c r="O37" i="24"/>
  <c r="Q37" i="24"/>
  <c r="C38" i="24"/>
  <c r="E38" i="24"/>
  <c r="G38" i="24"/>
  <c r="H38" i="24"/>
  <c r="I38" i="24"/>
  <c r="K38" i="24"/>
  <c r="M38" i="24"/>
  <c r="O38" i="24"/>
  <c r="Q38" i="24"/>
  <c r="C39" i="24"/>
  <c r="E39" i="24"/>
  <c r="G39" i="24"/>
  <c r="H39" i="24"/>
  <c r="I39" i="24"/>
  <c r="K39" i="24"/>
  <c r="M39" i="24"/>
  <c r="O39" i="24"/>
  <c r="Q39" i="24"/>
  <c r="C40" i="24"/>
  <c r="E40" i="24"/>
  <c r="G40" i="24"/>
  <c r="H40" i="24"/>
  <c r="I40" i="24"/>
  <c r="K40" i="24"/>
  <c r="M40" i="24"/>
  <c r="O40" i="24"/>
  <c r="Q40" i="24"/>
  <c r="C41" i="24"/>
  <c r="E41" i="24"/>
  <c r="G41" i="24"/>
  <c r="H41" i="24"/>
  <c r="I41" i="24"/>
  <c r="K41" i="24"/>
  <c r="M41" i="24"/>
  <c r="O41" i="24"/>
  <c r="Q41" i="24"/>
  <c r="C42" i="24"/>
  <c r="E42" i="24"/>
  <c r="G42" i="24"/>
  <c r="H42" i="24"/>
  <c r="I42" i="24"/>
  <c r="K42" i="24"/>
  <c r="M42" i="24"/>
  <c r="O42" i="24"/>
  <c r="Q42" i="24"/>
  <c r="C43" i="24"/>
  <c r="E43" i="24"/>
  <c r="G43" i="24"/>
  <c r="H43" i="24"/>
  <c r="I43" i="24"/>
  <c r="K43" i="24"/>
  <c r="M43" i="24"/>
  <c r="O43" i="24"/>
  <c r="Q43" i="24"/>
  <c r="C44" i="24"/>
  <c r="E44" i="24"/>
  <c r="G44" i="24"/>
  <c r="H44" i="24"/>
  <c r="I44" i="24"/>
  <c r="K44" i="24"/>
  <c r="M44" i="24"/>
  <c r="O44" i="24"/>
  <c r="Q44" i="24"/>
  <c r="C45" i="24"/>
  <c r="E45" i="24"/>
  <c r="G45" i="24"/>
  <c r="H45" i="24"/>
  <c r="I45" i="24"/>
  <c r="K45" i="24"/>
  <c r="M45" i="24"/>
  <c r="O45" i="24"/>
  <c r="Q45" i="24"/>
  <c r="C46" i="24"/>
  <c r="E46" i="24"/>
  <c r="G46" i="24"/>
  <c r="H46" i="24"/>
  <c r="I46" i="24"/>
  <c r="K46" i="24"/>
  <c r="M46" i="24"/>
  <c r="O46" i="24"/>
  <c r="Q46" i="24"/>
  <c r="C47" i="24"/>
  <c r="E47" i="24"/>
  <c r="G47" i="24"/>
  <c r="H47" i="24"/>
  <c r="I47" i="24"/>
  <c r="K47" i="24"/>
  <c r="M47" i="24"/>
  <c r="O47" i="24"/>
  <c r="Q47" i="24"/>
  <c r="C48" i="24"/>
  <c r="E48" i="24"/>
  <c r="G48" i="24"/>
  <c r="H48" i="24"/>
  <c r="I48" i="24"/>
  <c r="K48" i="24"/>
  <c r="M48" i="24"/>
  <c r="O48" i="24"/>
  <c r="Q48" i="24"/>
  <c r="Q49" i="24"/>
  <c r="Q50" i="24"/>
  <c r="Q51" i="24"/>
  <c r="Q52" i="24"/>
  <c r="Q53" i="24"/>
  <c r="C54" i="24"/>
  <c r="E54" i="24"/>
  <c r="G54" i="24"/>
  <c r="H54" i="24"/>
  <c r="I54" i="24"/>
  <c r="K54" i="24"/>
  <c r="C55" i="24"/>
  <c r="E55" i="24"/>
  <c r="G55" i="24"/>
  <c r="H55" i="24"/>
  <c r="I55" i="24"/>
  <c r="K55" i="24"/>
  <c r="C56" i="24"/>
  <c r="E56" i="24"/>
  <c r="G56" i="24"/>
  <c r="H56" i="24"/>
  <c r="I56" i="24"/>
  <c r="K56" i="24"/>
  <c r="M56" i="24"/>
  <c r="O56" i="24"/>
  <c r="Q56" i="24"/>
  <c r="C57" i="24"/>
  <c r="E57" i="24"/>
  <c r="G57" i="24"/>
  <c r="H57" i="24"/>
  <c r="I57" i="24"/>
  <c r="K57" i="24"/>
  <c r="M57" i="24"/>
  <c r="O57" i="24"/>
  <c r="Q57" i="24"/>
  <c r="C61" i="24"/>
  <c r="G61" i="24"/>
  <c r="I61" i="24"/>
  <c r="K61" i="24"/>
  <c r="M61" i="24"/>
  <c r="O61" i="24"/>
  <c r="Q61" i="24"/>
  <c r="C62" i="24"/>
  <c r="G62" i="24"/>
  <c r="I62" i="24"/>
  <c r="K62" i="24"/>
  <c r="M62" i="24"/>
  <c r="O62" i="24"/>
  <c r="Q62" i="24"/>
  <c r="C63" i="24"/>
  <c r="G63" i="24"/>
  <c r="I63" i="24"/>
  <c r="K63" i="24"/>
  <c r="M63" i="24"/>
  <c r="O63" i="24"/>
  <c r="Q63" i="24"/>
  <c r="C64" i="24"/>
  <c r="G64" i="24"/>
  <c r="I64" i="24"/>
  <c r="K64" i="24"/>
  <c r="M64" i="24"/>
  <c r="O64" i="24"/>
  <c r="Q64" i="24"/>
  <c r="C65" i="24"/>
  <c r="G65" i="24"/>
  <c r="I65" i="24"/>
  <c r="K65" i="24"/>
  <c r="M65" i="24"/>
  <c r="O65" i="24"/>
  <c r="Q65" i="24"/>
  <c r="R68" i="24"/>
  <c r="O69" i="24"/>
  <c r="Z4" i="21"/>
  <c r="Y5" i="21"/>
  <c r="Y6" i="21"/>
  <c r="B8" i="21"/>
  <c r="B9" i="21"/>
  <c r="C13" i="21"/>
  <c r="E13" i="21"/>
  <c r="G13" i="21"/>
  <c r="U13" i="21"/>
  <c r="W13" i="21"/>
  <c r="Y13" i="21"/>
  <c r="C14" i="21"/>
  <c r="E14" i="21"/>
  <c r="G14" i="21"/>
  <c r="U14" i="21"/>
  <c r="W14" i="21"/>
  <c r="Y14" i="21"/>
  <c r="C15" i="21"/>
  <c r="E15" i="21"/>
  <c r="G15" i="21"/>
  <c r="U15" i="21"/>
  <c r="W15" i="21"/>
  <c r="Y15" i="21"/>
  <c r="C16" i="21"/>
  <c r="E16" i="21"/>
  <c r="G16" i="21"/>
  <c r="U16" i="21"/>
  <c r="W16" i="21"/>
  <c r="Y16" i="21"/>
  <c r="C17" i="21"/>
  <c r="E17" i="21"/>
  <c r="G17" i="21"/>
  <c r="U17" i="21"/>
  <c r="W17" i="21"/>
  <c r="Y17" i="21"/>
  <c r="C18" i="21"/>
  <c r="E18" i="21"/>
  <c r="G18" i="21"/>
  <c r="U18" i="21"/>
  <c r="W18" i="21"/>
  <c r="Y18" i="21"/>
</calcChain>
</file>

<file path=xl/sharedStrings.xml><?xml version="1.0" encoding="utf-8"?>
<sst xmlns="http://schemas.openxmlformats.org/spreadsheetml/2006/main" count="1028" uniqueCount="239">
  <si>
    <t>Headcount:</t>
  </si>
  <si>
    <t>1999 PLAN</t>
  </si>
  <si>
    <t>2000 PLAN</t>
  </si>
  <si>
    <t>Variance</t>
  </si>
  <si>
    <t>% Alloc.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</si>
  <si>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</si>
  <si>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</si>
  <si>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</si>
  <si>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</si>
  <si>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</si>
  <si>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</si>
  <si>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</si>
  <si>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</si>
  <si>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</si>
  <si>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</si>
  <si>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</si>
  <si>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</si>
  <si>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</si>
  <si>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Gross Expenses</t>
  </si>
  <si>
    <t>046 - Salaries to W/O</t>
  </si>
  <si>
    <t>982 - Payroll Benefits to W/O</t>
  </si>
  <si>
    <t>987 - Payroll Taxes to W/O</t>
  </si>
  <si>
    <t>990 - Nonpayroll to W/O</t>
  </si>
  <si>
    <t>Net Operating Expenses</t>
  </si>
  <si>
    <t>ALLOCATIONS TO OPERATING COS</t>
  </si>
  <si>
    <t>000 - Reserved</t>
  </si>
  <si>
    <t>011 - Corporate</t>
  </si>
  <si>
    <t>413 - ECT</t>
  </si>
  <si>
    <t>057 - BM</t>
  </si>
  <si>
    <t>060 - TW</t>
  </si>
  <si>
    <t>062 - FGT</t>
  </si>
  <si>
    <t>085 - CITRUS CORP</t>
  </si>
  <si>
    <t>985 - ENRON ENERGY SERVICES</t>
  </si>
  <si>
    <t>172 - NPNG</t>
  </si>
  <si>
    <t>179 - NNG</t>
  </si>
  <si>
    <t>366 - GPG EXECUTIVE</t>
  </si>
  <si>
    <t>404 - METHANOL</t>
  </si>
  <si>
    <t>422 - GPG EXEC F&amp;A</t>
  </si>
  <si>
    <t>423 - OPERATIONS TECHNICAL SUPPORT</t>
  </si>
  <si>
    <t>436 - EGP FUELS</t>
  </si>
  <si>
    <t>122 - EE&amp;C</t>
  </si>
  <si>
    <t>507 - GPG HR</t>
  </si>
  <si>
    <t>508 - GPG LEGAL</t>
  </si>
  <si>
    <t>543 - HPL OPS</t>
  </si>
  <si>
    <t>545 - LRC OPS</t>
  </si>
  <si>
    <t>583 - LRCO</t>
  </si>
  <si>
    <t>584 - HPLP</t>
  </si>
  <si>
    <t>Reserved</t>
  </si>
  <si>
    <t xml:space="preserve">Total After Allocations </t>
  </si>
  <si>
    <t>Net expenses (should be "0")</t>
  </si>
  <si>
    <t>Service Company Number:</t>
  </si>
  <si>
    <t>Responsibility Center Number:</t>
  </si>
  <si>
    <t>Adj's</t>
  </si>
  <si>
    <t>Total</t>
  </si>
  <si>
    <t>All</t>
  </si>
  <si>
    <t>TOTAL</t>
  </si>
  <si>
    <t>ALL</t>
  </si>
  <si>
    <t>Plan</t>
  </si>
  <si>
    <t>Restated</t>
  </si>
  <si>
    <t>C.E.</t>
  </si>
  <si>
    <t>RC 0013</t>
  </si>
  <si>
    <t>RC 0014</t>
  </si>
  <si>
    <t>RC 0026</t>
  </si>
  <si>
    <t>RC 0162</t>
  </si>
  <si>
    <t>RC 0237</t>
  </si>
  <si>
    <t>RC 0238</t>
  </si>
  <si>
    <t>RC 0239</t>
  </si>
  <si>
    <t>C.E. Var.</t>
  </si>
  <si>
    <t>RC %</t>
  </si>
  <si>
    <t>NNG</t>
  </si>
  <si>
    <t>TW</t>
  </si>
  <si>
    <t>FGT</t>
  </si>
  <si>
    <t>BM</t>
  </si>
  <si>
    <t>HPL</t>
  </si>
  <si>
    <t>HPLO</t>
  </si>
  <si>
    <t>LRC</t>
  </si>
  <si>
    <t>EMC</t>
  </si>
  <si>
    <t>EGP</t>
  </si>
  <si>
    <t>MTBE ops</t>
  </si>
  <si>
    <t>Liquids</t>
  </si>
  <si>
    <t>Wilke</t>
  </si>
  <si>
    <t>Vacant</t>
  </si>
  <si>
    <t>Talcott</t>
  </si>
  <si>
    <t>Crowley</t>
  </si>
  <si>
    <t>Raker</t>
  </si>
  <si>
    <t>Soldano</t>
  </si>
  <si>
    <t>Reich</t>
  </si>
  <si>
    <t>A. Smith (1/2)</t>
  </si>
  <si>
    <t>M. Smith</t>
  </si>
  <si>
    <t>Benson</t>
  </si>
  <si>
    <t>RC 0237 Total</t>
  </si>
  <si>
    <t>Co. Allocation</t>
  </si>
  <si>
    <t>F. King</t>
  </si>
  <si>
    <t>J. Cones</t>
  </si>
  <si>
    <t>P. Phillips</t>
  </si>
  <si>
    <t>S. Spalding</t>
  </si>
  <si>
    <t>D. McCoppin</t>
  </si>
  <si>
    <t>RC 0013 Total</t>
  </si>
  <si>
    <t>S. Scott</t>
  </si>
  <si>
    <t>Vacant Atty - Eric Aafedt</t>
  </si>
  <si>
    <t>L . Huber</t>
  </si>
  <si>
    <t>Vacant Secty - Thomas</t>
  </si>
  <si>
    <t>D. LaGesse</t>
  </si>
  <si>
    <t>D. Fossum</t>
  </si>
  <si>
    <t>RC 0014 Total</t>
  </si>
  <si>
    <t>M. Brenner</t>
  </si>
  <si>
    <t>D. Dornan</t>
  </si>
  <si>
    <t>M. Pavlou</t>
  </si>
  <si>
    <t>K. Ringblom</t>
  </si>
  <si>
    <t>A. Smith</t>
  </si>
  <si>
    <t>Vacant Atty</t>
  </si>
  <si>
    <t>RC 0026 Total</t>
  </si>
  <si>
    <t>M. Moran</t>
  </si>
  <si>
    <t>E. Sellers</t>
  </si>
  <si>
    <t>RC 0162 Total</t>
  </si>
  <si>
    <t>Company 508 Total</t>
  </si>
  <si>
    <t>Business Unit Total</t>
  </si>
  <si>
    <t>Full Time Equivalents for 2000</t>
  </si>
  <si>
    <t>Cobden</t>
  </si>
  <si>
    <t>LaGeese</t>
  </si>
  <si>
    <t>2000 GROSS</t>
  </si>
  <si>
    <t>x</t>
  </si>
  <si>
    <t>x not</t>
  </si>
  <si>
    <t>LaGeese (1/2)</t>
  </si>
  <si>
    <t>total 237</t>
  </si>
  <si>
    <t>attorneys only</t>
  </si>
  <si>
    <t>Work Orders</t>
  </si>
  <si>
    <t>2000 NET</t>
  </si>
  <si>
    <t>(less work order shares)</t>
  </si>
  <si>
    <t>attys. only</t>
  </si>
  <si>
    <t xml:space="preserve">The table outlined above describes how full time equivalents for each attorney and associated support staff was allocated to each individual operating company within GPG.      </t>
  </si>
  <si>
    <t>This allocation is based upon a thorough knowledge of ongoing and projected activities within the Gas Pipeline Group which are supported by the Operations legal staff.</t>
  </si>
  <si>
    <t>These projections take into account historical activities within the Operations group.</t>
  </si>
  <si>
    <t xml:space="preserve">The projections are primarily driven by ongoing and anticipated litigation, ongoing administrative support, ongoing and projected projects and key operations issues, </t>
  </si>
  <si>
    <t>ongoing and predicted asset acquisitions and divisture activities and ongoing and projected daily operational matters.</t>
  </si>
  <si>
    <t>From Louis Soldano's RC File (RC 0237)</t>
  </si>
  <si>
    <t>Enter Company in Blue Box:</t>
  </si>
  <si>
    <t>2000 BUDGET SUMMARY</t>
  </si>
  <si>
    <t>Approved</t>
  </si>
  <si>
    <t xml:space="preserve">Budget </t>
  </si>
  <si>
    <t>Budget</t>
  </si>
  <si>
    <t>Change Increase/(Decrease)</t>
  </si>
  <si>
    <t>0162  Executive</t>
  </si>
  <si>
    <t>GPG Legal Department:</t>
  </si>
  <si>
    <t>0013 - FGT General</t>
  </si>
  <si>
    <t>0014 - TW General</t>
  </si>
  <si>
    <t>0026 - NNG Legal</t>
  </si>
  <si>
    <t>0237 - OPs General &amp; Clean Fuels</t>
  </si>
  <si>
    <t>0238 - Overhead</t>
  </si>
  <si>
    <t>1A1</t>
  </si>
  <si>
    <t>GPG LEGAL</t>
  </si>
  <si>
    <t>Methanol</t>
  </si>
  <si>
    <t>1A1 - MONT BELVIEU</t>
  </si>
  <si>
    <t>Company 508 Total Gross Expenses</t>
  </si>
  <si>
    <t>Gross Expenses:</t>
  </si>
  <si>
    <t>Total Charges to Capital</t>
  </si>
  <si>
    <t>Total Net Operating Expenses</t>
  </si>
  <si>
    <t>0239 - Legal Clean Fuels</t>
  </si>
  <si>
    <t>Cost Allocations:</t>
  </si>
  <si>
    <t>Gross Outside Counsel</t>
  </si>
  <si>
    <t>GPG Recap:</t>
  </si>
  <si>
    <t>Total ET &amp; S</t>
  </si>
  <si>
    <t>Total FGT et al</t>
  </si>
  <si>
    <t>Total GCO</t>
  </si>
  <si>
    <t>Total Clean Fuels</t>
  </si>
  <si>
    <t>Total GPG</t>
  </si>
  <si>
    <t>0239 - Clean Fuels</t>
  </si>
  <si>
    <t>0162 - Executive</t>
  </si>
  <si>
    <t xml:space="preserve">Counsel </t>
  </si>
  <si>
    <t>Counsel</t>
  </si>
  <si>
    <t>Outside</t>
  </si>
  <si>
    <t>Mt. Belvieu</t>
  </si>
  <si>
    <t>Restated  *</t>
  </si>
  <si>
    <t>* 1999 Restated Budget combines RCs 0237 &amp; 0239</t>
  </si>
  <si>
    <t>ENRON GAS PIPELINE GROUP</t>
  </si>
  <si>
    <t>2000 BUDGET</t>
  </si>
  <si>
    <t>GROSS EXPENSES</t>
  </si>
  <si>
    <t>1999 Budget</t>
  </si>
  <si>
    <t>1999 Current Estimate</t>
  </si>
  <si>
    <t>Salaries</t>
  </si>
  <si>
    <t>Increase in rate of Payroll Taxes &amp; Benefits</t>
  </si>
  <si>
    <t>Other</t>
  </si>
  <si>
    <t>2000 Plan</t>
  </si>
  <si>
    <t>Total change to plan:</t>
  </si>
  <si>
    <t>Total change to 1999 Current Estimate:</t>
  </si>
  <si>
    <t>1998 and 1999 bonus true up</t>
  </si>
  <si>
    <t>General Business</t>
  </si>
  <si>
    <t>Outside Counsel</t>
  </si>
  <si>
    <t>Increase of Bonus for 2001 payout</t>
  </si>
  <si>
    <t>Nonpayroll to Work Orders</t>
  </si>
  <si>
    <t>Payroll to Work Orders</t>
  </si>
  <si>
    <t>NET EXPENSES</t>
  </si>
  <si>
    <t>Bonus accrual adjustment</t>
  </si>
  <si>
    <t>Service Company Group:</t>
  </si>
  <si>
    <t>Legal</t>
  </si>
  <si>
    <t>Cost Center Number:</t>
  </si>
  <si>
    <t>2001 PLAN</t>
  </si>
  <si>
    <t>01 Budget</t>
  </si>
  <si>
    <t>Cost</t>
  </si>
  <si>
    <t>Cost Element Description</t>
  </si>
  <si>
    <t>Element</t>
  </si>
  <si>
    <t>Expenses: (Enter as Positive #)</t>
  </si>
  <si>
    <t>Salaries &amp; Wages</t>
  </si>
  <si>
    <t>Employee - Expenses Other</t>
  </si>
  <si>
    <t>Employee - Group Meals &amp; Entertainment</t>
  </si>
  <si>
    <t>Employee - Client Meals &amp; Entertainment</t>
  </si>
  <si>
    <t>Employee - Course Reg. &amp; Tuition Reimb.</t>
  </si>
  <si>
    <t>Employee - Professional Mem. &amp; Dues</t>
  </si>
  <si>
    <t>Employee - Travel &amp; Lodging</t>
  </si>
  <si>
    <t>Material &amp; Supplies - Stock</t>
  </si>
  <si>
    <t>Company Mem. &amp; Dues</t>
  </si>
  <si>
    <t>Charitable Contribtions</t>
  </si>
  <si>
    <t>Postage &amp; Freight Expense</t>
  </si>
  <si>
    <t>Utilities</t>
  </si>
  <si>
    <t>Supplies &amp; Expense</t>
  </si>
  <si>
    <t>Communications Expense</t>
  </si>
  <si>
    <t>Outside Services - Legal</t>
  </si>
  <si>
    <t>Outside Services - IT</t>
  </si>
  <si>
    <t>Outside Services - Non Professional - Other</t>
  </si>
  <si>
    <t>Outside Services - Professional - Other</t>
  </si>
  <si>
    <t>Computer Expense</t>
  </si>
  <si>
    <t>Rent Expense - Equipment</t>
  </si>
  <si>
    <t>Advertising Expense</t>
  </si>
  <si>
    <t>Fees &amp; Permits</t>
  </si>
  <si>
    <t>Vehicle / Equipment Fuel</t>
  </si>
  <si>
    <t>Gen. Bus. &amp; Admin. Exp. - Other</t>
  </si>
  <si>
    <t>Benefits</t>
  </si>
  <si>
    <t>Corp Allocations</t>
  </si>
  <si>
    <t>EPSC Allocations</t>
  </si>
  <si>
    <t>EIS Allocations</t>
  </si>
  <si>
    <t>Charges to Work Orders: (Enter as negative #)</t>
  </si>
  <si>
    <t>012 - HPL ASSETS in ENA</t>
  </si>
  <si>
    <t>MSA RC Number:</t>
  </si>
  <si>
    <t>2001 Plan</t>
  </si>
  <si>
    <t>2001 C.E.</t>
  </si>
  <si>
    <t>CE</t>
  </si>
  <si>
    <t>Payroll Taxes</t>
  </si>
  <si>
    <t>Gen. Bus. &amp; Admin. Exp. - Other (Bonus)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</si>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</sst>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0000"/>
    <numFmt numFmtId="167" formatCode="0.000"/>
    <numFmt numFmtId="168" formatCode="000"/>
    <numFmt numFmtId="169" formatCode="0_);\(0\)"/>
    <numFmt numFmtId="171" formatCode="_(&quot;$&quot;* #,##0_);_(&quot;$&quot;* \(#,##0\);_(&quot;$&quot;* &quot;-&quot;??_);_(@_)"/>
    <numFmt numFmtId="175" formatCode="#,##0.00%_);[Red]\(#,##0.00%\)"/>
    <numFmt numFmtId="178" formatCode="000000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u val="double"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 Narrow"/>
      <family val="2"/>
    </font>
    <font>
      <b/>
      <sz val="11"/>
      <name val="Arial"/>
      <family val="2"/>
    </font>
    <font>
      <u val="double"/>
      <sz val="10"/>
      <name val="Arial"/>
      <family val="2"/>
    </font>
    <font>
      <b/>
      <sz val="10"/>
      <color indexed="12"/>
      <name val="Arial Narrow"/>
      <family val="2"/>
    </font>
    <font>
      <b/>
      <sz val="10"/>
      <color indexed="12"/>
      <name val="Arial"/>
      <family val="2"/>
    </font>
    <font>
      <b/>
      <sz val="10"/>
      <color indexed="12"/>
      <name val="Arial"/>
    </font>
    <font>
      <b/>
      <sz val="8"/>
      <name val="Arial"/>
      <family val="2"/>
    </font>
    <font>
      <b/>
      <u val="double"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gray125">
        <fgColor indexed="8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1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2" fillId="0" borderId="9" xfId="1" applyNumberFormat="1" applyFont="1" applyBorder="1"/>
    <xf numFmtId="164" fontId="2" fillId="0" borderId="1" xfId="1" applyNumberFormat="1" applyFont="1" applyBorder="1"/>
    <xf numFmtId="164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0" fontId="0" fillId="3" borderId="10" xfId="0" applyFill="1" applyBorder="1"/>
    <xf numFmtId="0" fontId="0" fillId="3" borderId="0" xfId="0" applyFill="1" applyBorder="1"/>
    <xf numFmtId="10" fontId="0" fillId="0" borderId="6" xfId="0" applyNumberFormat="1" applyBorder="1"/>
    <xf numFmtId="10" fontId="0" fillId="0" borderId="7" xfId="0" applyNumberFormat="1" applyBorder="1"/>
    <xf numFmtId="164" fontId="0" fillId="3" borderId="3" xfId="1" applyNumberFormat="1" applyFont="1" applyFill="1" applyBorder="1"/>
    <xf numFmtId="164" fontId="0" fillId="3" borderId="11" xfId="1" applyNumberFormat="1" applyFont="1" applyFill="1" applyBorder="1"/>
    <xf numFmtId="164" fontId="0" fillId="0" borderId="12" xfId="0" applyNumberFormat="1" applyBorder="1"/>
    <xf numFmtId="164" fontId="0" fillId="0" borderId="12" xfId="1" applyNumberFormat="1" applyFont="1" applyBorder="1"/>
    <xf numFmtId="10" fontId="0" fillId="0" borderId="12" xfId="0" applyNumberFormat="1" applyBorder="1"/>
    <xf numFmtId="164" fontId="2" fillId="0" borderId="13" xfId="0" applyNumberFormat="1" applyFont="1" applyBorder="1"/>
    <xf numFmtId="10" fontId="2" fillId="0" borderId="13" xfId="0" applyNumberFormat="1" applyFont="1" applyBorder="1"/>
    <xf numFmtId="164" fontId="2" fillId="0" borderId="14" xfId="0" applyNumberFormat="1" applyFont="1" applyBorder="1"/>
    <xf numFmtId="164" fontId="2" fillId="0" borderId="13" xfId="1" applyNumberFormat="1" applyFont="1" applyBorder="1"/>
    <xf numFmtId="0" fontId="0" fillId="0" borderId="15" xfId="0" applyBorder="1" applyAlignment="1">
      <alignment horizontal="center"/>
    </xf>
    <xf numFmtId="164" fontId="0" fillId="0" borderId="16" xfId="1" applyNumberFormat="1" applyFont="1" applyBorder="1"/>
    <xf numFmtId="0" fontId="0" fillId="2" borderId="1" xfId="0" applyFill="1" applyBorder="1" applyAlignment="1">
      <alignment horizontal="right"/>
    </xf>
    <xf numFmtId="42" fontId="5" fillId="0" borderId="15" xfId="1" applyNumberFormat="1" applyFont="1" applyBorder="1"/>
    <xf numFmtId="42" fontId="5" fillId="0" borderId="17" xfId="1" applyNumberFormat="1" applyFont="1" applyBorder="1"/>
    <xf numFmtId="42" fontId="5" fillId="0" borderId="18" xfId="1" applyNumberFormat="1" applyFont="1" applyBorder="1"/>
    <xf numFmtId="42" fontId="5" fillId="0" borderId="19" xfId="1" applyNumberFormat="1" applyFont="1" applyBorder="1"/>
    <xf numFmtId="41" fontId="5" fillId="0" borderId="15" xfId="1" applyNumberFormat="1" applyFont="1" applyBorder="1"/>
    <xf numFmtId="0" fontId="0" fillId="2" borderId="1" xfId="0" applyFill="1" applyBorder="1" applyAlignment="1">
      <alignment horizont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8" fontId="7" fillId="0" borderId="0" xfId="0" applyNumberFormat="1" applyFont="1"/>
    <xf numFmtId="42" fontId="2" fillId="3" borderId="11" xfId="0" applyNumberFormat="1" applyFont="1" applyFill="1" applyBorder="1"/>
    <xf numFmtId="42" fontId="2" fillId="3" borderId="15" xfId="0" applyNumberFormat="1" applyFont="1" applyFill="1" applyBorder="1"/>
    <xf numFmtId="0" fontId="0" fillId="3" borderId="3" xfId="0" applyFill="1" applyBorder="1" applyAlignment="1">
      <alignment horizontal="center"/>
    </xf>
    <xf numFmtId="0" fontId="0" fillId="3" borderId="15" xfId="0" applyFill="1" applyBorder="1"/>
    <xf numFmtId="0" fontId="0" fillId="3" borderId="11" xfId="0" applyFill="1" applyBorder="1"/>
    <xf numFmtId="0" fontId="2" fillId="3" borderId="11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Border="1"/>
    <xf numFmtId="164" fontId="2" fillId="3" borderId="11" xfId="1" applyNumberFormat="1" applyFont="1" applyFill="1" applyBorder="1"/>
    <xf numFmtId="164" fontId="0" fillId="0" borderId="20" xfId="0" applyNumberFormat="1" applyBorder="1"/>
    <xf numFmtId="0" fontId="0" fillId="0" borderId="20" xfId="0" applyBorder="1"/>
    <xf numFmtId="0" fontId="2" fillId="3" borderId="21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2" fillId="0" borderId="0" xfId="0" applyFont="1" applyBorder="1"/>
    <xf numFmtId="41" fontId="0" fillId="0" borderId="0" xfId="0" applyNumberFormat="1" applyFill="1" applyBorder="1"/>
    <xf numFmtId="41" fontId="0" fillId="0" borderId="0" xfId="0" applyNumberFormat="1"/>
    <xf numFmtId="41" fontId="0" fillId="0" borderId="0" xfId="0" applyNumberFormat="1" applyFill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Fill="1" applyAlignment="1">
      <alignment horizontal="right"/>
    </xf>
    <xf numFmtId="41" fontId="0" fillId="0" borderId="15" xfId="0" applyNumberFormat="1" applyBorder="1" applyAlignment="1">
      <alignment horizontal="center"/>
    </xf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6" xfId="0" applyNumberFormat="1" applyBorder="1"/>
    <xf numFmtId="41" fontId="0" fillId="3" borderId="10" xfId="0" applyNumberFormat="1" applyFill="1" applyBorder="1"/>
    <xf numFmtId="41" fontId="0" fillId="0" borderId="7" xfId="0" applyNumberFormat="1" applyBorder="1"/>
    <xf numFmtId="41" fontId="0" fillId="3" borderId="0" xfId="0" applyNumberFormat="1" applyFill="1" applyBorder="1"/>
    <xf numFmtId="41" fontId="0" fillId="0" borderId="8" xfId="0" applyNumberFormat="1" applyBorder="1"/>
    <xf numFmtId="41" fontId="0" fillId="0" borderId="0" xfId="0" applyNumberFormat="1" applyBorder="1"/>
    <xf numFmtId="41" fontId="2" fillId="3" borderId="21" xfId="0" applyNumberFormat="1" applyFont="1" applyFill="1" applyBorder="1"/>
    <xf numFmtId="41" fontId="0" fillId="3" borderId="2" xfId="0" applyNumberFormat="1" applyFill="1" applyBorder="1"/>
    <xf numFmtId="41" fontId="0" fillId="0" borderId="16" xfId="1" applyNumberFormat="1" applyFont="1" applyBorder="1"/>
    <xf numFmtId="0" fontId="0" fillId="0" borderId="3" xfId="0" applyNumberFormat="1" applyBorder="1" applyAlignment="1">
      <alignment horizontal="center"/>
    </xf>
    <xf numFmtId="41" fontId="2" fillId="3" borderId="0" xfId="0" applyNumberFormat="1" applyFont="1" applyFill="1" applyBorder="1"/>
    <xf numFmtId="0" fontId="0" fillId="3" borderId="11" xfId="0" applyFill="1" applyBorder="1" applyAlignment="1">
      <alignment horizontal="center"/>
    </xf>
    <xf numFmtId="41" fontId="0" fillId="0" borderId="16" xfId="0" applyNumberFormat="1" applyBorder="1"/>
    <xf numFmtId="42" fontId="5" fillId="3" borderId="23" xfId="1" applyNumberFormat="1" applyFont="1" applyFill="1" applyBorder="1"/>
    <xf numFmtId="42" fontId="5" fillId="3" borderId="24" xfId="1" applyNumberFormat="1" applyFont="1" applyFill="1" applyBorder="1"/>
    <xf numFmtId="41" fontId="2" fillId="0" borderId="25" xfId="1" applyNumberFormat="1" applyFont="1" applyBorder="1"/>
    <xf numFmtId="164" fontId="0" fillId="3" borderId="15" xfId="0" applyNumberFormat="1" applyFill="1" applyBorder="1"/>
    <xf numFmtId="164" fontId="0" fillId="0" borderId="15" xfId="0" applyNumberFormat="1" applyBorder="1"/>
    <xf numFmtId="41" fontId="0" fillId="0" borderId="9" xfId="0" applyNumberFormat="1" applyBorder="1"/>
    <xf numFmtId="164" fontId="0" fillId="0" borderId="16" xfId="0" applyNumberForma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0" xfId="0" applyNumberFormat="1"/>
    <xf numFmtId="164" fontId="2" fillId="0" borderId="25" xfId="0" applyNumberFormat="1" applyFont="1" applyBorder="1"/>
    <xf numFmtId="41" fontId="0" fillId="0" borderId="25" xfId="0" applyNumberFormat="1" applyBorder="1"/>
    <xf numFmtId="43" fontId="0" fillId="0" borderId="0" xfId="0" applyNumberFormat="1"/>
    <xf numFmtId="43" fontId="2" fillId="0" borderId="26" xfId="0" applyNumberFormat="1" applyFont="1" applyBorder="1" applyAlignment="1">
      <alignment horizontal="center"/>
    </xf>
    <xf numFmtId="0" fontId="9" fillId="0" borderId="0" xfId="0" applyFont="1"/>
    <xf numFmtId="0" fontId="2" fillId="0" borderId="27" xfId="0" applyFont="1" applyBorder="1" applyAlignment="1">
      <alignment horizontal="right"/>
    </xf>
    <xf numFmtId="43" fontId="0" fillId="0" borderId="26" xfId="0" applyNumberFormat="1" applyBorder="1"/>
    <xf numFmtId="10" fontId="2" fillId="0" borderId="0" xfId="0" applyNumberFormat="1" applyFont="1"/>
    <xf numFmtId="0" fontId="0" fillId="0" borderId="26" xfId="0" applyBorder="1"/>
    <xf numFmtId="43" fontId="2" fillId="0" borderId="28" xfId="0" applyNumberFormat="1" applyFont="1" applyBorder="1"/>
    <xf numFmtId="0" fontId="2" fillId="0" borderId="26" xfId="0" applyFont="1" applyBorder="1"/>
    <xf numFmtId="43" fontId="2" fillId="0" borderId="26" xfId="0" applyNumberFormat="1" applyFont="1" applyBorder="1"/>
    <xf numFmtId="0" fontId="2" fillId="0" borderId="27" xfId="0" applyFont="1" applyBorder="1"/>
    <xf numFmtId="10" fontId="2" fillId="0" borderId="27" xfId="0" applyNumberFormat="1" applyFont="1" applyBorder="1" applyAlignment="1">
      <alignment horizontal="right"/>
    </xf>
    <xf numFmtId="10" fontId="2" fillId="0" borderId="26" xfId="0" applyNumberFormat="1" applyFont="1" applyBorder="1"/>
    <xf numFmtId="10" fontId="2" fillId="0" borderId="28" xfId="0" applyNumberFormat="1" applyFont="1" applyBorder="1"/>
    <xf numFmtId="43" fontId="2" fillId="0" borderId="27" xfId="0" applyNumberFormat="1" applyFont="1" applyBorder="1" applyAlignment="1">
      <alignment horizontal="center"/>
    </xf>
    <xf numFmtId="43" fontId="2" fillId="0" borderId="28" xfId="0" applyNumberFormat="1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3" fontId="0" fillId="0" borderId="0" xfId="0" applyNumberFormat="1" applyAlignment="1">
      <alignment horizontal="centerContinuous"/>
    </xf>
    <xf numFmtId="43" fontId="2" fillId="0" borderId="27" xfId="0" applyNumberFormat="1" applyFont="1" applyBorder="1"/>
    <xf numFmtId="0" fontId="2" fillId="0" borderId="26" xfId="0" applyFont="1" applyBorder="1" applyAlignment="1">
      <alignment horizontal="right"/>
    </xf>
    <xf numFmtId="43" fontId="2" fillId="0" borderId="26" xfId="0" applyNumberFormat="1" applyFont="1" applyBorder="1" applyAlignment="1">
      <alignment horizontal="right"/>
    </xf>
    <xf numFmtId="0" fontId="8" fillId="0" borderId="0" xfId="0" applyFont="1"/>
    <xf numFmtId="4" fontId="0" fillId="0" borderId="0" xfId="0" applyNumberFormat="1"/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/>
    <xf numFmtId="3" fontId="0" fillId="0" borderId="0" xfId="0" applyNumberFormat="1"/>
    <xf numFmtId="0" fontId="6" fillId="0" borderId="0" xfId="0" applyFont="1"/>
    <xf numFmtId="0" fontId="0" fillId="0" borderId="27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0" fillId="0" borderId="0" xfId="0" applyAlignment="1">
      <alignment horizontal="left"/>
    </xf>
    <xf numFmtId="42" fontId="2" fillId="0" borderId="0" xfId="0" applyNumberFormat="1" applyFont="1" applyAlignment="1">
      <alignment horizontal="right" vertical="center"/>
    </xf>
    <xf numFmtId="38" fontId="2" fillId="4" borderId="1" xfId="0" applyNumberFormat="1" applyFont="1" applyFill="1" applyBorder="1" applyAlignment="1">
      <alignment vertical="center"/>
    </xf>
    <xf numFmtId="38" fontId="0" fillId="0" borderId="0" xfId="0" applyNumberFormat="1"/>
    <xf numFmtId="0" fontId="4" fillId="0" borderId="0" xfId="0" applyFont="1" applyAlignment="1">
      <alignment horizontal="centerContinuous"/>
    </xf>
    <xf numFmtId="42" fontId="0" fillId="0" borderId="0" xfId="0" applyNumberFormat="1" applyAlignment="1">
      <alignment horizontal="centerContinuous"/>
    </xf>
    <xf numFmtId="38" fontId="0" fillId="0" borderId="0" xfId="0" applyNumberFormat="1" applyAlignment="1">
      <alignment horizontal="centerContinuous"/>
    </xf>
    <xf numFmtId="168" fontId="0" fillId="0" borderId="0" xfId="0" applyNumberFormat="1"/>
    <xf numFmtId="0" fontId="2" fillId="0" borderId="0" xfId="0" applyFont="1" applyAlignment="1">
      <alignment horizontal="centerContinuous"/>
    </xf>
    <xf numFmtId="168" fontId="8" fillId="0" borderId="0" xfId="0" applyNumberFormat="1" applyFont="1"/>
    <xf numFmtId="42" fontId="0" fillId="0" borderId="0" xfId="0" applyNumberFormat="1"/>
    <xf numFmtId="169" fontId="13" fillId="0" borderId="0" xfId="0" applyNumberFormat="1" applyFont="1" applyBorder="1" applyAlignment="1">
      <alignment horizontal="center"/>
    </xf>
    <xf numFmtId="169" fontId="13" fillId="5" borderId="0" xfId="0" applyNumberFormat="1" applyFont="1" applyFill="1" applyBorder="1" applyAlignment="1">
      <alignment horizontal="center"/>
    </xf>
    <xf numFmtId="169" fontId="13" fillId="0" borderId="0" xfId="0" applyNumberFormat="1" applyFont="1" applyAlignment="1">
      <alignment horizontal="center"/>
    </xf>
    <xf numFmtId="42" fontId="13" fillId="0" borderId="0" xfId="0" applyNumberFormat="1" applyFont="1" applyBorder="1" applyAlignment="1">
      <alignment horizontal="center"/>
    </xf>
    <xf numFmtId="42" fontId="13" fillId="5" borderId="0" xfId="0" applyNumberFormat="1" applyFont="1" applyFill="1" applyBorder="1" applyAlignment="1">
      <alignment horizontal="center"/>
    </xf>
    <xf numFmtId="0" fontId="14" fillId="0" borderId="0" xfId="0" applyFont="1"/>
    <xf numFmtId="42" fontId="0" fillId="0" borderId="0" xfId="0" applyNumberFormat="1" applyBorder="1"/>
    <xf numFmtId="38" fontId="2" fillId="5" borderId="0" xfId="0" applyNumberFormat="1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5" borderId="0" xfId="0" applyNumberFormat="1" applyFill="1" applyBorder="1"/>
    <xf numFmtId="38" fontId="0" fillId="0" borderId="0" xfId="0" applyNumberFormat="1" applyBorder="1"/>
    <xf numFmtId="42" fontId="8" fillId="5" borderId="0" xfId="0" applyNumberFormat="1" applyFont="1" applyFill="1" applyBorder="1"/>
    <xf numFmtId="42" fontId="8" fillId="0" borderId="0" xfId="0" applyNumberFormat="1" applyFont="1" applyBorder="1"/>
    <xf numFmtId="42" fontId="0" fillId="5" borderId="0" xfId="0" applyNumberFormat="1" applyFill="1" applyBorder="1"/>
    <xf numFmtId="38" fontId="8" fillId="0" borderId="0" xfId="0" applyNumberFormat="1" applyFont="1"/>
    <xf numFmtId="42" fontId="0" fillId="0" borderId="2" xfId="0" applyNumberFormat="1" applyBorder="1"/>
    <xf numFmtId="42" fontId="8" fillId="0" borderId="2" xfId="0" applyNumberFormat="1" applyFont="1" applyBorder="1"/>
    <xf numFmtId="38" fontId="8" fillId="0" borderId="0" xfId="0" applyNumberFormat="1" applyFont="1" applyBorder="1"/>
    <xf numFmtId="42" fontId="15" fillId="0" borderId="0" xfId="0" applyNumberFormat="1" applyFont="1" applyBorder="1"/>
    <xf numFmtId="42" fontId="0" fillId="6" borderId="0" xfId="0" applyNumberFormat="1" applyFill="1" applyBorder="1"/>
    <xf numFmtId="10" fontId="8" fillId="0" borderId="29" xfId="0" applyNumberFormat="1" applyFont="1" applyBorder="1"/>
    <xf numFmtId="10" fontId="8" fillId="0" borderId="0" xfId="0" applyNumberFormat="1" applyFont="1" applyBorder="1"/>
    <xf numFmtId="38" fontId="7" fillId="0" borderId="0" xfId="0" applyNumberFormat="1" applyFont="1" applyAlignment="1">
      <alignment horizontal="right"/>
    </xf>
    <xf numFmtId="22" fontId="7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41" fontId="13" fillId="0" borderId="0" xfId="0" applyNumberFormat="1" applyFont="1" applyBorder="1" applyAlignment="1">
      <alignment horizontal="center"/>
    </xf>
    <xf numFmtId="0" fontId="0" fillId="0" borderId="0" xfId="0" applyNumberFormat="1"/>
    <xf numFmtId="0" fontId="13" fillId="0" borderId="0" xfId="0" applyNumberFormat="1" applyFont="1" applyBorder="1" applyAlignment="1">
      <alignment horizontal="center"/>
    </xf>
    <xf numFmtId="41" fontId="2" fillId="0" borderId="0" xfId="0" applyNumberFormat="1" applyFont="1"/>
    <xf numFmtId="42" fontId="2" fillId="0" borderId="0" xfId="0" applyNumberFormat="1" applyFont="1"/>
    <xf numFmtId="41" fontId="0" fillId="0" borderId="30" xfId="0" applyNumberFormat="1" applyBorder="1"/>
    <xf numFmtId="41" fontId="0" fillId="0" borderId="2" xfId="0" applyNumberFormat="1" applyBorder="1"/>
    <xf numFmtId="171" fontId="2" fillId="0" borderId="0" xfId="2" applyNumberFormat="1" applyFont="1"/>
    <xf numFmtId="41" fontId="0" fillId="0" borderId="0" xfId="0" applyNumberFormat="1" applyAlignment="1">
      <alignment horizontal="centerContinuous"/>
    </xf>
    <xf numFmtId="0" fontId="0" fillId="7" borderId="27" xfId="0" applyFill="1" applyBorder="1"/>
    <xf numFmtId="0" fontId="0" fillId="7" borderId="26" xfId="0" applyFill="1" applyBorder="1"/>
    <xf numFmtId="41" fontId="0" fillId="7" borderId="26" xfId="0" applyNumberFormat="1" applyFill="1" applyBorder="1"/>
    <xf numFmtId="41" fontId="0" fillId="7" borderId="28" xfId="0" applyNumberFormat="1" applyFill="1" applyBorder="1"/>
    <xf numFmtId="41" fontId="2" fillId="0" borderId="0" xfId="0" applyNumberFormat="1" applyFont="1" applyAlignment="1">
      <alignment horizontal="center"/>
    </xf>
    <xf numFmtId="42" fontId="2" fillId="0" borderId="31" xfId="0" applyNumberFormat="1" applyFont="1" applyBorder="1"/>
    <xf numFmtId="171" fontId="2" fillId="0" borderId="31" xfId="2" applyNumberFormat="1" applyFont="1" applyBorder="1"/>
    <xf numFmtId="41" fontId="0" fillId="0" borderId="13" xfId="0" applyNumberFormat="1" applyBorder="1"/>
    <xf numFmtId="41" fontId="0" fillId="0" borderId="15" xfId="0" applyNumberFormat="1" applyBorder="1"/>
    <xf numFmtId="41" fontId="8" fillId="0" borderId="0" xfId="0" applyNumberFormat="1" applyFont="1" applyAlignment="1">
      <alignment horizontal="center"/>
    </xf>
    <xf numFmtId="41" fontId="8" fillId="0" borderId="0" xfId="0" applyNumberFormat="1" applyFont="1"/>
    <xf numFmtId="42" fontId="8" fillId="5" borderId="2" xfId="0" applyNumberFormat="1" applyFont="1" applyFill="1" applyBorder="1"/>
    <xf numFmtId="175" fontId="15" fillId="0" borderId="0" xfId="0" applyNumberFormat="1" applyFont="1" applyBorder="1"/>
    <xf numFmtId="42" fontId="2" fillId="0" borderId="0" xfId="0" applyNumberFormat="1" applyFont="1" applyBorder="1"/>
    <xf numFmtId="171" fontId="2" fillId="0" borderId="0" xfId="2" applyNumberFormat="1" applyFont="1" applyBorder="1"/>
    <xf numFmtId="42" fontId="0" fillId="0" borderId="0" xfId="2" applyNumberFormat="1" applyFont="1"/>
    <xf numFmtId="0" fontId="0" fillId="7" borderId="28" xfId="0" applyFill="1" applyBorder="1"/>
    <xf numFmtId="0" fontId="16" fillId="0" borderId="0" xfId="0" applyNumberFormat="1" applyFont="1" applyBorder="1" applyAlignment="1">
      <alignment horizontal="center"/>
    </xf>
    <xf numFmtId="41" fontId="17" fillId="0" borderId="0" xfId="0" applyNumberFormat="1" applyFont="1" applyBorder="1" applyAlignment="1">
      <alignment horizontal="center"/>
    </xf>
    <xf numFmtId="42" fontId="17" fillId="0" borderId="0" xfId="0" applyNumberFormat="1" applyFont="1"/>
    <xf numFmtId="42" fontId="17" fillId="0" borderId="31" xfId="0" applyNumberFormat="1" applyFont="1" applyBorder="1"/>
    <xf numFmtId="171" fontId="17" fillId="0" borderId="0" xfId="2" applyNumberFormat="1" applyFont="1"/>
    <xf numFmtId="41" fontId="18" fillId="0" borderId="0" xfId="0" applyNumberFormat="1" applyFont="1"/>
    <xf numFmtId="42" fontId="18" fillId="0" borderId="0" xfId="0" applyNumberFormat="1" applyFont="1"/>
    <xf numFmtId="41" fontId="18" fillId="0" borderId="30" xfId="0" applyNumberFormat="1" applyFont="1" applyBorder="1"/>
    <xf numFmtId="41" fontId="18" fillId="0" borderId="2" xfId="0" applyNumberFormat="1" applyFont="1" applyBorder="1"/>
    <xf numFmtId="22" fontId="7" fillId="0" borderId="0" xfId="0" applyNumberFormat="1" applyFont="1"/>
    <xf numFmtId="164" fontId="2" fillId="0" borderId="26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41" fontId="13" fillId="0" borderId="0" xfId="0" applyNumberFormat="1" applyFont="1" applyAlignment="1">
      <alignment horizontal="center"/>
    </xf>
    <xf numFmtId="41" fontId="16" fillId="0" borderId="0" xfId="0" applyNumberFormat="1" applyFont="1" applyBorder="1" applyAlignment="1">
      <alignment horizontal="center"/>
    </xf>
    <xf numFmtId="41" fontId="0" fillId="0" borderId="20" xfId="0" applyNumberFormat="1" applyBorder="1"/>
    <xf numFmtId="41" fontId="0" fillId="3" borderId="22" xfId="0" applyNumberFormat="1" applyFill="1" applyBorder="1"/>
    <xf numFmtId="41" fontId="0" fillId="0" borderId="32" xfId="0" applyNumberFormat="1" applyBorder="1"/>
    <xf numFmtId="41" fontId="0" fillId="3" borderId="15" xfId="0" applyNumberFormat="1" applyFill="1" applyBorder="1"/>
    <xf numFmtId="171" fontId="0" fillId="0" borderId="0" xfId="2" applyNumberFormat="1" applyFont="1"/>
    <xf numFmtId="171" fontId="0" fillId="0" borderId="0" xfId="2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1" fontId="0" fillId="0" borderId="10" xfId="0" applyNumberFormat="1" applyBorder="1"/>
    <xf numFmtId="0" fontId="6" fillId="0" borderId="0" xfId="0" applyFont="1" applyAlignment="1">
      <alignment horizontal="centerContinuous"/>
    </xf>
    <xf numFmtId="0" fontId="19" fillId="0" borderId="0" xfId="0" applyFont="1" applyAlignment="1">
      <alignment horizontal="centerContinuous"/>
    </xf>
    <xf numFmtId="169" fontId="16" fillId="0" borderId="0" xfId="0" applyNumberFormat="1" applyFont="1" applyBorder="1" applyAlignment="1">
      <alignment horizontal="center"/>
    </xf>
    <xf numFmtId="42" fontId="17" fillId="0" borderId="0" xfId="0" applyNumberFormat="1" applyFont="1" applyBorder="1" applyAlignment="1">
      <alignment horizontal="center"/>
    </xf>
    <xf numFmtId="0" fontId="18" fillId="0" borderId="0" xfId="0" applyFont="1"/>
    <xf numFmtId="42" fontId="18" fillId="0" borderId="0" xfId="0" applyNumberFormat="1" applyFont="1" applyBorder="1"/>
    <xf numFmtId="42" fontId="18" fillId="0" borderId="2" xfId="0" applyNumberFormat="1" applyFont="1" applyBorder="1"/>
    <xf numFmtId="42" fontId="20" fillId="0" borderId="0" xfId="0" applyNumberFormat="1" applyFont="1" applyBorder="1"/>
    <xf numFmtId="42" fontId="18" fillId="6" borderId="0" xfId="0" applyNumberFormat="1" applyFont="1" applyFill="1" applyBorder="1"/>
    <xf numFmtId="0" fontId="2" fillId="2" borderId="28" xfId="0" applyFont="1" applyFill="1" applyBorder="1"/>
    <xf numFmtId="166" fontId="2" fillId="2" borderId="27" xfId="0" applyNumberFormat="1" applyFont="1" applyFill="1" applyBorder="1"/>
    <xf numFmtId="166" fontId="2" fillId="2" borderId="28" xfId="0" applyNumberFormat="1" applyFont="1" applyFill="1" applyBorder="1"/>
    <xf numFmtId="0" fontId="0" fillId="0" borderId="24" xfId="0" applyBorder="1"/>
    <xf numFmtId="0" fontId="0" fillId="0" borderId="3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5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7" xfId="0" applyFont="1" applyBorder="1"/>
    <xf numFmtId="0" fontId="0" fillId="0" borderId="35" xfId="0" applyBorder="1"/>
    <xf numFmtId="0" fontId="0" fillId="0" borderId="36" xfId="0" applyBorder="1"/>
    <xf numFmtId="0" fontId="2" fillId="0" borderId="35" xfId="0" applyFont="1" applyBorder="1" applyAlignment="1">
      <alignment horizontal="right"/>
    </xf>
    <xf numFmtId="0" fontId="2" fillId="0" borderId="36" xfId="0" applyFont="1" applyBorder="1"/>
    <xf numFmtId="0" fontId="2" fillId="0" borderId="35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3" xfId="0" applyBorder="1" applyAlignment="1">
      <alignment horizontal="right"/>
    </xf>
    <xf numFmtId="164" fontId="0" fillId="0" borderId="3" xfId="1" applyNumberFormat="1" applyFont="1" applyBorder="1"/>
    <xf numFmtId="1" fontId="0" fillId="0" borderId="34" xfId="1" applyNumberFormat="1" applyFont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164" fontId="0" fillId="5" borderId="15" xfId="1" applyNumberFormat="1" applyFont="1" applyFill="1" applyBorder="1"/>
    <xf numFmtId="0" fontId="0" fillId="5" borderId="15" xfId="0" applyFill="1" applyBorder="1" applyAlignment="1">
      <alignment horizontal="center"/>
    </xf>
    <xf numFmtId="164" fontId="0" fillId="0" borderId="0" xfId="1" applyNumberFormat="1" applyFont="1" applyBorder="1"/>
    <xf numFmtId="164" fontId="0" fillId="5" borderId="0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164" fontId="2" fillId="5" borderId="0" xfId="1" applyNumberFormat="1" applyFont="1" applyFill="1" applyBorder="1"/>
    <xf numFmtId="164" fontId="0" fillId="0" borderId="8" xfId="1" applyNumberFormat="1" applyFont="1" applyFill="1" applyBorder="1"/>
    <xf numFmtId="164" fontId="2" fillId="0" borderId="0" xfId="1" applyNumberFormat="1" applyFont="1"/>
    <xf numFmtId="164" fontId="2" fillId="0" borderId="6" xfId="1" applyNumberFormat="1" applyFont="1" applyFill="1" applyBorder="1"/>
    <xf numFmtId="164" fontId="2" fillId="0" borderId="0" xfId="1" applyNumberFormat="1" applyFont="1" applyFill="1" applyBorder="1"/>
    <xf numFmtId="164" fontId="0" fillId="0" borderId="9" xfId="1" applyNumberFormat="1" applyFont="1" applyBorder="1"/>
    <xf numFmtId="164" fontId="2" fillId="0" borderId="39" xfId="1" applyNumberFormat="1" applyFont="1" applyBorder="1"/>
    <xf numFmtId="164" fontId="2" fillId="0" borderId="25" xfId="1" applyNumberFormat="1" applyFont="1" applyBorder="1"/>
    <xf numFmtId="164" fontId="5" fillId="5" borderId="0" xfId="1" applyNumberFormat="1" applyFont="1" applyFill="1" applyBorder="1"/>
    <xf numFmtId="0" fontId="0" fillId="0" borderId="7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/>
    <xf numFmtId="0" fontId="2" fillId="3" borderId="15" xfId="0" applyFont="1" applyFill="1" applyBorder="1"/>
    <xf numFmtId="41" fontId="0" fillId="3" borderId="11" xfId="0" applyNumberFormat="1" applyFill="1" applyBorder="1" applyAlignment="1">
      <alignment horizontal="center"/>
    </xf>
    <xf numFmtId="41" fontId="0" fillId="3" borderId="11" xfId="0" applyNumberFormat="1" applyFill="1" applyBorder="1"/>
    <xf numFmtId="41" fontId="2" fillId="3" borderId="11" xfId="0" applyNumberFormat="1" applyFont="1" applyFill="1" applyBorder="1"/>
    <xf numFmtId="41" fontId="2" fillId="3" borderId="15" xfId="0" applyNumberFormat="1" applyFont="1" applyFill="1" applyBorder="1"/>
    <xf numFmtId="164" fontId="2" fillId="3" borderId="15" xfId="1" applyNumberFormat="1" applyFont="1" applyFill="1" applyBorder="1"/>
    <xf numFmtId="10" fontId="0" fillId="0" borderId="40" xfId="0" applyNumberFormat="1" applyBorder="1"/>
    <xf numFmtId="164" fontId="0" fillId="0" borderId="41" xfId="1" applyNumberFormat="1" applyFont="1" applyBorder="1"/>
    <xf numFmtId="0" fontId="0" fillId="0" borderId="22" xfId="0" applyBorder="1"/>
    <xf numFmtId="0" fontId="2" fillId="0" borderId="13" xfId="0" applyFont="1" applyBorder="1"/>
    <xf numFmtId="41" fontId="2" fillId="0" borderId="13" xfId="1" applyNumberFormat="1" applyFont="1" applyBorder="1"/>
    <xf numFmtId="0" fontId="2" fillId="0" borderId="15" xfId="0" applyFont="1" applyBorder="1"/>
    <xf numFmtId="164" fontId="0" fillId="0" borderId="42" xfId="1" applyNumberFormat="1" applyFont="1" applyBorder="1"/>
    <xf numFmtId="41" fontId="0" fillId="0" borderId="40" xfId="1" applyNumberFormat="1" applyFont="1" applyBorder="1"/>
    <xf numFmtId="41" fontId="0" fillId="0" borderId="41" xfId="1" applyNumberFormat="1" applyFont="1" applyBorder="1"/>
    <xf numFmtId="164" fontId="2" fillId="3" borderId="11" xfId="0" applyNumberFormat="1" applyFont="1" applyFill="1" applyBorder="1"/>
    <xf numFmtId="0" fontId="0" fillId="3" borderId="43" xfId="0" applyFill="1" applyBorder="1"/>
    <xf numFmtId="41" fontId="0" fillId="0" borderId="35" xfId="1" applyNumberFormat="1" applyFont="1" applyBorder="1"/>
    <xf numFmtId="164" fontId="0" fillId="3" borderId="7" xfId="1" applyNumberFormat="1" applyFont="1" applyFill="1" applyBorder="1"/>
    <xf numFmtId="41" fontId="0" fillId="0" borderId="36" xfId="1" applyNumberFormat="1" applyFont="1" applyBorder="1"/>
    <xf numFmtId="0" fontId="0" fillId="3" borderId="44" xfId="0" applyFill="1" applyBorder="1"/>
    <xf numFmtId="164" fontId="0" fillId="3" borderId="6" xfId="1" applyNumberFormat="1" applyFont="1" applyFill="1" applyBorder="1"/>
    <xf numFmtId="178" fontId="2" fillId="2" borderId="27" xfId="0" applyNumberFormat="1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6" fontId="2" fillId="2" borderId="27" xfId="0" applyNumberFormat="1" applyFont="1" applyFill="1" applyBorder="1" applyAlignment="1">
      <alignment horizontal="right"/>
    </xf>
    <xf numFmtId="42" fontId="5" fillId="0" borderId="24" xfId="1" applyNumberFormat="1" applyFont="1" applyBorder="1"/>
    <xf numFmtId="42" fontId="5" fillId="0" borderId="22" xfId="1" applyNumberFormat="1" applyFont="1" applyBorder="1"/>
    <xf numFmtId="0" fontId="0" fillId="3" borderId="15" xfId="0" applyFill="1" applyBorder="1" applyAlignment="1">
      <alignment horizontal="center"/>
    </xf>
    <xf numFmtId="42" fontId="5" fillId="0" borderId="2" xfId="1" applyNumberFormat="1" applyFont="1" applyBorder="1"/>
    <xf numFmtId="0" fontId="2" fillId="0" borderId="3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19" fillId="0" borderId="3" xfId="1" applyNumberFormat="1" applyFont="1" applyBorder="1" applyAlignment="1">
      <alignment horizontal="center"/>
    </xf>
    <xf numFmtId="164" fontId="19" fillId="3" borderId="10" xfId="1" applyNumberFormat="1" applyFont="1" applyFill="1" applyBorder="1" applyAlignment="1">
      <alignment horizontal="center"/>
    </xf>
    <xf numFmtId="0" fontId="19" fillId="0" borderId="3" xfId="1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2" xfId="0" applyFont="1" applyBorder="1"/>
    <xf numFmtId="0" fontId="2" fillId="0" borderId="22" xfId="0" applyFont="1" applyBorder="1" applyAlignment="1">
      <alignment horizontal="center"/>
    </xf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15" xfId="1" applyNumberFormat="1" applyFont="1" applyBorder="1" applyAlignment="1">
      <alignment horizontal="center"/>
    </xf>
    <xf numFmtId="164" fontId="19" fillId="0" borderId="15" xfId="1" applyNumberFormat="1" applyFont="1" applyBorder="1" applyAlignment="1">
      <alignment horizontal="center"/>
    </xf>
    <xf numFmtId="164" fontId="19" fillId="3" borderId="23" xfId="1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42" fontId="5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657225</xdr:colOff>
          <xdr:row>0</xdr:row>
          <xdr:rowOff>57150</xdr:rowOff>
        </xdr:from>
        <xdr:to>
          <xdr:col>0</xdr:col>
          <xdr:colOff>1800225</xdr:colOff>
          <xdr:row>0</xdr:row>
          <xdr:rowOff>457200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1800DE7-BC0F-A597-028B-A16CE9280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</a:t>
              </a: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</a:t>
              </a: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 Reports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58</xdr:row>
      <xdr:rowOff>28575</xdr:rowOff>
    </xdr:from>
    <xdr:to>
      <xdr:col>17</xdr:col>
      <xdr:colOff>0</xdr:colOff>
      <xdr:row>58</xdr:row>
      <xdr:rowOff>28575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D4AF5F87-C5C5-9495-B82B-8ED5450405A3}"/>
            </a:ext>
          </a:extLst>
        </xdr:cNvPr>
        <xdr:cNvSpPr>
          <a:spLocks noChangeShapeType="1"/>
        </xdr:cNvSpPr>
      </xdr:nvSpPr>
      <xdr:spPr bwMode="auto">
        <a:xfrm flipH="1">
          <a:off x="28575" y="5667375"/>
          <a:ext cx="7010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57</xdr:row>
      <xdr:rowOff>142875</xdr:rowOff>
    </xdr:from>
    <xdr:ext cx="2754216" cy="170560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3E467844-7B1C-61E4-E979-3658C53A73A5}"/>
            </a:ext>
          </a:extLst>
        </xdr:cNvPr>
        <xdr:cNvSpPr txBox="1">
          <a:spLocks noChangeArrowheads="1"/>
        </xdr:cNvSpPr>
      </xdr:nvSpPr>
      <xdr:spPr bwMode="auto">
        <a:xfrm>
          <a:off x="4038600" y="8973110"/>
          <a:ext cx="2754216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  FORMULA FOR COLUMNS "G" &amp; "I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75"/>
  <sheetViews>
    <sheetView showGridLines="0" workbookViewId="0">
      <selection activeCell="B32" sqref="B32"/>
    </sheetView>
  </sheetViews>
  <sheetFormatPr defaultRowHeight="12.75" x14ac:dyDescent="0.2"/>
  <cols>
    <col min="1" max="1" width="9.42578125" customWidth="1"/>
    <col min="2" max="2" width="37.140625" customWidth="1"/>
    <col min="3" max="3" width="2" hidden="1" customWidth="1"/>
    <col min="4" max="4" width="11" style="71" customWidth="1"/>
    <col min="5" max="5" width="11.28515625" style="217" bestFit="1" customWidth="1"/>
  </cols>
  <sheetData>
    <row r="1" spans="1:5" ht="15.75" x14ac:dyDescent="0.25">
      <c r="A1" s="219" t="s">
        <v>174</v>
      </c>
      <c r="B1" s="120"/>
      <c r="C1" s="120"/>
      <c r="D1" s="181"/>
      <c r="E1" s="218"/>
    </row>
    <row r="2" spans="1:5" ht="15.75" x14ac:dyDescent="0.25">
      <c r="A2" s="219" t="s">
        <v>150</v>
      </c>
      <c r="B2" s="120"/>
      <c r="C2" s="120"/>
      <c r="D2" s="181"/>
      <c r="E2" s="218"/>
    </row>
    <row r="3" spans="1:5" ht="15.75" x14ac:dyDescent="0.25">
      <c r="A3" s="219" t="s">
        <v>175</v>
      </c>
      <c r="B3" s="120"/>
      <c r="C3" s="120"/>
      <c r="D3" s="181"/>
      <c r="E3" s="218"/>
    </row>
    <row r="4" spans="1:5" ht="15.75" x14ac:dyDescent="0.25">
      <c r="A4" s="219" t="s">
        <v>176</v>
      </c>
      <c r="B4" s="120"/>
      <c r="C4" s="120"/>
      <c r="D4" s="181"/>
      <c r="E4" s="218"/>
    </row>
    <row r="5" spans="1:5" x14ac:dyDescent="0.2">
      <c r="A5" s="222"/>
      <c r="B5" s="221"/>
      <c r="C5" s="221"/>
      <c r="D5" s="181"/>
      <c r="E5" s="218"/>
    </row>
    <row r="8" spans="1:5" s="11" customFormat="1" hidden="1" x14ac:dyDescent="0.2">
      <c r="A8" s="11" t="s">
        <v>177</v>
      </c>
      <c r="D8" s="176"/>
      <c r="E8" s="180">
        <v>7681173</v>
      </c>
    </row>
    <row r="9" spans="1:5" hidden="1" x14ac:dyDescent="0.2"/>
    <row r="10" spans="1:5" hidden="1" x14ac:dyDescent="0.2">
      <c r="B10" t="s">
        <v>179</v>
      </c>
      <c r="D10" s="71">
        <v>-214398</v>
      </c>
    </row>
    <row r="11" spans="1:5" hidden="1" x14ac:dyDescent="0.2">
      <c r="B11" t="s">
        <v>186</v>
      </c>
      <c r="D11" s="71">
        <f>102620-151050</f>
        <v>-48430</v>
      </c>
    </row>
    <row r="12" spans="1:5" hidden="1" x14ac:dyDescent="0.2">
      <c r="B12" t="s">
        <v>187</v>
      </c>
      <c r="D12" s="71">
        <v>350057</v>
      </c>
    </row>
    <row r="13" spans="1:5" hidden="1" x14ac:dyDescent="0.2">
      <c r="B13" t="s">
        <v>185</v>
      </c>
      <c r="D13" s="71">
        <v>313877</v>
      </c>
    </row>
    <row r="14" spans="1:5" hidden="1" x14ac:dyDescent="0.2">
      <c r="B14" t="s">
        <v>181</v>
      </c>
      <c r="D14" s="71">
        <f>7953292-8082279</f>
        <v>-128987</v>
      </c>
    </row>
    <row r="15" spans="1:5" hidden="1" x14ac:dyDescent="0.2">
      <c r="B15" s="4" t="s">
        <v>183</v>
      </c>
      <c r="C15" s="4"/>
      <c r="D15" s="220">
        <f>SUM(D10:D14)</f>
        <v>272119</v>
      </c>
    </row>
    <row r="16" spans="1:5" hidden="1" x14ac:dyDescent="0.2"/>
    <row r="17" spans="1:5" s="11" customFormat="1" hidden="1" x14ac:dyDescent="0.2">
      <c r="A17" s="11" t="s">
        <v>178</v>
      </c>
      <c r="D17" s="176"/>
      <c r="E17" s="180">
        <f>E8+D15</f>
        <v>7953292</v>
      </c>
    </row>
    <row r="18" spans="1:5" hidden="1" x14ac:dyDescent="0.2"/>
    <row r="19" spans="1:5" hidden="1" x14ac:dyDescent="0.2"/>
    <row r="20" spans="1:5" hidden="1" x14ac:dyDescent="0.2">
      <c r="B20" t="s">
        <v>179</v>
      </c>
      <c r="D20" s="71">
        <v>315558</v>
      </c>
    </row>
    <row r="21" spans="1:5" hidden="1" x14ac:dyDescent="0.2">
      <c r="B21" t="s">
        <v>186</v>
      </c>
      <c r="D21" s="71">
        <v>157050</v>
      </c>
    </row>
    <row r="22" spans="1:5" hidden="1" x14ac:dyDescent="0.2">
      <c r="B22" t="s">
        <v>187</v>
      </c>
      <c r="D22" s="71">
        <v>219979</v>
      </c>
    </row>
    <row r="23" spans="1:5" hidden="1" x14ac:dyDescent="0.2">
      <c r="B23" t="s">
        <v>180</v>
      </c>
      <c r="D23" s="71">
        <v>33787</v>
      </c>
    </row>
    <row r="24" spans="1:5" hidden="1" x14ac:dyDescent="0.2">
      <c r="B24" t="s">
        <v>188</v>
      </c>
      <c r="D24" s="71">
        <v>43803</v>
      </c>
    </row>
    <row r="25" spans="1:5" hidden="1" x14ac:dyDescent="0.2">
      <c r="B25" t="s">
        <v>181</v>
      </c>
      <c r="D25" s="71">
        <f>808155-770177</f>
        <v>37978</v>
      </c>
    </row>
    <row r="26" spans="1:5" hidden="1" x14ac:dyDescent="0.2"/>
    <row r="27" spans="1:5" hidden="1" x14ac:dyDescent="0.2">
      <c r="B27" s="4" t="s">
        <v>184</v>
      </c>
      <c r="C27" s="4"/>
      <c r="D27" s="220">
        <f>SUM(D20:D25)</f>
        <v>808155</v>
      </c>
    </row>
    <row r="28" spans="1:5" hidden="1" x14ac:dyDescent="0.2"/>
    <row r="29" spans="1:5" s="11" customFormat="1" hidden="1" x14ac:dyDescent="0.2">
      <c r="A29" s="11" t="s">
        <v>182</v>
      </c>
      <c r="D29" s="176"/>
      <c r="E29" s="180">
        <f>E17+D27</f>
        <v>8761447</v>
      </c>
    </row>
    <row r="35" spans="1:5" x14ac:dyDescent="0.2">
      <c r="A35" s="11" t="s">
        <v>177</v>
      </c>
      <c r="B35" s="11"/>
      <c r="C35" s="11"/>
      <c r="D35" s="176"/>
      <c r="E35" s="180">
        <v>7681173</v>
      </c>
    </row>
    <row r="37" spans="1:5" x14ac:dyDescent="0.2">
      <c r="B37" t="s">
        <v>187</v>
      </c>
      <c r="D37" s="71">
        <f>238000-620000+952036</f>
        <v>570036</v>
      </c>
    </row>
    <row r="38" spans="1:5" x14ac:dyDescent="0.2">
      <c r="B38" t="s">
        <v>192</v>
      </c>
      <c r="D38" s="71">
        <f>313877+43803</f>
        <v>357680</v>
      </c>
    </row>
    <row r="39" spans="1:5" hidden="1" x14ac:dyDescent="0.2">
      <c r="D39" s="71">
        <v>0</v>
      </c>
    </row>
    <row r="40" spans="1:5" hidden="1" x14ac:dyDescent="0.2">
      <c r="B40" t="s">
        <v>181</v>
      </c>
      <c r="D40" s="71">
        <v>0</v>
      </c>
    </row>
    <row r="41" spans="1:5" ht="5.25" customHeight="1" x14ac:dyDescent="0.2">
      <c r="D41" s="179"/>
    </row>
    <row r="42" spans="1:5" x14ac:dyDescent="0.2">
      <c r="D42" s="71">
        <f>SUM(D37:D41)</f>
        <v>927716</v>
      </c>
    </row>
    <row r="44" spans="1:5" x14ac:dyDescent="0.2">
      <c r="A44" s="11" t="s">
        <v>182</v>
      </c>
      <c r="E44" s="180">
        <f>E35+D42</f>
        <v>8608889</v>
      </c>
    </row>
    <row r="52" spans="1:5" ht="15.75" x14ac:dyDescent="0.25">
      <c r="A52" s="219" t="s">
        <v>174</v>
      </c>
      <c r="B52" s="120"/>
      <c r="C52" s="120"/>
      <c r="D52" s="181"/>
      <c r="E52" s="218"/>
    </row>
    <row r="53" spans="1:5" ht="15.75" x14ac:dyDescent="0.25">
      <c r="A53" s="219" t="s">
        <v>150</v>
      </c>
      <c r="B53" s="120"/>
      <c r="C53" s="120"/>
      <c r="D53" s="181"/>
      <c r="E53" s="218"/>
    </row>
    <row r="54" spans="1:5" ht="15.75" x14ac:dyDescent="0.25">
      <c r="A54" s="219" t="s">
        <v>175</v>
      </c>
      <c r="B54" s="120"/>
      <c r="C54" s="120"/>
      <c r="D54" s="181"/>
      <c r="E54" s="218"/>
    </row>
    <row r="55" spans="1:5" ht="15.75" x14ac:dyDescent="0.25">
      <c r="A55" s="219" t="s">
        <v>191</v>
      </c>
      <c r="B55" s="120"/>
      <c r="C55" s="120"/>
      <c r="D55" s="181"/>
      <c r="E55" s="218"/>
    </row>
    <row r="56" spans="1:5" x14ac:dyDescent="0.2">
      <c r="A56" s="222"/>
      <c r="B56" s="221"/>
      <c r="C56" s="221"/>
      <c r="D56" s="181"/>
      <c r="E56" s="218"/>
    </row>
    <row r="64" spans="1:5" x14ac:dyDescent="0.2">
      <c r="A64" s="11" t="s">
        <v>177</v>
      </c>
      <c r="B64" s="11"/>
      <c r="C64" s="11"/>
      <c r="D64" s="176"/>
      <c r="E64" s="180">
        <v>6342203</v>
      </c>
    </row>
    <row r="66" spans="1:5" x14ac:dyDescent="0.2">
      <c r="B66" t="s">
        <v>187</v>
      </c>
      <c r="D66" s="71">
        <f>238000-620000+952036</f>
        <v>570036</v>
      </c>
    </row>
    <row r="67" spans="1:5" x14ac:dyDescent="0.2">
      <c r="B67" t="s">
        <v>189</v>
      </c>
      <c r="D67" s="71">
        <v>-374360</v>
      </c>
    </row>
    <row r="68" spans="1:5" x14ac:dyDescent="0.2">
      <c r="B68" t="s">
        <v>190</v>
      </c>
      <c r="D68" s="71">
        <f>68341+8302+3287</f>
        <v>79930</v>
      </c>
    </row>
    <row r="69" spans="1:5" x14ac:dyDescent="0.2">
      <c r="B69" t="s">
        <v>192</v>
      </c>
      <c r="D69" s="71">
        <f>313877+43803</f>
        <v>357680</v>
      </c>
    </row>
    <row r="70" spans="1:5" hidden="1" x14ac:dyDescent="0.2">
      <c r="D70" s="71">
        <v>0</v>
      </c>
    </row>
    <row r="71" spans="1:5" hidden="1" x14ac:dyDescent="0.2">
      <c r="B71" t="s">
        <v>181</v>
      </c>
      <c r="D71" s="71">
        <v>0</v>
      </c>
    </row>
    <row r="72" spans="1:5" ht="5.25" customHeight="1" x14ac:dyDescent="0.2">
      <c r="D72" s="179"/>
    </row>
    <row r="73" spans="1:5" x14ac:dyDescent="0.2">
      <c r="D73" s="71">
        <f>SUM(D66:D72)</f>
        <v>633286</v>
      </c>
    </row>
    <row r="75" spans="1:5" x14ac:dyDescent="0.2">
      <c r="A75" s="11" t="s">
        <v>182</v>
      </c>
      <c r="E75" s="180">
        <f>E64+D73</f>
        <v>6975489</v>
      </c>
    </row>
  </sheetData>
  <printOptions horizontalCentered="1"/>
  <pageMargins left="0.2" right="0.21" top="1" bottom="1" header="0.5" footer="0.5"/>
  <pageSetup orientation="portrait" r:id="rId1"/>
  <headerFooter alignWithMargins="0"/>
  <rowBreaks count="1" manualBreakCount="1">
    <brk id="5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88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9.7109375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8.7109375" bestFit="1" customWidth="1"/>
    <col min="8" max="8" width="0.85546875" customWidth="1"/>
    <col min="9" max="9" width="9" bestFit="1" customWidth="1"/>
    <col min="10" max="10" width="9.5703125" customWidth="1"/>
    <col min="11" max="22" width="8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9.140625" style="7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111693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">
      <c r="B6" s="3" t="s">
        <v>232</v>
      </c>
      <c r="C6" s="304">
        <v>162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v>2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2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269064</v>
      </c>
      <c r="F14" s="281"/>
      <c r="G14" s="21">
        <v>3924</v>
      </c>
      <c r="H14" s="33"/>
      <c r="I14" s="21">
        <v>272988</v>
      </c>
      <c r="J14" s="57"/>
      <c r="K14" s="263">
        <v>23076</v>
      </c>
      <c r="L14" s="263">
        <v>23076</v>
      </c>
      <c r="M14" s="263">
        <v>23076</v>
      </c>
      <c r="N14" s="263">
        <v>23076</v>
      </c>
      <c r="O14" s="263">
        <v>23076</v>
      </c>
      <c r="P14" s="263">
        <v>23076</v>
      </c>
      <c r="Q14" s="263">
        <v>23076</v>
      </c>
      <c r="R14" s="263">
        <v>23076</v>
      </c>
      <c r="S14" s="263">
        <v>23076</v>
      </c>
      <c r="T14" s="263">
        <v>23076</v>
      </c>
      <c r="U14" s="263">
        <v>23076</v>
      </c>
      <c r="V14" s="263">
        <v>23076</v>
      </c>
      <c r="W14" s="21">
        <f>SUM(K14:V14)</f>
        <v>276912</v>
      </c>
      <c r="X14" s="1"/>
      <c r="Y14" s="263">
        <f t="shared" ref="Y14:Y21" si="0">W14-E14</f>
        <v>7848</v>
      </c>
      <c r="Z14" s="264"/>
      <c r="AA14" s="263">
        <f t="shared" ref="AA14:AA39" si="1">W14-I14</f>
        <v>3924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6000</v>
      </c>
      <c r="F15" s="281"/>
      <c r="G15" s="21">
        <v>912</v>
      </c>
      <c r="H15" s="33"/>
      <c r="I15" s="21">
        <v>6912</v>
      </c>
      <c r="J15" s="57"/>
      <c r="K15" s="263">
        <v>500</v>
      </c>
      <c r="L15" s="21">
        <v>500</v>
      </c>
      <c r="M15" s="21">
        <v>500</v>
      </c>
      <c r="N15" s="21">
        <v>500</v>
      </c>
      <c r="O15" s="21">
        <v>500</v>
      </c>
      <c r="P15" s="21">
        <v>500</v>
      </c>
      <c r="Q15" s="21">
        <v>500</v>
      </c>
      <c r="R15" s="21">
        <v>500</v>
      </c>
      <c r="S15" s="21">
        <v>500</v>
      </c>
      <c r="T15" s="21">
        <v>500</v>
      </c>
      <c r="U15" s="21">
        <v>500</v>
      </c>
      <c r="V15" s="21">
        <v>500</v>
      </c>
      <c r="W15" s="21">
        <f t="shared" ref="W15:W45" si="2">SUM(K15:V15)</f>
        <v>6000</v>
      </c>
      <c r="X15" s="1"/>
      <c r="Y15" s="21">
        <f t="shared" si="0"/>
        <v>0</v>
      </c>
      <c r="Z15" s="262"/>
      <c r="AA15" s="21">
        <f t="shared" si="1"/>
        <v>-912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3960</v>
      </c>
      <c r="F16" s="281"/>
      <c r="G16" s="21">
        <v>5184</v>
      </c>
      <c r="H16" s="33"/>
      <c r="I16" s="21">
        <v>9144</v>
      </c>
      <c r="J16" s="57"/>
      <c r="K16" s="21">
        <v>330</v>
      </c>
      <c r="L16" s="21">
        <v>330</v>
      </c>
      <c r="M16" s="21">
        <v>330</v>
      </c>
      <c r="N16" s="21">
        <v>330</v>
      </c>
      <c r="O16" s="21">
        <v>330</v>
      </c>
      <c r="P16" s="21">
        <v>330</v>
      </c>
      <c r="Q16" s="21">
        <v>330</v>
      </c>
      <c r="R16" s="21">
        <v>330</v>
      </c>
      <c r="S16" s="21">
        <v>330</v>
      </c>
      <c r="T16" s="21">
        <v>330</v>
      </c>
      <c r="U16" s="21">
        <v>330</v>
      </c>
      <c r="V16" s="21">
        <v>330</v>
      </c>
      <c r="W16" s="21">
        <f t="shared" si="2"/>
        <v>3960</v>
      </c>
      <c r="X16" s="1"/>
      <c r="Y16" s="21">
        <f t="shared" si="0"/>
        <v>0</v>
      </c>
      <c r="Z16" s="262"/>
      <c r="AA16" s="21">
        <f t="shared" si="1"/>
        <v>-5184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0</v>
      </c>
      <c r="F17" s="281"/>
      <c r="G17" s="21"/>
      <c r="H17" s="33"/>
      <c r="I17" s="21">
        <v>0</v>
      </c>
      <c r="J17" s="57"/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f t="shared" si="2"/>
        <v>0</v>
      </c>
      <c r="X17" s="1"/>
      <c r="Y17" s="21">
        <f t="shared" si="0"/>
        <v>0</v>
      </c>
      <c r="Z17" s="262"/>
      <c r="AA17" s="21">
        <f t="shared" si="1"/>
        <v>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0</v>
      </c>
      <c r="F18" s="281"/>
      <c r="G18" s="21"/>
      <c r="H18" s="33"/>
      <c r="I18" s="21">
        <v>0</v>
      </c>
      <c r="J18" s="57"/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f t="shared" si="2"/>
        <v>0</v>
      </c>
      <c r="X18" s="1"/>
      <c r="Y18" s="21">
        <f t="shared" si="0"/>
        <v>0</v>
      </c>
      <c r="Z18" s="262"/>
      <c r="AA18" s="21">
        <f t="shared" si="1"/>
        <v>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2400</v>
      </c>
      <c r="F19" s="281"/>
      <c r="G19" s="21">
        <v>-240</v>
      </c>
      <c r="H19" s="33"/>
      <c r="I19" s="21">
        <v>2160</v>
      </c>
      <c r="J19" s="57"/>
      <c r="K19" s="21">
        <v>200</v>
      </c>
      <c r="L19" s="21">
        <v>200</v>
      </c>
      <c r="M19" s="21">
        <v>200</v>
      </c>
      <c r="N19" s="21">
        <v>200</v>
      </c>
      <c r="O19" s="21">
        <v>200</v>
      </c>
      <c r="P19" s="21">
        <v>200</v>
      </c>
      <c r="Q19" s="21">
        <v>200</v>
      </c>
      <c r="R19" s="21">
        <v>200</v>
      </c>
      <c r="S19" s="21">
        <v>200</v>
      </c>
      <c r="T19" s="21">
        <v>200</v>
      </c>
      <c r="U19" s="21">
        <v>200</v>
      </c>
      <c r="V19" s="21">
        <v>200</v>
      </c>
      <c r="W19" s="21">
        <f t="shared" si="2"/>
        <v>2400</v>
      </c>
      <c r="X19" s="1"/>
      <c r="Y19" s="21">
        <f t="shared" si="0"/>
        <v>0</v>
      </c>
      <c r="Z19" s="262"/>
      <c r="AA19" s="21">
        <f t="shared" si="1"/>
        <v>240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6000</v>
      </c>
      <c r="F26" s="281"/>
      <c r="G26" s="21">
        <v>-912</v>
      </c>
      <c r="H26" s="33"/>
      <c r="I26" s="21">
        <v>5088</v>
      </c>
      <c r="J26" s="57"/>
      <c r="K26" s="21">
        <v>500</v>
      </c>
      <c r="L26" s="21">
        <v>500</v>
      </c>
      <c r="M26" s="21">
        <v>500</v>
      </c>
      <c r="N26" s="21">
        <v>500</v>
      </c>
      <c r="O26" s="21">
        <v>500</v>
      </c>
      <c r="P26" s="21">
        <v>500</v>
      </c>
      <c r="Q26" s="21">
        <v>500</v>
      </c>
      <c r="R26" s="21">
        <v>500</v>
      </c>
      <c r="S26" s="21">
        <v>500</v>
      </c>
      <c r="T26" s="21">
        <v>500</v>
      </c>
      <c r="U26" s="21">
        <v>500</v>
      </c>
      <c r="V26" s="21">
        <v>500</v>
      </c>
      <c r="W26" s="21">
        <f t="shared" si="2"/>
        <v>6000</v>
      </c>
      <c r="X26" s="1"/>
      <c r="Y26" s="21">
        <f t="shared" si="3"/>
        <v>0</v>
      </c>
      <c r="Z26" s="262"/>
      <c r="AA26" s="21">
        <f t="shared" si="1"/>
        <v>912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1284</v>
      </c>
      <c r="F27" s="281"/>
      <c r="G27" s="21">
        <v>-204</v>
      </c>
      <c r="H27" s="33"/>
      <c r="I27" s="21">
        <v>1080</v>
      </c>
      <c r="J27" s="57"/>
      <c r="K27" s="21">
        <v>107</v>
      </c>
      <c r="L27" s="21">
        <v>107</v>
      </c>
      <c r="M27" s="21">
        <v>107</v>
      </c>
      <c r="N27" s="21">
        <v>107</v>
      </c>
      <c r="O27" s="21">
        <v>107</v>
      </c>
      <c r="P27" s="21">
        <v>107</v>
      </c>
      <c r="Q27" s="21">
        <v>107</v>
      </c>
      <c r="R27" s="21">
        <v>107</v>
      </c>
      <c r="S27" s="21">
        <v>107</v>
      </c>
      <c r="T27" s="21">
        <v>107</v>
      </c>
      <c r="U27" s="21">
        <v>107</v>
      </c>
      <c r="V27" s="21">
        <v>107</v>
      </c>
      <c r="W27" s="21">
        <f t="shared" si="2"/>
        <v>1284</v>
      </c>
      <c r="X27" s="1"/>
      <c r="Y27" s="21">
        <f t="shared" si="3"/>
        <v>0</v>
      </c>
      <c r="Z27" s="262"/>
      <c r="AA27" s="21">
        <f t="shared" si="1"/>
        <v>204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0</v>
      </c>
      <c r="F28" s="281"/>
      <c r="G28" s="21">
        <v>17040</v>
      </c>
      <c r="H28" s="33"/>
      <c r="I28" s="21">
        <v>17040</v>
      </c>
      <c r="J28" s="57"/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 t="s">
        <v>238</v>
      </c>
      <c r="W28" s="21">
        <f t="shared" si="2"/>
        <v>0</v>
      </c>
      <c r="X28" s="1"/>
      <c r="Y28" s="21">
        <f t="shared" si="3"/>
        <v>0</v>
      </c>
      <c r="Z28" s="262"/>
      <c r="AA28" s="21">
        <f t="shared" si="1"/>
        <v>-17040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>
        <v>2424</v>
      </c>
      <c r="H30" s="33"/>
      <c r="I30" s="21">
        <v>2424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-2424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>
        <v>3180</v>
      </c>
      <c r="H31" s="33"/>
      <c r="I31" s="21">
        <v>3180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-3180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1200</v>
      </c>
      <c r="F32" s="281"/>
      <c r="G32" s="21">
        <v>-1200</v>
      </c>
      <c r="H32" s="33"/>
      <c r="I32" s="21">
        <v>0</v>
      </c>
      <c r="J32" s="57"/>
      <c r="K32" s="21">
        <v>100</v>
      </c>
      <c r="L32" s="21">
        <v>100</v>
      </c>
      <c r="M32" s="21">
        <v>100</v>
      </c>
      <c r="N32" s="21">
        <v>100</v>
      </c>
      <c r="O32" s="21">
        <v>100</v>
      </c>
      <c r="P32" s="21">
        <v>100</v>
      </c>
      <c r="Q32" s="21">
        <v>100</v>
      </c>
      <c r="R32" s="21">
        <v>100</v>
      </c>
      <c r="S32" s="21">
        <v>100</v>
      </c>
      <c r="T32" s="21">
        <v>100</v>
      </c>
      <c r="U32" s="21">
        <v>100</v>
      </c>
      <c r="V32" s="21">
        <v>100</v>
      </c>
      <c r="W32" s="21">
        <f t="shared" si="2"/>
        <v>1200</v>
      </c>
      <c r="X32" s="1"/>
      <c r="Y32" s="21">
        <f t="shared" si="3"/>
        <v>0</v>
      </c>
      <c r="Z32" s="262"/>
      <c r="AA32" s="21">
        <f t="shared" si="1"/>
        <v>1200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289908</v>
      </c>
      <c r="F40" s="282"/>
      <c r="G40" s="23">
        <v>30108</v>
      </c>
      <c r="H40" s="63"/>
      <c r="I40" s="23">
        <v>320016</v>
      </c>
      <c r="J40" s="58"/>
      <c r="K40" s="266">
        <v>24813</v>
      </c>
      <c r="L40" s="266">
        <v>24813</v>
      </c>
      <c r="M40" s="266">
        <v>24813</v>
      </c>
      <c r="N40" s="266">
        <v>24813</v>
      </c>
      <c r="O40" s="266">
        <v>24813</v>
      </c>
      <c r="P40" s="266">
        <v>24813</v>
      </c>
      <c r="Q40" s="266">
        <v>24813</v>
      </c>
      <c r="R40" s="266">
        <v>24813</v>
      </c>
      <c r="S40" s="266">
        <v>24813</v>
      </c>
      <c r="T40" s="266">
        <v>24813</v>
      </c>
      <c r="U40" s="266">
        <v>24813</v>
      </c>
      <c r="V40" s="266">
        <v>24813</v>
      </c>
      <c r="W40" s="266">
        <f>SUM(W14:W39)</f>
        <v>297756</v>
      </c>
      <c r="X40" s="265"/>
      <c r="Y40" s="266">
        <f>SUM(Y14:Y39)</f>
        <v>7848</v>
      </c>
      <c r="Z40" s="267"/>
      <c r="AA40" s="266">
        <f>SUM(AA14:AA39)</f>
        <v>-22260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27761</v>
      </c>
      <c r="F41" s="281"/>
      <c r="G41" s="21"/>
      <c r="H41" s="33"/>
      <c r="I41" s="21">
        <v>27761</v>
      </c>
      <c r="J41" s="57"/>
      <c r="K41" s="263">
        <v>2391</v>
      </c>
      <c r="L41" s="263">
        <v>2390.9166666666665</v>
      </c>
      <c r="M41" s="263">
        <v>2390.9166666666665</v>
      </c>
      <c r="N41" s="263">
        <v>2390.9166666666665</v>
      </c>
      <c r="O41" s="263">
        <v>2390.9166666666665</v>
      </c>
      <c r="P41" s="263">
        <v>2390.9166666666665</v>
      </c>
      <c r="Q41" s="263">
        <v>2390.9166666666665</v>
      </c>
      <c r="R41" s="263">
        <v>2390.9166666666665</v>
      </c>
      <c r="S41" s="263">
        <v>2390.9166666666665</v>
      </c>
      <c r="T41" s="263">
        <v>2390.9166666666665</v>
      </c>
      <c r="U41" s="263">
        <v>2390.9166666666665</v>
      </c>
      <c r="V41" s="263">
        <v>2390.9166666666665</v>
      </c>
      <c r="W41" s="21">
        <f t="shared" si="2"/>
        <v>28691.083333333336</v>
      </c>
      <c r="X41" s="1"/>
      <c r="Y41" s="263">
        <f>W41-E41</f>
        <v>930.08333333333576</v>
      </c>
      <c r="Z41" s="264"/>
      <c r="AA41" s="263">
        <f>W41-I41</f>
        <v>930.08333333333576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16541</v>
      </c>
      <c r="F42" s="281"/>
      <c r="G42" s="22"/>
      <c r="H42" s="33"/>
      <c r="I42" s="22">
        <v>16541</v>
      </c>
      <c r="J42" s="57"/>
      <c r="K42" s="268">
        <v>1163.55</v>
      </c>
      <c r="L42" s="268">
        <v>4100.05</v>
      </c>
      <c r="M42" s="268">
        <v>1163.55</v>
      </c>
      <c r="N42" s="268">
        <v>1163.55</v>
      </c>
      <c r="O42" s="268">
        <v>1163.55</v>
      </c>
      <c r="P42" s="268">
        <v>1163.55</v>
      </c>
      <c r="Q42" s="268">
        <v>1163.55</v>
      </c>
      <c r="R42" s="268">
        <v>1163.55</v>
      </c>
      <c r="S42" s="268">
        <v>1163.55</v>
      </c>
      <c r="T42" s="268">
        <v>1163.55</v>
      </c>
      <c r="U42" s="268">
        <v>1163.55</v>
      </c>
      <c r="V42" s="268">
        <v>1163.55</v>
      </c>
      <c r="W42" s="22">
        <f t="shared" si="2"/>
        <v>16899.099999999995</v>
      </c>
      <c r="X42" s="261"/>
      <c r="Y42" s="268">
        <f>W42-E42</f>
        <v>358.09999999999491</v>
      </c>
      <c r="Z42" s="264"/>
      <c r="AA42" s="268">
        <f>W42-I42</f>
        <v>358.09999999999491</v>
      </c>
    </row>
    <row r="43" spans="1:27" x14ac:dyDescent="0.2">
      <c r="A43" s="240"/>
      <c r="B43" s="243" t="s">
        <v>17</v>
      </c>
      <c r="C43" s="244"/>
      <c r="D43" s="58"/>
      <c r="E43" s="23">
        <v>44302</v>
      </c>
      <c r="F43" s="282"/>
      <c r="G43" s="23">
        <v>0</v>
      </c>
      <c r="H43" s="63"/>
      <c r="I43" s="23">
        <v>44302</v>
      </c>
      <c r="J43" s="58"/>
      <c r="K43" s="266">
        <v>3554.55</v>
      </c>
      <c r="L43" s="266">
        <v>6490.9666666666653</v>
      </c>
      <c r="M43" s="266">
        <v>3554.4666666666662</v>
      </c>
      <c r="N43" s="266">
        <v>3554.4666666666662</v>
      </c>
      <c r="O43" s="266">
        <v>3554.4666666666662</v>
      </c>
      <c r="P43" s="266">
        <v>3554.4666666666662</v>
      </c>
      <c r="Q43" s="266">
        <v>3554.4666666666662</v>
      </c>
      <c r="R43" s="266">
        <v>3554.4666666666662</v>
      </c>
      <c r="S43" s="266">
        <v>3554.4666666666662</v>
      </c>
      <c r="T43" s="266">
        <v>3554.4666666666662</v>
      </c>
      <c r="U43" s="266">
        <v>3554.4666666666662</v>
      </c>
      <c r="V43" s="266">
        <v>3554.4666666666662</v>
      </c>
      <c r="W43" s="23">
        <f t="shared" si="2"/>
        <v>45590.183333333334</v>
      </c>
      <c r="X43" s="269"/>
      <c r="Y43" s="270">
        <f>SUM(Y41:Y42)</f>
        <v>1288.1833333333307</v>
      </c>
      <c r="Z43" s="271"/>
      <c r="AA43" s="270">
        <f>SUM(AA41:AA42)</f>
        <v>1288.1833333333307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25440</v>
      </c>
      <c r="F46" s="281"/>
      <c r="G46" s="21">
        <v>-1860</v>
      </c>
      <c r="H46" s="33"/>
      <c r="I46" s="21">
        <v>23580</v>
      </c>
      <c r="J46" s="57"/>
      <c r="K46" s="263">
        <v>1990.0150000000001</v>
      </c>
      <c r="L46" s="263">
        <v>1990.0150000000001</v>
      </c>
      <c r="M46" s="263">
        <v>1990.0150000000001</v>
      </c>
      <c r="N46" s="263">
        <v>1990.0150000000001</v>
      </c>
      <c r="O46" s="263">
        <v>1990.0150000000001</v>
      </c>
      <c r="P46" s="263">
        <v>1990.0150000000001</v>
      </c>
      <c r="Q46" s="263">
        <v>1990.0150000000001</v>
      </c>
      <c r="R46" s="263">
        <v>1990.0150000000001</v>
      </c>
      <c r="S46" s="263">
        <v>1990.0150000000001</v>
      </c>
      <c r="T46" s="263">
        <v>1990.0150000000001</v>
      </c>
      <c r="U46" s="263">
        <v>1990.0150000000001</v>
      </c>
      <c r="V46" s="263">
        <v>1990.0150000000001</v>
      </c>
      <c r="W46" s="21">
        <f>SUM(K46:V46)</f>
        <v>23880.179999999997</v>
      </c>
      <c r="X46" s="1"/>
      <c r="Y46" s="263">
        <f>W46-E46</f>
        <v>-1559.8200000000033</v>
      </c>
      <c r="Z46" s="264"/>
      <c r="AA46" s="263">
        <f>W46-I46</f>
        <v>300.17999999999665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4266</v>
      </c>
      <c r="F47" s="281"/>
      <c r="G47" s="22">
        <v>-31</v>
      </c>
      <c r="H47" s="33"/>
      <c r="I47" s="21">
        <v>4235</v>
      </c>
      <c r="J47" s="57"/>
      <c r="K47" s="268">
        <v>352.95</v>
      </c>
      <c r="L47" s="268">
        <v>352.95</v>
      </c>
      <c r="M47" s="268">
        <v>352.95</v>
      </c>
      <c r="N47" s="268">
        <v>352.95</v>
      </c>
      <c r="O47" s="268">
        <v>352.95</v>
      </c>
      <c r="P47" s="268">
        <v>352.95</v>
      </c>
      <c r="Q47" s="268">
        <v>352.95</v>
      </c>
      <c r="R47" s="268">
        <v>352.95</v>
      </c>
      <c r="S47" s="268">
        <v>352.95</v>
      </c>
      <c r="T47" s="268">
        <v>352.95</v>
      </c>
      <c r="U47" s="268">
        <v>352.95</v>
      </c>
      <c r="V47" s="268">
        <v>352.95</v>
      </c>
      <c r="W47" s="22">
        <f>SUM(K47:V47)</f>
        <v>4235.3999999999987</v>
      </c>
      <c r="X47" s="1"/>
      <c r="Y47" s="268">
        <f>W47-E47</f>
        <v>-30.600000000001273</v>
      </c>
      <c r="Z47" s="264"/>
      <c r="AA47" s="268">
        <f>W47-I47</f>
        <v>0.39999999999872671</v>
      </c>
    </row>
    <row r="48" spans="1:27" x14ac:dyDescent="0.2">
      <c r="A48" s="240"/>
      <c r="B48" s="243" t="s">
        <v>17</v>
      </c>
      <c r="C48" s="244"/>
      <c r="D48" s="58"/>
      <c r="E48" s="24">
        <v>29706</v>
      </c>
      <c r="F48" s="282"/>
      <c r="G48" s="24">
        <v>-1891</v>
      </c>
      <c r="H48" s="63"/>
      <c r="I48" s="24">
        <v>27815</v>
      </c>
      <c r="J48" s="58"/>
      <c r="K48" s="24">
        <v>2342.9650000000001</v>
      </c>
      <c r="L48" s="24">
        <v>2342.9650000000001</v>
      </c>
      <c r="M48" s="24">
        <v>2342.9650000000001</v>
      </c>
      <c r="N48" s="24">
        <v>2342.9650000000001</v>
      </c>
      <c r="O48" s="24">
        <v>2342.9650000000001</v>
      </c>
      <c r="P48" s="24">
        <v>2342.9650000000001</v>
      </c>
      <c r="Q48" s="24">
        <v>2342.9650000000001</v>
      </c>
      <c r="R48" s="24">
        <v>2342.9650000000001</v>
      </c>
      <c r="S48" s="24">
        <v>2342.9650000000001</v>
      </c>
      <c r="T48" s="24">
        <v>2342.9650000000001</v>
      </c>
      <c r="U48" s="24">
        <v>2342.9650000000001</v>
      </c>
      <c r="V48" s="24">
        <v>2342.9650000000001</v>
      </c>
      <c r="W48" s="24">
        <f t="shared" ref="W48:W55" si="4">SUM(K48:V48)</f>
        <v>28115.58</v>
      </c>
      <c r="X48" s="265"/>
      <c r="Y48" s="24">
        <f>SUM(Y44:Y47)</f>
        <v>-1590.4200000000046</v>
      </c>
      <c r="Z48" s="267"/>
      <c r="AA48" s="24">
        <f>SUM(AA44:AA47)</f>
        <v>300.57999999999538</v>
      </c>
    </row>
    <row r="49" spans="1:31" x14ac:dyDescent="0.2">
      <c r="A49" s="245" t="s">
        <v>18</v>
      </c>
      <c r="B49" s="245"/>
      <c r="C49" s="242"/>
      <c r="D49" s="57"/>
      <c r="E49" s="24">
        <v>363916</v>
      </c>
      <c r="F49" s="282"/>
      <c r="G49" s="24">
        <v>28217</v>
      </c>
      <c r="H49" s="63"/>
      <c r="I49" s="24">
        <v>392133</v>
      </c>
      <c r="J49" s="57"/>
      <c r="K49" s="24">
        <v>30710.514999999999</v>
      </c>
      <c r="L49" s="24">
        <v>33646.931666666664</v>
      </c>
      <c r="M49" s="24">
        <v>30710.431666666667</v>
      </c>
      <c r="N49" s="24">
        <v>30710.431666666667</v>
      </c>
      <c r="O49" s="24">
        <v>30710.431666666667</v>
      </c>
      <c r="P49" s="24">
        <v>30710.431666666667</v>
      </c>
      <c r="Q49" s="24">
        <v>30710.431666666667</v>
      </c>
      <c r="R49" s="24">
        <v>30710.431666666667</v>
      </c>
      <c r="S49" s="24">
        <v>30710.431666666667</v>
      </c>
      <c r="T49" s="24">
        <v>30710.431666666667</v>
      </c>
      <c r="U49" s="24">
        <v>30710.431666666667</v>
      </c>
      <c r="V49" s="24">
        <v>30710.431666666667</v>
      </c>
      <c r="W49" s="24">
        <f t="shared" si="4"/>
        <v>371461.76333333325</v>
      </c>
      <c r="X49" s="1"/>
      <c r="Y49" s="24">
        <f>W49-E49</f>
        <v>7545.7633333332487</v>
      </c>
      <c r="Z49" s="267"/>
      <c r="AA49" s="24">
        <f>W49-I49</f>
        <v>-20671.236666666751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>
        <v>-41040</v>
      </c>
      <c r="H51" s="33"/>
      <c r="I51" s="21">
        <v>-41040</v>
      </c>
      <c r="J51" s="57"/>
      <c r="K51" s="21">
        <v>-3420</v>
      </c>
      <c r="L51" s="21">
        <v>-3420</v>
      </c>
      <c r="M51" s="21">
        <v>-3420</v>
      </c>
      <c r="N51" s="21">
        <v>-3420</v>
      </c>
      <c r="O51" s="21">
        <v>-3420</v>
      </c>
      <c r="P51" s="21">
        <v>-3420</v>
      </c>
      <c r="Q51" s="21">
        <v>-3420</v>
      </c>
      <c r="R51" s="21">
        <v>-3420</v>
      </c>
      <c r="S51" s="21">
        <v>-3420</v>
      </c>
      <c r="T51" s="21">
        <v>-3420</v>
      </c>
      <c r="U51" s="21">
        <v>-3420</v>
      </c>
      <c r="V51" s="21">
        <v>-3420</v>
      </c>
      <c r="W51" s="21">
        <f t="shared" si="4"/>
        <v>-41040</v>
      </c>
      <c r="X51" s="1"/>
      <c r="Y51" s="21">
        <f>W51-E51</f>
        <v>-41040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>
        <v>-1500</v>
      </c>
      <c r="H52" s="33"/>
      <c r="I52" s="21">
        <v>-1500</v>
      </c>
      <c r="J52" s="57"/>
      <c r="K52" s="21">
        <v>-125</v>
      </c>
      <c r="L52" s="21">
        <v>-125</v>
      </c>
      <c r="M52" s="21">
        <v>-125</v>
      </c>
      <c r="N52" s="21">
        <v>-125</v>
      </c>
      <c r="O52" s="21">
        <v>-125</v>
      </c>
      <c r="P52" s="21">
        <v>-125</v>
      </c>
      <c r="Q52" s="21">
        <v>-125</v>
      </c>
      <c r="R52" s="21">
        <v>-125</v>
      </c>
      <c r="S52" s="21">
        <v>-125</v>
      </c>
      <c r="T52" s="21">
        <v>-125</v>
      </c>
      <c r="U52" s="21">
        <v>-125</v>
      </c>
      <c r="V52" s="21">
        <v>-125</v>
      </c>
      <c r="W52" s="21">
        <f t="shared" si="4"/>
        <v>-1500</v>
      </c>
      <c r="X52" s="1"/>
      <c r="Y52" s="21">
        <f>W52-E52</f>
        <v>-1500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>
        <v>-11760</v>
      </c>
      <c r="H53" s="33"/>
      <c r="I53" s="21">
        <v>-11760</v>
      </c>
      <c r="J53" s="57"/>
      <c r="K53" s="21">
        <v>-980</v>
      </c>
      <c r="L53" s="21">
        <v>-980</v>
      </c>
      <c r="M53" s="21">
        <v>-980</v>
      </c>
      <c r="N53" s="21">
        <v>-980</v>
      </c>
      <c r="O53" s="21">
        <v>-980</v>
      </c>
      <c r="P53" s="21">
        <v>-980</v>
      </c>
      <c r="Q53" s="21">
        <v>-980</v>
      </c>
      <c r="R53" s="21">
        <v>-980</v>
      </c>
      <c r="S53" s="21">
        <v>-980</v>
      </c>
      <c r="T53" s="21">
        <v>-980</v>
      </c>
      <c r="U53" s="21">
        <v>-980</v>
      </c>
      <c r="V53" s="21">
        <v>-980</v>
      </c>
      <c r="W53" s="21">
        <f t="shared" si="4"/>
        <v>-11760</v>
      </c>
      <c r="X53" s="1"/>
      <c r="Y53" s="21">
        <f>W53-E53</f>
        <v>-11760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0</v>
      </c>
      <c r="F55" s="282"/>
      <c r="G55" s="273">
        <v>-54300</v>
      </c>
      <c r="H55" s="63"/>
      <c r="I55" s="273">
        <v>-54300</v>
      </c>
      <c r="J55" s="58"/>
      <c r="K55" s="273">
        <v>-4525</v>
      </c>
      <c r="L55" s="273">
        <v>-4525</v>
      </c>
      <c r="M55" s="273">
        <v>-4525</v>
      </c>
      <c r="N55" s="273">
        <v>-4525</v>
      </c>
      <c r="O55" s="273">
        <v>-4525</v>
      </c>
      <c r="P55" s="273">
        <v>-4525</v>
      </c>
      <c r="Q55" s="273">
        <v>-4525</v>
      </c>
      <c r="R55" s="273">
        <v>-4525</v>
      </c>
      <c r="S55" s="273">
        <v>-4525</v>
      </c>
      <c r="T55" s="273">
        <v>-4525</v>
      </c>
      <c r="U55" s="273">
        <v>-4525</v>
      </c>
      <c r="V55" s="273">
        <v>-4525</v>
      </c>
      <c r="W55" s="273">
        <f t="shared" si="4"/>
        <v>-54300</v>
      </c>
      <c r="X55" s="269"/>
      <c r="Y55" s="273">
        <f>SUM(Y51:Y54)</f>
        <v>-54300</v>
      </c>
      <c r="Z55" s="267"/>
      <c r="AA55" s="273">
        <f>W55-I55</f>
        <v>0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363916</v>
      </c>
      <c r="F56" s="283"/>
      <c r="G56" s="274">
        <v>-26083</v>
      </c>
      <c r="H56" s="284"/>
      <c r="I56" s="274">
        <v>337833</v>
      </c>
      <c r="J56" s="279"/>
      <c r="K56" s="274">
        <v>26185.514999999999</v>
      </c>
      <c r="L56" s="274">
        <v>29121.931666666664</v>
      </c>
      <c r="M56" s="274">
        <v>26185.431666666667</v>
      </c>
      <c r="N56" s="274">
        <v>26185.431666666667</v>
      </c>
      <c r="O56" s="274">
        <v>26185.431666666667</v>
      </c>
      <c r="P56" s="274">
        <v>26185.431666666667</v>
      </c>
      <c r="Q56" s="274">
        <v>26185.431666666667</v>
      </c>
      <c r="R56" s="274">
        <v>26185.431666666667</v>
      </c>
      <c r="S56" s="274">
        <v>26185.431666666667</v>
      </c>
      <c r="T56" s="274">
        <v>26185.431666666667</v>
      </c>
      <c r="U56" s="274">
        <v>26185.431666666667</v>
      </c>
      <c r="V56" s="274">
        <v>26185.431666666667</v>
      </c>
      <c r="W56" s="274">
        <f>+W49+W55</f>
        <v>317161.76333333325</v>
      </c>
      <c r="X56" s="269"/>
      <c r="Y56" s="274">
        <f>+Y49+Y55</f>
        <v>-46754.236666666751</v>
      </c>
      <c r="Z56" s="275"/>
      <c r="AA56" s="274">
        <f>+AA49+AA55</f>
        <v>-20671.236666666751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109175</v>
      </c>
      <c r="F66" s="29"/>
      <c r="G66" s="27"/>
      <c r="H66" s="80"/>
      <c r="I66" s="21">
        <v>109175</v>
      </c>
      <c r="J66" s="31">
        <v>0.3</v>
      </c>
      <c r="K66" s="21">
        <v>7855.6544999999996</v>
      </c>
      <c r="L66" s="21">
        <v>8736.579499999998</v>
      </c>
      <c r="M66" s="21">
        <v>7855.6295</v>
      </c>
      <c r="N66" s="21">
        <v>7855.6295</v>
      </c>
      <c r="O66" s="21">
        <v>7855.6295</v>
      </c>
      <c r="P66" s="21">
        <v>7855.6295</v>
      </c>
      <c r="Q66" s="21">
        <v>7855.6295</v>
      </c>
      <c r="R66" s="21">
        <v>7855.6295</v>
      </c>
      <c r="S66" s="21">
        <v>7855.6295</v>
      </c>
      <c r="T66" s="21">
        <v>7855.6295</v>
      </c>
      <c r="U66" s="21">
        <v>7855.6295</v>
      </c>
      <c r="V66" s="21">
        <v>7855.6295</v>
      </c>
      <c r="W66" s="21">
        <f t="shared" si="5"/>
        <v>95148.528999999995</v>
      </c>
      <c r="X66" s="33"/>
      <c r="Y66" s="21">
        <f t="shared" si="6"/>
        <v>-14026.471000000005</v>
      </c>
      <c r="Z66" s="33"/>
      <c r="AA66" s="21">
        <f t="shared" si="7"/>
        <v>-14026.471000000005</v>
      </c>
      <c r="AE66" s="80"/>
    </row>
    <row r="67" spans="2:31" x14ac:dyDescent="0.2">
      <c r="B67" s="249" t="s">
        <v>30</v>
      </c>
      <c r="C67" s="249">
        <v>913</v>
      </c>
      <c r="D67" s="81"/>
      <c r="E67" s="80">
        <v>109175</v>
      </c>
      <c r="F67" s="29"/>
      <c r="G67" s="27"/>
      <c r="H67" s="80"/>
      <c r="I67" s="21">
        <v>109175</v>
      </c>
      <c r="J67" s="31">
        <v>0.3</v>
      </c>
      <c r="K67" s="21">
        <v>7855.6544999999996</v>
      </c>
      <c r="L67" s="21">
        <v>8736.579499999998</v>
      </c>
      <c r="M67" s="21">
        <v>7855.6295</v>
      </c>
      <c r="N67" s="21">
        <v>7855.6295</v>
      </c>
      <c r="O67" s="21">
        <v>7855.6295</v>
      </c>
      <c r="P67" s="21">
        <v>7855.6295</v>
      </c>
      <c r="Q67" s="21">
        <v>7855.6295</v>
      </c>
      <c r="R67" s="21">
        <v>7855.6295</v>
      </c>
      <c r="S67" s="21">
        <v>7855.6295</v>
      </c>
      <c r="T67" s="21">
        <v>7855.6295</v>
      </c>
      <c r="U67" s="21">
        <v>7855.6295</v>
      </c>
      <c r="V67" s="21">
        <v>7855.6295</v>
      </c>
      <c r="W67" s="21">
        <f t="shared" si="5"/>
        <v>95148.528999999995</v>
      </c>
      <c r="X67" s="33"/>
      <c r="Y67" s="21">
        <f t="shared" si="6"/>
        <v>-14026.471000000005</v>
      </c>
      <c r="Z67" s="33"/>
      <c r="AA67" s="21">
        <f t="shared" si="7"/>
        <v>-14026.471000000005</v>
      </c>
      <c r="AE67" s="80"/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109175</v>
      </c>
      <c r="F71" s="29"/>
      <c r="G71" s="27"/>
      <c r="H71" s="80"/>
      <c r="I71" s="21">
        <v>109175</v>
      </c>
      <c r="J71" s="31">
        <v>0.3</v>
      </c>
      <c r="K71" s="21">
        <v>7855.6544999999996</v>
      </c>
      <c r="L71" s="21">
        <v>8736.579499999998</v>
      </c>
      <c r="M71" s="21">
        <v>7855.6295</v>
      </c>
      <c r="N71" s="21">
        <v>7855.6295</v>
      </c>
      <c r="O71" s="21">
        <v>7855.6295</v>
      </c>
      <c r="P71" s="21">
        <v>7855.6295</v>
      </c>
      <c r="Q71" s="21">
        <v>7855.6295</v>
      </c>
      <c r="R71" s="21">
        <v>7855.6295</v>
      </c>
      <c r="S71" s="21">
        <v>7855.6295</v>
      </c>
      <c r="T71" s="21">
        <v>7855.6295</v>
      </c>
      <c r="U71" s="21">
        <v>7855.6295</v>
      </c>
      <c r="V71" s="21">
        <v>7855.6295</v>
      </c>
      <c r="W71" s="21">
        <f t="shared" si="5"/>
        <v>95148.528999999995</v>
      </c>
      <c r="X71" s="33"/>
      <c r="Y71" s="21">
        <f t="shared" si="6"/>
        <v>-14026.471000000005</v>
      </c>
      <c r="Z71" s="33"/>
      <c r="AA71" s="21">
        <f t="shared" si="7"/>
        <v>-14026.471000000005</v>
      </c>
      <c r="AE71" s="80"/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18196</v>
      </c>
      <c r="F73" s="29"/>
      <c r="G73" s="27"/>
      <c r="H73" s="80"/>
      <c r="I73" s="21">
        <v>18196</v>
      </c>
      <c r="J73" s="31">
        <v>0.05</v>
      </c>
      <c r="K73" s="21">
        <v>1309.27575</v>
      </c>
      <c r="L73" s="21">
        <v>1456.0965833333332</v>
      </c>
      <c r="M73" s="21">
        <v>1309.2715833333334</v>
      </c>
      <c r="N73" s="21">
        <v>1309.2715833333334</v>
      </c>
      <c r="O73" s="21">
        <v>1309.2715833333334</v>
      </c>
      <c r="P73" s="21">
        <v>1309.2715833333334</v>
      </c>
      <c r="Q73" s="21">
        <v>1309.2715833333334</v>
      </c>
      <c r="R73" s="21">
        <v>1309.2715833333334</v>
      </c>
      <c r="S73" s="21">
        <v>1309.2715833333334</v>
      </c>
      <c r="T73" s="21">
        <v>1309.2715833333334</v>
      </c>
      <c r="U73" s="21">
        <v>1309.2715833333334</v>
      </c>
      <c r="V73" s="21">
        <v>1309.2715833333334</v>
      </c>
      <c r="W73" s="21">
        <f t="shared" si="5"/>
        <v>15858.088166666666</v>
      </c>
      <c r="X73" s="33"/>
      <c r="Y73" s="21">
        <f t="shared" si="6"/>
        <v>-2337.9118333333336</v>
      </c>
      <c r="Z73" s="33"/>
      <c r="AA73" s="21">
        <f t="shared" si="7"/>
        <v>-2337.9118333333336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18196</v>
      </c>
      <c r="F74" s="29"/>
      <c r="G74" s="27"/>
      <c r="H74" s="80"/>
      <c r="I74" s="21">
        <v>18196</v>
      </c>
      <c r="J74" s="31">
        <v>0.05</v>
      </c>
      <c r="K74" s="21">
        <v>1309.27575</v>
      </c>
      <c r="L74" s="21">
        <v>1456.0965833333332</v>
      </c>
      <c r="M74" s="21">
        <v>1309.2715833333334</v>
      </c>
      <c r="N74" s="21">
        <v>1309.2715833333334</v>
      </c>
      <c r="O74" s="21">
        <v>1309.2715833333334</v>
      </c>
      <c r="P74" s="21">
        <v>1309.2715833333334</v>
      </c>
      <c r="Q74" s="21">
        <v>1309.2715833333334</v>
      </c>
      <c r="R74" s="21">
        <v>1309.2715833333334</v>
      </c>
      <c r="S74" s="21">
        <v>1309.2715833333334</v>
      </c>
      <c r="T74" s="21">
        <v>1309.2715833333334</v>
      </c>
      <c r="U74" s="21">
        <v>1309.2715833333334</v>
      </c>
      <c r="V74" s="21">
        <v>1309.2715833333334</v>
      </c>
      <c r="W74" s="21">
        <f t="shared" si="5"/>
        <v>15858.088166666666</v>
      </c>
      <c r="X74" s="33"/>
      <c r="Y74" s="21">
        <f t="shared" si="6"/>
        <v>-2337.9118333333336</v>
      </c>
      <c r="Z74" s="33"/>
      <c r="AA74" s="21">
        <f t="shared" si="7"/>
        <v>-2337.9118333333336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21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363917</v>
      </c>
      <c r="F81" s="66"/>
      <c r="G81" s="37">
        <v>0</v>
      </c>
      <c r="H81" s="37"/>
      <c r="I81" s="37">
        <v>363917</v>
      </c>
      <c r="J81" s="38">
        <v>1</v>
      </c>
      <c r="K81" s="37">
        <v>26185.514999999999</v>
      </c>
      <c r="L81" s="37">
        <v>29121.931666666656</v>
      </c>
      <c r="M81" s="37">
        <v>26185.431666666671</v>
      </c>
      <c r="N81" s="37">
        <v>26185.431666666671</v>
      </c>
      <c r="O81" s="37">
        <v>26185.431666666671</v>
      </c>
      <c r="P81" s="37">
        <v>26185.431666666671</v>
      </c>
      <c r="Q81" s="37">
        <v>26185.431666666671</v>
      </c>
      <c r="R81" s="37">
        <v>26185.431666666671</v>
      </c>
      <c r="S81" s="37">
        <v>26185.431666666671</v>
      </c>
      <c r="T81" s="37">
        <v>26185.431666666671</v>
      </c>
      <c r="U81" s="37">
        <v>26185.431666666671</v>
      </c>
      <c r="V81" s="37">
        <v>26185.431666666671</v>
      </c>
      <c r="W81" s="40">
        <f>SUM(W62:W80)</f>
        <v>317161.76333333337</v>
      </c>
      <c r="X81" s="58"/>
      <c r="Y81" s="40">
        <f>SUM(Y62:Y80)</f>
        <v>-46755.236666666679</v>
      </c>
      <c r="Z81" s="63"/>
      <c r="AA81" s="40">
        <f>SUM(AA62:AA80)</f>
        <v>-46755.236666666679</v>
      </c>
      <c r="AE81" s="80"/>
    </row>
    <row r="82" spans="2:31" x14ac:dyDescent="0.2">
      <c r="B82" s="250" t="s">
        <v>49</v>
      </c>
      <c r="C82" s="251"/>
      <c r="D82" s="85"/>
      <c r="E82" s="95">
        <v>1</v>
      </c>
      <c r="F82" s="68"/>
      <c r="G82" s="64">
        <v>26083</v>
      </c>
      <c r="H82" s="64"/>
      <c r="I82" s="64">
        <v>26084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-0.99999999992724042</v>
      </c>
      <c r="Z82" s="94"/>
      <c r="AA82" s="64">
        <f>AA81-AA56</f>
        <v>-26083.999999999927</v>
      </c>
      <c r="AE82" s="80"/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89"/>
    </row>
    <row r="86" spans="2:31" x14ac:dyDescent="0.2">
      <c r="C86"/>
      <c r="D86"/>
      <c r="E86"/>
      <c r="AE86" s="190"/>
    </row>
    <row r="88" spans="2:31" x14ac:dyDescent="0.2">
      <c r="J88" s="6"/>
    </row>
  </sheetData>
  <printOptions horizontalCentered="1"/>
  <pageMargins left="0" right="0" top="0.4" bottom="0.33" header="0.34" footer="0.2"/>
  <pageSetup scale="6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88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10.5703125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9.7109375" bestFit="1" customWidth="1"/>
    <col min="8" max="8" width="0.85546875" customWidth="1"/>
    <col min="9" max="9" width="10.5703125" bestFit="1" customWidth="1"/>
    <col min="10" max="10" width="9.5703125" customWidth="1"/>
    <col min="11" max="22" width="9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9.140625" style="7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111705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">
      <c r="B6" s="3" t="s">
        <v>232</v>
      </c>
      <c r="C6" s="304">
        <v>237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v>11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11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984708</v>
      </c>
      <c r="F14" s="281"/>
      <c r="G14" s="21">
        <v>-102000</v>
      </c>
      <c r="H14" s="33"/>
      <c r="I14" s="21">
        <v>882708</v>
      </c>
      <c r="J14" s="57"/>
      <c r="K14" s="263">
        <v>79698</v>
      </c>
      <c r="L14" s="263">
        <v>79698</v>
      </c>
      <c r="M14" s="263">
        <v>79698</v>
      </c>
      <c r="N14" s="263">
        <v>79698</v>
      </c>
      <c r="O14" s="263">
        <v>79698</v>
      </c>
      <c r="P14" s="263">
        <v>79698</v>
      </c>
      <c r="Q14" s="263">
        <v>79698</v>
      </c>
      <c r="R14" s="263">
        <v>79698</v>
      </c>
      <c r="S14" s="263">
        <v>79698</v>
      </c>
      <c r="T14" s="263">
        <v>79698</v>
      </c>
      <c r="U14" s="263">
        <v>79698</v>
      </c>
      <c r="V14" s="263">
        <v>79698</v>
      </c>
      <c r="W14" s="21">
        <f>SUM(K14:V14)</f>
        <v>956376</v>
      </c>
      <c r="X14" s="1"/>
      <c r="Y14" s="263">
        <f t="shared" ref="Y14:Y21" si="0">W14-E14</f>
        <v>-28332</v>
      </c>
      <c r="Z14" s="264"/>
      <c r="AA14" s="263">
        <f t="shared" ref="AA14:AA39" si="1">W14-I14</f>
        <v>73668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23954</v>
      </c>
      <c r="F15" s="281"/>
      <c r="G15" s="21">
        <v>-18746</v>
      </c>
      <c r="H15" s="33"/>
      <c r="I15" s="21">
        <v>5208</v>
      </c>
      <c r="J15" s="57"/>
      <c r="K15" s="263">
        <v>1996.16</v>
      </c>
      <c r="L15" s="21">
        <v>1996.16</v>
      </c>
      <c r="M15" s="21">
        <v>1996.16</v>
      </c>
      <c r="N15" s="21">
        <v>1996.16</v>
      </c>
      <c r="O15" s="21">
        <v>1996.16</v>
      </c>
      <c r="P15" s="21">
        <v>1996.16</v>
      </c>
      <c r="Q15" s="21">
        <v>1996.16</v>
      </c>
      <c r="R15" s="21">
        <v>1996.16</v>
      </c>
      <c r="S15" s="21">
        <v>1996.16</v>
      </c>
      <c r="T15" s="21">
        <v>1996.16</v>
      </c>
      <c r="U15" s="21">
        <v>1996.16</v>
      </c>
      <c r="V15" s="21">
        <v>1996.16</v>
      </c>
      <c r="W15" s="21">
        <f t="shared" ref="W15:W45" si="2">SUM(K15:V15)</f>
        <v>23953.920000000002</v>
      </c>
      <c r="X15" s="1"/>
      <c r="Y15" s="21">
        <f t="shared" si="0"/>
        <v>-7.9999999998108251E-2</v>
      </c>
      <c r="Z15" s="262"/>
      <c r="AA15" s="21">
        <f t="shared" si="1"/>
        <v>18745.920000000002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21004</v>
      </c>
      <c r="F16" s="281"/>
      <c r="G16" s="21">
        <v>5396</v>
      </c>
      <c r="H16" s="33"/>
      <c r="I16" s="21">
        <v>26400</v>
      </c>
      <c r="J16" s="57"/>
      <c r="K16" s="21">
        <v>1750.3333333333333</v>
      </c>
      <c r="L16" s="21">
        <v>1750.3333333333333</v>
      </c>
      <c r="M16" s="21">
        <v>1750.3333333333333</v>
      </c>
      <c r="N16" s="21">
        <v>1750.3333333333333</v>
      </c>
      <c r="O16" s="21">
        <v>1750.3333333333333</v>
      </c>
      <c r="P16" s="21">
        <v>1750.3333333333333</v>
      </c>
      <c r="Q16" s="21">
        <v>1750.3333333333333</v>
      </c>
      <c r="R16" s="21">
        <v>1750.3333333333333</v>
      </c>
      <c r="S16" s="21">
        <v>1750.3333333333333</v>
      </c>
      <c r="T16" s="21">
        <v>1750.3333333333333</v>
      </c>
      <c r="U16" s="21">
        <v>1750.3333333333333</v>
      </c>
      <c r="V16" s="21">
        <v>1750.3333333333333</v>
      </c>
      <c r="W16" s="21">
        <f t="shared" si="2"/>
        <v>21004</v>
      </c>
      <c r="X16" s="1"/>
      <c r="Y16" s="21">
        <f t="shared" si="0"/>
        <v>0</v>
      </c>
      <c r="Z16" s="262"/>
      <c r="AA16" s="21">
        <f t="shared" si="1"/>
        <v>-5396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15900</v>
      </c>
      <c r="F17" s="281"/>
      <c r="G17" s="21">
        <v>-11700</v>
      </c>
      <c r="H17" s="33"/>
      <c r="I17" s="21">
        <v>4200</v>
      </c>
      <c r="J17" s="57"/>
      <c r="K17" s="21">
        <v>1325</v>
      </c>
      <c r="L17" s="21">
        <v>1325</v>
      </c>
      <c r="M17" s="21">
        <v>1325</v>
      </c>
      <c r="N17" s="21">
        <v>1325</v>
      </c>
      <c r="O17" s="21">
        <v>1325</v>
      </c>
      <c r="P17" s="21">
        <v>1325</v>
      </c>
      <c r="Q17" s="21">
        <v>1325</v>
      </c>
      <c r="R17" s="21">
        <v>1325</v>
      </c>
      <c r="S17" s="21">
        <v>1325</v>
      </c>
      <c r="T17" s="21">
        <v>1325</v>
      </c>
      <c r="U17" s="21">
        <v>1325</v>
      </c>
      <c r="V17" s="21">
        <v>1325</v>
      </c>
      <c r="W17" s="21">
        <f t="shared" si="2"/>
        <v>15900</v>
      </c>
      <c r="X17" s="1"/>
      <c r="Y17" s="21">
        <f t="shared" si="0"/>
        <v>0</v>
      </c>
      <c r="Z17" s="262"/>
      <c r="AA17" s="21">
        <f t="shared" si="1"/>
        <v>11700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4020</v>
      </c>
      <c r="F18" s="281"/>
      <c r="G18" s="21">
        <v>-1860</v>
      </c>
      <c r="H18" s="33"/>
      <c r="I18" s="21">
        <v>2160</v>
      </c>
      <c r="J18" s="57"/>
      <c r="K18" s="21">
        <v>335</v>
      </c>
      <c r="L18" s="21">
        <v>335</v>
      </c>
      <c r="M18" s="21">
        <v>335</v>
      </c>
      <c r="N18" s="21">
        <v>335</v>
      </c>
      <c r="O18" s="21">
        <v>335</v>
      </c>
      <c r="P18" s="21">
        <v>335</v>
      </c>
      <c r="Q18" s="21">
        <v>335</v>
      </c>
      <c r="R18" s="21">
        <v>335</v>
      </c>
      <c r="S18" s="21">
        <v>335</v>
      </c>
      <c r="T18" s="21">
        <v>335</v>
      </c>
      <c r="U18" s="21">
        <v>335</v>
      </c>
      <c r="V18" s="21">
        <v>335</v>
      </c>
      <c r="W18" s="21">
        <f t="shared" si="2"/>
        <v>4020</v>
      </c>
      <c r="X18" s="1"/>
      <c r="Y18" s="21">
        <f t="shared" si="0"/>
        <v>0</v>
      </c>
      <c r="Z18" s="262"/>
      <c r="AA18" s="21">
        <f t="shared" si="1"/>
        <v>1860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6336</v>
      </c>
      <c r="F19" s="281"/>
      <c r="G19" s="21">
        <v>-4728</v>
      </c>
      <c r="H19" s="33"/>
      <c r="I19" s="21">
        <v>1608</v>
      </c>
      <c r="J19" s="57"/>
      <c r="K19" s="21">
        <v>528</v>
      </c>
      <c r="L19" s="21">
        <v>528</v>
      </c>
      <c r="M19" s="21">
        <v>528</v>
      </c>
      <c r="N19" s="21">
        <v>528</v>
      </c>
      <c r="O19" s="21">
        <v>528</v>
      </c>
      <c r="P19" s="21">
        <v>528</v>
      </c>
      <c r="Q19" s="21">
        <v>528</v>
      </c>
      <c r="R19" s="21">
        <v>528</v>
      </c>
      <c r="S19" s="21">
        <v>528</v>
      </c>
      <c r="T19" s="21">
        <v>528</v>
      </c>
      <c r="U19" s="21">
        <v>528</v>
      </c>
      <c r="V19" s="21">
        <v>528</v>
      </c>
      <c r="W19" s="21">
        <f t="shared" si="2"/>
        <v>6336</v>
      </c>
      <c r="X19" s="1"/>
      <c r="Y19" s="21">
        <f t="shared" si="0"/>
        <v>0</v>
      </c>
      <c r="Z19" s="262"/>
      <c r="AA19" s="21">
        <f t="shared" si="1"/>
        <v>4728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>
        <v>336</v>
      </c>
      <c r="H24" s="33"/>
      <c r="I24" s="21">
        <v>336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-336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400</v>
      </c>
      <c r="F25" s="281"/>
      <c r="G25" s="21">
        <v>-400</v>
      </c>
      <c r="H25" s="33"/>
      <c r="I25" s="21">
        <v>0</v>
      </c>
      <c r="J25" s="57"/>
      <c r="K25" s="21">
        <v>33.333333333333336</v>
      </c>
      <c r="L25" s="21">
        <v>33.333333333333336</v>
      </c>
      <c r="M25" s="21">
        <v>33.333333333333336</v>
      </c>
      <c r="N25" s="21">
        <v>33.333333333333336</v>
      </c>
      <c r="O25" s="21">
        <v>33.333333333333336</v>
      </c>
      <c r="P25" s="21">
        <v>33.333333333333336</v>
      </c>
      <c r="Q25" s="21">
        <v>33.333333333333336</v>
      </c>
      <c r="R25" s="21">
        <v>33.333333333333336</v>
      </c>
      <c r="S25" s="21">
        <v>33.333333333333336</v>
      </c>
      <c r="T25" s="21">
        <v>33.333333333333336</v>
      </c>
      <c r="U25" s="21">
        <v>33.333333333333336</v>
      </c>
      <c r="V25" s="21">
        <v>33.333333333333336</v>
      </c>
      <c r="W25" s="21">
        <f t="shared" si="2"/>
        <v>399.99999999999994</v>
      </c>
      <c r="X25" s="1"/>
      <c r="Y25" s="21">
        <f t="shared" si="3"/>
        <v>0</v>
      </c>
      <c r="Z25" s="262"/>
      <c r="AA25" s="21">
        <f t="shared" si="1"/>
        <v>399.99999999999994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4527</v>
      </c>
      <c r="F26" s="281"/>
      <c r="G26" s="21">
        <v>1077</v>
      </c>
      <c r="H26" s="33"/>
      <c r="I26" s="21">
        <v>5604</v>
      </c>
      <c r="J26" s="57"/>
      <c r="K26" s="21">
        <v>377.25</v>
      </c>
      <c r="L26" s="21">
        <v>377.25</v>
      </c>
      <c r="M26" s="21">
        <v>377.25</v>
      </c>
      <c r="N26" s="21">
        <v>377.25</v>
      </c>
      <c r="O26" s="21">
        <v>377.25</v>
      </c>
      <c r="P26" s="21">
        <v>377.25</v>
      </c>
      <c r="Q26" s="21">
        <v>377.25</v>
      </c>
      <c r="R26" s="21">
        <v>377.25</v>
      </c>
      <c r="S26" s="21">
        <v>377.25</v>
      </c>
      <c r="T26" s="21">
        <v>377.25</v>
      </c>
      <c r="U26" s="21">
        <v>377.25</v>
      </c>
      <c r="V26" s="21">
        <v>377.25</v>
      </c>
      <c r="W26" s="21">
        <f t="shared" si="2"/>
        <v>4527</v>
      </c>
      <c r="X26" s="1"/>
      <c r="Y26" s="21">
        <f t="shared" si="3"/>
        <v>0</v>
      </c>
      <c r="Z26" s="262"/>
      <c r="AA26" s="21">
        <f t="shared" si="1"/>
        <v>-1077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3600</v>
      </c>
      <c r="F27" s="281"/>
      <c r="G27" s="21">
        <v>-3600</v>
      </c>
      <c r="H27" s="33"/>
      <c r="I27" s="21">
        <v>0</v>
      </c>
      <c r="J27" s="57"/>
      <c r="K27" s="21">
        <v>300</v>
      </c>
      <c r="L27" s="21">
        <v>300</v>
      </c>
      <c r="M27" s="21">
        <v>300</v>
      </c>
      <c r="N27" s="21">
        <v>300</v>
      </c>
      <c r="O27" s="21">
        <v>300</v>
      </c>
      <c r="P27" s="21">
        <v>300</v>
      </c>
      <c r="Q27" s="21">
        <v>300</v>
      </c>
      <c r="R27" s="21">
        <v>300</v>
      </c>
      <c r="S27" s="21">
        <v>300</v>
      </c>
      <c r="T27" s="21">
        <v>300</v>
      </c>
      <c r="U27" s="21">
        <v>300</v>
      </c>
      <c r="V27" s="21">
        <v>300</v>
      </c>
      <c r="W27" s="21">
        <f t="shared" si="2"/>
        <v>3600</v>
      </c>
      <c r="X27" s="1"/>
      <c r="Y27" s="21">
        <f t="shared" si="3"/>
        <v>0</v>
      </c>
      <c r="Z27" s="262"/>
      <c r="AA27" s="21">
        <f t="shared" si="1"/>
        <v>3600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1075000</v>
      </c>
      <c r="F28" s="281"/>
      <c r="G28" s="21">
        <v>-300000</v>
      </c>
      <c r="H28" s="33"/>
      <c r="I28" s="21">
        <v>775000</v>
      </c>
      <c r="J28" s="57"/>
      <c r="K28" s="21">
        <v>67750</v>
      </c>
      <c r="L28" s="21">
        <v>67750</v>
      </c>
      <c r="M28" s="21">
        <v>67750</v>
      </c>
      <c r="N28" s="21">
        <v>67750</v>
      </c>
      <c r="O28" s="21">
        <v>67750</v>
      </c>
      <c r="P28" s="21">
        <v>67750</v>
      </c>
      <c r="Q28" s="21">
        <v>67750</v>
      </c>
      <c r="R28" s="21">
        <v>67750</v>
      </c>
      <c r="S28" s="21">
        <v>67750</v>
      </c>
      <c r="T28" s="21">
        <v>67750</v>
      </c>
      <c r="U28" s="21">
        <v>67750</v>
      </c>
      <c r="V28" s="21">
        <v>67750</v>
      </c>
      <c r="W28" s="21">
        <f t="shared" si="2"/>
        <v>813000</v>
      </c>
      <c r="X28" s="1"/>
      <c r="Y28" s="21">
        <f t="shared" si="3"/>
        <v>-262000</v>
      </c>
      <c r="Z28" s="262"/>
      <c r="AA28" s="21">
        <f t="shared" si="1"/>
        <v>38000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8760</v>
      </c>
      <c r="F30" s="281"/>
      <c r="G30" s="21">
        <v>204</v>
      </c>
      <c r="H30" s="33"/>
      <c r="I30" s="21">
        <v>8964</v>
      </c>
      <c r="J30" s="57"/>
      <c r="K30" s="21">
        <v>730</v>
      </c>
      <c r="L30" s="21">
        <v>730</v>
      </c>
      <c r="M30" s="21">
        <v>730</v>
      </c>
      <c r="N30" s="21">
        <v>730</v>
      </c>
      <c r="O30" s="21">
        <v>730</v>
      </c>
      <c r="P30" s="21">
        <v>730</v>
      </c>
      <c r="Q30" s="21">
        <v>730</v>
      </c>
      <c r="R30" s="21">
        <v>730</v>
      </c>
      <c r="S30" s="21">
        <v>730</v>
      </c>
      <c r="T30" s="21">
        <v>730</v>
      </c>
      <c r="U30" s="21">
        <v>730</v>
      </c>
      <c r="V30" s="21">
        <v>730</v>
      </c>
      <c r="W30" s="21">
        <f t="shared" si="2"/>
        <v>8760</v>
      </c>
      <c r="X30" s="1"/>
      <c r="Y30" s="21">
        <f t="shared" si="3"/>
        <v>0</v>
      </c>
      <c r="Z30" s="262"/>
      <c r="AA30" s="21">
        <f t="shared" si="1"/>
        <v>-204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4800</v>
      </c>
      <c r="F32" s="281"/>
      <c r="G32" s="21">
        <v>-4056</v>
      </c>
      <c r="H32" s="33"/>
      <c r="I32" s="21">
        <v>744</v>
      </c>
      <c r="J32" s="57"/>
      <c r="K32" s="21">
        <v>400</v>
      </c>
      <c r="L32" s="21">
        <v>400</v>
      </c>
      <c r="M32" s="21">
        <v>400</v>
      </c>
      <c r="N32" s="21">
        <v>400</v>
      </c>
      <c r="O32" s="21">
        <v>400</v>
      </c>
      <c r="P32" s="21">
        <v>400</v>
      </c>
      <c r="Q32" s="21">
        <v>400</v>
      </c>
      <c r="R32" s="21">
        <v>400</v>
      </c>
      <c r="S32" s="21">
        <v>400</v>
      </c>
      <c r="T32" s="21">
        <v>400</v>
      </c>
      <c r="U32" s="21">
        <v>400</v>
      </c>
      <c r="V32" s="21">
        <v>400</v>
      </c>
      <c r="W32" s="21">
        <f t="shared" si="2"/>
        <v>4800</v>
      </c>
      <c r="X32" s="1"/>
      <c r="Y32" s="21">
        <f t="shared" si="3"/>
        <v>0</v>
      </c>
      <c r="Z32" s="262"/>
      <c r="AA32" s="21">
        <f t="shared" si="1"/>
        <v>4056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2153009</v>
      </c>
      <c r="F40" s="282"/>
      <c r="G40" s="23">
        <v>-440077</v>
      </c>
      <c r="H40" s="63"/>
      <c r="I40" s="23">
        <v>1712932</v>
      </c>
      <c r="J40" s="58"/>
      <c r="K40" s="266">
        <v>155223.07666666666</v>
      </c>
      <c r="L40" s="266">
        <v>155223.07666666666</v>
      </c>
      <c r="M40" s="266">
        <v>155223.07666666666</v>
      </c>
      <c r="N40" s="266">
        <v>155223.07666666666</v>
      </c>
      <c r="O40" s="266">
        <v>155223.07666666666</v>
      </c>
      <c r="P40" s="266">
        <v>155223.07666666666</v>
      </c>
      <c r="Q40" s="266">
        <v>155223.07666666666</v>
      </c>
      <c r="R40" s="266">
        <v>155223.07666666666</v>
      </c>
      <c r="S40" s="266">
        <v>155223.07666666666</v>
      </c>
      <c r="T40" s="266">
        <v>155223.07666666666</v>
      </c>
      <c r="U40" s="266">
        <v>155223.07666666666</v>
      </c>
      <c r="V40" s="266">
        <v>155223.07666666666</v>
      </c>
      <c r="W40" s="266">
        <f>SUM(W14:W39)</f>
        <v>1862676.92</v>
      </c>
      <c r="X40" s="265"/>
      <c r="Y40" s="266">
        <f>SUM(Y14:Y39)</f>
        <v>-290332.08</v>
      </c>
      <c r="Z40" s="267"/>
      <c r="AA40" s="266">
        <f>SUM(AA14:AA39)</f>
        <v>149744.91999999998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119269</v>
      </c>
      <c r="F41" s="281"/>
      <c r="G41" s="21">
        <v>-10000</v>
      </c>
      <c r="H41" s="33"/>
      <c r="I41" s="21">
        <v>109269</v>
      </c>
      <c r="J41" s="57"/>
      <c r="K41" s="263">
        <v>9546</v>
      </c>
      <c r="L41" s="263">
        <v>9546.25</v>
      </c>
      <c r="M41" s="263">
        <v>9546.25</v>
      </c>
      <c r="N41" s="263">
        <v>9546.25</v>
      </c>
      <c r="O41" s="263">
        <v>9546.25</v>
      </c>
      <c r="P41" s="263">
        <v>9546.25</v>
      </c>
      <c r="Q41" s="263">
        <v>9546.25</v>
      </c>
      <c r="R41" s="263">
        <v>9546.25</v>
      </c>
      <c r="S41" s="263">
        <v>9546.25</v>
      </c>
      <c r="T41" s="263">
        <v>9546.25</v>
      </c>
      <c r="U41" s="263">
        <v>9546.25</v>
      </c>
      <c r="V41" s="263">
        <v>9546.25</v>
      </c>
      <c r="W41" s="21">
        <f t="shared" si="2"/>
        <v>114554.75</v>
      </c>
      <c r="X41" s="1"/>
      <c r="Y41" s="263">
        <f>W41-E41</f>
        <v>-4714.25</v>
      </c>
      <c r="Z41" s="264"/>
      <c r="AA41" s="263">
        <f>W41-I41</f>
        <v>5285.75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75283</v>
      </c>
      <c r="F42" s="281"/>
      <c r="G42" s="22">
        <v>-4000</v>
      </c>
      <c r="H42" s="33"/>
      <c r="I42" s="22">
        <v>71283</v>
      </c>
      <c r="J42" s="57"/>
      <c r="K42" s="268">
        <v>5330.21</v>
      </c>
      <c r="L42" s="268">
        <v>16163.043332000001</v>
      </c>
      <c r="M42" s="268">
        <v>5330.21</v>
      </c>
      <c r="N42" s="268">
        <v>5330.21</v>
      </c>
      <c r="O42" s="268">
        <v>5330.21</v>
      </c>
      <c r="P42" s="268">
        <v>5330.21</v>
      </c>
      <c r="Q42" s="268">
        <v>5330.21</v>
      </c>
      <c r="R42" s="268">
        <v>5330.21</v>
      </c>
      <c r="S42" s="268">
        <v>5330.21</v>
      </c>
      <c r="T42" s="268">
        <v>5330.21</v>
      </c>
      <c r="U42" s="268">
        <v>5330.21</v>
      </c>
      <c r="V42" s="268">
        <v>5330.21</v>
      </c>
      <c r="W42" s="22">
        <f t="shared" si="2"/>
        <v>74795.353331999999</v>
      </c>
      <c r="X42" s="261"/>
      <c r="Y42" s="268">
        <f>W42-E42</f>
        <v>-487.64666800000123</v>
      </c>
      <c r="Z42" s="264"/>
      <c r="AA42" s="268">
        <f>W42-I42</f>
        <v>3512.3533319999988</v>
      </c>
    </row>
    <row r="43" spans="1:27" x14ac:dyDescent="0.2">
      <c r="A43" s="240"/>
      <c r="B43" s="243" t="s">
        <v>17</v>
      </c>
      <c r="C43" s="244"/>
      <c r="D43" s="58"/>
      <c r="E43" s="23">
        <v>194552</v>
      </c>
      <c r="F43" s="282"/>
      <c r="G43" s="23">
        <v>-14000</v>
      </c>
      <c r="H43" s="63"/>
      <c r="I43" s="23">
        <v>180552</v>
      </c>
      <c r="J43" s="58"/>
      <c r="K43" s="266">
        <v>14876.21</v>
      </c>
      <c r="L43" s="266">
        <v>25709.293332000001</v>
      </c>
      <c r="M43" s="266">
        <v>14876.46</v>
      </c>
      <c r="N43" s="266">
        <v>14876.46</v>
      </c>
      <c r="O43" s="266">
        <v>14876.46</v>
      </c>
      <c r="P43" s="266">
        <v>14876.46</v>
      </c>
      <c r="Q43" s="266">
        <v>14876.46</v>
      </c>
      <c r="R43" s="266">
        <v>14876.46</v>
      </c>
      <c r="S43" s="266">
        <v>14876.46</v>
      </c>
      <c r="T43" s="266">
        <v>14876.46</v>
      </c>
      <c r="U43" s="266">
        <v>14876.46</v>
      </c>
      <c r="V43" s="266">
        <v>14876.46</v>
      </c>
      <c r="W43" s="23">
        <f t="shared" si="2"/>
        <v>189350.10333199994</v>
      </c>
      <c r="X43" s="269"/>
      <c r="Y43" s="270">
        <f>SUM(Y41:Y42)</f>
        <v>-5201.8966680000012</v>
      </c>
      <c r="Z43" s="271"/>
      <c r="AA43" s="270">
        <f>SUM(AA41:AA42)</f>
        <v>8798.1033319999988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112152</v>
      </c>
      <c r="F46" s="281"/>
      <c r="G46" s="21">
        <v>-16112</v>
      </c>
      <c r="H46" s="33"/>
      <c r="I46" s="21">
        <v>96040</v>
      </c>
      <c r="J46" s="57"/>
      <c r="K46" s="263">
        <v>8169.3533333333335</v>
      </c>
      <c r="L46" s="263">
        <v>8169.3533333333335</v>
      </c>
      <c r="M46" s="263">
        <v>8169.3533333333335</v>
      </c>
      <c r="N46" s="263">
        <v>8169.3533333333335</v>
      </c>
      <c r="O46" s="263">
        <v>8169.3533333333335</v>
      </c>
      <c r="P46" s="263">
        <v>8169.3533333333335</v>
      </c>
      <c r="Q46" s="263">
        <v>8169.3533333333335</v>
      </c>
      <c r="R46" s="263">
        <v>8169.3533333333335</v>
      </c>
      <c r="S46" s="263">
        <v>8169.3533333333335</v>
      </c>
      <c r="T46" s="263">
        <v>8169.3533333333335</v>
      </c>
      <c r="U46" s="263">
        <v>8169.3533333333335</v>
      </c>
      <c r="V46" s="263">
        <v>8169.3533333333335</v>
      </c>
      <c r="W46" s="21">
        <f>SUM(K46:V46)</f>
        <v>98032.24</v>
      </c>
      <c r="X46" s="1"/>
      <c r="Y46" s="263">
        <f>W46-E46</f>
        <v>-14119.759999999995</v>
      </c>
      <c r="Z46" s="264"/>
      <c r="AA46" s="263">
        <f>W46-I46</f>
        <v>1992.2400000000052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21555</v>
      </c>
      <c r="F47" s="281"/>
      <c r="G47" s="22">
        <v>-1008</v>
      </c>
      <c r="H47" s="33"/>
      <c r="I47" s="21">
        <v>20547</v>
      </c>
      <c r="J47" s="57"/>
      <c r="K47" s="268">
        <v>1712.2249999999999</v>
      </c>
      <c r="L47" s="268">
        <v>1712.2249999999999</v>
      </c>
      <c r="M47" s="268">
        <v>1712.2249999999999</v>
      </c>
      <c r="N47" s="268">
        <v>1712.2249999999999</v>
      </c>
      <c r="O47" s="268">
        <v>1712.2249999999999</v>
      </c>
      <c r="P47" s="268">
        <v>1712.2249999999999</v>
      </c>
      <c r="Q47" s="268">
        <v>1712.2249999999999</v>
      </c>
      <c r="R47" s="268">
        <v>1712.2249999999999</v>
      </c>
      <c r="S47" s="268">
        <v>1712.2249999999999</v>
      </c>
      <c r="T47" s="268">
        <v>1712.2249999999999</v>
      </c>
      <c r="U47" s="268">
        <v>1712.2249999999999</v>
      </c>
      <c r="V47" s="268">
        <v>1712.2249999999999</v>
      </c>
      <c r="W47" s="22">
        <f>SUM(K47:V47)</f>
        <v>20546.699999999997</v>
      </c>
      <c r="X47" s="1"/>
      <c r="Y47" s="268">
        <f>W47-E47</f>
        <v>-1008.3000000000029</v>
      </c>
      <c r="Z47" s="264"/>
      <c r="AA47" s="268">
        <f>W47-I47</f>
        <v>-0.30000000000291038</v>
      </c>
    </row>
    <row r="48" spans="1:27" x14ac:dyDescent="0.2">
      <c r="A48" s="240"/>
      <c r="B48" s="243" t="s">
        <v>17</v>
      </c>
      <c r="C48" s="244"/>
      <c r="D48" s="58"/>
      <c r="E48" s="24">
        <v>133707</v>
      </c>
      <c r="F48" s="282"/>
      <c r="G48" s="24">
        <v>-17120</v>
      </c>
      <c r="H48" s="63"/>
      <c r="I48" s="24">
        <v>116587</v>
      </c>
      <c r="J48" s="58"/>
      <c r="K48" s="24">
        <v>9881.5783333333329</v>
      </c>
      <c r="L48" s="24">
        <v>9881.5783333333329</v>
      </c>
      <c r="M48" s="24">
        <v>9881.5783333333329</v>
      </c>
      <c r="N48" s="24">
        <v>9881.5783333333329</v>
      </c>
      <c r="O48" s="24">
        <v>9881.5783333333329</v>
      </c>
      <c r="P48" s="24">
        <v>9881.5783333333329</v>
      </c>
      <c r="Q48" s="24">
        <v>9881.5783333333329</v>
      </c>
      <c r="R48" s="24">
        <v>9881.5783333333329</v>
      </c>
      <c r="S48" s="24">
        <v>9881.5783333333329</v>
      </c>
      <c r="T48" s="24">
        <v>9881.5783333333329</v>
      </c>
      <c r="U48" s="24">
        <v>9881.5783333333329</v>
      </c>
      <c r="V48" s="24">
        <v>9881.5783333333329</v>
      </c>
      <c r="W48" s="24">
        <f t="shared" ref="W48:W55" si="4">SUM(K48:V48)</f>
        <v>118578.94000000002</v>
      </c>
      <c r="X48" s="265"/>
      <c r="Y48" s="24">
        <f>SUM(Y44:Y47)</f>
        <v>-15128.059999999998</v>
      </c>
      <c r="Z48" s="267"/>
      <c r="AA48" s="24">
        <f>SUM(AA44:AA47)</f>
        <v>1991.9400000000023</v>
      </c>
    </row>
    <row r="49" spans="1:31" x14ac:dyDescent="0.2">
      <c r="A49" s="245" t="s">
        <v>18</v>
      </c>
      <c r="B49" s="245"/>
      <c r="C49" s="242"/>
      <c r="D49" s="57"/>
      <c r="E49" s="24">
        <v>2481268</v>
      </c>
      <c r="F49" s="282"/>
      <c r="G49" s="24">
        <v>-471197</v>
      </c>
      <c r="H49" s="63"/>
      <c r="I49" s="24">
        <v>2010071</v>
      </c>
      <c r="J49" s="57"/>
      <c r="K49" s="24">
        <v>179980.86499999999</v>
      </c>
      <c r="L49" s="24">
        <v>190813.948332</v>
      </c>
      <c r="M49" s="24">
        <v>179981.11499999999</v>
      </c>
      <c r="N49" s="24">
        <v>179981.11499999999</v>
      </c>
      <c r="O49" s="24">
        <v>179981.11499999999</v>
      </c>
      <c r="P49" s="24">
        <v>179981.11499999999</v>
      </c>
      <c r="Q49" s="24">
        <v>179981.11499999999</v>
      </c>
      <c r="R49" s="24">
        <v>179981.11499999999</v>
      </c>
      <c r="S49" s="24">
        <v>179981.11499999999</v>
      </c>
      <c r="T49" s="24">
        <v>179981.11499999999</v>
      </c>
      <c r="U49" s="24">
        <v>179981.11499999999</v>
      </c>
      <c r="V49" s="24">
        <v>179981.11499999999</v>
      </c>
      <c r="W49" s="24">
        <f t="shared" si="4"/>
        <v>2170605.9633320002</v>
      </c>
      <c r="X49" s="1"/>
      <c r="Y49" s="24">
        <f>W49-E49</f>
        <v>-310662.03666799981</v>
      </c>
      <c r="Z49" s="267"/>
      <c r="AA49" s="24">
        <f>W49-I49</f>
        <v>160534.96333200019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-116184</v>
      </c>
      <c r="F51" s="281"/>
      <c r="G51" s="21">
        <v>-71000</v>
      </c>
      <c r="H51" s="33"/>
      <c r="I51" s="21">
        <v>-187184</v>
      </c>
      <c r="J51" s="57"/>
      <c r="K51" s="21">
        <v>-17436.625</v>
      </c>
      <c r="L51" s="21">
        <v>-17436.625</v>
      </c>
      <c r="M51" s="21">
        <v>-17436.625</v>
      </c>
      <c r="N51" s="21">
        <v>-17436.625</v>
      </c>
      <c r="O51" s="21">
        <v>-17436.625</v>
      </c>
      <c r="P51" s="21">
        <v>-17436.625</v>
      </c>
      <c r="Q51" s="21">
        <v>-17436.625</v>
      </c>
      <c r="R51" s="21">
        <v>-17436.625</v>
      </c>
      <c r="S51" s="21">
        <v>-17436.625</v>
      </c>
      <c r="T51" s="21">
        <v>-17436.625</v>
      </c>
      <c r="U51" s="21">
        <v>-17436.625</v>
      </c>
      <c r="V51" s="21">
        <v>-17436.625</v>
      </c>
      <c r="W51" s="21">
        <f t="shared" si="4"/>
        <v>-209239.5</v>
      </c>
      <c r="X51" s="1"/>
      <c r="Y51" s="21">
        <f>W51-E51</f>
        <v>-93055.5</v>
      </c>
      <c r="Z51" s="262"/>
      <c r="AA51" s="21">
        <f>W51-I51</f>
        <v>-22055.5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-15744</v>
      </c>
      <c r="F52" s="281"/>
      <c r="G52" s="21">
        <v>-9000</v>
      </c>
      <c r="H52" s="33"/>
      <c r="I52" s="21">
        <v>-24744</v>
      </c>
      <c r="J52" s="57"/>
      <c r="K52" s="21">
        <v>-1505</v>
      </c>
      <c r="L52" s="21">
        <v>-1505</v>
      </c>
      <c r="M52" s="21">
        <v>-1505</v>
      </c>
      <c r="N52" s="21">
        <v>-1505</v>
      </c>
      <c r="O52" s="21">
        <v>-1505</v>
      </c>
      <c r="P52" s="21">
        <v>-1505</v>
      </c>
      <c r="Q52" s="21">
        <v>-1505</v>
      </c>
      <c r="R52" s="21">
        <v>-1505</v>
      </c>
      <c r="S52" s="21">
        <v>-1505</v>
      </c>
      <c r="T52" s="21">
        <v>-1505</v>
      </c>
      <c r="U52" s="21">
        <v>-1505</v>
      </c>
      <c r="V52" s="21">
        <v>-1505</v>
      </c>
      <c r="W52" s="21">
        <f t="shared" si="4"/>
        <v>-18060</v>
      </c>
      <c r="X52" s="1"/>
      <c r="Y52" s="21">
        <f>W52-E52</f>
        <v>-2316</v>
      </c>
      <c r="Z52" s="262"/>
      <c r="AA52" s="21">
        <f>W52-I52</f>
        <v>6684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-8472</v>
      </c>
      <c r="F53" s="281"/>
      <c r="G53" s="21">
        <v>-5000</v>
      </c>
      <c r="H53" s="33"/>
      <c r="I53" s="21">
        <v>-13472</v>
      </c>
      <c r="J53" s="57"/>
      <c r="K53" s="21">
        <v>-1377</v>
      </c>
      <c r="L53" s="21">
        <v>-1377</v>
      </c>
      <c r="M53" s="21">
        <v>-1377</v>
      </c>
      <c r="N53" s="21">
        <v>-1377</v>
      </c>
      <c r="O53" s="21">
        <v>-1377</v>
      </c>
      <c r="P53" s="21">
        <v>-1377</v>
      </c>
      <c r="Q53" s="21">
        <v>-1377</v>
      </c>
      <c r="R53" s="21">
        <v>-1377</v>
      </c>
      <c r="S53" s="21">
        <v>-1377</v>
      </c>
      <c r="T53" s="21">
        <v>-1377</v>
      </c>
      <c r="U53" s="21">
        <v>-1377</v>
      </c>
      <c r="V53" s="21">
        <v>-1377</v>
      </c>
      <c r="W53" s="21">
        <f t="shared" si="4"/>
        <v>-16524</v>
      </c>
      <c r="X53" s="1"/>
      <c r="Y53" s="21">
        <f>W53-E53</f>
        <v>-8052</v>
      </c>
      <c r="Z53" s="262"/>
      <c r="AA53" s="21">
        <f>W53-I53</f>
        <v>-3052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-693000</v>
      </c>
      <c r="F54" s="281"/>
      <c r="G54" s="22">
        <v>450000</v>
      </c>
      <c r="H54" s="33"/>
      <c r="I54" s="21">
        <v>-243000</v>
      </c>
      <c r="J54" s="57"/>
      <c r="K54" s="22">
        <v>-23416.666666666668</v>
      </c>
      <c r="L54" s="22">
        <v>-23416.666666666668</v>
      </c>
      <c r="M54" s="22">
        <v>-23416.666666666668</v>
      </c>
      <c r="N54" s="22">
        <v>-23416.666666666668</v>
      </c>
      <c r="O54" s="22">
        <v>-23416.666666666668</v>
      </c>
      <c r="P54" s="22">
        <v>-23416.666666666668</v>
      </c>
      <c r="Q54" s="22">
        <v>-23416.666666666668</v>
      </c>
      <c r="R54" s="22">
        <v>-23416.666666666668</v>
      </c>
      <c r="S54" s="22">
        <v>-23416.666666666668</v>
      </c>
      <c r="T54" s="22">
        <v>-23416.666666666668</v>
      </c>
      <c r="U54" s="22">
        <v>-23416.666666666668</v>
      </c>
      <c r="V54" s="22">
        <v>-23416.666666666668</v>
      </c>
      <c r="W54" s="22">
        <f t="shared" si="4"/>
        <v>-280999.99999999994</v>
      </c>
      <c r="X54" s="1"/>
      <c r="Y54" s="22">
        <f>W54-E54</f>
        <v>412000.00000000006</v>
      </c>
      <c r="Z54" s="262"/>
      <c r="AA54" s="22">
        <f>W54-I54</f>
        <v>-37999.999999999942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-833400</v>
      </c>
      <c r="F55" s="282"/>
      <c r="G55" s="273">
        <v>365000</v>
      </c>
      <c r="H55" s="63"/>
      <c r="I55" s="273">
        <v>-468400</v>
      </c>
      <c r="J55" s="58"/>
      <c r="K55" s="273">
        <v>-43735.291666666672</v>
      </c>
      <c r="L55" s="273">
        <v>-43735.291666666672</v>
      </c>
      <c r="M55" s="273">
        <v>-43735.291666666672</v>
      </c>
      <c r="N55" s="273">
        <v>-43735.291666666672</v>
      </c>
      <c r="O55" s="273">
        <v>-43735.291666666672</v>
      </c>
      <c r="P55" s="273">
        <v>-43735.291666666672</v>
      </c>
      <c r="Q55" s="273">
        <v>-43735.291666666672</v>
      </c>
      <c r="R55" s="273">
        <v>-43735.291666666672</v>
      </c>
      <c r="S55" s="273">
        <v>-43735.291666666672</v>
      </c>
      <c r="T55" s="273">
        <v>-43735.291666666672</v>
      </c>
      <c r="U55" s="273">
        <v>-43735.291666666672</v>
      </c>
      <c r="V55" s="273">
        <v>-43735.291666666672</v>
      </c>
      <c r="W55" s="273">
        <f t="shared" si="4"/>
        <v>-524823.50000000012</v>
      </c>
      <c r="X55" s="269"/>
      <c r="Y55" s="273">
        <f>SUM(Y51:Y54)</f>
        <v>308576.50000000006</v>
      </c>
      <c r="Z55" s="267"/>
      <c r="AA55" s="273">
        <f>W55-I55</f>
        <v>-56423.500000000116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1647868</v>
      </c>
      <c r="F56" s="283"/>
      <c r="G56" s="274">
        <v>-106197</v>
      </c>
      <c r="H56" s="284"/>
      <c r="I56" s="274">
        <v>1541671</v>
      </c>
      <c r="J56" s="279"/>
      <c r="K56" s="274">
        <v>136245.5733333333</v>
      </c>
      <c r="L56" s="274">
        <v>147078.65666533331</v>
      </c>
      <c r="M56" s="274">
        <v>136245.8233333333</v>
      </c>
      <c r="N56" s="274">
        <v>136245.8233333333</v>
      </c>
      <c r="O56" s="274">
        <v>136245.8233333333</v>
      </c>
      <c r="P56" s="274">
        <v>136245.8233333333</v>
      </c>
      <c r="Q56" s="274">
        <v>136245.8233333333</v>
      </c>
      <c r="R56" s="274">
        <v>136245.8233333333</v>
      </c>
      <c r="S56" s="274">
        <v>136245.8233333333</v>
      </c>
      <c r="T56" s="274">
        <v>136245.8233333333</v>
      </c>
      <c r="U56" s="274">
        <v>136245.8233333333</v>
      </c>
      <c r="V56" s="274">
        <v>136245.8233333333</v>
      </c>
      <c r="W56" s="274">
        <f>+W49+W55</f>
        <v>1645782.4633320002</v>
      </c>
      <c r="X56" s="269"/>
      <c r="Y56" s="274">
        <f>+Y49+Y55</f>
        <v>-2085.5366679997533</v>
      </c>
      <c r="Z56" s="275"/>
      <c r="AA56" s="274">
        <f>+AA49+AA55</f>
        <v>104111.46333200007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 s="1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6.0761371704947623E-2</v>
      </c>
      <c r="K62" s="20">
        <v>8278.4679244603649</v>
      </c>
      <c r="L62" s="20">
        <v>8936.7009275066903</v>
      </c>
      <c r="M62" s="20">
        <v>8278.4831148032899</v>
      </c>
      <c r="N62" s="20">
        <v>8278.4831148032899</v>
      </c>
      <c r="O62" s="20">
        <v>8278.4831148032899</v>
      </c>
      <c r="P62" s="20">
        <v>8278.4831148032899</v>
      </c>
      <c r="Q62" s="20">
        <v>8278.4831148032899</v>
      </c>
      <c r="R62" s="20">
        <v>8278.4831148032899</v>
      </c>
      <c r="S62" s="20">
        <v>8278.4831148032899</v>
      </c>
      <c r="T62" s="20">
        <v>8278.4831148032899</v>
      </c>
      <c r="U62" s="20">
        <v>8278.4831148032899</v>
      </c>
      <c r="V62" s="20">
        <v>8278.4831148032899</v>
      </c>
      <c r="W62" s="20">
        <f>SUM(K62:V62)</f>
        <v>99999.999999999971</v>
      </c>
      <c r="X62" s="32"/>
      <c r="Y62" s="20">
        <f>$W62-E62</f>
        <v>99999.999999999971</v>
      </c>
      <c r="Z62" s="32"/>
      <c r="AA62" s="20">
        <f>$W62-I62</f>
        <v>99999.999999999971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184697</v>
      </c>
      <c r="F66" s="29"/>
      <c r="G66" s="27"/>
      <c r="H66" s="80"/>
      <c r="I66" s="21">
        <v>184697</v>
      </c>
      <c r="J66" s="31">
        <v>0.16144069362027033</v>
      </c>
      <c r="K66" s="21">
        <v>21995.579861624734</v>
      </c>
      <c r="L66" s="21">
        <v>23744.480348789006</v>
      </c>
      <c r="M66" s="21">
        <v>21995.620221798141</v>
      </c>
      <c r="N66" s="21">
        <v>21995.620221798141</v>
      </c>
      <c r="O66" s="21">
        <v>21995.620221798141</v>
      </c>
      <c r="P66" s="21">
        <v>21995.620221798141</v>
      </c>
      <c r="Q66" s="21">
        <v>21995.620221798141</v>
      </c>
      <c r="R66" s="21">
        <v>21995.620221798141</v>
      </c>
      <c r="S66" s="21">
        <v>21995.620221798141</v>
      </c>
      <c r="T66" s="21">
        <v>21995.620221798141</v>
      </c>
      <c r="U66" s="21">
        <v>21995.620221798141</v>
      </c>
      <c r="V66" s="21">
        <v>21995.620221798141</v>
      </c>
      <c r="W66" s="21">
        <f t="shared" si="5"/>
        <v>265696.2624283951</v>
      </c>
      <c r="X66" s="33"/>
      <c r="Y66" s="21">
        <f t="shared" si="6"/>
        <v>80999.262428395101</v>
      </c>
      <c r="Z66" s="33"/>
      <c r="AA66" s="21">
        <f t="shared" si="7"/>
        <v>80999.262428395101</v>
      </c>
      <c r="AE66" s="80">
        <f>29000-35000</f>
        <v>-6000</v>
      </c>
    </row>
    <row r="67" spans="2:31" x14ac:dyDescent="0.2">
      <c r="B67" s="249" t="s">
        <v>30</v>
      </c>
      <c r="C67" s="249">
        <v>913</v>
      </c>
      <c r="D67" s="81"/>
      <c r="E67" s="80">
        <v>328667</v>
      </c>
      <c r="F67" s="29"/>
      <c r="G67" s="27"/>
      <c r="H67" s="80"/>
      <c r="I67" s="21">
        <v>328667</v>
      </c>
      <c r="J67" s="31">
        <v>0.22637945488731981</v>
      </c>
      <c r="K67" s="21">
        <v>30843.19862201035</v>
      </c>
      <c r="L67" s="21">
        <v>33295.586121457425</v>
      </c>
      <c r="M67" s="21">
        <v>30843.255216874073</v>
      </c>
      <c r="N67" s="21">
        <v>30843.255216874073</v>
      </c>
      <c r="O67" s="21">
        <v>30843.255216874073</v>
      </c>
      <c r="P67" s="21">
        <v>30843.255216874073</v>
      </c>
      <c r="Q67" s="21">
        <v>30843.255216874073</v>
      </c>
      <c r="R67" s="21">
        <v>30843.255216874073</v>
      </c>
      <c r="S67" s="21">
        <v>30843.255216874073</v>
      </c>
      <c r="T67" s="21">
        <v>30843.255216874073</v>
      </c>
      <c r="U67" s="21">
        <v>30843.255216874073</v>
      </c>
      <c r="V67" s="21">
        <v>30843.255216874073</v>
      </c>
      <c r="W67" s="21">
        <f t="shared" si="5"/>
        <v>372571.33691220847</v>
      </c>
      <c r="X67" s="33"/>
      <c r="Y67" s="21">
        <f t="shared" si="6"/>
        <v>43904.33691220847</v>
      </c>
      <c r="Z67" s="33"/>
      <c r="AA67" s="21">
        <f t="shared" si="7"/>
        <v>43904.33691220847</v>
      </c>
      <c r="AE67" s="80">
        <f>94000-75000</f>
        <v>19000</v>
      </c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516718</v>
      </c>
      <c r="F71" s="29"/>
      <c r="G71" s="27"/>
      <c r="H71" s="80"/>
      <c r="I71" s="21">
        <v>516718</v>
      </c>
      <c r="J71" s="31">
        <v>0.33439407428445739</v>
      </c>
      <c r="K71" s="21">
        <v>45559.712370155146</v>
      </c>
      <c r="L71" s="21">
        <v>49182.231242605674</v>
      </c>
      <c r="M71" s="21">
        <v>45559.795968673716</v>
      </c>
      <c r="N71" s="21">
        <v>45559.795968673716</v>
      </c>
      <c r="O71" s="21">
        <v>45559.795968673716</v>
      </c>
      <c r="P71" s="21">
        <v>45559.795968673716</v>
      </c>
      <c r="Q71" s="21">
        <v>45559.795968673716</v>
      </c>
      <c r="R71" s="21">
        <v>45559.795968673716</v>
      </c>
      <c r="S71" s="21">
        <v>45559.795968673716</v>
      </c>
      <c r="T71" s="21">
        <v>45559.795968673716</v>
      </c>
      <c r="U71" s="21">
        <v>45559.795968673716</v>
      </c>
      <c r="V71" s="21">
        <v>45559.795968673716</v>
      </c>
      <c r="W71" s="21">
        <f t="shared" si="5"/>
        <v>550339.90329949791</v>
      </c>
      <c r="X71" s="33"/>
      <c r="Y71" s="21">
        <f t="shared" si="6"/>
        <v>33621.903299497906</v>
      </c>
      <c r="Z71" s="33"/>
      <c r="AA71" s="21">
        <f t="shared" si="7"/>
        <v>33621.903299497906</v>
      </c>
      <c r="AE71" s="80">
        <f>109000-82000</f>
        <v>27000</v>
      </c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95461</v>
      </c>
      <c r="F73" s="29"/>
      <c r="G73" s="27"/>
      <c r="H73" s="80"/>
      <c r="I73" s="21">
        <v>95461</v>
      </c>
      <c r="J73" s="31">
        <v>4.1921889752106006E-2</v>
      </c>
      <c r="K73" s="21">
        <v>5711.671904492473</v>
      </c>
      <c r="L73" s="21">
        <v>6165.8152296119542</v>
      </c>
      <c r="M73" s="21">
        <v>5711.6823849649109</v>
      </c>
      <c r="N73" s="21">
        <v>5711.6823849649109</v>
      </c>
      <c r="O73" s="21">
        <v>5711.6823849649109</v>
      </c>
      <c r="P73" s="21">
        <v>5711.6823849649109</v>
      </c>
      <c r="Q73" s="21">
        <v>5711.6823849649109</v>
      </c>
      <c r="R73" s="21">
        <v>5711.6823849649109</v>
      </c>
      <c r="S73" s="21">
        <v>5711.6823849649109</v>
      </c>
      <c r="T73" s="21">
        <v>5711.6823849649109</v>
      </c>
      <c r="U73" s="21">
        <v>5711.6823849649109</v>
      </c>
      <c r="V73" s="21">
        <v>5711.6823849649109</v>
      </c>
      <c r="W73" s="21">
        <f t="shared" si="5"/>
        <v>68994.31098375353</v>
      </c>
      <c r="X73" s="33"/>
      <c r="Y73" s="21">
        <f t="shared" si="6"/>
        <v>-26466.68901624647</v>
      </c>
      <c r="Z73" s="33"/>
      <c r="AA73" s="21">
        <f t="shared" si="7"/>
        <v>-26466.68901624647</v>
      </c>
      <c r="AE73" s="80">
        <f>(70000*0.3)-(40000*0.3)</f>
        <v>9000</v>
      </c>
    </row>
    <row r="74" spans="2:31" x14ac:dyDescent="0.2">
      <c r="B74" s="249" t="s">
        <v>39</v>
      </c>
      <c r="C74" s="249">
        <v>951</v>
      </c>
      <c r="D74" s="81"/>
      <c r="E74" s="80">
        <v>86064</v>
      </c>
      <c r="F74" s="29"/>
      <c r="G74" s="27"/>
      <c r="H74" s="80"/>
      <c r="I74" s="21">
        <v>86064</v>
      </c>
      <c r="J74" s="31">
        <v>6.0069487150473659E-2</v>
      </c>
      <c r="K74" s="21">
        <v>8184.2017166555815</v>
      </c>
      <c r="L74" s="21">
        <v>8834.9394766671667</v>
      </c>
      <c r="M74" s="21">
        <v>8184.2167340273691</v>
      </c>
      <c r="N74" s="21">
        <v>8184.2167340273691</v>
      </c>
      <c r="O74" s="21">
        <v>8184.2167340273691</v>
      </c>
      <c r="P74" s="21">
        <v>8184.2167340273691</v>
      </c>
      <c r="Q74" s="21">
        <v>8184.2167340273691</v>
      </c>
      <c r="R74" s="21">
        <v>8184.2167340273691</v>
      </c>
      <c r="S74" s="21">
        <v>8184.2167340273691</v>
      </c>
      <c r="T74" s="21">
        <v>8184.2167340273691</v>
      </c>
      <c r="U74" s="21">
        <v>8184.2167340273691</v>
      </c>
      <c r="V74" s="21">
        <v>8184.2167340273691</v>
      </c>
      <c r="W74" s="21">
        <f t="shared" si="5"/>
        <v>98861.308533596457</v>
      </c>
      <c r="X74" s="33"/>
      <c r="Y74" s="21">
        <f t="shared" si="6"/>
        <v>12797.308533596457</v>
      </c>
      <c r="Z74" s="33"/>
      <c r="AA74" s="21">
        <f t="shared" si="7"/>
        <v>12797.308533596457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56482</v>
      </c>
      <c r="F76" s="29"/>
      <c r="G76" s="27"/>
      <c r="H76" s="80"/>
      <c r="I76" s="21">
        <v>56482</v>
      </c>
      <c r="J76" s="31">
        <v>2.3939359624373307E-2</v>
      </c>
      <c r="K76" s="21">
        <v>3261.6317772555917</v>
      </c>
      <c r="L76" s="21">
        <v>3520.9688549811444</v>
      </c>
      <c r="M76" s="21">
        <v>3261.6377620954977</v>
      </c>
      <c r="N76" s="21">
        <v>3261.6377620954977</v>
      </c>
      <c r="O76" s="21">
        <v>3261.6377620954977</v>
      </c>
      <c r="P76" s="21">
        <v>3261.6377620954977</v>
      </c>
      <c r="Q76" s="21">
        <v>3261.6377620954977</v>
      </c>
      <c r="R76" s="21">
        <v>3261.6377620954977</v>
      </c>
      <c r="S76" s="21">
        <v>3261.6377620954977</v>
      </c>
      <c r="T76" s="21">
        <v>3261.6377620954977</v>
      </c>
      <c r="U76" s="21">
        <v>3261.6377620954977</v>
      </c>
      <c r="V76" s="21">
        <v>3261.6377620954977</v>
      </c>
      <c r="W76" s="21">
        <f t="shared" si="5"/>
        <v>39398.978253191715</v>
      </c>
      <c r="X76" s="33"/>
      <c r="Y76" s="21">
        <f t="shared" si="6"/>
        <v>-17083.021746808285</v>
      </c>
      <c r="Z76" s="33"/>
      <c r="AA76" s="21">
        <f t="shared" si="7"/>
        <v>-17083.021746808285</v>
      </c>
      <c r="AE76" s="80">
        <f>(70000*0.5)-(40000*0.5)</f>
        <v>15000</v>
      </c>
    </row>
    <row r="77" spans="2:31" x14ac:dyDescent="0.2">
      <c r="B77" s="249" t="s">
        <v>45</v>
      </c>
      <c r="C77" s="249">
        <v>981</v>
      </c>
      <c r="D77" s="81"/>
      <c r="E77" s="80">
        <v>51136</v>
      </c>
      <c r="F77" s="29"/>
      <c r="G77" s="27"/>
      <c r="H77" s="80"/>
      <c r="I77" s="21">
        <v>51136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-51136</v>
      </c>
      <c r="Z77" s="33"/>
      <c r="AA77" s="21">
        <f t="shared" si="7"/>
        <v>-51136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328643</v>
      </c>
      <c r="F78" s="29"/>
      <c r="G78" s="27">
        <v>-138700</v>
      </c>
      <c r="H78" s="80"/>
      <c r="I78" s="21">
        <v>189943</v>
      </c>
      <c r="J78" s="31">
        <v>9.1093668976051853E-2</v>
      </c>
      <c r="K78" s="21">
        <v>12411.109156679062</v>
      </c>
      <c r="L78" s="21">
        <v>13397.934463714255</v>
      </c>
      <c r="M78" s="21">
        <v>12411.131930096306</v>
      </c>
      <c r="N78" s="21">
        <v>12411.131930096306</v>
      </c>
      <c r="O78" s="21">
        <v>12411.131930096306</v>
      </c>
      <c r="P78" s="21">
        <v>12411.131930096306</v>
      </c>
      <c r="Q78" s="21">
        <v>12411.131930096306</v>
      </c>
      <c r="R78" s="21">
        <v>12411.131930096306</v>
      </c>
      <c r="S78" s="21">
        <v>12411.131930096306</v>
      </c>
      <c r="T78" s="21">
        <v>12411.131930096306</v>
      </c>
      <c r="U78" s="21">
        <v>12411.131930096306</v>
      </c>
      <c r="V78" s="21">
        <v>12411.131930096306</v>
      </c>
      <c r="W78" s="21">
        <f t="shared" si="5"/>
        <v>149920.36292135637</v>
      </c>
      <c r="X78" s="33"/>
      <c r="Y78" s="21">
        <f t="shared" si="6"/>
        <v>-178722.63707864363</v>
      </c>
      <c r="Z78" s="33"/>
      <c r="AA78" s="21">
        <f t="shared" si="7"/>
        <v>-40022.637078643631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>
        <f>(70000*0.2)-(40000*0.2)</f>
        <v>6000</v>
      </c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1647868</v>
      </c>
      <c r="F81" s="66"/>
      <c r="G81" s="37">
        <v>-138700</v>
      </c>
      <c r="H81" s="37"/>
      <c r="I81" s="37">
        <v>1509168</v>
      </c>
      <c r="J81" s="38">
        <v>1</v>
      </c>
      <c r="K81" s="37">
        <v>136245.5733333333</v>
      </c>
      <c r="L81" s="37">
        <v>147078.65666533331</v>
      </c>
      <c r="M81" s="37">
        <v>136245.8233333333</v>
      </c>
      <c r="N81" s="37">
        <v>136245.8233333333</v>
      </c>
      <c r="O81" s="37">
        <v>136245.8233333333</v>
      </c>
      <c r="P81" s="37">
        <v>136245.8233333333</v>
      </c>
      <c r="Q81" s="37">
        <v>136245.8233333333</v>
      </c>
      <c r="R81" s="37">
        <v>136245.8233333333</v>
      </c>
      <c r="S81" s="37">
        <v>136245.8233333333</v>
      </c>
      <c r="T81" s="37">
        <v>136245.8233333333</v>
      </c>
      <c r="U81" s="37">
        <v>136245.8233333333</v>
      </c>
      <c r="V81" s="37">
        <v>136245.8233333333</v>
      </c>
      <c r="W81" s="40">
        <f>SUM(W62:W80)</f>
        <v>1645782.463332</v>
      </c>
      <c r="X81" s="58"/>
      <c r="Y81" s="40">
        <f>SUM(Y62:Y80)</f>
        <v>-2085.5366680004809</v>
      </c>
      <c r="Z81" s="63"/>
      <c r="AA81" s="40">
        <f>SUM(AA62:AA80)</f>
        <v>136614.46333199952</v>
      </c>
      <c r="AE81" s="80">
        <f>15000-15000</f>
        <v>0</v>
      </c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-32503</v>
      </c>
      <c r="H82" s="64"/>
      <c r="I82" s="64">
        <v>-32503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-7.2759576141834259E-10</v>
      </c>
      <c r="Z82" s="94"/>
      <c r="AA82" s="64">
        <f>AA81-AA56</f>
        <v>32502.999999999447</v>
      </c>
      <c r="AE82" s="80">
        <f>65000-65000</f>
        <v>0</v>
      </c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02">
        <f>SUM(AE62:AE84)</f>
        <v>70000</v>
      </c>
    </row>
    <row r="86" spans="2:31" x14ac:dyDescent="0.2">
      <c r="C86"/>
      <c r="D86"/>
      <c r="E86"/>
      <c r="AE86" s="190"/>
    </row>
    <row r="88" spans="2:31" x14ac:dyDescent="0.2">
      <c r="J88" s="6"/>
    </row>
  </sheetData>
  <printOptions horizontalCentered="1"/>
  <pageMargins left="0" right="0" top="0.43" bottom="0.31" header="0.25" footer="0.2"/>
  <pageSetup scale="6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84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37" bestFit="1" customWidth="1"/>
    <col min="3" max="3" width="6.85546875" style="71" customWidth="1"/>
    <col min="4" max="4" width="0.85546875" style="71" customWidth="1"/>
    <col min="5" max="5" width="11.28515625" style="71" customWidth="1"/>
    <col min="6" max="6" width="0.85546875" customWidth="1"/>
    <col min="7" max="7" width="8.7109375" bestFit="1" customWidth="1"/>
    <col min="8" max="8" width="0.85546875" customWidth="1"/>
    <col min="9" max="9" width="10.5703125" bestFit="1" customWidth="1"/>
    <col min="10" max="10" width="9.5703125" customWidth="1"/>
    <col min="11" max="22" width="8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1.28515625" style="71" customWidth="1"/>
    <col min="32" max="32" width="1.42578125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15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1">
        <v>111706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">
      <c r="B6" s="3" t="s">
        <v>232</v>
      </c>
      <c r="C6" s="231">
        <v>238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v>0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0</v>
      </c>
      <c r="F14" s="281"/>
      <c r="G14" s="21"/>
      <c r="H14" s="33"/>
      <c r="I14" s="21">
        <v>0</v>
      </c>
      <c r="J14" s="57"/>
      <c r="K14" s="263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63">
        <v>0</v>
      </c>
      <c r="S14" s="263">
        <v>0</v>
      </c>
      <c r="T14" s="263">
        <v>0</v>
      </c>
      <c r="U14" s="263">
        <v>0</v>
      </c>
      <c r="V14" s="263">
        <v>0</v>
      </c>
      <c r="W14" s="21">
        <f>SUM(K14:V14)</f>
        <v>0</v>
      </c>
      <c r="X14" s="1"/>
      <c r="Y14" s="263">
        <f t="shared" ref="Y14:Y21" si="0">W14-E14</f>
        <v>0</v>
      </c>
      <c r="Z14" s="264"/>
      <c r="AA14" s="263">
        <f t="shared" ref="AA14:AA39" si="1">W14-I14</f>
        <v>0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0</v>
      </c>
      <c r="F15" s="281"/>
      <c r="G15" s="21"/>
      <c r="H15" s="33"/>
      <c r="I15" s="21">
        <v>0</v>
      </c>
      <c r="J15" s="57"/>
      <c r="K15" s="263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f t="shared" ref="W15:W45" si="2">SUM(K15:V15)</f>
        <v>0</v>
      </c>
      <c r="X15" s="1"/>
      <c r="Y15" s="21">
        <f t="shared" si="0"/>
        <v>0</v>
      </c>
      <c r="Z15" s="262"/>
      <c r="AA15" s="21">
        <f t="shared" si="1"/>
        <v>0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12300</v>
      </c>
      <c r="F16" s="281"/>
      <c r="G16" s="21">
        <v>-10860</v>
      </c>
      <c r="H16" s="33"/>
      <c r="I16" s="21">
        <v>1440</v>
      </c>
      <c r="J16" s="57"/>
      <c r="K16" s="21">
        <v>1025</v>
      </c>
      <c r="L16" s="21">
        <v>1025</v>
      </c>
      <c r="M16" s="21">
        <v>1025</v>
      </c>
      <c r="N16" s="21">
        <v>1025</v>
      </c>
      <c r="O16" s="21">
        <v>1025</v>
      </c>
      <c r="P16" s="21">
        <v>1025</v>
      </c>
      <c r="Q16" s="21">
        <v>1025</v>
      </c>
      <c r="R16" s="21">
        <v>1025</v>
      </c>
      <c r="S16" s="21">
        <v>1025</v>
      </c>
      <c r="T16" s="21">
        <v>1025</v>
      </c>
      <c r="U16" s="21">
        <v>1025</v>
      </c>
      <c r="V16" s="21">
        <v>1025</v>
      </c>
      <c r="W16" s="21">
        <f t="shared" si="2"/>
        <v>12300</v>
      </c>
      <c r="X16" s="1"/>
      <c r="Y16" s="21">
        <f t="shared" si="0"/>
        <v>0</v>
      </c>
      <c r="Z16" s="262"/>
      <c r="AA16" s="21">
        <f t="shared" si="1"/>
        <v>10860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0</v>
      </c>
      <c r="F17" s="281"/>
      <c r="G17" s="21"/>
      <c r="H17" s="33"/>
      <c r="I17" s="21">
        <v>0</v>
      </c>
      <c r="J17" s="57"/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f t="shared" si="2"/>
        <v>0</v>
      </c>
      <c r="X17" s="1"/>
      <c r="Y17" s="21">
        <f t="shared" si="0"/>
        <v>0</v>
      </c>
      <c r="Z17" s="262"/>
      <c r="AA17" s="21">
        <f t="shared" si="1"/>
        <v>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0</v>
      </c>
      <c r="F18" s="281"/>
      <c r="G18" s="21"/>
      <c r="H18" s="33"/>
      <c r="I18" s="21">
        <v>0</v>
      </c>
      <c r="J18" s="57"/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f t="shared" si="2"/>
        <v>0</v>
      </c>
      <c r="X18" s="1"/>
      <c r="Y18" s="21">
        <f t="shared" si="0"/>
        <v>0</v>
      </c>
      <c r="Z18" s="262"/>
      <c r="AA18" s="21">
        <f t="shared" si="1"/>
        <v>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81628</v>
      </c>
      <c r="F26" s="281"/>
      <c r="G26" s="21">
        <v>-54028</v>
      </c>
      <c r="H26" s="33"/>
      <c r="I26" s="21">
        <v>27600</v>
      </c>
      <c r="J26" s="57"/>
      <c r="K26" s="21">
        <v>6802.333333333333</v>
      </c>
      <c r="L26" s="21">
        <v>6802.333333333333</v>
      </c>
      <c r="M26" s="21">
        <v>6802.333333333333</v>
      </c>
      <c r="N26" s="21">
        <v>6802.333333333333</v>
      </c>
      <c r="O26" s="21">
        <v>6802.333333333333</v>
      </c>
      <c r="P26" s="21">
        <v>6802.333333333333</v>
      </c>
      <c r="Q26" s="21">
        <v>6802.333333333333</v>
      </c>
      <c r="R26" s="21">
        <v>6802.333333333333</v>
      </c>
      <c r="S26" s="21">
        <v>6802.333333333333</v>
      </c>
      <c r="T26" s="21">
        <v>6802.333333333333</v>
      </c>
      <c r="U26" s="21">
        <v>6802.333333333333</v>
      </c>
      <c r="V26" s="21">
        <v>6802.333333333333</v>
      </c>
      <c r="W26" s="21">
        <f t="shared" si="2"/>
        <v>81628</v>
      </c>
      <c r="X26" s="1"/>
      <c r="Y26" s="21">
        <f t="shared" si="3"/>
        <v>0</v>
      </c>
      <c r="Z26" s="262"/>
      <c r="AA26" s="21">
        <f t="shared" si="1"/>
        <v>54028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3924</v>
      </c>
      <c r="F27" s="281"/>
      <c r="G27" s="21">
        <v>-3924</v>
      </c>
      <c r="H27" s="33"/>
      <c r="I27" s="21">
        <v>0</v>
      </c>
      <c r="J27" s="57"/>
      <c r="K27" s="21">
        <v>327</v>
      </c>
      <c r="L27" s="21">
        <v>327</v>
      </c>
      <c r="M27" s="21">
        <v>327</v>
      </c>
      <c r="N27" s="21">
        <v>327</v>
      </c>
      <c r="O27" s="21">
        <v>327</v>
      </c>
      <c r="P27" s="21">
        <v>327</v>
      </c>
      <c r="Q27" s="21">
        <v>327</v>
      </c>
      <c r="R27" s="21">
        <v>327</v>
      </c>
      <c r="S27" s="21">
        <v>327</v>
      </c>
      <c r="T27" s="21">
        <v>327</v>
      </c>
      <c r="U27" s="21">
        <v>327</v>
      </c>
      <c r="V27" s="21">
        <v>327</v>
      </c>
      <c r="W27" s="21">
        <f t="shared" si="2"/>
        <v>3924</v>
      </c>
      <c r="X27" s="1"/>
      <c r="Y27" s="21">
        <f t="shared" si="3"/>
        <v>0</v>
      </c>
      <c r="Z27" s="262"/>
      <c r="AA27" s="21">
        <f t="shared" si="1"/>
        <v>3924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0</v>
      </c>
      <c r="F28" s="281"/>
      <c r="G28" s="21"/>
      <c r="H28" s="33"/>
      <c r="I28" s="21">
        <v>0</v>
      </c>
      <c r="J28" s="57"/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f t="shared" si="2"/>
        <v>0</v>
      </c>
      <c r="X28" s="1"/>
      <c r="Y28" s="21">
        <f t="shared" si="3"/>
        <v>0</v>
      </c>
      <c r="Z28" s="262"/>
      <c r="AA28" s="21">
        <f t="shared" si="1"/>
        <v>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/>
      <c r="H30" s="33"/>
      <c r="I30" s="21">
        <v>0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97852</v>
      </c>
      <c r="F40" s="282"/>
      <c r="G40" s="23">
        <v>-68812</v>
      </c>
      <c r="H40" s="63"/>
      <c r="I40" s="23">
        <v>29040</v>
      </c>
      <c r="J40" s="58"/>
      <c r="K40" s="266">
        <v>8154.333333333333</v>
      </c>
      <c r="L40" s="266">
        <v>8154.333333333333</v>
      </c>
      <c r="M40" s="266">
        <v>8154.333333333333</v>
      </c>
      <c r="N40" s="266">
        <v>8154.333333333333</v>
      </c>
      <c r="O40" s="266">
        <v>8154.333333333333</v>
      </c>
      <c r="P40" s="266">
        <v>8154.333333333333</v>
      </c>
      <c r="Q40" s="266">
        <v>8154.333333333333</v>
      </c>
      <c r="R40" s="266">
        <v>8154.333333333333</v>
      </c>
      <c r="S40" s="266">
        <v>8154.333333333333</v>
      </c>
      <c r="T40" s="266">
        <v>8154.333333333333</v>
      </c>
      <c r="U40" s="266">
        <v>8154.333333333333</v>
      </c>
      <c r="V40" s="266">
        <v>8154.333333333333</v>
      </c>
      <c r="W40" s="266">
        <f>SUM(W14:W39)</f>
        <v>97852</v>
      </c>
      <c r="X40" s="265"/>
      <c r="Y40" s="266">
        <f>SUM(Y14:Y39)</f>
        <v>0</v>
      </c>
      <c r="Z40" s="267"/>
      <c r="AA40" s="266">
        <f>SUM(AA14:AA39)</f>
        <v>68812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0</v>
      </c>
      <c r="F41" s="281"/>
      <c r="G41" s="21"/>
      <c r="H41" s="33"/>
      <c r="I41" s="21">
        <v>0</v>
      </c>
      <c r="J41" s="57"/>
      <c r="K41" s="263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3">
        <v>0</v>
      </c>
      <c r="R41" s="263">
        <v>0</v>
      </c>
      <c r="S41" s="263">
        <v>0</v>
      </c>
      <c r="T41" s="263">
        <v>0</v>
      </c>
      <c r="U41" s="263">
        <v>0</v>
      </c>
      <c r="V41" s="263">
        <v>0</v>
      </c>
      <c r="W41" s="21">
        <f t="shared" si="2"/>
        <v>0</v>
      </c>
      <c r="X41" s="1"/>
      <c r="Y41" s="263">
        <f>W41-E41</f>
        <v>0</v>
      </c>
      <c r="Z41" s="264"/>
      <c r="AA41" s="263">
        <f>W41-I41</f>
        <v>0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0</v>
      </c>
      <c r="F42" s="281"/>
      <c r="G42" s="22"/>
      <c r="H42" s="33"/>
      <c r="I42" s="22">
        <v>0</v>
      </c>
      <c r="J42" s="57"/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2">
        <f t="shared" si="2"/>
        <v>0</v>
      </c>
      <c r="X42" s="261"/>
      <c r="Y42" s="268">
        <f>W42-E42</f>
        <v>0</v>
      </c>
      <c r="Z42" s="264"/>
      <c r="AA42" s="268">
        <f>W42-I42</f>
        <v>0</v>
      </c>
    </row>
    <row r="43" spans="1:27" x14ac:dyDescent="0.2">
      <c r="A43" s="240"/>
      <c r="B43" s="243" t="s">
        <v>17</v>
      </c>
      <c r="C43" s="244"/>
      <c r="D43" s="58"/>
      <c r="E43" s="23">
        <v>0</v>
      </c>
      <c r="F43" s="282"/>
      <c r="G43" s="23">
        <v>0</v>
      </c>
      <c r="H43" s="63"/>
      <c r="I43" s="23">
        <v>0</v>
      </c>
      <c r="J43" s="58"/>
      <c r="K43" s="266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6">
        <v>0</v>
      </c>
      <c r="R43" s="266">
        <v>0</v>
      </c>
      <c r="S43" s="266">
        <v>0</v>
      </c>
      <c r="T43" s="266">
        <v>0</v>
      </c>
      <c r="U43" s="266">
        <v>0</v>
      </c>
      <c r="V43" s="266">
        <v>0</v>
      </c>
      <c r="W43" s="23">
        <f t="shared" si="2"/>
        <v>0</v>
      </c>
      <c r="X43" s="269"/>
      <c r="Y43" s="270">
        <f>SUM(Y41:Y42)</f>
        <v>0</v>
      </c>
      <c r="Z43" s="271"/>
      <c r="AA43" s="270">
        <f>SUM(AA41:AA42)</f>
        <v>0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42051</v>
      </c>
      <c r="F46" s="281"/>
      <c r="G46" s="21">
        <v>5273</v>
      </c>
      <c r="H46" s="33"/>
      <c r="I46" s="21">
        <v>47324</v>
      </c>
      <c r="J46" s="57"/>
      <c r="K46" s="263">
        <v>4088.6358333333337</v>
      </c>
      <c r="L46" s="263">
        <v>4088.6358333333337</v>
      </c>
      <c r="M46" s="263">
        <v>4088.6358333333337</v>
      </c>
      <c r="N46" s="263">
        <v>4088.6358333333337</v>
      </c>
      <c r="O46" s="263">
        <v>4088.6358333333337</v>
      </c>
      <c r="P46" s="263">
        <v>4088.6358333333337</v>
      </c>
      <c r="Q46" s="263">
        <v>4088.6358333333337</v>
      </c>
      <c r="R46" s="263">
        <v>4088.6358333333337</v>
      </c>
      <c r="S46" s="263">
        <v>4088.6358333333337</v>
      </c>
      <c r="T46" s="263">
        <v>4088.6358333333337</v>
      </c>
      <c r="U46" s="263">
        <v>4088.6358333333337</v>
      </c>
      <c r="V46" s="263">
        <v>4088.6358333333337</v>
      </c>
      <c r="W46" s="21">
        <f>SUM(K46:V46)</f>
        <v>49063.630000000005</v>
      </c>
      <c r="X46" s="1"/>
      <c r="Y46" s="263">
        <f>W46-E46</f>
        <v>7012.6300000000047</v>
      </c>
      <c r="Z46" s="264"/>
      <c r="AA46" s="263">
        <f>W46-I46</f>
        <v>1739.6300000000047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7684</v>
      </c>
      <c r="F47" s="281"/>
      <c r="G47" s="22">
        <v>0</v>
      </c>
      <c r="H47" s="33"/>
      <c r="I47" s="21">
        <v>7684</v>
      </c>
      <c r="J47" s="57"/>
      <c r="K47" s="268">
        <v>640.32500000000005</v>
      </c>
      <c r="L47" s="268">
        <v>640.32500000000005</v>
      </c>
      <c r="M47" s="268">
        <v>640.32500000000005</v>
      </c>
      <c r="N47" s="268">
        <v>640.32500000000005</v>
      </c>
      <c r="O47" s="268">
        <v>640.32500000000005</v>
      </c>
      <c r="P47" s="268">
        <v>640.32500000000005</v>
      </c>
      <c r="Q47" s="268">
        <v>640.32500000000005</v>
      </c>
      <c r="R47" s="268">
        <v>640.32500000000005</v>
      </c>
      <c r="S47" s="268">
        <v>640.32500000000005</v>
      </c>
      <c r="T47" s="268">
        <v>640.32500000000005</v>
      </c>
      <c r="U47" s="268">
        <v>640.32500000000005</v>
      </c>
      <c r="V47" s="268">
        <v>640.32500000000005</v>
      </c>
      <c r="W47" s="22">
        <f>SUM(K47:V47)</f>
        <v>7683.8999999999987</v>
      </c>
      <c r="X47" s="1"/>
      <c r="Y47" s="268">
        <f>W47-E47</f>
        <v>-0.10000000000127329</v>
      </c>
      <c r="Z47" s="264"/>
      <c r="AA47" s="268">
        <f>W47-I47</f>
        <v>-0.10000000000127329</v>
      </c>
    </row>
    <row r="48" spans="1:27" x14ac:dyDescent="0.2">
      <c r="A48" s="240"/>
      <c r="B48" s="243" t="s">
        <v>17</v>
      </c>
      <c r="C48" s="244"/>
      <c r="D48" s="58"/>
      <c r="E48" s="24">
        <v>49735</v>
      </c>
      <c r="F48" s="282"/>
      <c r="G48" s="24">
        <v>5273</v>
      </c>
      <c r="H48" s="63"/>
      <c r="I48" s="24">
        <v>55008</v>
      </c>
      <c r="J48" s="58"/>
      <c r="K48" s="24">
        <v>4728.9608333333335</v>
      </c>
      <c r="L48" s="24">
        <v>4728.9608333333335</v>
      </c>
      <c r="M48" s="24">
        <v>4728.9608333333335</v>
      </c>
      <c r="N48" s="24">
        <v>4728.9608333333335</v>
      </c>
      <c r="O48" s="24">
        <v>4728.9608333333335</v>
      </c>
      <c r="P48" s="24">
        <v>4728.9608333333335</v>
      </c>
      <c r="Q48" s="24">
        <v>4728.9608333333335</v>
      </c>
      <c r="R48" s="24">
        <v>4728.9608333333335</v>
      </c>
      <c r="S48" s="24">
        <v>4728.9608333333335</v>
      </c>
      <c r="T48" s="24">
        <v>4728.9608333333335</v>
      </c>
      <c r="U48" s="24">
        <v>4728.9608333333335</v>
      </c>
      <c r="V48" s="24">
        <v>4728.9608333333335</v>
      </c>
      <c r="W48" s="24">
        <f t="shared" ref="W48:W55" si="4">SUM(K48:V48)</f>
        <v>56747.529999999992</v>
      </c>
      <c r="X48" s="265"/>
      <c r="Y48" s="24">
        <f>SUM(Y44:Y47)</f>
        <v>7012.5300000000034</v>
      </c>
      <c r="Z48" s="267"/>
      <c r="AA48" s="24">
        <f>SUM(AA44:AA47)</f>
        <v>1739.5300000000034</v>
      </c>
    </row>
    <row r="49" spans="1:32" x14ac:dyDescent="0.2">
      <c r="A49" s="245" t="s">
        <v>18</v>
      </c>
      <c r="B49" s="245"/>
      <c r="C49" s="242"/>
      <c r="D49" s="57"/>
      <c r="E49" s="24">
        <v>147587</v>
      </c>
      <c r="F49" s="282"/>
      <c r="G49" s="24">
        <v>-63539</v>
      </c>
      <c r="H49" s="63"/>
      <c r="I49" s="24">
        <v>84048</v>
      </c>
      <c r="J49" s="57"/>
      <c r="K49" s="24">
        <v>12883.294166666667</v>
      </c>
      <c r="L49" s="24">
        <v>12883.294166666667</v>
      </c>
      <c r="M49" s="24">
        <v>12883.294166666667</v>
      </c>
      <c r="N49" s="24">
        <v>12883.294166666667</v>
      </c>
      <c r="O49" s="24">
        <v>12883.294166666667</v>
      </c>
      <c r="P49" s="24">
        <v>12883.294166666667</v>
      </c>
      <c r="Q49" s="24">
        <v>12883.294166666667</v>
      </c>
      <c r="R49" s="24">
        <v>12883.294166666667</v>
      </c>
      <c r="S49" s="24">
        <v>12883.294166666667</v>
      </c>
      <c r="T49" s="24">
        <v>12883.294166666667</v>
      </c>
      <c r="U49" s="24">
        <v>12883.294166666667</v>
      </c>
      <c r="V49" s="24">
        <v>12883.294166666667</v>
      </c>
      <c r="W49" s="24">
        <f t="shared" si="4"/>
        <v>154599.52999999997</v>
      </c>
      <c r="X49" s="1"/>
      <c r="Y49" s="24">
        <f>W49-E49</f>
        <v>7012.5299999999697</v>
      </c>
      <c r="Z49" s="267"/>
      <c r="AA49" s="24">
        <f>W49-I49</f>
        <v>70551.52999999997</v>
      </c>
    </row>
    <row r="50" spans="1:32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2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2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2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2" x14ac:dyDescent="0.2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2" ht="13.5" thickBot="1" x14ac:dyDescent="0.25">
      <c r="A55" s="240"/>
      <c r="B55" s="243" t="s">
        <v>17</v>
      </c>
      <c r="C55" s="244"/>
      <c r="D55" s="58"/>
      <c r="E55" s="273">
        <f>SUM(E51:E54)</f>
        <v>0</v>
      </c>
      <c r="F55" s="282"/>
      <c r="G55" s="273">
        <f>SUM(G51:G54)</f>
        <v>0</v>
      </c>
      <c r="H55" s="63"/>
      <c r="I55" s="273">
        <f>SUM(I51:I54)</f>
        <v>0</v>
      </c>
      <c r="J55" s="58"/>
      <c r="K55" s="273">
        <f t="shared" ref="K55:V55" si="5">SUM(K51:K54)</f>
        <v>0</v>
      </c>
      <c r="L55" s="273">
        <f t="shared" si="5"/>
        <v>0</v>
      </c>
      <c r="M55" s="273">
        <f t="shared" si="5"/>
        <v>0</v>
      </c>
      <c r="N55" s="273">
        <f t="shared" si="5"/>
        <v>0</v>
      </c>
      <c r="O55" s="273">
        <f t="shared" si="5"/>
        <v>0</v>
      </c>
      <c r="P55" s="273">
        <f t="shared" si="5"/>
        <v>0</v>
      </c>
      <c r="Q55" s="273">
        <f t="shared" si="5"/>
        <v>0</v>
      </c>
      <c r="R55" s="273">
        <f t="shared" si="5"/>
        <v>0</v>
      </c>
      <c r="S55" s="273">
        <f t="shared" si="5"/>
        <v>0</v>
      </c>
      <c r="T55" s="273">
        <f t="shared" si="5"/>
        <v>0</v>
      </c>
      <c r="U55" s="273">
        <f t="shared" si="5"/>
        <v>0</v>
      </c>
      <c r="V55" s="273">
        <f t="shared" si="5"/>
        <v>0</v>
      </c>
      <c r="W55" s="273">
        <f t="shared" si="4"/>
        <v>0</v>
      </c>
      <c r="X55" s="269"/>
      <c r="Y55" s="273">
        <f>SUM(Y51:Y54)</f>
        <v>0</v>
      </c>
      <c r="Z55" s="267"/>
      <c r="AA55" s="273">
        <f>W55-I55</f>
        <v>0</v>
      </c>
    </row>
    <row r="56" spans="1:32" ht="13.5" thickBot="1" x14ac:dyDescent="0.25">
      <c r="A56" s="246" t="s">
        <v>23</v>
      </c>
      <c r="B56" s="246"/>
      <c r="C56" s="247"/>
      <c r="D56" s="279"/>
      <c r="E56" s="274">
        <f>+E49+E55</f>
        <v>147587</v>
      </c>
      <c r="F56" s="283"/>
      <c r="G56" s="274">
        <f>+G49+G55</f>
        <v>-63539</v>
      </c>
      <c r="H56" s="284"/>
      <c r="I56" s="274">
        <f>+I49+I55</f>
        <v>84048</v>
      </c>
      <c r="J56" s="279"/>
      <c r="K56" s="274">
        <f>+K49+K55</f>
        <v>12883.294166666667</v>
      </c>
      <c r="L56" s="274">
        <f t="shared" ref="L56:Y56" si="6">+L49+L55</f>
        <v>12883.294166666667</v>
      </c>
      <c r="M56" s="274">
        <f t="shared" si="6"/>
        <v>12883.294166666667</v>
      </c>
      <c r="N56" s="274">
        <f t="shared" si="6"/>
        <v>12883.294166666667</v>
      </c>
      <c r="O56" s="274">
        <f t="shared" si="6"/>
        <v>12883.294166666667</v>
      </c>
      <c r="P56" s="274">
        <f t="shared" si="6"/>
        <v>12883.294166666667</v>
      </c>
      <c r="Q56" s="274">
        <f t="shared" si="6"/>
        <v>12883.294166666667</v>
      </c>
      <c r="R56" s="274">
        <f t="shared" si="6"/>
        <v>12883.294166666667</v>
      </c>
      <c r="S56" s="274">
        <f t="shared" si="6"/>
        <v>12883.294166666667</v>
      </c>
      <c r="T56" s="274">
        <f t="shared" si="6"/>
        <v>12883.294166666667</v>
      </c>
      <c r="U56" s="274">
        <f t="shared" si="6"/>
        <v>12883.294166666667</v>
      </c>
      <c r="V56" s="274">
        <f t="shared" si="6"/>
        <v>12883.294166666667</v>
      </c>
      <c r="W56" s="274">
        <f t="shared" si="6"/>
        <v>154599.52999999997</v>
      </c>
      <c r="X56" s="269"/>
      <c r="Y56" s="274">
        <f t="shared" si="6"/>
        <v>7012.5299999999697</v>
      </c>
      <c r="Z56" s="275"/>
      <c r="AA56" s="274">
        <f>+AA49+AA55</f>
        <v>70551.52999999997</v>
      </c>
    </row>
    <row r="57" spans="1:32" x14ac:dyDescent="0.2">
      <c r="C57"/>
      <c r="D57"/>
      <c r="E57"/>
    </row>
    <row r="58" spans="1:32" x14ac:dyDescent="0.2"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2" x14ac:dyDescent="0.2">
      <c r="A59" s="12" t="s">
        <v>24</v>
      </c>
      <c r="C59" s="1"/>
      <c r="G59" s="1"/>
      <c r="H59" s="7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32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2" x14ac:dyDescent="0.2">
      <c r="C61"/>
      <c r="H61" s="71"/>
      <c r="J61" t="s">
        <v>4</v>
      </c>
      <c r="K61" s="26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2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285">
        <v>0</v>
      </c>
      <c r="K62" s="20">
        <f>IF($J62=0,0,K$56*$J62)</f>
        <v>0</v>
      </c>
      <c r="L62" s="20">
        <f t="shared" ref="L62:V70" si="7">IF($J62=0,0,L$56*$J62)</f>
        <v>0</v>
      </c>
      <c r="M62" s="20">
        <f t="shared" si="7"/>
        <v>0</v>
      </c>
      <c r="N62" s="20">
        <f t="shared" si="7"/>
        <v>0</v>
      </c>
      <c r="O62" s="20">
        <f t="shared" si="7"/>
        <v>0</v>
      </c>
      <c r="P62" s="20">
        <f t="shared" si="7"/>
        <v>0</v>
      </c>
      <c r="Q62" s="20">
        <f t="shared" si="7"/>
        <v>0</v>
      </c>
      <c r="R62" s="20">
        <f t="shared" si="7"/>
        <v>0</v>
      </c>
      <c r="S62" s="20">
        <f t="shared" si="7"/>
        <v>0</v>
      </c>
      <c r="T62" s="20">
        <f t="shared" si="7"/>
        <v>0</v>
      </c>
      <c r="U62" s="20">
        <f t="shared" si="7"/>
        <v>0</v>
      </c>
      <c r="V62" s="20">
        <f t="shared" si="7"/>
        <v>0</v>
      </c>
      <c r="W62" s="286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  <c r="AF62" s="100" t="e">
        <f>C62/#REF!</f>
        <v>#REF!</v>
      </c>
    </row>
    <row r="63" spans="1:32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>
        <f t="shared" ref="K63:V80" si="8">IF($J63=0,0,K$56*$J63)</f>
        <v>0</v>
      </c>
      <c r="L63" s="21">
        <f t="shared" si="7"/>
        <v>0</v>
      </c>
      <c r="M63" s="21">
        <f t="shared" si="7"/>
        <v>0</v>
      </c>
      <c r="N63" s="21">
        <f t="shared" si="7"/>
        <v>0</v>
      </c>
      <c r="O63" s="21">
        <f t="shared" si="7"/>
        <v>0</v>
      </c>
      <c r="P63" s="21">
        <f t="shared" si="7"/>
        <v>0</v>
      </c>
      <c r="Q63" s="21">
        <f t="shared" si="7"/>
        <v>0</v>
      </c>
      <c r="R63" s="21">
        <f t="shared" si="7"/>
        <v>0</v>
      </c>
      <c r="S63" s="21">
        <f t="shared" si="7"/>
        <v>0</v>
      </c>
      <c r="T63" s="21">
        <f t="shared" si="7"/>
        <v>0</v>
      </c>
      <c r="U63" s="21">
        <f t="shared" si="7"/>
        <v>0</v>
      </c>
      <c r="V63" s="21">
        <f t="shared" si="7"/>
        <v>0</v>
      </c>
      <c r="W63" s="21">
        <f t="shared" ref="W63:W80" si="9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  <c r="AF63" s="100" t="e">
        <f>C63/#REF!</f>
        <v>#REF!</v>
      </c>
    </row>
    <row r="64" spans="1:32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f t="shared" si="8"/>
        <v>0</v>
      </c>
      <c r="L64" s="21">
        <f t="shared" si="7"/>
        <v>0</v>
      </c>
      <c r="M64" s="21">
        <f t="shared" si="7"/>
        <v>0</v>
      </c>
      <c r="N64" s="21">
        <f t="shared" si="7"/>
        <v>0</v>
      </c>
      <c r="O64" s="21">
        <f t="shared" si="7"/>
        <v>0</v>
      </c>
      <c r="P64" s="21">
        <f t="shared" si="7"/>
        <v>0</v>
      </c>
      <c r="Q64" s="21">
        <f t="shared" si="7"/>
        <v>0</v>
      </c>
      <c r="R64" s="21">
        <f t="shared" si="7"/>
        <v>0</v>
      </c>
      <c r="S64" s="21">
        <f t="shared" si="7"/>
        <v>0</v>
      </c>
      <c r="T64" s="21">
        <f t="shared" si="7"/>
        <v>0</v>
      </c>
      <c r="U64" s="21">
        <f t="shared" si="7"/>
        <v>0</v>
      </c>
      <c r="V64" s="21">
        <f t="shared" si="7"/>
        <v>0</v>
      </c>
      <c r="W64" s="21">
        <f t="shared" si="9"/>
        <v>0</v>
      </c>
      <c r="X64" s="33"/>
      <c r="Y64" s="21">
        <f t="shared" ref="Y64:Y80" si="10">$W64-E64</f>
        <v>0</v>
      </c>
      <c r="Z64" s="33"/>
      <c r="AA64" s="21">
        <f t="shared" ref="AA64:AA80" si="11">$W64-I64</f>
        <v>0</v>
      </c>
      <c r="AE64" s="80"/>
      <c r="AF64" s="100" t="e">
        <f>C64/#REF!</f>
        <v>#REF!</v>
      </c>
    </row>
    <row r="65" spans="2:32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f t="shared" ref="K65:V65" si="12">IF($J65=0,0,K$56*$J65)</f>
        <v>0</v>
      </c>
      <c r="L65" s="21">
        <f t="shared" si="12"/>
        <v>0</v>
      </c>
      <c r="M65" s="21">
        <f t="shared" si="12"/>
        <v>0</v>
      </c>
      <c r="N65" s="21">
        <f t="shared" si="12"/>
        <v>0</v>
      </c>
      <c r="O65" s="21">
        <f t="shared" si="12"/>
        <v>0</v>
      </c>
      <c r="P65" s="21">
        <f t="shared" si="12"/>
        <v>0</v>
      </c>
      <c r="Q65" s="21">
        <f t="shared" si="12"/>
        <v>0</v>
      </c>
      <c r="R65" s="21">
        <f t="shared" si="12"/>
        <v>0</v>
      </c>
      <c r="S65" s="21">
        <f t="shared" si="12"/>
        <v>0</v>
      </c>
      <c r="T65" s="21">
        <f t="shared" si="12"/>
        <v>0</v>
      </c>
      <c r="U65" s="21">
        <f t="shared" si="12"/>
        <v>0</v>
      </c>
      <c r="V65" s="21">
        <f t="shared" si="12"/>
        <v>0</v>
      </c>
      <c r="W65" s="21">
        <f>SUM(K65:V65)</f>
        <v>0</v>
      </c>
      <c r="X65" s="33"/>
      <c r="Y65" s="21">
        <f t="shared" si="10"/>
        <v>0</v>
      </c>
      <c r="Z65" s="33"/>
      <c r="AA65" s="21">
        <f t="shared" si="11"/>
        <v>0</v>
      </c>
      <c r="AE65" s="80"/>
      <c r="AF65" s="100" t="e">
        <f>C65/#REF!</f>
        <v>#REF!</v>
      </c>
    </row>
    <row r="66" spans="2:32" x14ac:dyDescent="0.2">
      <c r="B66" s="249" t="s">
        <v>29</v>
      </c>
      <c r="C66" s="249">
        <v>912</v>
      </c>
      <c r="D66" s="81"/>
      <c r="E66" s="80">
        <v>404133</v>
      </c>
      <c r="F66" s="29"/>
      <c r="G66" s="27"/>
      <c r="H66" s="80"/>
      <c r="I66" s="21">
        <v>404133</v>
      </c>
      <c r="J66" s="31">
        <f>'Overhead Allocation'!E55</f>
        <v>0.27025862068965523</v>
      </c>
      <c r="K66" s="21">
        <f t="shared" si="8"/>
        <v>3481.8213114224145</v>
      </c>
      <c r="L66" s="21">
        <f t="shared" si="7"/>
        <v>3481.8213114224145</v>
      </c>
      <c r="M66" s="21">
        <f t="shared" si="7"/>
        <v>3481.8213114224145</v>
      </c>
      <c r="N66" s="21">
        <f t="shared" si="7"/>
        <v>3481.8213114224145</v>
      </c>
      <c r="O66" s="21">
        <f t="shared" si="7"/>
        <v>3481.8213114224145</v>
      </c>
      <c r="P66" s="21">
        <f t="shared" si="7"/>
        <v>3481.8213114224145</v>
      </c>
      <c r="Q66" s="21">
        <f t="shared" si="7"/>
        <v>3481.8213114224145</v>
      </c>
      <c r="R66" s="21">
        <f t="shared" si="7"/>
        <v>3481.8213114224145</v>
      </c>
      <c r="S66" s="21">
        <f t="shared" si="7"/>
        <v>3481.8213114224145</v>
      </c>
      <c r="T66" s="21">
        <f t="shared" si="7"/>
        <v>3481.8213114224145</v>
      </c>
      <c r="U66" s="21">
        <f t="shared" si="7"/>
        <v>3481.8213114224145</v>
      </c>
      <c r="V66" s="21">
        <f t="shared" si="7"/>
        <v>3481.8213114224145</v>
      </c>
      <c r="W66" s="21">
        <f t="shared" si="9"/>
        <v>41781.85573706896</v>
      </c>
      <c r="X66" s="33"/>
      <c r="Y66" s="21">
        <f t="shared" si="10"/>
        <v>-362351.14426293102</v>
      </c>
      <c r="Z66" s="33"/>
      <c r="AA66" s="21">
        <f t="shared" si="11"/>
        <v>-362351.14426293102</v>
      </c>
      <c r="AE66" s="80"/>
      <c r="AF66" s="100" t="e">
        <f>C66/#REF!</f>
        <v>#REF!</v>
      </c>
    </row>
    <row r="67" spans="2:32" x14ac:dyDescent="0.2">
      <c r="B67" s="249" t="s">
        <v>30</v>
      </c>
      <c r="C67" s="249">
        <v>913</v>
      </c>
      <c r="D67" s="81"/>
      <c r="E67" s="80">
        <v>389308</v>
      </c>
      <c r="F67" s="29"/>
      <c r="G67" s="27"/>
      <c r="H67" s="80"/>
      <c r="I67" s="21">
        <v>389308</v>
      </c>
      <c r="J67" s="31">
        <f>'Overhead Allocation'!F55</f>
        <v>0.26034482758620692</v>
      </c>
      <c r="K67" s="21">
        <f t="shared" si="8"/>
        <v>3354.0989985632186</v>
      </c>
      <c r="L67" s="21">
        <f t="shared" si="8"/>
        <v>3354.0989985632186</v>
      </c>
      <c r="M67" s="21">
        <f t="shared" si="8"/>
        <v>3354.0989985632186</v>
      </c>
      <c r="N67" s="21">
        <f t="shared" si="8"/>
        <v>3354.0989985632186</v>
      </c>
      <c r="O67" s="21">
        <f t="shared" si="8"/>
        <v>3354.0989985632186</v>
      </c>
      <c r="P67" s="21">
        <f t="shared" si="8"/>
        <v>3354.0989985632186</v>
      </c>
      <c r="Q67" s="21">
        <f t="shared" si="8"/>
        <v>3354.0989985632186</v>
      </c>
      <c r="R67" s="21">
        <f t="shared" si="8"/>
        <v>3354.0989985632186</v>
      </c>
      <c r="S67" s="21">
        <f t="shared" si="8"/>
        <v>3354.0989985632186</v>
      </c>
      <c r="T67" s="21">
        <f t="shared" si="8"/>
        <v>3354.0989985632186</v>
      </c>
      <c r="U67" s="21">
        <f t="shared" si="8"/>
        <v>3354.0989985632186</v>
      </c>
      <c r="V67" s="21">
        <f t="shared" si="8"/>
        <v>3354.0989985632186</v>
      </c>
      <c r="W67" s="21">
        <f t="shared" si="9"/>
        <v>40249.187982758624</v>
      </c>
      <c r="X67" s="33"/>
      <c r="Y67" s="21">
        <f t="shared" si="10"/>
        <v>-349058.81201724138</v>
      </c>
      <c r="Z67" s="33"/>
      <c r="AA67" s="21">
        <f t="shared" si="11"/>
        <v>-349058.81201724138</v>
      </c>
      <c r="AE67" s="80"/>
      <c r="AF67" s="100" t="e">
        <f>C67/#REF!</f>
        <v>#REF!</v>
      </c>
    </row>
    <row r="68" spans="2:32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f t="shared" si="8"/>
        <v>0</v>
      </c>
      <c r="L68" s="21">
        <f t="shared" si="7"/>
        <v>0</v>
      </c>
      <c r="M68" s="21">
        <f t="shared" si="7"/>
        <v>0</v>
      </c>
      <c r="N68" s="21">
        <f t="shared" si="7"/>
        <v>0</v>
      </c>
      <c r="O68" s="21">
        <f t="shared" si="7"/>
        <v>0</v>
      </c>
      <c r="P68" s="21">
        <f t="shared" si="7"/>
        <v>0</v>
      </c>
      <c r="Q68" s="21">
        <f t="shared" si="7"/>
        <v>0</v>
      </c>
      <c r="R68" s="21">
        <f t="shared" si="7"/>
        <v>0</v>
      </c>
      <c r="S68" s="21">
        <f t="shared" si="7"/>
        <v>0</v>
      </c>
      <c r="T68" s="21">
        <f t="shared" si="7"/>
        <v>0</v>
      </c>
      <c r="U68" s="21">
        <f t="shared" si="7"/>
        <v>0</v>
      </c>
      <c r="V68" s="21">
        <f t="shared" si="7"/>
        <v>0</v>
      </c>
      <c r="W68" s="21">
        <f t="shared" si="9"/>
        <v>0</v>
      </c>
      <c r="X68" s="33"/>
      <c r="Y68" s="21">
        <f t="shared" si="10"/>
        <v>0</v>
      </c>
      <c r="Z68" s="33"/>
      <c r="AA68" s="21">
        <f t="shared" si="11"/>
        <v>0</v>
      </c>
      <c r="AE68" s="80"/>
      <c r="AF68" s="100" t="e">
        <f>C68/#REF!</f>
        <v>#REF!</v>
      </c>
    </row>
    <row r="69" spans="2:32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>
        <f t="shared" si="8"/>
        <v>0</v>
      </c>
      <c r="L69" s="21">
        <f t="shared" si="7"/>
        <v>0</v>
      </c>
      <c r="M69" s="21">
        <f t="shared" si="7"/>
        <v>0</v>
      </c>
      <c r="N69" s="21">
        <f t="shared" si="7"/>
        <v>0</v>
      </c>
      <c r="O69" s="21">
        <f t="shared" si="7"/>
        <v>0</v>
      </c>
      <c r="P69" s="21">
        <f t="shared" si="7"/>
        <v>0</v>
      </c>
      <c r="Q69" s="21">
        <f t="shared" si="7"/>
        <v>0</v>
      </c>
      <c r="R69" s="21">
        <f t="shared" si="7"/>
        <v>0</v>
      </c>
      <c r="S69" s="21">
        <f t="shared" si="7"/>
        <v>0</v>
      </c>
      <c r="T69" s="21">
        <f t="shared" si="7"/>
        <v>0</v>
      </c>
      <c r="U69" s="21">
        <f t="shared" si="7"/>
        <v>0</v>
      </c>
      <c r="V69" s="21">
        <f t="shared" si="7"/>
        <v>0</v>
      </c>
      <c r="W69" s="21">
        <f t="shared" si="9"/>
        <v>0</v>
      </c>
      <c r="X69" s="33"/>
      <c r="Y69" s="21">
        <f t="shared" si="10"/>
        <v>0</v>
      </c>
      <c r="Z69" s="33"/>
      <c r="AA69" s="21">
        <f t="shared" si="11"/>
        <v>0</v>
      </c>
      <c r="AE69" s="80"/>
      <c r="AF69" s="100" t="e">
        <f>C69/#REF!</f>
        <v>#REF!</v>
      </c>
    </row>
    <row r="70" spans="2:32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f t="shared" si="8"/>
        <v>0</v>
      </c>
      <c r="L70" s="21">
        <f t="shared" si="7"/>
        <v>0</v>
      </c>
      <c r="M70" s="21">
        <f t="shared" si="7"/>
        <v>0</v>
      </c>
      <c r="N70" s="21">
        <f t="shared" si="7"/>
        <v>0</v>
      </c>
      <c r="O70" s="21">
        <f t="shared" si="7"/>
        <v>0</v>
      </c>
      <c r="P70" s="21">
        <f t="shared" si="7"/>
        <v>0</v>
      </c>
      <c r="Q70" s="21">
        <f t="shared" si="7"/>
        <v>0</v>
      </c>
      <c r="R70" s="21">
        <f t="shared" si="7"/>
        <v>0</v>
      </c>
      <c r="S70" s="21">
        <f t="shared" si="7"/>
        <v>0</v>
      </c>
      <c r="T70" s="21">
        <f t="shared" si="7"/>
        <v>0</v>
      </c>
      <c r="U70" s="21">
        <f t="shared" si="7"/>
        <v>0</v>
      </c>
      <c r="V70" s="21">
        <f t="shared" si="7"/>
        <v>0</v>
      </c>
      <c r="W70" s="21">
        <f t="shared" si="9"/>
        <v>0</v>
      </c>
      <c r="X70" s="33"/>
      <c r="Y70" s="21">
        <f t="shared" si="10"/>
        <v>0</v>
      </c>
      <c r="Z70" s="33"/>
      <c r="AA70" s="21">
        <f t="shared" si="11"/>
        <v>0</v>
      </c>
      <c r="AE70" s="80"/>
      <c r="AF70" s="100" t="e">
        <f>C70/#REF!</f>
        <v>#REF!</v>
      </c>
    </row>
    <row r="71" spans="2:32" x14ac:dyDescent="0.2">
      <c r="B71" s="249" t="s">
        <v>34</v>
      </c>
      <c r="C71" s="249">
        <v>930</v>
      </c>
      <c r="D71" s="81"/>
      <c r="E71" s="80">
        <v>527240</v>
      </c>
      <c r="F71" s="29"/>
      <c r="G71" s="27"/>
      <c r="H71" s="80"/>
      <c r="I71" s="21">
        <v>527240</v>
      </c>
      <c r="J71" s="31">
        <f>'Overhead Allocation'!D55</f>
        <v>0.35258620689655173</v>
      </c>
      <c r="K71" s="21">
        <f t="shared" ref="K71:V71" si="13">IF($J71=0,0,K$56*$J71)</f>
        <v>4542.4718225574716</v>
      </c>
      <c r="L71" s="21">
        <f t="shared" si="13"/>
        <v>4542.4718225574716</v>
      </c>
      <c r="M71" s="21">
        <f t="shared" si="13"/>
        <v>4542.4718225574716</v>
      </c>
      <c r="N71" s="21">
        <f t="shared" si="13"/>
        <v>4542.4718225574716</v>
      </c>
      <c r="O71" s="21">
        <f t="shared" si="13"/>
        <v>4542.4718225574716</v>
      </c>
      <c r="P71" s="21">
        <f t="shared" si="13"/>
        <v>4542.4718225574716</v>
      </c>
      <c r="Q71" s="21">
        <f t="shared" si="13"/>
        <v>4542.4718225574716</v>
      </c>
      <c r="R71" s="21">
        <f t="shared" si="13"/>
        <v>4542.4718225574716</v>
      </c>
      <c r="S71" s="21">
        <f t="shared" si="13"/>
        <v>4542.4718225574716</v>
      </c>
      <c r="T71" s="21">
        <f t="shared" si="13"/>
        <v>4542.4718225574716</v>
      </c>
      <c r="U71" s="21">
        <f t="shared" si="13"/>
        <v>4542.4718225574716</v>
      </c>
      <c r="V71" s="21">
        <f t="shared" si="13"/>
        <v>4542.4718225574716</v>
      </c>
      <c r="W71" s="21">
        <f t="shared" si="9"/>
        <v>54509.661870689648</v>
      </c>
      <c r="X71" s="33"/>
      <c r="Y71" s="21">
        <f t="shared" si="10"/>
        <v>-472730.33812931034</v>
      </c>
      <c r="Z71" s="33"/>
      <c r="AA71" s="21">
        <f t="shared" si="11"/>
        <v>-472730.33812931034</v>
      </c>
      <c r="AE71" s="80"/>
      <c r="AF71" s="100" t="e">
        <f>C71/#REF!</f>
        <v>#REF!</v>
      </c>
    </row>
    <row r="72" spans="2:32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f t="shared" si="8"/>
        <v>0</v>
      </c>
      <c r="L72" s="21">
        <f t="shared" si="8"/>
        <v>0</v>
      </c>
      <c r="M72" s="21">
        <f t="shared" si="8"/>
        <v>0</v>
      </c>
      <c r="N72" s="21">
        <f t="shared" si="8"/>
        <v>0</v>
      </c>
      <c r="O72" s="21">
        <f t="shared" si="8"/>
        <v>0</v>
      </c>
      <c r="P72" s="21">
        <f t="shared" si="8"/>
        <v>0</v>
      </c>
      <c r="Q72" s="21">
        <f t="shared" si="8"/>
        <v>0</v>
      </c>
      <c r="R72" s="21">
        <f t="shared" si="8"/>
        <v>0</v>
      </c>
      <c r="S72" s="21">
        <f t="shared" si="8"/>
        <v>0</v>
      </c>
      <c r="T72" s="21">
        <f t="shared" si="8"/>
        <v>0</v>
      </c>
      <c r="U72" s="21">
        <f t="shared" si="8"/>
        <v>0</v>
      </c>
      <c r="V72" s="21">
        <f t="shared" si="8"/>
        <v>0</v>
      </c>
      <c r="W72" s="21">
        <f t="shared" si="9"/>
        <v>0</v>
      </c>
      <c r="X72" s="33"/>
      <c r="Y72" s="21">
        <f t="shared" si="10"/>
        <v>0</v>
      </c>
      <c r="Z72" s="33"/>
      <c r="AA72" s="21">
        <f t="shared" si="11"/>
        <v>0</v>
      </c>
      <c r="AE72" s="80"/>
      <c r="AF72" s="100" t="e">
        <f>C72/#REF!</f>
        <v>#REF!</v>
      </c>
    </row>
    <row r="73" spans="2:32" x14ac:dyDescent="0.2">
      <c r="B73" s="249" t="s">
        <v>36</v>
      </c>
      <c r="C73" s="249">
        <v>942</v>
      </c>
      <c r="D73" s="81"/>
      <c r="E73" s="80">
        <v>16758</v>
      </c>
      <c r="F73" s="29"/>
      <c r="G73" s="27"/>
      <c r="H73" s="80"/>
      <c r="I73" s="21">
        <v>16758</v>
      </c>
      <c r="J73" s="31">
        <f>'Overhead Allocation'!K55</f>
        <v>1.1206896551724141E-2</v>
      </c>
      <c r="K73" s="21">
        <f t="shared" si="8"/>
        <v>144.3817449712644</v>
      </c>
      <c r="L73" s="21">
        <f t="shared" si="8"/>
        <v>144.3817449712644</v>
      </c>
      <c r="M73" s="21">
        <f t="shared" si="8"/>
        <v>144.3817449712644</v>
      </c>
      <c r="N73" s="21">
        <f t="shared" si="8"/>
        <v>144.3817449712644</v>
      </c>
      <c r="O73" s="21">
        <f t="shared" si="8"/>
        <v>144.3817449712644</v>
      </c>
      <c r="P73" s="21">
        <f t="shared" si="8"/>
        <v>144.3817449712644</v>
      </c>
      <c r="Q73" s="21">
        <f t="shared" si="8"/>
        <v>144.3817449712644</v>
      </c>
      <c r="R73" s="21">
        <f t="shared" si="8"/>
        <v>144.3817449712644</v>
      </c>
      <c r="S73" s="21">
        <f t="shared" si="8"/>
        <v>144.3817449712644</v>
      </c>
      <c r="T73" s="21">
        <f t="shared" si="8"/>
        <v>144.3817449712644</v>
      </c>
      <c r="U73" s="21">
        <f t="shared" si="8"/>
        <v>144.3817449712644</v>
      </c>
      <c r="V73" s="21">
        <f t="shared" si="8"/>
        <v>144.3817449712644</v>
      </c>
      <c r="W73" s="21">
        <f t="shared" si="9"/>
        <v>1732.5809396551729</v>
      </c>
      <c r="X73" s="33"/>
      <c r="Y73" s="21">
        <f t="shared" si="10"/>
        <v>-15025.419060344828</v>
      </c>
      <c r="Z73" s="33"/>
      <c r="AA73" s="21">
        <f t="shared" si="11"/>
        <v>-15025.419060344828</v>
      </c>
      <c r="AE73" s="80"/>
      <c r="AF73" s="100" t="e">
        <f>C73/#REF!</f>
        <v>#REF!</v>
      </c>
    </row>
    <row r="74" spans="2:32" x14ac:dyDescent="0.2">
      <c r="B74" s="249" t="s">
        <v>39</v>
      </c>
      <c r="C74" s="249">
        <v>951</v>
      </c>
      <c r="D74" s="81"/>
      <c r="E74" s="80">
        <v>32228</v>
      </c>
      <c r="F74" s="29"/>
      <c r="G74" s="27"/>
      <c r="H74" s="80"/>
      <c r="I74" s="21">
        <v>32228</v>
      </c>
      <c r="J74" s="31">
        <f>'Overhead Allocation'!L55</f>
        <v>2.1551724137931036E-2</v>
      </c>
      <c r="K74" s="21">
        <f t="shared" si="8"/>
        <v>277.65720186781613</v>
      </c>
      <c r="L74" s="21">
        <f t="shared" si="8"/>
        <v>277.65720186781613</v>
      </c>
      <c r="M74" s="21">
        <f t="shared" si="8"/>
        <v>277.65720186781613</v>
      </c>
      <c r="N74" s="21">
        <f t="shared" si="8"/>
        <v>277.65720186781613</v>
      </c>
      <c r="O74" s="21">
        <f t="shared" si="8"/>
        <v>277.65720186781613</v>
      </c>
      <c r="P74" s="21">
        <f t="shared" si="8"/>
        <v>277.65720186781613</v>
      </c>
      <c r="Q74" s="21">
        <f t="shared" si="8"/>
        <v>277.65720186781613</v>
      </c>
      <c r="R74" s="21">
        <f t="shared" si="8"/>
        <v>277.65720186781613</v>
      </c>
      <c r="S74" s="21">
        <f t="shared" si="8"/>
        <v>277.65720186781613</v>
      </c>
      <c r="T74" s="21">
        <f t="shared" si="8"/>
        <v>277.65720186781613</v>
      </c>
      <c r="U74" s="21">
        <f t="shared" si="8"/>
        <v>277.65720186781613</v>
      </c>
      <c r="V74" s="21">
        <f t="shared" si="8"/>
        <v>277.65720186781613</v>
      </c>
      <c r="W74" s="21">
        <f t="shared" si="9"/>
        <v>3331.8864224137938</v>
      </c>
      <c r="X74" s="33"/>
      <c r="Y74" s="21">
        <f t="shared" si="10"/>
        <v>-28896.113577586206</v>
      </c>
      <c r="Z74" s="33"/>
      <c r="AA74" s="21">
        <f t="shared" si="11"/>
        <v>-28896.113577586206</v>
      </c>
      <c r="AE74" s="80"/>
      <c r="AF74" s="100" t="e">
        <f>C74/#REF!</f>
        <v>#REF!</v>
      </c>
    </row>
    <row r="75" spans="2:32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>
        <f t="shared" si="8"/>
        <v>0</v>
      </c>
      <c r="L75" s="21">
        <f t="shared" si="8"/>
        <v>0</v>
      </c>
      <c r="M75" s="21">
        <f t="shared" si="8"/>
        <v>0</v>
      </c>
      <c r="N75" s="21">
        <f t="shared" si="8"/>
        <v>0</v>
      </c>
      <c r="O75" s="21">
        <f t="shared" si="8"/>
        <v>0</v>
      </c>
      <c r="P75" s="21">
        <f t="shared" si="8"/>
        <v>0</v>
      </c>
      <c r="Q75" s="21">
        <f t="shared" si="8"/>
        <v>0</v>
      </c>
      <c r="R75" s="21">
        <f t="shared" si="8"/>
        <v>0</v>
      </c>
      <c r="S75" s="21">
        <f t="shared" si="8"/>
        <v>0</v>
      </c>
      <c r="T75" s="21">
        <f t="shared" si="8"/>
        <v>0</v>
      </c>
      <c r="U75" s="21">
        <f t="shared" si="8"/>
        <v>0</v>
      </c>
      <c r="V75" s="21">
        <f t="shared" si="8"/>
        <v>0</v>
      </c>
      <c r="W75" s="21">
        <f t="shared" si="9"/>
        <v>0</v>
      </c>
      <c r="X75" s="33"/>
      <c r="Y75" s="21">
        <f t="shared" si="10"/>
        <v>0</v>
      </c>
      <c r="Z75" s="33"/>
      <c r="AA75" s="21">
        <f t="shared" si="11"/>
        <v>0</v>
      </c>
      <c r="AE75" s="80"/>
      <c r="AF75" s="100" t="e">
        <f>C75/#REF!</f>
        <v>#REF!</v>
      </c>
    </row>
    <row r="76" spans="2:32" x14ac:dyDescent="0.2">
      <c r="B76" s="249" t="s">
        <v>152</v>
      </c>
      <c r="C76" s="249">
        <v>984</v>
      </c>
      <c r="D76" s="81"/>
      <c r="E76" s="80">
        <v>15469</v>
      </c>
      <c r="F76" s="29"/>
      <c r="G76" s="27"/>
      <c r="H76" s="80"/>
      <c r="I76" s="21">
        <v>15469</v>
      </c>
      <c r="J76" s="31">
        <f>'Overhead Allocation'!M55</f>
        <v>1.03448275862069E-2</v>
      </c>
      <c r="K76" s="21">
        <f t="shared" si="8"/>
        <v>133.27545689655176</v>
      </c>
      <c r="L76" s="21">
        <f t="shared" si="8"/>
        <v>133.27545689655176</v>
      </c>
      <c r="M76" s="21">
        <f t="shared" si="8"/>
        <v>133.27545689655176</v>
      </c>
      <c r="N76" s="21">
        <f t="shared" si="8"/>
        <v>133.27545689655176</v>
      </c>
      <c r="O76" s="21">
        <f t="shared" si="8"/>
        <v>133.27545689655176</v>
      </c>
      <c r="P76" s="21">
        <f t="shared" si="8"/>
        <v>133.27545689655176</v>
      </c>
      <c r="Q76" s="21">
        <f t="shared" si="8"/>
        <v>133.27545689655176</v>
      </c>
      <c r="R76" s="21">
        <f t="shared" si="8"/>
        <v>133.27545689655176</v>
      </c>
      <c r="S76" s="21">
        <f t="shared" si="8"/>
        <v>133.27545689655176</v>
      </c>
      <c r="T76" s="21">
        <f t="shared" si="8"/>
        <v>133.27545689655176</v>
      </c>
      <c r="U76" s="21">
        <f t="shared" si="8"/>
        <v>133.27545689655176</v>
      </c>
      <c r="V76" s="21">
        <f t="shared" si="8"/>
        <v>133.27545689655176</v>
      </c>
      <c r="W76" s="21">
        <f t="shared" si="9"/>
        <v>1599.3054827586211</v>
      </c>
      <c r="X76" s="33"/>
      <c r="Y76" s="21">
        <f t="shared" si="10"/>
        <v>-13869.69451724138</v>
      </c>
      <c r="Z76" s="33"/>
      <c r="AA76" s="21">
        <f t="shared" si="11"/>
        <v>-13869.69451724138</v>
      </c>
      <c r="AE76" s="80"/>
      <c r="AF76" s="100" t="e">
        <f>C76/#REF!</f>
        <v>#REF!</v>
      </c>
    </row>
    <row r="77" spans="2:32" x14ac:dyDescent="0.2">
      <c r="B77" s="249" t="s">
        <v>45</v>
      </c>
      <c r="C77" s="249">
        <v>981</v>
      </c>
      <c r="D77" s="81"/>
      <c r="E77" s="80">
        <v>13536</v>
      </c>
      <c r="F77" s="29"/>
      <c r="G77" s="27"/>
      <c r="H77" s="80"/>
      <c r="I77" s="21">
        <v>13536</v>
      </c>
      <c r="J77" s="31">
        <f>'Overhead Allocation'!J55</f>
        <v>9.0517241379310387E-3</v>
      </c>
      <c r="K77" s="21">
        <f t="shared" si="8"/>
        <v>116.61602478448282</v>
      </c>
      <c r="L77" s="21">
        <f t="shared" si="8"/>
        <v>116.61602478448282</v>
      </c>
      <c r="M77" s="21">
        <f t="shared" si="8"/>
        <v>116.61602478448282</v>
      </c>
      <c r="N77" s="21">
        <f t="shared" si="8"/>
        <v>116.61602478448282</v>
      </c>
      <c r="O77" s="21">
        <f t="shared" si="8"/>
        <v>116.61602478448282</v>
      </c>
      <c r="P77" s="21">
        <f t="shared" si="8"/>
        <v>116.61602478448282</v>
      </c>
      <c r="Q77" s="21">
        <f t="shared" si="8"/>
        <v>116.61602478448282</v>
      </c>
      <c r="R77" s="21">
        <f t="shared" si="8"/>
        <v>116.61602478448282</v>
      </c>
      <c r="S77" s="21">
        <f t="shared" si="8"/>
        <v>116.61602478448282</v>
      </c>
      <c r="T77" s="21">
        <f t="shared" si="8"/>
        <v>116.61602478448282</v>
      </c>
      <c r="U77" s="21">
        <f t="shared" si="8"/>
        <v>116.61602478448282</v>
      </c>
      <c r="V77" s="21">
        <f t="shared" si="8"/>
        <v>116.61602478448282</v>
      </c>
      <c r="W77" s="21">
        <f t="shared" si="9"/>
        <v>1399.3922974137934</v>
      </c>
      <c r="X77" s="33"/>
      <c r="Y77" s="21">
        <f t="shared" si="10"/>
        <v>-12136.607702586207</v>
      </c>
      <c r="Z77" s="33"/>
      <c r="AA77" s="21">
        <f t="shared" si="11"/>
        <v>-12136.607702586207</v>
      </c>
      <c r="AE77" s="80"/>
      <c r="AF77" s="100" t="e">
        <f>C77/#REF!</f>
        <v>#REF!</v>
      </c>
    </row>
    <row r="78" spans="2:32" x14ac:dyDescent="0.2">
      <c r="B78" s="249" t="s">
        <v>46</v>
      </c>
      <c r="C78" s="249">
        <v>983</v>
      </c>
      <c r="D78" s="81"/>
      <c r="E78" s="80">
        <v>96683</v>
      </c>
      <c r="F78" s="67"/>
      <c r="G78" s="27"/>
      <c r="H78" s="80"/>
      <c r="I78" s="21">
        <v>96683</v>
      </c>
      <c r="J78" s="31">
        <f>'Overhead Allocation'!H55+'Overhead Allocation'!I55</f>
        <v>6.4655172413793108E-2</v>
      </c>
      <c r="K78" s="21">
        <f t="shared" si="8"/>
        <v>832.97160560344832</v>
      </c>
      <c r="L78" s="21">
        <f t="shared" si="8"/>
        <v>832.97160560344832</v>
      </c>
      <c r="M78" s="21">
        <f t="shared" si="8"/>
        <v>832.97160560344832</v>
      </c>
      <c r="N78" s="21">
        <f t="shared" si="8"/>
        <v>832.97160560344832</v>
      </c>
      <c r="O78" s="21">
        <f t="shared" si="8"/>
        <v>832.97160560344832</v>
      </c>
      <c r="P78" s="21">
        <f t="shared" si="8"/>
        <v>832.97160560344832</v>
      </c>
      <c r="Q78" s="21">
        <f t="shared" si="8"/>
        <v>832.97160560344832</v>
      </c>
      <c r="R78" s="21">
        <f t="shared" si="8"/>
        <v>832.97160560344832</v>
      </c>
      <c r="S78" s="21">
        <f t="shared" si="8"/>
        <v>832.97160560344832</v>
      </c>
      <c r="T78" s="21">
        <f t="shared" si="8"/>
        <v>832.97160560344832</v>
      </c>
      <c r="U78" s="21">
        <f t="shared" si="8"/>
        <v>832.97160560344832</v>
      </c>
      <c r="V78" s="21">
        <f t="shared" si="8"/>
        <v>832.97160560344832</v>
      </c>
      <c r="W78" s="21">
        <f t="shared" si="9"/>
        <v>9995.6592672413808</v>
      </c>
      <c r="X78" s="33"/>
      <c r="Y78" s="21">
        <f t="shared" si="10"/>
        <v>-86687.340732758617</v>
      </c>
      <c r="Z78" s="33"/>
      <c r="AA78" s="21">
        <f t="shared" si="11"/>
        <v>-86687.340732758617</v>
      </c>
      <c r="AE78" s="80"/>
      <c r="AF78" s="100" t="e">
        <f>C78/#REF!</f>
        <v>#REF!</v>
      </c>
    </row>
    <row r="79" spans="2:32" x14ac:dyDescent="0.2">
      <c r="B79" s="249" t="s">
        <v>47</v>
      </c>
      <c r="C79" s="249"/>
      <c r="D79" s="81"/>
      <c r="E79" s="96">
        <v>0</v>
      </c>
      <c r="F79" s="67"/>
      <c r="G79" s="27"/>
      <c r="H79" s="96"/>
      <c r="I79" s="21">
        <v>0</v>
      </c>
      <c r="J79" s="31">
        <v>0</v>
      </c>
      <c r="K79" s="21">
        <f t="shared" si="8"/>
        <v>0</v>
      </c>
      <c r="L79" s="21">
        <f t="shared" si="8"/>
        <v>0</v>
      </c>
      <c r="M79" s="21">
        <f t="shared" si="8"/>
        <v>0</v>
      </c>
      <c r="N79" s="21">
        <f t="shared" si="8"/>
        <v>0</v>
      </c>
      <c r="O79" s="21">
        <f t="shared" si="8"/>
        <v>0</v>
      </c>
      <c r="P79" s="21">
        <f t="shared" si="8"/>
        <v>0</v>
      </c>
      <c r="Q79" s="21">
        <f t="shared" si="8"/>
        <v>0</v>
      </c>
      <c r="R79" s="21">
        <f t="shared" si="8"/>
        <v>0</v>
      </c>
      <c r="S79" s="21">
        <f t="shared" si="8"/>
        <v>0</v>
      </c>
      <c r="T79" s="21">
        <f t="shared" si="8"/>
        <v>0</v>
      </c>
      <c r="U79" s="21">
        <f t="shared" si="8"/>
        <v>0</v>
      </c>
      <c r="V79" s="21">
        <f t="shared" si="8"/>
        <v>0</v>
      </c>
      <c r="W79" s="21">
        <f t="shared" si="9"/>
        <v>0</v>
      </c>
      <c r="X79" s="33"/>
      <c r="Y79" s="21">
        <f t="shared" si="10"/>
        <v>0</v>
      </c>
      <c r="Z79" s="33"/>
      <c r="AA79" s="21">
        <f t="shared" si="11"/>
        <v>0</v>
      </c>
      <c r="AE79" s="80"/>
      <c r="AF79" s="100" t="e">
        <f>C79/#REF!</f>
        <v>#REF!</v>
      </c>
    </row>
    <row r="80" spans="2:32" ht="13.5" thickBot="1" x14ac:dyDescent="0.25">
      <c r="B80" s="249" t="s">
        <v>47</v>
      </c>
      <c r="C80" s="249"/>
      <c r="D80" s="81"/>
      <c r="E80" s="90">
        <v>0</v>
      </c>
      <c r="F80" s="67"/>
      <c r="G80" s="97"/>
      <c r="H80" s="90"/>
      <c r="I80" s="42">
        <v>0</v>
      </c>
      <c r="J80" s="36">
        <v>0</v>
      </c>
      <c r="K80" s="42">
        <f t="shared" si="8"/>
        <v>0</v>
      </c>
      <c r="L80" s="42">
        <f t="shared" si="8"/>
        <v>0</v>
      </c>
      <c r="M80" s="42">
        <f t="shared" si="8"/>
        <v>0</v>
      </c>
      <c r="N80" s="42">
        <f t="shared" si="8"/>
        <v>0</v>
      </c>
      <c r="O80" s="42">
        <f t="shared" si="8"/>
        <v>0</v>
      </c>
      <c r="P80" s="42">
        <f t="shared" si="8"/>
        <v>0</v>
      </c>
      <c r="Q80" s="42">
        <f t="shared" si="8"/>
        <v>0</v>
      </c>
      <c r="R80" s="42">
        <f t="shared" si="8"/>
        <v>0</v>
      </c>
      <c r="S80" s="42">
        <f t="shared" si="8"/>
        <v>0</v>
      </c>
      <c r="T80" s="42">
        <f t="shared" si="8"/>
        <v>0</v>
      </c>
      <c r="U80" s="42">
        <f t="shared" si="8"/>
        <v>0</v>
      </c>
      <c r="V80" s="42">
        <f t="shared" si="8"/>
        <v>0</v>
      </c>
      <c r="W80" s="35">
        <f t="shared" si="9"/>
        <v>0</v>
      </c>
      <c r="X80" s="33"/>
      <c r="Y80" s="21">
        <f t="shared" si="10"/>
        <v>0</v>
      </c>
      <c r="Z80" s="33"/>
      <c r="AA80" s="21">
        <f t="shared" si="11"/>
        <v>0</v>
      </c>
      <c r="AE80" s="90"/>
      <c r="AF80" s="100" t="e">
        <f>C80/#REF!</f>
        <v>#REF!</v>
      </c>
    </row>
    <row r="81" spans="1:32" ht="13.5" thickBot="1" x14ac:dyDescent="0.25">
      <c r="A81" s="69"/>
      <c r="B81" s="288" t="s">
        <v>48</v>
      </c>
      <c r="C81" s="288"/>
      <c r="D81" s="88"/>
      <c r="E81" s="101">
        <f>SUM(E62:E80)</f>
        <v>1495355</v>
      </c>
      <c r="F81" s="66"/>
      <c r="G81" s="101">
        <f>SUM(G62:G80)</f>
        <v>0</v>
      </c>
      <c r="H81" s="101"/>
      <c r="I81" s="101">
        <f>SUM(I62:I80)</f>
        <v>1495355</v>
      </c>
      <c r="J81" s="38">
        <f>SUM(J62:J80)</f>
        <v>1.0000000000000002</v>
      </c>
      <c r="K81" s="101">
        <f>SUM(K62:K80)</f>
        <v>12883.294166666668</v>
      </c>
      <c r="L81" s="101">
        <f t="shared" ref="L81:V81" si="14">SUM(L62:L80)</f>
        <v>12883.294166666668</v>
      </c>
      <c r="M81" s="101">
        <f t="shared" si="14"/>
        <v>12883.294166666668</v>
      </c>
      <c r="N81" s="101">
        <f t="shared" si="14"/>
        <v>12883.294166666668</v>
      </c>
      <c r="O81" s="101">
        <f t="shared" si="14"/>
        <v>12883.294166666668</v>
      </c>
      <c r="P81" s="101">
        <f t="shared" si="14"/>
        <v>12883.294166666668</v>
      </c>
      <c r="Q81" s="101">
        <f t="shared" si="14"/>
        <v>12883.294166666668</v>
      </c>
      <c r="R81" s="101">
        <f t="shared" si="14"/>
        <v>12883.294166666668</v>
      </c>
      <c r="S81" s="101">
        <f t="shared" si="14"/>
        <v>12883.294166666668</v>
      </c>
      <c r="T81" s="101">
        <f t="shared" si="14"/>
        <v>12883.294166666668</v>
      </c>
      <c r="U81" s="101">
        <f t="shared" si="14"/>
        <v>12883.294166666668</v>
      </c>
      <c r="V81" s="101">
        <f t="shared" si="14"/>
        <v>12883.294166666668</v>
      </c>
      <c r="W81" s="40">
        <f>SUM(W62:W80)</f>
        <v>154599.52999999994</v>
      </c>
      <c r="X81" s="58"/>
      <c r="Y81" s="40">
        <f>SUM(Y62:Y80)</f>
        <v>-1340755.4699999997</v>
      </c>
      <c r="Z81" s="63"/>
      <c r="AA81" s="40">
        <f>SUM(AA62:AA80)</f>
        <v>-1340755.4699999997</v>
      </c>
      <c r="AE81" s="189"/>
      <c r="AF81" s="100" t="e">
        <f>SUM(AF62:AF80)</f>
        <v>#REF!</v>
      </c>
    </row>
    <row r="82" spans="1:32" x14ac:dyDescent="0.2">
      <c r="A82" s="6"/>
      <c r="B82" s="233" t="s">
        <v>49</v>
      </c>
      <c r="C82" s="287"/>
      <c r="D82" s="85"/>
      <c r="E82" s="95">
        <f>+E81-E56</f>
        <v>1347768</v>
      </c>
      <c r="F82" s="68"/>
      <c r="G82" s="95">
        <f>+G81-G56</f>
        <v>63539</v>
      </c>
      <c r="H82" s="95"/>
      <c r="I82" s="95">
        <f t="shared" ref="I82:W82" si="15">+I81-I56</f>
        <v>1411307</v>
      </c>
      <c r="J82" s="65"/>
      <c r="K82" s="95">
        <f t="shared" si="15"/>
        <v>0</v>
      </c>
      <c r="L82" s="95">
        <f t="shared" si="15"/>
        <v>0</v>
      </c>
      <c r="M82" s="95">
        <f t="shared" si="15"/>
        <v>0</v>
      </c>
      <c r="N82" s="95">
        <f t="shared" si="15"/>
        <v>0</v>
      </c>
      <c r="O82" s="95">
        <f t="shared" si="15"/>
        <v>0</v>
      </c>
      <c r="P82" s="95">
        <f t="shared" si="15"/>
        <v>0</v>
      </c>
      <c r="Q82" s="95">
        <f t="shared" si="15"/>
        <v>0</v>
      </c>
      <c r="R82" s="95">
        <f t="shared" si="15"/>
        <v>0</v>
      </c>
      <c r="S82" s="95">
        <f t="shared" si="15"/>
        <v>0</v>
      </c>
      <c r="T82" s="95">
        <f t="shared" si="15"/>
        <v>0</v>
      </c>
      <c r="U82" s="95">
        <f t="shared" si="15"/>
        <v>0</v>
      </c>
      <c r="V82" s="95">
        <f t="shared" si="15"/>
        <v>0</v>
      </c>
      <c r="W82" s="95">
        <f t="shared" si="15"/>
        <v>0</v>
      </c>
      <c r="X82" s="56"/>
      <c r="Y82" s="95">
        <f>+Y81-Y56</f>
        <v>-1347767.9999999998</v>
      </c>
      <c r="Z82" s="94"/>
      <c r="AA82" s="95">
        <f>+AA81-AA56</f>
        <v>-1411306.9999999998</v>
      </c>
      <c r="AE82" s="190"/>
    </row>
    <row r="84" spans="1:32" x14ac:dyDescent="0.2">
      <c r="J84" s="6"/>
    </row>
  </sheetData>
  <printOptions horizontalCentered="1"/>
  <pageMargins left="0" right="0" top="0.38" bottom="0.22" header="0.25" footer="0.2"/>
  <pageSetup scale="71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Z23"/>
  <sheetViews>
    <sheetView showGridLines="0" topLeftCell="A10" workbookViewId="0">
      <selection activeCell="AB22" sqref="AB22"/>
    </sheetView>
  </sheetViews>
  <sheetFormatPr defaultRowHeight="12.75" x14ac:dyDescent="0.2"/>
  <cols>
    <col min="1" max="1" width="22.7109375" bestFit="1" customWidth="1"/>
    <col min="2" max="2" width="8.140625" customWidth="1"/>
    <col min="3" max="3" width="12.140625" customWidth="1"/>
    <col min="4" max="4" width="0.7109375" customWidth="1"/>
    <col min="5" max="5" width="11.28515625" customWidth="1"/>
    <col min="6" max="6" width="0.7109375" customWidth="1"/>
    <col min="7" max="7" width="11.85546875" bestFit="1" customWidth="1"/>
    <col min="8" max="8" width="0.85546875" customWidth="1"/>
    <col min="9" max="20" width="9.7109375" hidden="1" customWidth="1"/>
    <col min="21" max="21" width="11.28515625" bestFit="1" customWidth="1"/>
    <col min="22" max="22" width="1" customWidth="1"/>
    <col min="23" max="23" width="11.85546875" bestFit="1" customWidth="1"/>
    <col min="24" max="24" width="1.140625" customWidth="1"/>
    <col min="25" max="25" width="11.85546875" bestFit="1" customWidth="1"/>
    <col min="26" max="26" width="0.42578125" customWidth="1"/>
  </cols>
  <sheetData>
    <row r="1" spans="1:26" x14ac:dyDescent="0.2">
      <c r="A1" s="15"/>
      <c r="B1" s="16"/>
      <c r="C1" s="16"/>
      <c r="D1" s="16"/>
      <c r="E1" s="16"/>
      <c r="F1" s="16"/>
      <c r="G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15.75" x14ac:dyDescent="0.25">
      <c r="A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 x14ac:dyDescent="0.2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x14ac:dyDescent="0.2">
      <c r="A4" s="3"/>
      <c r="B4" s="3" t="s">
        <v>50</v>
      </c>
      <c r="C4" s="49">
        <v>508</v>
      </c>
      <c r="D4" s="3"/>
      <c r="E4" s="3"/>
      <c r="F4" s="3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50" t="str">
        <f ca="1">CELL("FILENAME")</f>
        <v>O:\Corporate\GPGFin\gpgPLAN\2003Plan\GPGSTAFF\GPG Legal\Template Consolidation\[Budget 2001 Consolidation - Legal.xls]111706 (0238)</v>
      </c>
    </row>
    <row r="5" spans="1:26" x14ac:dyDescent="0.2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1">
        <f ca="1">NOW()</f>
        <v>36724.628801041668</v>
      </c>
    </row>
    <row r="6" spans="1:26" x14ac:dyDescent="0.2">
      <c r="A6" s="3"/>
      <c r="B6" s="3" t="s">
        <v>51</v>
      </c>
      <c r="C6" s="49" t="s">
        <v>56</v>
      </c>
      <c r="D6" s="3"/>
      <c r="E6" s="3"/>
      <c r="F6" s="3"/>
      <c r="G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2">
        <f ca="1">NOW()</f>
        <v>36724.628801041668</v>
      </c>
    </row>
    <row r="7" spans="1:26" x14ac:dyDescent="0.2">
      <c r="A7" s="4" t="s">
        <v>0</v>
      </c>
      <c r="B7" s="4"/>
      <c r="C7" s="4"/>
      <c r="D7" s="4"/>
      <c r="E7" s="4"/>
      <c r="F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x14ac:dyDescent="0.2">
      <c r="A8" s="13" t="s">
        <v>1</v>
      </c>
      <c r="B8" s="7">
        <f>'Legal Summary'!C8</f>
        <v>30</v>
      </c>
      <c r="C8" s="6"/>
      <c r="D8" s="6"/>
      <c r="E8" s="6"/>
      <c r="F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x14ac:dyDescent="0.2">
      <c r="A9" s="14" t="s">
        <v>2</v>
      </c>
      <c r="B9" s="5">
        <f>'Legal Summary'!C9</f>
        <v>37</v>
      </c>
      <c r="C9" s="16"/>
      <c r="D9" s="16"/>
      <c r="E9" s="16"/>
      <c r="F9" s="16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2"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8"/>
      <c r="V10" s="1"/>
      <c r="W10" s="9"/>
      <c r="X10" s="9"/>
      <c r="Y10" s="9"/>
    </row>
    <row r="11" spans="1:26" x14ac:dyDescent="0.2">
      <c r="A11" s="10"/>
      <c r="B11" s="10"/>
      <c r="C11" s="309">
        <v>2000</v>
      </c>
      <c r="D11" s="310"/>
      <c r="E11" s="311" t="s">
        <v>52</v>
      </c>
      <c r="F11" s="310"/>
      <c r="G11" s="312">
        <v>2000</v>
      </c>
      <c r="H11" s="310"/>
      <c r="I11" s="313" t="s">
        <v>5</v>
      </c>
      <c r="J11" s="313" t="s">
        <v>6</v>
      </c>
      <c r="K11" s="313" t="s">
        <v>7</v>
      </c>
      <c r="L11" s="314" t="s">
        <v>8</v>
      </c>
      <c r="M11" s="313" t="s">
        <v>9</v>
      </c>
      <c r="N11" s="314" t="s">
        <v>10</v>
      </c>
      <c r="O11" s="313" t="s">
        <v>11</v>
      </c>
      <c r="P11" s="314" t="s">
        <v>12</v>
      </c>
      <c r="Q11" s="313" t="s">
        <v>13</v>
      </c>
      <c r="R11" s="314" t="s">
        <v>14</v>
      </c>
      <c r="S11" s="313" t="s">
        <v>15</v>
      </c>
      <c r="T11" s="314" t="s">
        <v>16</v>
      </c>
      <c r="U11" s="315">
        <v>2001</v>
      </c>
      <c r="V11" s="316"/>
      <c r="W11" s="317" t="s">
        <v>182</v>
      </c>
      <c r="X11" s="318"/>
      <c r="Y11" s="319">
        <v>2000</v>
      </c>
    </row>
    <row r="12" spans="1:26" x14ac:dyDescent="0.2">
      <c r="A12" s="11"/>
      <c r="C12" s="320" t="s">
        <v>57</v>
      </c>
      <c r="D12" s="321"/>
      <c r="E12" s="322"/>
      <c r="F12" s="321"/>
      <c r="G12" s="323" t="s">
        <v>59</v>
      </c>
      <c r="H12" s="321"/>
      <c r="I12" s="324"/>
      <c r="J12" s="324"/>
      <c r="K12" s="324"/>
      <c r="L12" s="325"/>
      <c r="M12" s="324"/>
      <c r="N12" s="325"/>
      <c r="O12" s="324"/>
      <c r="P12" s="325"/>
      <c r="Q12" s="324"/>
      <c r="R12" s="325"/>
      <c r="S12" s="324"/>
      <c r="T12" s="325"/>
      <c r="U12" s="326" t="s">
        <v>53</v>
      </c>
      <c r="V12" s="63"/>
      <c r="W12" s="327" t="s">
        <v>3</v>
      </c>
      <c r="X12" s="328"/>
      <c r="Y12" s="329" t="s">
        <v>67</v>
      </c>
    </row>
    <row r="13" spans="1:26" ht="16.5" customHeight="1" x14ac:dyDescent="0.2">
      <c r="A13" s="11" t="s">
        <v>23</v>
      </c>
      <c r="B13" s="11" t="s">
        <v>60</v>
      </c>
      <c r="C13" s="305">
        <f>'111678 (0013)'!E56</f>
        <v>850449</v>
      </c>
      <c r="D13" s="89"/>
      <c r="E13" s="308">
        <f>'111678 (0013)'!G56</f>
        <v>8323</v>
      </c>
      <c r="F13" s="89"/>
      <c r="G13" s="306">
        <f>'111678 (0013)'!I56</f>
        <v>858772</v>
      </c>
      <c r="H13" s="53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4">
        <f>'111678 (0013)'!W56</f>
        <v>881735.04833199992</v>
      </c>
      <c r="V13" s="53"/>
      <c r="W13" s="44">
        <f>'111678 (0013)'!Y56</f>
        <v>31286.048331999918</v>
      </c>
      <c r="X13" s="91"/>
      <c r="Y13" s="330">
        <f>'111678 (0013)'!AA56</f>
        <v>22963.048331999918</v>
      </c>
    </row>
    <row r="14" spans="1:26" ht="16.5" customHeight="1" x14ac:dyDescent="0.2">
      <c r="A14" s="11" t="s">
        <v>23</v>
      </c>
      <c r="B14" s="11" t="s">
        <v>61</v>
      </c>
      <c r="C14" s="305">
        <f>'111679 (0014)'!E56</f>
        <v>913176</v>
      </c>
      <c r="D14" s="89"/>
      <c r="E14" s="305">
        <f>'111679 (0014)'!G56</f>
        <v>-172669</v>
      </c>
      <c r="F14" s="89"/>
      <c r="G14" s="305">
        <f>'111679 (0014)'!I56</f>
        <v>740507</v>
      </c>
      <c r="H14" s="53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305">
        <f>'111679 (0014)'!W56</f>
        <v>955662.72499799973</v>
      </c>
      <c r="V14" s="53"/>
      <c r="W14" s="305">
        <f>'111679 (0014)'!Y56</f>
        <v>42486.724997999729</v>
      </c>
      <c r="X14" s="91"/>
      <c r="Y14" s="44">
        <f>'111679 (0014)'!AA56</f>
        <v>215155.72499799973</v>
      </c>
    </row>
    <row r="15" spans="1:26" ht="16.5" customHeight="1" x14ac:dyDescent="0.2">
      <c r="A15" s="11" t="s">
        <v>23</v>
      </c>
      <c r="B15" s="11" t="s">
        <v>62</v>
      </c>
      <c r="C15" s="305">
        <f>'111681 (0026)'!E56</f>
        <v>1539783</v>
      </c>
      <c r="D15" s="89"/>
      <c r="E15" s="305">
        <f>'111681 (0026)'!G56</f>
        <v>592658</v>
      </c>
      <c r="F15" s="89"/>
      <c r="G15" s="305">
        <f>'111681 (0026)'!I56</f>
        <v>2132441</v>
      </c>
      <c r="H15" s="53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305">
        <f>'111681 (0026)'!W56</f>
        <v>1614075.4199979994</v>
      </c>
      <c r="V15" s="53"/>
      <c r="W15" s="305">
        <f>'111681 (0026)'!Y56</f>
        <v>74292.419997999503</v>
      </c>
      <c r="X15" s="91"/>
      <c r="Y15" s="44">
        <f>'111681 (0026)'!AA56</f>
        <v>-518365.5800020005</v>
      </c>
    </row>
    <row r="16" spans="1:26" ht="16.5" customHeight="1" x14ac:dyDescent="0.2">
      <c r="A16" s="11" t="s">
        <v>23</v>
      </c>
      <c r="B16" s="11" t="s">
        <v>63</v>
      </c>
      <c r="C16" s="305">
        <f>'111693 (0162)'!E56</f>
        <v>363916</v>
      </c>
      <c r="D16" s="89"/>
      <c r="E16" s="305">
        <f>'111693 (0162)'!G56</f>
        <v>-26083</v>
      </c>
      <c r="F16" s="89"/>
      <c r="G16" s="305">
        <f>'111693 (0162)'!I56</f>
        <v>337833</v>
      </c>
      <c r="H16" s="53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305">
        <f>'111693 (0162)'!W56</f>
        <v>317161.76333333325</v>
      </c>
      <c r="V16" s="53"/>
      <c r="W16" s="305">
        <f>'111693 (0162)'!Y56</f>
        <v>-46754.236666666751</v>
      </c>
      <c r="X16" s="91"/>
      <c r="Y16" s="44">
        <f>'111693 (0162)'!AA56</f>
        <v>-20671.236666666751</v>
      </c>
    </row>
    <row r="17" spans="1:25" ht="16.5" customHeight="1" x14ac:dyDescent="0.2">
      <c r="A17" s="11" t="s">
        <v>23</v>
      </c>
      <c r="B17" s="11" t="s">
        <v>64</v>
      </c>
      <c r="C17" s="305">
        <f>'111705 (0237)'!E56</f>
        <v>1647868</v>
      </c>
      <c r="D17" s="89"/>
      <c r="E17" s="305">
        <f>'111705 (0237)'!G56</f>
        <v>-106197</v>
      </c>
      <c r="F17" s="89"/>
      <c r="G17" s="305">
        <f>'111705 (0237)'!I56</f>
        <v>1541671</v>
      </c>
      <c r="H17" s="53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305">
        <f>'111705 (0237)'!W56</f>
        <v>1645782.4633320002</v>
      </c>
      <c r="V17" s="53"/>
      <c r="W17" s="305">
        <f>'111705 (0237)'!Y56</f>
        <v>-2085.5366679997533</v>
      </c>
      <c r="X17" s="91"/>
      <c r="Y17" s="44">
        <f>'111705 (0237)'!AA56</f>
        <v>104111.46333200007</v>
      </c>
    </row>
    <row r="18" spans="1:25" ht="16.5" customHeight="1" x14ac:dyDescent="0.2">
      <c r="A18" s="11" t="s">
        <v>23</v>
      </c>
      <c r="B18" s="11" t="s">
        <v>65</v>
      </c>
      <c r="C18" s="305">
        <f>'111706 (0238)'!E56</f>
        <v>147587</v>
      </c>
      <c r="D18" s="89"/>
      <c r="E18" s="305">
        <f>'111706 (0238)'!G56</f>
        <v>-63539</v>
      </c>
      <c r="F18" s="89"/>
      <c r="G18" s="305">
        <f>'111706 (0238)'!I56</f>
        <v>84048</v>
      </c>
      <c r="H18" s="53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305">
        <f>'111706 (0238)'!W56</f>
        <v>154599.52999999997</v>
      </c>
      <c r="V18" s="53"/>
      <c r="W18" s="305">
        <f>'111706 (0238)'!Y56</f>
        <v>7012.5299999999697</v>
      </c>
      <c r="X18" s="91"/>
      <c r="Y18" s="44">
        <f>'111706 (0238)'!AA56</f>
        <v>70551.52999999997</v>
      </c>
    </row>
    <row r="19" spans="1:25" ht="16.5" customHeight="1" x14ac:dyDescent="0.2">
      <c r="A19" s="11" t="s">
        <v>23</v>
      </c>
      <c r="B19" s="11" t="s">
        <v>66</v>
      </c>
      <c r="C19" s="305"/>
      <c r="D19" s="89"/>
      <c r="E19" s="308"/>
      <c r="F19" s="89"/>
      <c r="G19" s="306"/>
      <c r="H19" s="53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4"/>
      <c r="V19" s="53"/>
      <c r="W19" s="44"/>
      <c r="X19" s="91"/>
      <c r="Y19" s="44"/>
    </row>
    <row r="20" spans="1:25" ht="6" customHeight="1" x14ac:dyDescent="0.2">
      <c r="A20" s="11"/>
      <c r="B20" s="11"/>
      <c r="C20" s="305"/>
      <c r="D20" s="89"/>
      <c r="E20" s="308"/>
      <c r="F20" s="89"/>
      <c r="G20" s="306"/>
      <c r="H20" s="53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44"/>
      <c r="V20" s="53"/>
      <c r="W20" s="44"/>
      <c r="X20" s="91"/>
      <c r="Y20" s="44"/>
    </row>
    <row r="21" spans="1:25" ht="16.5" customHeight="1" x14ac:dyDescent="0.2">
      <c r="A21" s="11" t="s">
        <v>23</v>
      </c>
      <c r="B21" s="11" t="s">
        <v>55</v>
      </c>
      <c r="C21" s="305"/>
      <c r="D21" s="307"/>
      <c r="E21" s="308"/>
      <c r="F21" s="307"/>
      <c r="G21" s="306"/>
      <c r="H21" s="5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4"/>
      <c r="W21" s="44"/>
      <c r="X21" s="92"/>
      <c r="Y21" s="44"/>
    </row>
    <row r="22" spans="1:25" ht="16.5" customHeight="1" x14ac:dyDescent="0.2"/>
    <row r="23" spans="1:25" ht="16.5" customHeight="1" x14ac:dyDescent="0.2"/>
  </sheetData>
  <printOptions horizontalCentered="1"/>
  <pageMargins left="0" right="0" top="0.64" bottom="0.68" header="0.5" footer="0.5"/>
  <pageSetup scale="9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97"/>
  <sheetViews>
    <sheetView showGridLines="0" topLeftCell="B25" zoomScale="88" workbookViewId="0">
      <selection activeCell="F55" sqref="F55"/>
    </sheetView>
  </sheetViews>
  <sheetFormatPr defaultRowHeight="12.75" x14ac:dyDescent="0.2"/>
  <cols>
    <col min="1" max="1" width="26.28515625" customWidth="1"/>
    <col min="2" max="2" width="4.5703125" bestFit="1" customWidth="1"/>
    <col min="3" max="3" width="7" bestFit="1" customWidth="1"/>
    <col min="4" max="6" width="8.7109375" bestFit="1" customWidth="1"/>
    <col min="7" max="8" width="6.42578125" bestFit="1" customWidth="1"/>
    <col min="9" max="9" width="7.5703125" bestFit="1" customWidth="1"/>
    <col min="10" max="13" width="6.42578125" bestFit="1" customWidth="1"/>
    <col min="15" max="15" width="8.7109375" bestFit="1" customWidth="1"/>
    <col min="16" max="17" width="4.7109375" customWidth="1"/>
    <col min="18" max="18" width="14.5703125" customWidth="1"/>
    <col min="19" max="19" width="6.28515625" customWidth="1"/>
    <col min="20" max="20" width="4.7109375" customWidth="1"/>
    <col min="21" max="24" width="6.140625" bestFit="1" customWidth="1"/>
    <col min="25" max="25" width="6.42578125" bestFit="1" customWidth="1"/>
    <col min="26" max="28" width="6.140625" bestFit="1" customWidth="1"/>
    <col min="29" max="29" width="10.85546875" bestFit="1" customWidth="1"/>
    <col min="30" max="30" width="1.28515625" customWidth="1"/>
  </cols>
  <sheetData>
    <row r="1" spans="1:31" x14ac:dyDescent="0.2"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31" ht="18" x14ac:dyDescent="0.25">
      <c r="A2" s="119" t="s">
        <v>117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R2" s="134" t="s">
        <v>135</v>
      </c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6"/>
    </row>
    <row r="3" spans="1:31" x14ac:dyDescent="0.2">
      <c r="C3" s="103"/>
      <c r="D3" s="103"/>
      <c r="E3" s="103"/>
      <c r="F3" s="103"/>
      <c r="G3" s="103"/>
      <c r="H3" s="103"/>
      <c r="I3" s="103"/>
      <c r="J3" s="103"/>
      <c r="K3" s="103" t="s">
        <v>151</v>
      </c>
      <c r="L3" s="103"/>
      <c r="M3" s="103" t="s">
        <v>171</v>
      </c>
      <c r="N3" s="103"/>
      <c r="O3" s="103"/>
    </row>
    <row r="4" spans="1:31" x14ac:dyDescent="0.2">
      <c r="A4" s="11"/>
      <c r="B4" s="11"/>
      <c r="C4" s="122" t="s">
        <v>68</v>
      </c>
      <c r="D4" s="104" t="s">
        <v>69</v>
      </c>
      <c r="E4" s="104" t="s">
        <v>70</v>
      </c>
      <c r="F4" s="104" t="s">
        <v>71</v>
      </c>
      <c r="G4" s="104" t="s">
        <v>72</v>
      </c>
      <c r="H4" s="104" t="s">
        <v>73</v>
      </c>
      <c r="I4" s="104" t="s">
        <v>74</v>
      </c>
      <c r="J4" s="104" t="s">
        <v>75</v>
      </c>
      <c r="K4" s="209">
        <v>404</v>
      </c>
      <c r="L4" s="104" t="s">
        <v>77</v>
      </c>
      <c r="M4" s="209" t="s">
        <v>149</v>
      </c>
      <c r="N4" s="104" t="s">
        <v>79</v>
      </c>
      <c r="O4" s="118" t="s">
        <v>55</v>
      </c>
      <c r="T4" s="126"/>
    </row>
    <row r="5" spans="1:31" x14ac:dyDescent="0.2">
      <c r="A5" s="11" t="s">
        <v>64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R5" t="s">
        <v>120</v>
      </c>
      <c r="T5" s="126"/>
      <c r="U5" s="127" t="s">
        <v>69</v>
      </c>
      <c r="V5" s="127" t="s">
        <v>70</v>
      </c>
      <c r="W5" s="127" t="s">
        <v>71</v>
      </c>
      <c r="X5" s="127" t="s">
        <v>73</v>
      </c>
      <c r="Y5" s="127" t="s">
        <v>74</v>
      </c>
      <c r="Z5" s="127" t="s">
        <v>75</v>
      </c>
      <c r="AA5" s="127" t="s">
        <v>76</v>
      </c>
      <c r="AB5" s="127" t="s">
        <v>77</v>
      </c>
      <c r="AC5" s="127" t="s">
        <v>78</v>
      </c>
      <c r="AD5" s="127" t="s">
        <v>79</v>
      </c>
      <c r="AE5" s="128" t="s">
        <v>55</v>
      </c>
    </row>
    <row r="6" spans="1:31" x14ac:dyDescent="0.2">
      <c r="A6" t="s">
        <v>80</v>
      </c>
      <c r="C6" s="103">
        <v>1</v>
      </c>
      <c r="D6" s="103">
        <v>0.4</v>
      </c>
      <c r="E6" s="103">
        <v>0.25</v>
      </c>
      <c r="F6" s="103">
        <v>0.35</v>
      </c>
      <c r="G6" s="103"/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/>
      <c r="N6" s="103"/>
      <c r="O6" s="103">
        <f t="shared" ref="O6:O17" si="0">+D6+E6+F6+H6+I6+J6+K6+L6+M6</f>
        <v>1</v>
      </c>
      <c r="T6" s="126"/>
    </row>
    <row r="7" spans="1:31" x14ac:dyDescent="0.2">
      <c r="A7" t="s">
        <v>81</v>
      </c>
      <c r="C7" s="103">
        <v>1</v>
      </c>
      <c r="D7" s="103">
        <v>0</v>
      </c>
      <c r="E7" s="103">
        <v>0</v>
      </c>
      <c r="F7" s="103">
        <v>0</v>
      </c>
      <c r="G7" s="103"/>
      <c r="H7" s="103">
        <v>0.15</v>
      </c>
      <c r="I7" s="103">
        <v>0</v>
      </c>
      <c r="J7" s="103">
        <v>0.05</v>
      </c>
      <c r="K7" s="103">
        <v>0.25</v>
      </c>
      <c r="L7" s="103">
        <v>0.35</v>
      </c>
      <c r="M7" s="103">
        <v>0.2</v>
      </c>
      <c r="N7" s="103"/>
      <c r="O7" s="103">
        <f t="shared" si="0"/>
        <v>1</v>
      </c>
      <c r="R7" t="s">
        <v>80</v>
      </c>
      <c r="T7" s="126">
        <v>1</v>
      </c>
      <c r="U7" s="129">
        <v>0.4</v>
      </c>
      <c r="V7" s="129">
        <v>0.25</v>
      </c>
      <c r="W7" s="129">
        <v>0.35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0</v>
      </c>
      <c r="AD7" s="129"/>
      <c r="AE7" s="129">
        <f t="shared" ref="AE7:AE18" si="1">+U7+V7+W7+X7+Y7+Z7+AA7+AB7+AC7</f>
        <v>1</v>
      </c>
    </row>
    <row r="8" spans="1:31" x14ac:dyDescent="0.2">
      <c r="A8" t="s">
        <v>82</v>
      </c>
      <c r="C8" s="103">
        <v>1</v>
      </c>
      <c r="D8" s="103">
        <v>0.85</v>
      </c>
      <c r="E8" s="103">
        <v>0.15</v>
      </c>
      <c r="F8" s="103"/>
      <c r="G8" s="103"/>
      <c r="H8" s="103"/>
      <c r="I8" s="103"/>
      <c r="J8" s="103"/>
      <c r="K8" s="103"/>
      <c r="L8" s="103"/>
      <c r="M8" s="103"/>
      <c r="N8" s="103"/>
      <c r="O8" s="103">
        <f t="shared" si="0"/>
        <v>1</v>
      </c>
      <c r="R8" t="s">
        <v>81</v>
      </c>
      <c r="T8" s="126">
        <v>1</v>
      </c>
      <c r="U8" s="129">
        <v>0</v>
      </c>
      <c r="V8" s="129">
        <v>0</v>
      </c>
      <c r="W8" s="129">
        <v>0</v>
      </c>
      <c r="X8" s="129">
        <v>0.15</v>
      </c>
      <c r="Y8" s="129">
        <v>0</v>
      </c>
      <c r="Z8" s="129">
        <v>0.05</v>
      </c>
      <c r="AA8" s="129">
        <v>0.25</v>
      </c>
      <c r="AB8" s="129">
        <v>0.35</v>
      </c>
      <c r="AC8" s="129">
        <v>0.2</v>
      </c>
      <c r="AD8" s="129"/>
      <c r="AE8" s="129">
        <f t="shared" si="1"/>
        <v>1</v>
      </c>
    </row>
    <row r="9" spans="1:31" x14ac:dyDescent="0.2">
      <c r="A9" t="s">
        <v>83</v>
      </c>
      <c r="C9" s="103">
        <v>1</v>
      </c>
      <c r="D9" s="103">
        <v>0</v>
      </c>
      <c r="E9" s="103">
        <v>0</v>
      </c>
      <c r="F9" s="103">
        <v>0.6</v>
      </c>
      <c r="G9" s="103"/>
      <c r="H9" s="103">
        <v>0.4</v>
      </c>
      <c r="I9" s="103">
        <v>0</v>
      </c>
      <c r="J9" s="103">
        <v>0</v>
      </c>
      <c r="K9" s="103">
        <v>0</v>
      </c>
      <c r="L9" s="103">
        <v>0</v>
      </c>
      <c r="M9" s="103"/>
      <c r="N9" s="103"/>
      <c r="O9" s="103">
        <f t="shared" si="0"/>
        <v>1</v>
      </c>
      <c r="R9" t="s">
        <v>82</v>
      </c>
      <c r="S9" t="s">
        <v>121</v>
      </c>
      <c r="T9" s="126">
        <v>1</v>
      </c>
      <c r="U9" s="129">
        <v>0.85</v>
      </c>
      <c r="V9" s="129">
        <v>0.15</v>
      </c>
      <c r="W9" s="129">
        <v>0</v>
      </c>
      <c r="X9" s="129">
        <v>0</v>
      </c>
      <c r="Y9" s="129">
        <v>0</v>
      </c>
      <c r="Z9" s="129">
        <v>0</v>
      </c>
      <c r="AA9" s="129">
        <v>0</v>
      </c>
      <c r="AB9" s="129">
        <v>0</v>
      </c>
      <c r="AC9" s="129">
        <v>0</v>
      </c>
      <c r="AD9" s="129"/>
      <c r="AE9" s="129">
        <f t="shared" si="1"/>
        <v>1</v>
      </c>
    </row>
    <row r="10" spans="1:31" x14ac:dyDescent="0.2">
      <c r="A10" t="s">
        <v>84</v>
      </c>
      <c r="C10" s="103">
        <v>1</v>
      </c>
      <c r="D10" s="103">
        <v>0.3</v>
      </c>
      <c r="E10" s="103">
        <v>0.1</v>
      </c>
      <c r="F10" s="103">
        <v>0.2</v>
      </c>
      <c r="G10" s="103"/>
      <c r="H10" s="103">
        <v>0.25</v>
      </c>
      <c r="I10" s="103">
        <v>0.05</v>
      </c>
      <c r="J10" s="103">
        <v>0.05</v>
      </c>
      <c r="K10" s="103"/>
      <c r="L10" s="103">
        <v>0.05</v>
      </c>
      <c r="M10" s="103"/>
      <c r="N10" s="103"/>
      <c r="O10" s="103">
        <f t="shared" si="0"/>
        <v>1.0000000000000002</v>
      </c>
      <c r="R10" t="s">
        <v>83</v>
      </c>
      <c r="S10" t="s">
        <v>122</v>
      </c>
      <c r="T10" s="126">
        <v>1</v>
      </c>
      <c r="U10" s="129">
        <v>0</v>
      </c>
      <c r="V10" s="129">
        <v>0</v>
      </c>
      <c r="W10" s="129">
        <v>0.6</v>
      </c>
      <c r="X10" s="129">
        <v>0.4</v>
      </c>
      <c r="Y10" s="129">
        <v>0</v>
      </c>
      <c r="Z10" s="129">
        <v>0</v>
      </c>
      <c r="AA10" s="129">
        <v>0</v>
      </c>
      <c r="AB10" s="129">
        <v>0</v>
      </c>
      <c r="AC10" s="129">
        <v>0</v>
      </c>
      <c r="AD10" s="129"/>
      <c r="AE10" s="129">
        <f t="shared" si="1"/>
        <v>1</v>
      </c>
    </row>
    <row r="11" spans="1:31" x14ac:dyDescent="0.2">
      <c r="A11" t="s">
        <v>85</v>
      </c>
      <c r="C11" s="103">
        <v>1</v>
      </c>
      <c r="D11" s="103">
        <v>0.25</v>
      </c>
      <c r="E11" s="103">
        <v>0.32500000000000001</v>
      </c>
      <c r="F11" s="103">
        <v>0.125</v>
      </c>
      <c r="G11" s="103"/>
      <c r="H11" s="103">
        <v>0.2</v>
      </c>
      <c r="I11" s="103"/>
      <c r="J11" s="103">
        <v>0.05</v>
      </c>
      <c r="K11" s="103">
        <v>2.5000000000000001E-2</v>
      </c>
      <c r="L11" s="103">
        <v>2.5000000000000001E-2</v>
      </c>
      <c r="M11" s="103"/>
      <c r="N11" s="103"/>
      <c r="O11" s="103">
        <f t="shared" si="0"/>
        <v>1</v>
      </c>
      <c r="R11" t="s">
        <v>84</v>
      </c>
      <c r="S11" t="s">
        <v>121</v>
      </c>
      <c r="T11" s="126">
        <v>1</v>
      </c>
      <c r="U11" s="129">
        <v>0.3</v>
      </c>
      <c r="V11" s="129">
        <v>0.1</v>
      </c>
      <c r="W11" s="129">
        <v>0.2</v>
      </c>
      <c r="X11" s="129">
        <v>0.25</v>
      </c>
      <c r="Y11" s="129">
        <v>0.05</v>
      </c>
      <c r="Z11" s="129">
        <v>0.05</v>
      </c>
      <c r="AA11" s="129">
        <v>0</v>
      </c>
      <c r="AB11" s="129">
        <v>0.05</v>
      </c>
      <c r="AC11" s="129">
        <v>0</v>
      </c>
      <c r="AD11" s="129"/>
      <c r="AE11" s="129">
        <f t="shared" si="1"/>
        <v>1.0000000000000002</v>
      </c>
    </row>
    <row r="12" spans="1:31" x14ac:dyDescent="0.2">
      <c r="A12" t="s">
        <v>86</v>
      </c>
      <c r="C12" s="103">
        <v>1</v>
      </c>
      <c r="D12" s="103">
        <v>0.25</v>
      </c>
      <c r="E12" s="103">
        <v>0.2</v>
      </c>
      <c r="F12" s="103">
        <v>0.32500000000000001</v>
      </c>
      <c r="G12" s="103"/>
      <c r="H12" s="103">
        <v>0.15</v>
      </c>
      <c r="I12" s="103"/>
      <c r="J12" s="103">
        <v>2.5000000000000001E-2</v>
      </c>
      <c r="K12" s="103">
        <v>2.5000000000000001E-2</v>
      </c>
      <c r="L12" s="103">
        <v>2.5000000000000001E-2</v>
      </c>
      <c r="M12" s="103"/>
      <c r="N12" s="103"/>
      <c r="O12" s="103">
        <f t="shared" si="0"/>
        <v>1</v>
      </c>
      <c r="R12" t="s">
        <v>85</v>
      </c>
      <c r="S12" t="s">
        <v>121</v>
      </c>
      <c r="T12" s="126">
        <v>1</v>
      </c>
      <c r="U12" s="129">
        <v>0.25</v>
      </c>
      <c r="V12" s="129">
        <v>0.32500000000000001</v>
      </c>
      <c r="W12" s="129">
        <v>0.125</v>
      </c>
      <c r="X12" s="129">
        <v>0.2</v>
      </c>
      <c r="Y12" s="129">
        <v>0</v>
      </c>
      <c r="Z12" s="129">
        <v>0.05</v>
      </c>
      <c r="AA12" s="129">
        <v>2.5000000000000001E-2</v>
      </c>
      <c r="AB12" s="129">
        <v>2.5000000000000001E-2</v>
      </c>
      <c r="AC12" s="129">
        <v>0</v>
      </c>
      <c r="AD12" s="129"/>
      <c r="AE12" s="129">
        <f t="shared" si="1"/>
        <v>1</v>
      </c>
    </row>
    <row r="13" spans="1:31" x14ac:dyDescent="0.2">
      <c r="A13" t="s">
        <v>118</v>
      </c>
      <c r="C13" s="103">
        <v>1</v>
      </c>
      <c r="D13" s="103">
        <f t="shared" ref="D13:M13" si="2">+(D11+D10)/2</f>
        <v>0.27500000000000002</v>
      </c>
      <c r="E13" s="103">
        <f t="shared" si="2"/>
        <v>0.21250000000000002</v>
      </c>
      <c r="F13" s="103">
        <f t="shared" si="2"/>
        <v>0.16250000000000001</v>
      </c>
      <c r="G13" s="103"/>
      <c r="H13" s="103">
        <f t="shared" si="2"/>
        <v>0.22500000000000001</v>
      </c>
      <c r="I13" s="103">
        <f t="shared" si="2"/>
        <v>2.5000000000000001E-2</v>
      </c>
      <c r="J13" s="103">
        <f t="shared" si="2"/>
        <v>0.05</v>
      </c>
      <c r="K13" s="103">
        <f t="shared" si="2"/>
        <v>1.2500000000000001E-2</v>
      </c>
      <c r="L13" s="103">
        <f t="shared" si="2"/>
        <v>3.7500000000000006E-2</v>
      </c>
      <c r="M13" s="103">
        <f t="shared" si="2"/>
        <v>0</v>
      </c>
      <c r="N13" s="103"/>
      <c r="O13" s="103">
        <f t="shared" si="0"/>
        <v>1</v>
      </c>
      <c r="R13" t="s">
        <v>86</v>
      </c>
      <c r="S13" t="s">
        <v>122</v>
      </c>
      <c r="T13" s="126">
        <v>1</v>
      </c>
      <c r="U13" s="129">
        <v>0.25</v>
      </c>
      <c r="V13" s="129">
        <v>0.2</v>
      </c>
      <c r="W13" s="129">
        <v>0.32500000000000001</v>
      </c>
      <c r="X13" s="129">
        <v>0.15</v>
      </c>
      <c r="Y13" s="129">
        <v>0</v>
      </c>
      <c r="Z13" s="129">
        <v>2.5000000000000001E-2</v>
      </c>
      <c r="AA13" s="129">
        <v>2.5000000000000001E-2</v>
      </c>
      <c r="AB13" s="129">
        <v>2.5000000000000001E-2</v>
      </c>
      <c r="AC13" s="129">
        <v>0</v>
      </c>
      <c r="AD13" s="129"/>
      <c r="AE13" s="129">
        <f t="shared" si="1"/>
        <v>1</v>
      </c>
    </row>
    <row r="14" spans="1:31" x14ac:dyDescent="0.2">
      <c r="A14" t="s">
        <v>87</v>
      </c>
      <c r="C14" s="103">
        <v>0.5</v>
      </c>
      <c r="D14" s="103">
        <f t="shared" ref="D14:M14" si="3">+D8/2</f>
        <v>0.42499999999999999</v>
      </c>
      <c r="E14" s="103">
        <f t="shared" si="3"/>
        <v>7.4999999999999997E-2</v>
      </c>
      <c r="F14" s="103">
        <f t="shared" si="3"/>
        <v>0</v>
      </c>
      <c r="G14" s="103"/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/>
      <c r="O14" s="103">
        <f t="shared" si="0"/>
        <v>0.5</v>
      </c>
      <c r="R14" t="s">
        <v>118</v>
      </c>
      <c r="S14" t="s">
        <v>121</v>
      </c>
      <c r="T14" s="126">
        <v>1</v>
      </c>
      <c r="U14" s="129">
        <f t="shared" ref="U14:AC14" si="4">+(U12+U11)/2</f>
        <v>0.27500000000000002</v>
      </c>
      <c r="V14" s="129">
        <f t="shared" si="4"/>
        <v>0.21250000000000002</v>
      </c>
      <c r="W14" s="129">
        <f t="shared" si="4"/>
        <v>0.16250000000000001</v>
      </c>
      <c r="X14" s="129">
        <f t="shared" si="4"/>
        <v>0.22500000000000001</v>
      </c>
      <c r="Y14" s="129">
        <f t="shared" si="4"/>
        <v>2.5000000000000001E-2</v>
      </c>
      <c r="Z14" s="129">
        <f t="shared" si="4"/>
        <v>0.05</v>
      </c>
      <c r="AA14" s="129">
        <f t="shared" si="4"/>
        <v>1.2500000000000001E-2</v>
      </c>
      <c r="AB14" s="129">
        <f t="shared" si="4"/>
        <v>3.7500000000000006E-2</v>
      </c>
      <c r="AC14" s="129">
        <f t="shared" si="4"/>
        <v>0</v>
      </c>
      <c r="AD14" s="129"/>
      <c r="AE14" s="129">
        <f t="shared" si="1"/>
        <v>1</v>
      </c>
    </row>
    <row r="15" spans="1:31" x14ac:dyDescent="0.2">
      <c r="A15" t="s">
        <v>88</v>
      </c>
      <c r="C15" s="103">
        <v>1</v>
      </c>
      <c r="D15" s="103">
        <f>+(D6+D9)/2</f>
        <v>0.2</v>
      </c>
      <c r="E15" s="103">
        <f>+(E6+E9)/2</f>
        <v>0.125</v>
      </c>
      <c r="F15" s="103">
        <f>+(F6+F9)/2</f>
        <v>0.47499999999999998</v>
      </c>
      <c r="G15" s="103"/>
      <c r="H15" s="103">
        <f t="shared" ref="H15:M15" si="5">+(H6+H9)/2</f>
        <v>0.2</v>
      </c>
      <c r="I15" s="103">
        <f t="shared" si="5"/>
        <v>0</v>
      </c>
      <c r="J15" s="103">
        <f t="shared" si="5"/>
        <v>0</v>
      </c>
      <c r="K15" s="103">
        <f t="shared" si="5"/>
        <v>0</v>
      </c>
      <c r="L15" s="103">
        <f t="shared" si="5"/>
        <v>0</v>
      </c>
      <c r="M15" s="103">
        <f t="shared" si="5"/>
        <v>0</v>
      </c>
      <c r="N15" s="103"/>
      <c r="O15" s="103">
        <f t="shared" si="0"/>
        <v>1</v>
      </c>
      <c r="R15" t="s">
        <v>87</v>
      </c>
      <c r="S15" t="s">
        <v>121</v>
      </c>
      <c r="T15" s="126">
        <v>0.5</v>
      </c>
      <c r="U15" s="129">
        <f t="shared" ref="U15:AC15" si="6">+U9/2</f>
        <v>0.42499999999999999</v>
      </c>
      <c r="V15" s="129">
        <f t="shared" si="6"/>
        <v>7.4999999999999997E-2</v>
      </c>
      <c r="W15" s="129">
        <f t="shared" si="6"/>
        <v>0</v>
      </c>
      <c r="X15" s="129">
        <f t="shared" si="6"/>
        <v>0</v>
      </c>
      <c r="Y15" s="129">
        <f t="shared" si="6"/>
        <v>0</v>
      </c>
      <c r="Z15" s="129">
        <f t="shared" si="6"/>
        <v>0</v>
      </c>
      <c r="AA15" s="129">
        <f t="shared" si="6"/>
        <v>0</v>
      </c>
      <c r="AB15" s="129">
        <f t="shared" si="6"/>
        <v>0</v>
      </c>
      <c r="AC15" s="129">
        <f t="shared" si="6"/>
        <v>0</v>
      </c>
      <c r="AD15" s="129"/>
      <c r="AE15" s="129">
        <f t="shared" si="1"/>
        <v>0.5</v>
      </c>
    </row>
    <row r="16" spans="1:31" x14ac:dyDescent="0.2">
      <c r="A16" s="125" t="s">
        <v>119</v>
      </c>
      <c r="C16" s="103">
        <v>0.5</v>
      </c>
      <c r="D16" s="103">
        <f t="shared" ref="D16:M16" si="7">+D12/2</f>
        <v>0.125</v>
      </c>
      <c r="E16" s="103">
        <f t="shared" si="7"/>
        <v>0.1</v>
      </c>
      <c r="F16" s="103">
        <f t="shared" si="7"/>
        <v>0.16250000000000001</v>
      </c>
      <c r="G16" s="103"/>
      <c r="H16" s="103">
        <f t="shared" si="7"/>
        <v>7.4999999999999997E-2</v>
      </c>
      <c r="I16" s="103">
        <f t="shared" si="7"/>
        <v>0</v>
      </c>
      <c r="J16" s="103">
        <f t="shared" si="7"/>
        <v>1.2500000000000001E-2</v>
      </c>
      <c r="K16" s="103">
        <f t="shared" si="7"/>
        <v>1.2500000000000001E-2</v>
      </c>
      <c r="L16" s="103">
        <f t="shared" si="7"/>
        <v>1.2500000000000001E-2</v>
      </c>
      <c r="M16" s="103">
        <f t="shared" si="7"/>
        <v>0</v>
      </c>
      <c r="N16" s="103">
        <f>+N12/3+N7/3</f>
        <v>0</v>
      </c>
      <c r="O16" s="103">
        <f t="shared" si="0"/>
        <v>0.5</v>
      </c>
      <c r="R16" t="s">
        <v>88</v>
      </c>
      <c r="S16" t="s">
        <v>121</v>
      </c>
      <c r="T16" s="126">
        <v>1</v>
      </c>
      <c r="U16" s="129">
        <f t="shared" ref="U16:AC16" si="8">+(U7+U10)/2</f>
        <v>0.2</v>
      </c>
      <c r="V16" s="129">
        <f t="shared" si="8"/>
        <v>0.125</v>
      </c>
      <c r="W16" s="129">
        <f t="shared" si="8"/>
        <v>0.47499999999999998</v>
      </c>
      <c r="X16" s="129">
        <f t="shared" si="8"/>
        <v>0.2</v>
      </c>
      <c r="Y16" s="129">
        <f t="shared" si="8"/>
        <v>0</v>
      </c>
      <c r="Z16" s="129">
        <f t="shared" si="8"/>
        <v>0</v>
      </c>
      <c r="AA16" s="129">
        <f t="shared" si="8"/>
        <v>0</v>
      </c>
      <c r="AB16" s="129">
        <f t="shared" si="8"/>
        <v>0</v>
      </c>
      <c r="AC16" s="129">
        <f t="shared" si="8"/>
        <v>0</v>
      </c>
      <c r="AD16" s="129"/>
      <c r="AE16" s="129">
        <f t="shared" si="1"/>
        <v>1</v>
      </c>
    </row>
    <row r="17" spans="1:31" x14ac:dyDescent="0.2">
      <c r="A17" t="s">
        <v>89</v>
      </c>
      <c r="C17" s="103">
        <v>1</v>
      </c>
      <c r="D17" s="103">
        <v>0.3</v>
      </c>
      <c r="E17" s="103">
        <v>0.3</v>
      </c>
      <c r="F17" s="103">
        <v>0.2</v>
      </c>
      <c r="G17" s="103"/>
      <c r="H17" s="103">
        <v>0.15</v>
      </c>
      <c r="I17" s="103"/>
      <c r="J17" s="103">
        <v>2.5000000000000001E-2</v>
      </c>
      <c r="K17" s="103"/>
      <c r="L17" s="103">
        <v>2.5000000000000001E-2</v>
      </c>
      <c r="M17" s="103"/>
      <c r="N17" s="103"/>
      <c r="O17" s="103">
        <f t="shared" si="0"/>
        <v>1</v>
      </c>
      <c r="R17" t="s">
        <v>123</v>
      </c>
      <c r="S17" t="s">
        <v>121</v>
      </c>
      <c r="T17" s="126">
        <v>0.5</v>
      </c>
      <c r="U17" s="129">
        <f t="shared" ref="U17:AC17" si="9">+U13/2</f>
        <v>0.125</v>
      </c>
      <c r="V17" s="129">
        <f t="shared" si="9"/>
        <v>0.1</v>
      </c>
      <c r="W17" s="129">
        <f t="shared" si="9"/>
        <v>0.16250000000000001</v>
      </c>
      <c r="X17" s="129">
        <f t="shared" si="9"/>
        <v>7.4999999999999997E-2</v>
      </c>
      <c r="Y17" s="129">
        <f t="shared" si="9"/>
        <v>0</v>
      </c>
      <c r="Z17" s="129">
        <f t="shared" si="9"/>
        <v>1.2500000000000001E-2</v>
      </c>
      <c r="AA17" s="129">
        <f t="shared" si="9"/>
        <v>1.2500000000000001E-2</v>
      </c>
      <c r="AB17" s="129">
        <f t="shared" si="9"/>
        <v>1.2500000000000001E-2</v>
      </c>
      <c r="AC17" s="129">
        <f t="shared" si="9"/>
        <v>0</v>
      </c>
      <c r="AD17" s="129">
        <f>+AD13/3+AD8/3</f>
        <v>0</v>
      </c>
      <c r="AE17" s="129">
        <f t="shared" si="1"/>
        <v>0.5</v>
      </c>
    </row>
    <row r="18" spans="1:31" s="11" customFormat="1" x14ac:dyDescent="0.2">
      <c r="A18" s="106" t="s">
        <v>90</v>
      </c>
      <c r="B18" s="123"/>
      <c r="C18" s="124"/>
      <c r="D18" s="112">
        <f t="shared" ref="D18:O18" si="10">SUM(D6:D17)</f>
        <v>3.3749999999999996</v>
      </c>
      <c r="E18" s="112">
        <f t="shared" si="10"/>
        <v>1.8374999999999999</v>
      </c>
      <c r="F18" s="112">
        <f t="shared" si="10"/>
        <v>2.6</v>
      </c>
      <c r="G18" s="112"/>
      <c r="H18" s="112">
        <f t="shared" si="10"/>
        <v>1.7999999999999998</v>
      </c>
      <c r="I18" s="112">
        <f t="shared" si="10"/>
        <v>7.5000000000000011E-2</v>
      </c>
      <c r="J18" s="112">
        <f t="shared" si="10"/>
        <v>0.26250000000000007</v>
      </c>
      <c r="K18" s="112">
        <f t="shared" si="10"/>
        <v>0.32500000000000007</v>
      </c>
      <c r="L18" s="112">
        <f t="shared" si="10"/>
        <v>0.52500000000000002</v>
      </c>
      <c r="M18" s="112">
        <f t="shared" si="10"/>
        <v>0.2</v>
      </c>
      <c r="N18" s="112">
        <f t="shared" si="10"/>
        <v>0</v>
      </c>
      <c r="O18" s="110">
        <f t="shared" si="10"/>
        <v>11</v>
      </c>
      <c r="R18" t="s">
        <v>89</v>
      </c>
      <c r="S18" t="s">
        <v>121</v>
      </c>
      <c r="T18" s="126">
        <v>1</v>
      </c>
      <c r="U18" s="129">
        <v>0.3</v>
      </c>
      <c r="V18" s="129">
        <v>0.3</v>
      </c>
      <c r="W18" s="129">
        <v>0.2</v>
      </c>
      <c r="X18" s="129">
        <v>0.15</v>
      </c>
      <c r="Y18" s="129">
        <v>0</v>
      </c>
      <c r="Z18" s="129">
        <v>2.5000000000000001E-2</v>
      </c>
      <c r="AA18" s="129">
        <v>0</v>
      </c>
      <c r="AB18" s="129">
        <v>2.5000000000000001E-2</v>
      </c>
      <c r="AC18" s="129">
        <v>0</v>
      </c>
      <c r="AD18" s="129"/>
      <c r="AE18" s="129">
        <f t="shared" si="1"/>
        <v>1</v>
      </c>
    </row>
    <row r="19" spans="1:31" x14ac:dyDescent="0.2">
      <c r="A19" s="11" t="s">
        <v>60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R19" s="137" t="s">
        <v>124</v>
      </c>
      <c r="S19" s="4"/>
      <c r="T19" s="130"/>
      <c r="U19" s="129">
        <f t="shared" ref="U19:AE19" si="11">SUM(U7:U18)</f>
        <v>3.3749999999999996</v>
      </c>
      <c r="V19" s="129">
        <f t="shared" si="11"/>
        <v>1.8374999999999999</v>
      </c>
      <c r="W19" s="129">
        <f t="shared" si="11"/>
        <v>2.6</v>
      </c>
      <c r="X19" s="129">
        <f t="shared" si="11"/>
        <v>1.7999999999999998</v>
      </c>
      <c r="Y19" s="129">
        <f t="shared" si="11"/>
        <v>7.5000000000000011E-2</v>
      </c>
      <c r="Z19" s="129">
        <f t="shared" si="11"/>
        <v>0.26250000000000007</v>
      </c>
      <c r="AA19" s="129">
        <f t="shared" si="11"/>
        <v>0.32500000000000007</v>
      </c>
      <c r="AB19" s="129">
        <f t="shared" si="11"/>
        <v>0.52500000000000002</v>
      </c>
      <c r="AC19" s="129">
        <f t="shared" si="11"/>
        <v>0.2</v>
      </c>
      <c r="AD19" s="129">
        <f t="shared" si="11"/>
        <v>0</v>
      </c>
      <c r="AE19" s="129">
        <f t="shared" si="11"/>
        <v>11</v>
      </c>
    </row>
    <row r="20" spans="1:31" x14ac:dyDescent="0.2">
      <c r="A20" s="108" t="s">
        <v>91</v>
      </c>
      <c r="B20" s="108"/>
      <c r="C20" s="108"/>
      <c r="D20" s="108"/>
      <c r="E20" s="108"/>
      <c r="F20" s="108">
        <v>1</v>
      </c>
      <c r="G20" s="108"/>
      <c r="H20" s="108"/>
      <c r="I20" s="108"/>
      <c r="J20" s="108"/>
      <c r="K20" s="108"/>
      <c r="L20" s="108"/>
      <c r="M20" s="108"/>
      <c r="N20" s="108"/>
      <c r="O20" s="108"/>
      <c r="R20" s="4"/>
      <c r="S20" s="4"/>
      <c r="T20" s="130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</row>
    <row r="21" spans="1:31" x14ac:dyDescent="0.2">
      <c r="A21" t="s">
        <v>92</v>
      </c>
      <c r="C21" s="103">
        <v>1</v>
      </c>
      <c r="D21" s="103"/>
      <c r="E21" s="103"/>
      <c r="F21" s="103">
        <f>$C21*$C$21</f>
        <v>1</v>
      </c>
      <c r="G21" s="103"/>
      <c r="H21" s="103"/>
      <c r="I21" s="103"/>
      <c r="J21" s="103"/>
      <c r="K21" s="103"/>
      <c r="L21" s="103"/>
      <c r="M21" s="103"/>
      <c r="N21" s="103"/>
      <c r="O21" s="103">
        <f>SUM(D21:N21)</f>
        <v>1</v>
      </c>
      <c r="R21" s="137" t="s">
        <v>125</v>
      </c>
      <c r="S21" s="4"/>
      <c r="T21" s="130"/>
      <c r="U21" s="131">
        <f t="shared" ref="U21:AD21" si="12">+U7+U8+U9+U10+U11+U12+U13</f>
        <v>2.0499999999999998</v>
      </c>
      <c r="V21" s="131">
        <f t="shared" si="12"/>
        <v>1.0249999999999999</v>
      </c>
      <c r="W21" s="131">
        <f t="shared" si="12"/>
        <v>1.5999999999999999</v>
      </c>
      <c r="X21" s="131">
        <f t="shared" si="12"/>
        <v>1.1499999999999999</v>
      </c>
      <c r="Y21" s="131">
        <f t="shared" si="12"/>
        <v>0.05</v>
      </c>
      <c r="Z21" s="131">
        <f t="shared" si="12"/>
        <v>0.17500000000000002</v>
      </c>
      <c r="AA21" s="131">
        <f t="shared" si="12"/>
        <v>0.30000000000000004</v>
      </c>
      <c r="AB21" s="131">
        <f t="shared" si="12"/>
        <v>0.45</v>
      </c>
      <c r="AC21" s="131">
        <f t="shared" si="12"/>
        <v>0.2</v>
      </c>
      <c r="AD21" s="131">
        <f t="shared" si="12"/>
        <v>0</v>
      </c>
      <c r="AE21" s="129"/>
    </row>
    <row r="22" spans="1:31" x14ac:dyDescent="0.2">
      <c r="A22" t="s">
        <v>93</v>
      </c>
      <c r="C22" s="103">
        <v>0.35</v>
      </c>
      <c r="D22" s="103"/>
      <c r="E22" s="103"/>
      <c r="F22" s="103">
        <f>$C22*$C$21</f>
        <v>0.35</v>
      </c>
      <c r="G22" s="103"/>
      <c r="H22" s="103"/>
      <c r="I22" s="103"/>
      <c r="J22" s="103"/>
      <c r="K22" s="103"/>
      <c r="L22" s="103"/>
      <c r="M22" s="103"/>
      <c r="N22" s="103"/>
      <c r="O22" s="103">
        <f>SUM(D22:N22)</f>
        <v>0.35</v>
      </c>
      <c r="R22" s="4"/>
      <c r="S22" s="4"/>
      <c r="T22" s="130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</row>
    <row r="23" spans="1:31" x14ac:dyDescent="0.2">
      <c r="A23" t="s">
        <v>94</v>
      </c>
      <c r="C23" s="103">
        <v>1</v>
      </c>
      <c r="D23" s="103"/>
      <c r="E23" s="103"/>
      <c r="F23" s="103">
        <f>$C23*$C$21</f>
        <v>1</v>
      </c>
      <c r="G23" s="103"/>
      <c r="H23" s="103"/>
      <c r="I23" s="103"/>
      <c r="J23" s="103"/>
      <c r="K23" s="103"/>
      <c r="L23" s="103"/>
      <c r="M23" s="103"/>
      <c r="N23" s="103"/>
      <c r="O23" s="103">
        <f>SUM(D23:N23)</f>
        <v>1</v>
      </c>
      <c r="R23" t="s">
        <v>126</v>
      </c>
      <c r="T23" s="132"/>
    </row>
    <row r="24" spans="1:31" x14ac:dyDescent="0.2">
      <c r="A24" t="s">
        <v>95</v>
      </c>
      <c r="C24" s="103">
        <v>1</v>
      </c>
      <c r="D24" s="103"/>
      <c r="E24" s="103"/>
      <c r="F24" s="103">
        <f>$C24*$C$21</f>
        <v>1</v>
      </c>
      <c r="G24" s="103"/>
      <c r="H24" s="103"/>
      <c r="I24" s="103"/>
      <c r="J24" s="103"/>
      <c r="K24" s="103"/>
      <c r="L24" s="103"/>
      <c r="M24" s="103"/>
      <c r="N24" s="103"/>
      <c r="O24" s="103">
        <f>SUM(D24:N24)</f>
        <v>1</v>
      </c>
      <c r="R24" t="s">
        <v>85</v>
      </c>
      <c r="T24" s="126">
        <v>1</v>
      </c>
      <c r="V24" s="129">
        <v>0.25</v>
      </c>
    </row>
    <row r="25" spans="1:31" x14ac:dyDescent="0.2">
      <c r="A25" t="s">
        <v>96</v>
      </c>
      <c r="C25" s="103">
        <v>1</v>
      </c>
      <c r="D25" s="103"/>
      <c r="E25" s="103"/>
      <c r="F25" s="103">
        <f>$C25*$C$21</f>
        <v>1</v>
      </c>
      <c r="G25" s="103"/>
      <c r="H25" s="103"/>
      <c r="I25" s="103"/>
      <c r="J25" s="103"/>
      <c r="K25" s="103"/>
      <c r="L25" s="103"/>
      <c r="M25" s="103"/>
      <c r="N25" s="103"/>
      <c r="O25" s="103">
        <f>SUM(D25:N25)</f>
        <v>1</v>
      </c>
      <c r="R25" t="s">
        <v>89</v>
      </c>
      <c r="T25" s="126">
        <v>1</v>
      </c>
      <c r="U25" s="129">
        <v>0</v>
      </c>
      <c r="V25" s="129">
        <v>0.25</v>
      </c>
    </row>
    <row r="26" spans="1:31" x14ac:dyDescent="0.2">
      <c r="A26" s="106" t="s">
        <v>97</v>
      </c>
      <c r="B26" s="109"/>
      <c r="C26" s="107"/>
      <c r="D26" s="107"/>
      <c r="E26" s="107"/>
      <c r="F26" s="110">
        <f>SUM(F21:F25)</f>
        <v>4.3499999999999996</v>
      </c>
      <c r="G26" s="103"/>
      <c r="H26" s="103"/>
      <c r="I26" s="103"/>
      <c r="J26" s="103"/>
      <c r="K26" s="103"/>
      <c r="L26" s="103"/>
      <c r="M26" s="103"/>
      <c r="N26" s="103"/>
      <c r="O26" s="103">
        <f>SUM(O21:O25)</f>
        <v>4.3499999999999996</v>
      </c>
      <c r="R26" t="s">
        <v>118</v>
      </c>
      <c r="T26" s="126">
        <v>1</v>
      </c>
      <c r="U26" s="129">
        <f>+(U24+U23)/2</f>
        <v>0</v>
      </c>
      <c r="V26" s="129">
        <v>0.125</v>
      </c>
    </row>
    <row r="27" spans="1:31" x14ac:dyDescent="0.2">
      <c r="A27" s="11" t="s">
        <v>61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31" x14ac:dyDescent="0.2">
      <c r="A28" s="108" t="s">
        <v>91</v>
      </c>
      <c r="B28" s="108"/>
      <c r="C28" s="108"/>
      <c r="D28" s="108"/>
      <c r="E28" s="108">
        <v>1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R28" t="s">
        <v>127</v>
      </c>
      <c r="S28" t="s">
        <v>128</v>
      </c>
    </row>
    <row r="29" spans="1:31" x14ac:dyDescent="0.2">
      <c r="A29" t="s">
        <v>98</v>
      </c>
      <c r="C29" s="103">
        <v>1</v>
      </c>
      <c r="D29" s="103"/>
      <c r="E29" s="103">
        <f>$C29*$E$28</f>
        <v>1</v>
      </c>
      <c r="F29" s="103"/>
      <c r="G29" s="103"/>
      <c r="H29" s="103"/>
      <c r="I29" s="103"/>
      <c r="J29" s="103"/>
      <c r="K29" s="103"/>
      <c r="L29" s="103"/>
      <c r="M29" s="103"/>
      <c r="N29" s="103"/>
      <c r="O29" s="103">
        <f t="shared" ref="O29:O35" si="13">SUM(D29:N29)</f>
        <v>1</v>
      </c>
      <c r="T29" s="126"/>
      <c r="U29" s="127" t="s">
        <v>69</v>
      </c>
      <c r="V29" s="127" t="s">
        <v>70</v>
      </c>
      <c r="W29" s="127" t="s">
        <v>71</v>
      </c>
      <c r="X29" s="127" t="s">
        <v>73</v>
      </c>
      <c r="Y29" s="127" t="s">
        <v>74</v>
      </c>
      <c r="Z29" s="127" t="s">
        <v>75</v>
      </c>
      <c r="AA29" s="127" t="s">
        <v>76</v>
      </c>
      <c r="AB29" s="127" t="s">
        <v>77</v>
      </c>
      <c r="AC29" s="127" t="s">
        <v>78</v>
      </c>
      <c r="AD29" s="127" t="s">
        <v>79</v>
      </c>
      <c r="AE29" s="128" t="s">
        <v>55</v>
      </c>
    </row>
    <row r="30" spans="1:31" x14ac:dyDescent="0.2">
      <c r="A30" t="s">
        <v>99</v>
      </c>
      <c r="C30" s="103">
        <v>1</v>
      </c>
      <c r="D30" s="103"/>
      <c r="E30" s="103">
        <f t="shared" ref="E30:E35" si="14">$C30*$E$28</f>
        <v>1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>
        <f t="shared" si="13"/>
        <v>1</v>
      </c>
      <c r="T30" s="126"/>
    </row>
    <row r="31" spans="1:31" x14ac:dyDescent="0.2">
      <c r="A31" t="s">
        <v>100</v>
      </c>
      <c r="C31" s="103">
        <v>1</v>
      </c>
      <c r="D31" s="103"/>
      <c r="E31" s="103">
        <f t="shared" si="14"/>
        <v>1</v>
      </c>
      <c r="F31" s="103"/>
      <c r="G31" s="103"/>
      <c r="H31" s="103"/>
      <c r="I31" s="103"/>
      <c r="J31" s="103"/>
      <c r="K31" s="103"/>
      <c r="L31" s="103"/>
      <c r="M31" s="103"/>
      <c r="N31" s="103"/>
      <c r="O31" s="103">
        <f t="shared" si="13"/>
        <v>1</v>
      </c>
      <c r="R31" t="s">
        <v>80</v>
      </c>
      <c r="T31" s="126">
        <v>1</v>
      </c>
      <c r="U31" s="129">
        <v>0.4</v>
      </c>
      <c r="V31" s="129">
        <v>0.25</v>
      </c>
      <c r="W31" s="129">
        <v>0.35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/>
      <c r="AE31" s="129">
        <f t="shared" ref="AE31:AE42" si="15">+U31+V31+W31+X31+Y31+Z31+AA31+AB31+AC31</f>
        <v>1</v>
      </c>
    </row>
    <row r="32" spans="1:31" x14ac:dyDescent="0.2">
      <c r="A32" t="s">
        <v>101</v>
      </c>
      <c r="C32" s="103">
        <v>1</v>
      </c>
      <c r="D32" s="103"/>
      <c r="E32" s="103">
        <f t="shared" si="14"/>
        <v>1</v>
      </c>
      <c r="F32" s="103"/>
      <c r="G32" s="103"/>
      <c r="H32" s="103"/>
      <c r="I32" s="103"/>
      <c r="J32" s="103"/>
      <c r="K32" s="103"/>
      <c r="L32" s="103"/>
      <c r="M32" s="103"/>
      <c r="N32" s="103"/>
      <c r="O32" s="103">
        <f t="shared" si="13"/>
        <v>1</v>
      </c>
      <c r="R32" t="s">
        <v>81</v>
      </c>
      <c r="T32" s="126">
        <v>1</v>
      </c>
      <c r="U32" s="129">
        <v>0</v>
      </c>
      <c r="V32" s="129">
        <v>0</v>
      </c>
      <c r="W32" s="129">
        <v>0</v>
      </c>
      <c r="X32" s="129">
        <v>0.15</v>
      </c>
      <c r="Y32" s="129">
        <v>0.05</v>
      </c>
      <c r="Z32" s="129">
        <v>0.05</v>
      </c>
      <c r="AA32" s="129">
        <v>0.25</v>
      </c>
      <c r="AB32" s="129">
        <v>0.3</v>
      </c>
      <c r="AC32" s="129">
        <v>0.2</v>
      </c>
      <c r="AD32" s="129"/>
      <c r="AE32" s="129">
        <f t="shared" si="15"/>
        <v>1</v>
      </c>
    </row>
    <row r="33" spans="1:31" x14ac:dyDescent="0.2">
      <c r="A33" s="105" t="s">
        <v>102</v>
      </c>
      <c r="C33" s="103">
        <v>0.5</v>
      </c>
      <c r="D33" s="103"/>
      <c r="E33" s="103">
        <f t="shared" si="14"/>
        <v>0.5</v>
      </c>
      <c r="F33" s="103"/>
      <c r="G33" s="103"/>
      <c r="H33" s="103"/>
      <c r="I33" s="103"/>
      <c r="J33" s="103"/>
      <c r="K33" s="103"/>
      <c r="L33" s="103"/>
      <c r="M33" s="103"/>
      <c r="N33" s="103"/>
      <c r="O33" s="103">
        <f t="shared" si="13"/>
        <v>0.5</v>
      </c>
      <c r="R33" t="s">
        <v>82</v>
      </c>
      <c r="T33" s="126">
        <v>1</v>
      </c>
      <c r="U33" s="129">
        <v>0.85</v>
      </c>
      <c r="V33" s="129">
        <v>0.15</v>
      </c>
      <c r="W33" s="129">
        <v>0</v>
      </c>
      <c r="X33" s="129">
        <v>0</v>
      </c>
      <c r="Y33" s="129">
        <v>0</v>
      </c>
      <c r="Z33" s="129">
        <v>0</v>
      </c>
      <c r="AA33" s="129">
        <v>0</v>
      </c>
      <c r="AB33" s="129">
        <v>0</v>
      </c>
      <c r="AC33" s="129">
        <v>0</v>
      </c>
      <c r="AD33" s="129"/>
      <c r="AE33" s="129">
        <f t="shared" si="15"/>
        <v>1</v>
      </c>
    </row>
    <row r="34" spans="1:31" x14ac:dyDescent="0.2">
      <c r="A34" t="s">
        <v>93</v>
      </c>
      <c r="C34" s="103">
        <v>0.65</v>
      </c>
      <c r="D34" s="103"/>
      <c r="E34" s="103">
        <f t="shared" si="14"/>
        <v>0.65</v>
      </c>
      <c r="F34" s="103"/>
      <c r="G34" s="103"/>
      <c r="H34" s="103"/>
      <c r="I34" s="103"/>
      <c r="J34" s="103"/>
      <c r="K34" s="103"/>
      <c r="L34" s="103"/>
      <c r="M34" s="103"/>
      <c r="N34" s="103"/>
      <c r="O34" s="103">
        <f t="shared" si="13"/>
        <v>0.65</v>
      </c>
      <c r="R34" t="s">
        <v>83</v>
      </c>
      <c r="T34" s="126">
        <v>1</v>
      </c>
      <c r="U34" s="129">
        <v>0</v>
      </c>
      <c r="V34" s="129">
        <v>0</v>
      </c>
      <c r="W34" s="129">
        <v>0.6</v>
      </c>
      <c r="X34" s="129">
        <v>0.4</v>
      </c>
      <c r="Y34" s="129">
        <v>0</v>
      </c>
      <c r="Z34" s="129">
        <v>0</v>
      </c>
      <c r="AA34" s="129">
        <v>0</v>
      </c>
      <c r="AB34" s="129">
        <v>0</v>
      </c>
      <c r="AC34" s="129">
        <v>0</v>
      </c>
      <c r="AD34" s="129"/>
      <c r="AE34" s="129">
        <f t="shared" si="15"/>
        <v>1</v>
      </c>
    </row>
    <row r="35" spans="1:31" x14ac:dyDescent="0.2">
      <c r="A35" t="s">
        <v>103</v>
      </c>
      <c r="C35" s="103">
        <v>0.25</v>
      </c>
      <c r="D35" s="103"/>
      <c r="E35" s="103">
        <f t="shared" si="14"/>
        <v>0.25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>
        <f t="shared" si="13"/>
        <v>0.25</v>
      </c>
      <c r="R35" t="s">
        <v>84</v>
      </c>
      <c r="T35" s="126">
        <v>1</v>
      </c>
      <c r="U35" s="129">
        <v>0.3</v>
      </c>
      <c r="V35" s="129">
        <v>0.1</v>
      </c>
      <c r="W35" s="129">
        <v>0.2</v>
      </c>
      <c r="X35" s="129">
        <v>0.25</v>
      </c>
      <c r="Y35" s="129">
        <v>0.05</v>
      </c>
      <c r="Z35" s="129">
        <v>0.05</v>
      </c>
      <c r="AA35" s="129">
        <v>0</v>
      </c>
      <c r="AB35" s="129">
        <v>0.05</v>
      </c>
      <c r="AC35" s="129">
        <v>0</v>
      </c>
      <c r="AD35" s="129"/>
      <c r="AE35" s="129">
        <f t="shared" si="15"/>
        <v>1.0000000000000002</v>
      </c>
    </row>
    <row r="36" spans="1:31" x14ac:dyDescent="0.2">
      <c r="A36" s="106" t="s">
        <v>104</v>
      </c>
      <c r="B36" s="109"/>
      <c r="C36" s="107"/>
      <c r="D36" s="107"/>
      <c r="E36" s="110">
        <f>SUM(E29:E35)</f>
        <v>5.4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>
        <f>SUM(O29:O35)</f>
        <v>5.4</v>
      </c>
      <c r="R36" t="s">
        <v>85</v>
      </c>
      <c r="T36" s="126">
        <v>1</v>
      </c>
      <c r="U36" s="129">
        <v>0.25</v>
      </c>
      <c r="V36" s="129">
        <v>0.1</v>
      </c>
      <c r="W36" s="129">
        <v>0.1</v>
      </c>
      <c r="X36" s="129">
        <v>0.2</v>
      </c>
      <c r="Y36" s="129">
        <v>0</v>
      </c>
      <c r="Z36" s="129">
        <v>0.05</v>
      </c>
      <c r="AA36" s="129">
        <v>2.5000000000000001E-2</v>
      </c>
      <c r="AB36" s="129">
        <v>2.5000000000000001E-2</v>
      </c>
      <c r="AC36" s="129">
        <v>0</v>
      </c>
      <c r="AD36" s="129"/>
      <c r="AE36" s="129">
        <f t="shared" si="15"/>
        <v>0.75</v>
      </c>
    </row>
    <row r="37" spans="1:31" x14ac:dyDescent="0.2">
      <c r="A37" s="11" t="s">
        <v>62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R37" t="s">
        <v>86</v>
      </c>
      <c r="T37" s="126">
        <v>1</v>
      </c>
      <c r="U37" s="129">
        <v>0.25</v>
      </c>
      <c r="V37" s="129">
        <v>0.2</v>
      </c>
      <c r="W37" s="129">
        <v>0.32500000000000001</v>
      </c>
      <c r="X37" s="129">
        <v>0.15</v>
      </c>
      <c r="Y37" s="129">
        <v>0</v>
      </c>
      <c r="Z37" s="129">
        <v>2.5000000000000001E-2</v>
      </c>
      <c r="AA37" s="129">
        <v>2.5000000000000001E-2</v>
      </c>
      <c r="AB37" s="129">
        <v>2.5000000000000001E-2</v>
      </c>
      <c r="AC37" s="129">
        <v>0</v>
      </c>
      <c r="AD37" s="129"/>
      <c r="AE37" s="129">
        <f t="shared" si="15"/>
        <v>1</v>
      </c>
    </row>
    <row r="38" spans="1:31" x14ac:dyDescent="0.2">
      <c r="A38" s="108" t="s">
        <v>91</v>
      </c>
      <c r="B38" s="108"/>
      <c r="C38" s="108"/>
      <c r="D38" s="108">
        <v>1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R38" t="s">
        <v>118</v>
      </c>
      <c r="T38" s="126">
        <v>1</v>
      </c>
      <c r="U38" s="129">
        <f t="shared" ref="U38:AC38" si="16">+(U36+U35)/2</f>
        <v>0.27500000000000002</v>
      </c>
      <c r="V38" s="129">
        <f t="shared" si="16"/>
        <v>0.1</v>
      </c>
      <c r="W38" s="129">
        <f t="shared" si="16"/>
        <v>0.15000000000000002</v>
      </c>
      <c r="X38" s="129">
        <f t="shared" si="16"/>
        <v>0.22500000000000001</v>
      </c>
      <c r="Y38" s="129">
        <f t="shared" si="16"/>
        <v>2.5000000000000001E-2</v>
      </c>
      <c r="Z38" s="129">
        <f t="shared" si="16"/>
        <v>0.05</v>
      </c>
      <c r="AA38" s="129">
        <f t="shared" si="16"/>
        <v>1.2500000000000001E-2</v>
      </c>
      <c r="AB38" s="129">
        <f t="shared" si="16"/>
        <v>3.7500000000000006E-2</v>
      </c>
      <c r="AC38" s="129">
        <f t="shared" si="16"/>
        <v>0</v>
      </c>
      <c r="AD38" s="129"/>
      <c r="AE38" s="129">
        <f t="shared" si="15"/>
        <v>0.875</v>
      </c>
    </row>
    <row r="39" spans="1:31" x14ac:dyDescent="0.2">
      <c r="A39" t="s">
        <v>105</v>
      </c>
      <c r="C39" s="103">
        <v>1</v>
      </c>
      <c r="D39" s="103">
        <f>$C39*$D$38</f>
        <v>1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>
        <f t="shared" ref="O39:O45" si="17">SUM(D39:N39)</f>
        <v>1</v>
      </c>
      <c r="R39" t="s">
        <v>87</v>
      </c>
      <c r="T39" s="126">
        <v>0.5</v>
      </c>
      <c r="U39" s="129">
        <f t="shared" ref="U39:AC39" si="18">+U33/2</f>
        <v>0.42499999999999999</v>
      </c>
      <c r="V39" s="129">
        <f t="shared" si="18"/>
        <v>7.4999999999999997E-2</v>
      </c>
      <c r="W39" s="129">
        <f t="shared" si="18"/>
        <v>0</v>
      </c>
      <c r="X39" s="129">
        <f t="shared" si="18"/>
        <v>0</v>
      </c>
      <c r="Y39" s="129">
        <f t="shared" si="18"/>
        <v>0</v>
      </c>
      <c r="Z39" s="129">
        <f t="shared" si="18"/>
        <v>0</v>
      </c>
      <c r="AA39" s="129">
        <f t="shared" si="18"/>
        <v>0</v>
      </c>
      <c r="AB39" s="129">
        <f t="shared" si="18"/>
        <v>0</v>
      </c>
      <c r="AC39" s="129">
        <f t="shared" si="18"/>
        <v>0</v>
      </c>
      <c r="AD39" s="129"/>
      <c r="AE39" s="129">
        <f t="shared" si="15"/>
        <v>0.5</v>
      </c>
    </row>
    <row r="40" spans="1:31" x14ac:dyDescent="0.2">
      <c r="A40" t="s">
        <v>106</v>
      </c>
      <c r="C40" s="103">
        <v>1</v>
      </c>
      <c r="D40" s="103">
        <f t="shared" ref="D40:D45" si="19">$C40*$D$38</f>
        <v>1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>
        <f t="shared" si="17"/>
        <v>1</v>
      </c>
      <c r="R40" t="s">
        <v>88</v>
      </c>
      <c r="T40" s="126">
        <v>1</v>
      </c>
      <c r="U40" s="129">
        <f t="shared" ref="U40:AC40" si="20">+(U31+U34)/2</f>
        <v>0.2</v>
      </c>
      <c r="V40" s="129">
        <f t="shared" si="20"/>
        <v>0.125</v>
      </c>
      <c r="W40" s="129">
        <f t="shared" si="20"/>
        <v>0.47499999999999998</v>
      </c>
      <c r="X40" s="129">
        <f t="shared" si="20"/>
        <v>0.2</v>
      </c>
      <c r="Y40" s="129">
        <f t="shared" si="20"/>
        <v>0</v>
      </c>
      <c r="Z40" s="129">
        <f t="shared" si="20"/>
        <v>0</v>
      </c>
      <c r="AA40" s="129">
        <f t="shared" si="20"/>
        <v>0</v>
      </c>
      <c r="AB40" s="129">
        <f t="shared" si="20"/>
        <v>0</v>
      </c>
      <c r="AC40" s="129">
        <f t="shared" si="20"/>
        <v>0</v>
      </c>
      <c r="AD40" s="129"/>
      <c r="AE40" s="129">
        <f t="shared" si="15"/>
        <v>1</v>
      </c>
    </row>
    <row r="41" spans="1:31" x14ac:dyDescent="0.2">
      <c r="A41" t="s">
        <v>107</v>
      </c>
      <c r="C41" s="103">
        <v>1</v>
      </c>
      <c r="D41" s="103">
        <f t="shared" si="19"/>
        <v>1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>
        <f t="shared" si="17"/>
        <v>1</v>
      </c>
      <c r="R41" t="s">
        <v>123</v>
      </c>
      <c r="T41" s="126">
        <v>0.5</v>
      </c>
      <c r="U41" s="129">
        <f t="shared" ref="U41:AC41" si="21">+U37/2</f>
        <v>0.125</v>
      </c>
      <c r="V41" s="129">
        <f t="shared" si="21"/>
        <v>0.1</v>
      </c>
      <c r="W41" s="129">
        <f t="shared" si="21"/>
        <v>0.16250000000000001</v>
      </c>
      <c r="X41" s="129">
        <f t="shared" si="21"/>
        <v>7.4999999999999997E-2</v>
      </c>
      <c r="Y41" s="129">
        <f t="shared" si="21"/>
        <v>0</v>
      </c>
      <c r="Z41" s="129">
        <f t="shared" si="21"/>
        <v>1.2500000000000001E-2</v>
      </c>
      <c r="AA41" s="129">
        <f t="shared" si="21"/>
        <v>1.2500000000000001E-2</v>
      </c>
      <c r="AB41" s="129">
        <f t="shared" si="21"/>
        <v>1.2500000000000001E-2</v>
      </c>
      <c r="AC41" s="129">
        <f t="shared" si="21"/>
        <v>0</v>
      </c>
      <c r="AD41" s="129">
        <f>+AD37/3+AD32/3</f>
        <v>0</v>
      </c>
      <c r="AE41" s="129">
        <f t="shared" si="15"/>
        <v>0.5</v>
      </c>
    </row>
    <row r="42" spans="1:31" x14ac:dyDescent="0.2">
      <c r="A42" t="s">
        <v>108</v>
      </c>
      <c r="C42" s="103">
        <v>1</v>
      </c>
      <c r="D42" s="103">
        <f t="shared" si="19"/>
        <v>1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>
        <f t="shared" si="17"/>
        <v>1</v>
      </c>
      <c r="R42" t="s">
        <v>89</v>
      </c>
      <c r="T42" s="126">
        <v>1</v>
      </c>
      <c r="U42" s="129">
        <v>0.3</v>
      </c>
      <c r="V42" s="129">
        <f>0.3-V25</f>
        <v>4.9999999999999989E-2</v>
      </c>
      <c r="W42" s="129">
        <v>0.2</v>
      </c>
      <c r="X42" s="129">
        <v>0.15</v>
      </c>
      <c r="Y42" s="129">
        <v>0</v>
      </c>
      <c r="Z42" s="129">
        <v>2.5000000000000001E-2</v>
      </c>
      <c r="AA42" s="129">
        <v>0</v>
      </c>
      <c r="AB42" s="129">
        <v>2.5000000000000001E-2</v>
      </c>
      <c r="AC42" s="129">
        <v>0</v>
      </c>
      <c r="AD42" s="129"/>
      <c r="AE42" s="129">
        <f t="shared" si="15"/>
        <v>0.75000000000000011</v>
      </c>
    </row>
    <row r="43" spans="1:31" x14ac:dyDescent="0.2">
      <c r="A43" t="s">
        <v>109</v>
      </c>
      <c r="C43" s="103">
        <v>0.5</v>
      </c>
      <c r="D43" s="103">
        <f t="shared" si="19"/>
        <v>0.5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>
        <f t="shared" si="17"/>
        <v>0.5</v>
      </c>
      <c r="R43" s="137" t="s">
        <v>124</v>
      </c>
      <c r="S43" s="4"/>
      <c r="T43" s="130"/>
      <c r="U43" s="129">
        <f t="shared" ref="U43:AE43" si="22">SUM(U31:U42)</f>
        <v>3.3749999999999996</v>
      </c>
      <c r="V43" s="129">
        <f t="shared" si="22"/>
        <v>1.2500000000000002</v>
      </c>
      <c r="W43" s="129">
        <f t="shared" si="22"/>
        <v>2.5625000000000004</v>
      </c>
      <c r="X43" s="129">
        <f t="shared" si="22"/>
        <v>1.7999999999999998</v>
      </c>
      <c r="Y43" s="129">
        <f t="shared" si="22"/>
        <v>0.125</v>
      </c>
      <c r="Z43" s="129">
        <f t="shared" si="22"/>
        <v>0.26250000000000007</v>
      </c>
      <c r="AA43" s="129">
        <f t="shared" si="22"/>
        <v>0.32500000000000007</v>
      </c>
      <c r="AB43" s="129">
        <f t="shared" si="22"/>
        <v>0.47500000000000003</v>
      </c>
      <c r="AC43" s="129">
        <f t="shared" si="22"/>
        <v>0.2</v>
      </c>
      <c r="AD43" s="129">
        <f t="shared" si="22"/>
        <v>0</v>
      </c>
      <c r="AE43" s="129">
        <f t="shared" si="22"/>
        <v>10.375</v>
      </c>
    </row>
    <row r="44" spans="1:31" x14ac:dyDescent="0.2">
      <c r="A44" t="s">
        <v>103</v>
      </c>
      <c r="C44" s="103">
        <v>0.75</v>
      </c>
      <c r="D44" s="103">
        <f t="shared" si="19"/>
        <v>0.75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>
        <f t="shared" si="17"/>
        <v>0.75</v>
      </c>
      <c r="R44" s="137"/>
      <c r="S44" s="4"/>
      <c r="T44" s="130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</row>
    <row r="45" spans="1:31" x14ac:dyDescent="0.2">
      <c r="A45" t="s">
        <v>110</v>
      </c>
      <c r="C45" s="103">
        <v>1</v>
      </c>
      <c r="D45" s="103">
        <f t="shared" si="19"/>
        <v>1</v>
      </c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>
        <f t="shared" si="17"/>
        <v>1</v>
      </c>
      <c r="R45" s="137" t="s">
        <v>129</v>
      </c>
      <c r="S45" s="4"/>
      <c r="T45" s="130"/>
      <c r="U45" s="131">
        <f t="shared" ref="U45:AD45" si="23">+U31+U32+U33+U34+U35+U36+U37</f>
        <v>2.0499999999999998</v>
      </c>
      <c r="V45" s="131">
        <f t="shared" si="23"/>
        <v>0.8</v>
      </c>
      <c r="W45" s="131">
        <f t="shared" si="23"/>
        <v>1.575</v>
      </c>
      <c r="X45" s="131">
        <f t="shared" si="23"/>
        <v>1.1499999999999999</v>
      </c>
      <c r="Y45" s="131">
        <f t="shared" si="23"/>
        <v>0.1</v>
      </c>
      <c r="Z45" s="131">
        <f t="shared" si="23"/>
        <v>0.17500000000000002</v>
      </c>
      <c r="AA45" s="131">
        <f t="shared" si="23"/>
        <v>0.30000000000000004</v>
      </c>
      <c r="AB45" s="131">
        <f t="shared" si="23"/>
        <v>0.4</v>
      </c>
      <c r="AC45" s="131">
        <f t="shared" si="23"/>
        <v>0.2</v>
      </c>
      <c r="AD45" s="131">
        <f t="shared" si="23"/>
        <v>0</v>
      </c>
      <c r="AE45" s="129"/>
    </row>
    <row r="46" spans="1:31" x14ac:dyDescent="0.2">
      <c r="A46" s="106" t="s">
        <v>111</v>
      </c>
      <c r="B46" s="111"/>
      <c r="C46" s="112"/>
      <c r="D46" s="110">
        <f>SUM(D39:D45)</f>
        <v>6.25</v>
      </c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>
        <f>SUM(O39:O45)</f>
        <v>6.25</v>
      </c>
      <c r="R46" s="4"/>
      <c r="S46" s="4"/>
      <c r="T46" s="130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</row>
    <row r="47" spans="1:31" x14ac:dyDescent="0.2">
      <c r="A47" s="11" t="s">
        <v>63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</row>
    <row r="48" spans="1:31" x14ac:dyDescent="0.2">
      <c r="A48" s="108" t="s">
        <v>91</v>
      </c>
      <c r="B48" s="108"/>
      <c r="C48" s="108"/>
      <c r="D48" s="108">
        <v>0.3</v>
      </c>
      <c r="E48" s="108">
        <v>0.3</v>
      </c>
      <c r="F48" s="108">
        <v>0.3</v>
      </c>
      <c r="G48" s="108"/>
      <c r="H48" s="108"/>
      <c r="I48" s="108"/>
      <c r="J48" s="108"/>
      <c r="K48" s="108"/>
      <c r="L48" s="108">
        <v>0.05</v>
      </c>
      <c r="M48" s="108">
        <v>0.05</v>
      </c>
      <c r="N48" s="100"/>
      <c r="O48" s="100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</row>
    <row r="49" spans="1:31" x14ac:dyDescent="0.2">
      <c r="A49" t="s">
        <v>112</v>
      </c>
      <c r="C49" s="103">
        <v>1</v>
      </c>
      <c r="D49" s="103">
        <f>$C$49*D48</f>
        <v>0.3</v>
      </c>
      <c r="E49" s="103">
        <f>$C$49*E48</f>
        <v>0.3</v>
      </c>
      <c r="F49" s="103">
        <f>$C$49*F48</f>
        <v>0.3</v>
      </c>
      <c r="G49" s="103"/>
      <c r="H49" s="103"/>
      <c r="I49" s="103"/>
      <c r="J49" s="103"/>
      <c r="K49" s="103"/>
      <c r="L49" s="103">
        <f>$C$49*L48</f>
        <v>0.05</v>
      </c>
      <c r="M49" s="103">
        <f>$C$49*M48</f>
        <v>0.05</v>
      </c>
      <c r="N49" s="103"/>
      <c r="O49" s="103">
        <f>SUM(D49:N49)</f>
        <v>1</v>
      </c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</row>
    <row r="50" spans="1:31" x14ac:dyDescent="0.2">
      <c r="A50" t="s">
        <v>113</v>
      </c>
      <c r="C50" s="103">
        <v>1</v>
      </c>
      <c r="D50" s="103">
        <f>$C$50*D48</f>
        <v>0.3</v>
      </c>
      <c r="E50" s="103">
        <f>$C$50*E48</f>
        <v>0.3</v>
      </c>
      <c r="F50" s="103">
        <f>$C$50*F48</f>
        <v>0.3</v>
      </c>
      <c r="G50" s="103"/>
      <c r="H50" s="103"/>
      <c r="I50" s="103"/>
      <c r="J50" s="103"/>
      <c r="K50" s="103"/>
      <c r="L50" s="103">
        <f>$C$50*L48</f>
        <v>0.05</v>
      </c>
      <c r="M50" s="103">
        <f>$C$50*M48</f>
        <v>0.05</v>
      </c>
      <c r="N50" s="103"/>
      <c r="O50" s="103">
        <f>SUM(D50:N50)</f>
        <v>1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</row>
    <row r="51" spans="1:31" x14ac:dyDescent="0.2">
      <c r="A51" s="106" t="s">
        <v>114</v>
      </c>
      <c r="B51" s="111"/>
      <c r="C51" s="112"/>
      <c r="D51" s="112">
        <f t="shared" ref="D51:M51" si="24">SUM(D49:D50)</f>
        <v>0.6</v>
      </c>
      <c r="E51" s="112">
        <f t="shared" si="24"/>
        <v>0.6</v>
      </c>
      <c r="F51" s="112">
        <f t="shared" si="24"/>
        <v>0.6</v>
      </c>
      <c r="G51" s="112">
        <f t="shared" si="24"/>
        <v>0</v>
      </c>
      <c r="H51" s="112">
        <f t="shared" si="24"/>
        <v>0</v>
      </c>
      <c r="I51" s="112">
        <f t="shared" si="24"/>
        <v>0</v>
      </c>
      <c r="J51" s="112">
        <f t="shared" si="24"/>
        <v>0</v>
      </c>
      <c r="K51" s="112">
        <f t="shared" si="24"/>
        <v>0</v>
      </c>
      <c r="L51" s="112">
        <f t="shared" si="24"/>
        <v>0.1</v>
      </c>
      <c r="M51" s="110">
        <f t="shared" si="24"/>
        <v>0.1</v>
      </c>
      <c r="N51" s="103"/>
      <c r="O51" s="103">
        <f>SUM(O49:O50)</f>
        <v>2</v>
      </c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</row>
    <row r="52" spans="1:31" ht="5.25" customHeight="1" x14ac:dyDescent="0.2"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</row>
    <row r="53" spans="1:31" x14ac:dyDescent="0.2">
      <c r="A53" s="113" t="s">
        <v>115</v>
      </c>
      <c r="B53" s="111"/>
      <c r="C53" s="112"/>
      <c r="D53" s="112">
        <f t="shared" ref="D53:N53" si="25">D18+D26+D36+D46+D51</f>
        <v>10.225</v>
      </c>
      <c r="E53" s="112">
        <f t="shared" si="25"/>
        <v>7.8375000000000004</v>
      </c>
      <c r="F53" s="112">
        <f t="shared" si="25"/>
        <v>7.5499999999999989</v>
      </c>
      <c r="G53" s="112">
        <f t="shared" si="25"/>
        <v>0</v>
      </c>
      <c r="H53" s="112">
        <f t="shared" si="25"/>
        <v>1.7999999999999998</v>
      </c>
      <c r="I53" s="112">
        <f t="shared" si="25"/>
        <v>7.5000000000000011E-2</v>
      </c>
      <c r="J53" s="112">
        <f t="shared" si="25"/>
        <v>0.26250000000000007</v>
      </c>
      <c r="K53" s="112">
        <f t="shared" si="25"/>
        <v>0.32500000000000007</v>
      </c>
      <c r="L53" s="112">
        <f t="shared" si="25"/>
        <v>0.625</v>
      </c>
      <c r="M53" s="112">
        <f t="shared" si="25"/>
        <v>0.30000000000000004</v>
      </c>
      <c r="N53" s="112">
        <f t="shared" si="25"/>
        <v>0</v>
      </c>
      <c r="O53" s="110">
        <f>SUM(D53:N53)</f>
        <v>28.999999999999996</v>
      </c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</row>
    <row r="54" spans="1:31" ht="4.5" customHeight="1" x14ac:dyDescent="0.2"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</row>
    <row r="55" spans="1:31" x14ac:dyDescent="0.2">
      <c r="A55" s="114" t="s">
        <v>116</v>
      </c>
      <c r="B55" s="115"/>
      <c r="C55" s="115"/>
      <c r="D55" s="115">
        <f>D53/$O$53</f>
        <v>0.35258620689655173</v>
      </c>
      <c r="E55" s="115">
        <f t="shared" ref="E55:N55" si="26">E53/$O$53</f>
        <v>0.27025862068965523</v>
      </c>
      <c r="F55" s="115">
        <f t="shared" si="26"/>
        <v>0.26034482758620692</v>
      </c>
      <c r="G55" s="115">
        <f t="shared" si="26"/>
        <v>0</v>
      </c>
      <c r="H55" s="115">
        <f t="shared" si="26"/>
        <v>6.2068965517241378E-2</v>
      </c>
      <c r="I55" s="115">
        <f t="shared" si="26"/>
        <v>2.586206896551725E-3</v>
      </c>
      <c r="J55" s="115">
        <f t="shared" si="26"/>
        <v>9.0517241379310387E-3</v>
      </c>
      <c r="K55" s="115">
        <f t="shared" si="26"/>
        <v>1.1206896551724141E-2</v>
      </c>
      <c r="L55" s="115">
        <f t="shared" si="26"/>
        <v>2.1551724137931036E-2</v>
      </c>
      <c r="M55" s="115">
        <f t="shared" si="26"/>
        <v>1.03448275862069E-2</v>
      </c>
      <c r="N55" s="115">
        <f t="shared" si="26"/>
        <v>0</v>
      </c>
      <c r="O55" s="116">
        <f>SUM(D55:N55)</f>
        <v>1.0000000000000002</v>
      </c>
    </row>
    <row r="56" spans="1:31" ht="5.25" customHeight="1" x14ac:dyDescent="0.2"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1:31" x14ac:dyDescent="0.2">
      <c r="C57" s="103"/>
      <c r="D57" s="117" t="s">
        <v>69</v>
      </c>
      <c r="E57" s="104" t="s">
        <v>70</v>
      </c>
      <c r="F57" s="104" t="s">
        <v>71</v>
      </c>
      <c r="G57" s="104" t="s">
        <v>72</v>
      </c>
      <c r="H57" s="104" t="s">
        <v>73</v>
      </c>
      <c r="I57" s="104" t="s">
        <v>74</v>
      </c>
      <c r="J57" s="104" t="s">
        <v>75</v>
      </c>
      <c r="K57" s="209">
        <v>404</v>
      </c>
      <c r="L57" s="104" t="s">
        <v>77</v>
      </c>
      <c r="M57" s="104" t="s">
        <v>149</v>
      </c>
      <c r="N57" s="118" t="s">
        <v>79</v>
      </c>
      <c r="O57" s="103"/>
      <c r="R57" s="133" t="s">
        <v>130</v>
      </c>
    </row>
    <row r="58" spans="1:31" x14ac:dyDescent="0.2"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R58" s="133"/>
    </row>
    <row r="59" spans="1:31" x14ac:dyDescent="0.2">
      <c r="R59" s="133" t="s">
        <v>131</v>
      </c>
    </row>
    <row r="60" spans="1:31" x14ac:dyDescent="0.2">
      <c r="R60" s="133"/>
    </row>
    <row r="61" spans="1:31" x14ac:dyDescent="0.2">
      <c r="R61" s="133" t="s">
        <v>132</v>
      </c>
    </row>
    <row r="62" spans="1:31" x14ac:dyDescent="0.2">
      <c r="R62" s="133"/>
    </row>
    <row r="63" spans="1:31" x14ac:dyDescent="0.2">
      <c r="R63" s="133" t="s">
        <v>133</v>
      </c>
    </row>
    <row r="64" spans="1:31" x14ac:dyDescent="0.2">
      <c r="R64" s="133" t="s">
        <v>134</v>
      </c>
    </row>
    <row r="75" hidden="1" x14ac:dyDescent="0.2"/>
    <row r="76" hidden="1" x14ac:dyDescent="0.2"/>
    <row r="77" hidden="1" x14ac:dyDescent="0.2"/>
    <row r="84" hidden="1" x14ac:dyDescent="0.2"/>
    <row r="86" hidden="1" x14ac:dyDescent="0.2"/>
    <row r="90" hidden="1" x14ac:dyDescent="0.2"/>
    <row r="91" hidden="1" x14ac:dyDescent="0.2"/>
    <row r="97" hidden="1" x14ac:dyDescent="0.2"/>
  </sheetData>
  <pageMargins left="0.25" right="0.25" top="0.28999999999999998" bottom="0.2" header="0.25" footer="0.2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U29"/>
  <sheetViews>
    <sheetView showGridLines="0" zoomScale="80" workbookViewId="0">
      <selection activeCell="S3" sqref="S3"/>
    </sheetView>
  </sheetViews>
  <sheetFormatPr defaultRowHeight="12.75" x14ac:dyDescent="0.2"/>
  <cols>
    <col min="1" max="1" width="30" customWidth="1"/>
    <col min="2" max="2" width="13.7109375" customWidth="1"/>
    <col min="3" max="3" width="0.85546875" customWidth="1"/>
    <col min="4" max="4" width="12.28515625" bestFit="1" customWidth="1"/>
    <col min="5" max="5" width="0.85546875" customWidth="1"/>
    <col min="6" max="6" width="3.7109375" hidden="1" customWidth="1"/>
    <col min="7" max="7" width="12.28515625" bestFit="1" customWidth="1"/>
    <col min="8" max="8" width="0.85546875" customWidth="1"/>
    <col min="9" max="9" width="13.7109375" customWidth="1"/>
    <col min="10" max="10" width="0.85546875" customWidth="1"/>
    <col min="11" max="11" width="11.7109375" hidden="1" customWidth="1"/>
    <col min="12" max="12" width="3.140625" hidden="1" customWidth="1"/>
    <col min="13" max="13" width="13.42578125" customWidth="1"/>
    <col min="14" max="14" width="2.7109375" customWidth="1"/>
    <col min="15" max="15" width="13.42578125" hidden="1" customWidth="1"/>
    <col min="16" max="16" width="0.85546875" hidden="1" customWidth="1"/>
    <col min="17" max="17" width="11.28515625" customWidth="1"/>
    <col min="18" max="18" width="1" customWidth="1"/>
    <col min="19" max="19" width="4.42578125" bestFit="1" customWidth="1"/>
  </cols>
  <sheetData>
    <row r="1" spans="1:21" ht="38.25" customHeight="1" x14ac:dyDescent="0.2">
      <c r="H1" s="138" t="s">
        <v>136</v>
      </c>
      <c r="I1" s="139">
        <v>436</v>
      </c>
      <c r="M1" s="140"/>
      <c r="N1" s="140"/>
      <c r="Q1" s="140"/>
    </row>
    <row r="2" spans="1:21" ht="18" x14ac:dyDescent="0.25">
      <c r="A2" s="119" t="s">
        <v>150</v>
      </c>
      <c r="B2" s="142"/>
      <c r="C2" s="120"/>
      <c r="D2" s="120"/>
      <c r="E2" s="120"/>
      <c r="F2" s="120"/>
      <c r="G2" s="120"/>
      <c r="H2" s="120"/>
      <c r="I2" s="142"/>
      <c r="J2" s="120"/>
      <c r="K2" s="143"/>
      <c r="L2" s="143"/>
      <c r="M2" s="143"/>
      <c r="N2" s="143"/>
      <c r="O2" s="143"/>
      <c r="P2" s="143"/>
      <c r="Q2" s="120"/>
      <c r="R2" s="120"/>
    </row>
    <row r="3" spans="1:21" x14ac:dyDescent="0.2">
      <c r="A3" s="141" t="s">
        <v>137</v>
      </c>
      <c r="B3" s="142"/>
      <c r="C3" s="120"/>
      <c r="D3" s="120"/>
      <c r="E3" s="120"/>
      <c r="F3" s="120"/>
      <c r="G3" s="120"/>
      <c r="H3" s="120"/>
      <c r="I3" s="142"/>
      <c r="J3" s="120"/>
      <c r="K3" s="143"/>
      <c r="L3" s="143"/>
      <c r="M3" s="143"/>
      <c r="N3" s="143"/>
      <c r="O3" s="143"/>
      <c r="P3" s="143"/>
      <c r="Q3" s="143"/>
      <c r="R3" s="120"/>
      <c r="S3" s="144"/>
    </row>
    <row r="4" spans="1:21" x14ac:dyDescent="0.2">
      <c r="A4" s="145" t="str">
        <f>VLOOKUP($I$1,$S$4:$T$13,2,FALSE)</f>
        <v>436 - EGP FUELS</v>
      </c>
      <c r="B4" s="142"/>
      <c r="C4" s="120"/>
      <c r="D4" s="120"/>
      <c r="E4" s="120"/>
      <c r="F4" s="120"/>
      <c r="G4" s="120"/>
      <c r="H4" s="120"/>
      <c r="I4" s="142"/>
      <c r="J4" s="120"/>
      <c r="K4" s="143"/>
      <c r="L4" s="143"/>
      <c r="M4" s="143"/>
      <c r="N4" s="143"/>
      <c r="O4" s="143"/>
      <c r="P4" s="143"/>
      <c r="Q4" s="143"/>
      <c r="R4" s="120"/>
      <c r="S4" s="146">
        <v>60</v>
      </c>
      <c r="T4" s="125" t="s">
        <v>29</v>
      </c>
    </row>
    <row r="5" spans="1:21" x14ac:dyDescent="0.2">
      <c r="B5" s="147"/>
      <c r="I5" s="147"/>
      <c r="K5" s="140"/>
      <c r="L5" s="140"/>
      <c r="M5" s="140"/>
      <c r="N5" s="140"/>
      <c r="O5" s="140"/>
      <c r="P5" s="140"/>
      <c r="Q5" s="140"/>
      <c r="S5" s="146">
        <v>62</v>
      </c>
      <c r="T5" s="125" t="s">
        <v>30</v>
      </c>
    </row>
    <row r="6" spans="1:21" x14ac:dyDescent="0.2">
      <c r="B6" s="148">
        <v>1999</v>
      </c>
      <c r="C6" s="149"/>
      <c r="D6" s="148">
        <v>1999</v>
      </c>
      <c r="E6" s="149"/>
      <c r="F6" s="149"/>
      <c r="G6" s="148">
        <v>1999</v>
      </c>
      <c r="H6" s="149"/>
      <c r="I6" s="223">
        <v>2000</v>
      </c>
      <c r="J6" s="149"/>
      <c r="K6" s="148">
        <v>1999</v>
      </c>
      <c r="L6" s="149"/>
      <c r="M6" s="148">
        <v>1999</v>
      </c>
      <c r="N6" s="148"/>
      <c r="O6" s="148">
        <v>1999</v>
      </c>
      <c r="P6" s="148"/>
      <c r="Q6" s="150"/>
      <c r="S6" s="172">
        <v>111</v>
      </c>
      <c r="T6" s="125" t="s">
        <v>152</v>
      </c>
    </row>
    <row r="7" spans="1:21" x14ac:dyDescent="0.2">
      <c r="B7" s="151" t="s">
        <v>138</v>
      </c>
      <c r="C7" s="152"/>
      <c r="D7" s="151" t="s">
        <v>58</v>
      </c>
      <c r="E7" s="152"/>
      <c r="F7" s="152"/>
      <c r="G7" s="151" t="s">
        <v>59</v>
      </c>
      <c r="H7" s="152"/>
      <c r="I7" s="224" t="s">
        <v>140</v>
      </c>
      <c r="J7" s="152"/>
      <c r="K7" s="151" t="s">
        <v>138</v>
      </c>
      <c r="L7" s="152"/>
      <c r="M7" s="151" t="s">
        <v>58</v>
      </c>
      <c r="N7" s="151"/>
      <c r="O7" s="151" t="s">
        <v>59</v>
      </c>
      <c r="P7" s="151"/>
      <c r="Q7" s="149" t="s">
        <v>170</v>
      </c>
      <c r="S7" s="146">
        <v>179</v>
      </c>
      <c r="T7" s="125" t="s">
        <v>34</v>
      </c>
    </row>
    <row r="8" spans="1:21" x14ac:dyDescent="0.2">
      <c r="B8" s="151" t="s">
        <v>139</v>
      </c>
      <c r="C8" s="152"/>
      <c r="D8" s="151" t="s">
        <v>139</v>
      </c>
      <c r="E8" s="152"/>
      <c r="F8" s="152"/>
      <c r="G8" s="151"/>
      <c r="H8" s="152"/>
      <c r="I8" s="225"/>
      <c r="J8" s="152"/>
      <c r="K8" s="151" t="s">
        <v>139</v>
      </c>
      <c r="L8" s="152"/>
      <c r="M8" s="151" t="s">
        <v>139</v>
      </c>
      <c r="N8" s="151"/>
      <c r="O8" s="151" t="s">
        <v>139</v>
      </c>
      <c r="P8" s="151"/>
      <c r="Q8" s="149" t="s">
        <v>168</v>
      </c>
      <c r="S8" s="146">
        <v>404</v>
      </c>
      <c r="T8" s="125" t="s">
        <v>36</v>
      </c>
    </row>
    <row r="9" spans="1:21" ht="15" x14ac:dyDescent="0.25">
      <c r="A9" s="153"/>
      <c r="B9" s="154"/>
      <c r="C9" s="155"/>
      <c r="D9" s="151"/>
      <c r="E9" s="155"/>
      <c r="F9" s="155"/>
      <c r="G9" s="151"/>
      <c r="H9" s="155"/>
      <c r="I9" s="226"/>
      <c r="J9" s="155"/>
      <c r="K9" s="156" t="s">
        <v>3</v>
      </c>
      <c r="L9" s="155"/>
      <c r="M9" s="210" t="s">
        <v>3</v>
      </c>
      <c r="N9" s="156"/>
      <c r="O9" s="156" t="s">
        <v>3</v>
      </c>
      <c r="P9" s="156"/>
      <c r="Q9" s="152" t="s">
        <v>3</v>
      </c>
      <c r="S9" s="144">
        <v>413</v>
      </c>
      <c r="T9" t="s">
        <v>27</v>
      </c>
    </row>
    <row r="10" spans="1:21" x14ac:dyDescent="0.2">
      <c r="B10" s="6"/>
      <c r="C10" s="157"/>
      <c r="D10" s="6"/>
      <c r="E10" s="157"/>
      <c r="F10" s="157"/>
      <c r="G10" s="6"/>
      <c r="H10" s="157"/>
      <c r="I10" s="226"/>
      <c r="J10" s="157"/>
      <c r="K10" s="158"/>
      <c r="L10" s="157"/>
      <c r="M10" s="158"/>
      <c r="N10" s="158"/>
      <c r="O10" s="158"/>
      <c r="P10" s="158"/>
      <c r="Q10" s="157"/>
      <c r="S10" s="146">
        <v>436</v>
      </c>
      <c r="T10" s="125" t="s">
        <v>39</v>
      </c>
    </row>
    <row r="11" spans="1:21" x14ac:dyDescent="0.2">
      <c r="I11" s="225"/>
      <c r="L11" s="159"/>
      <c r="M11" s="160"/>
      <c r="N11" s="160"/>
      <c r="O11" s="160">
        <f>$I14-G14</f>
        <v>0</v>
      </c>
      <c r="P11" s="160"/>
      <c r="Q11" s="159"/>
      <c r="S11">
        <v>543</v>
      </c>
      <c r="T11" t="s">
        <v>43</v>
      </c>
    </row>
    <row r="12" spans="1:21" ht="15" x14ac:dyDescent="0.25">
      <c r="A12" s="153" t="s">
        <v>143</v>
      </c>
      <c r="B12" s="154"/>
      <c r="C12" s="159"/>
      <c r="D12" s="154"/>
      <c r="E12" s="159"/>
      <c r="F12" s="159"/>
      <c r="G12" s="154"/>
      <c r="H12" s="159"/>
      <c r="I12" s="226"/>
      <c r="J12" s="159"/>
      <c r="K12" s="160"/>
      <c r="L12" s="159"/>
      <c r="M12" s="160"/>
      <c r="N12" s="160"/>
      <c r="O12" s="160"/>
      <c r="P12" s="160"/>
      <c r="Q12" s="159"/>
      <c r="S12" s="144">
        <v>583</v>
      </c>
      <c r="T12" s="162" t="s">
        <v>45</v>
      </c>
    </row>
    <row r="13" spans="1:21" x14ac:dyDescent="0.2">
      <c r="A13" s="125"/>
      <c r="B13" s="154"/>
      <c r="C13" s="159"/>
      <c r="D13" s="154"/>
      <c r="E13" s="159"/>
      <c r="F13" s="159"/>
      <c r="G13" s="154"/>
      <c r="H13" s="159"/>
      <c r="I13" s="226"/>
      <c r="J13" s="159"/>
      <c r="K13" s="160"/>
      <c r="L13" s="159"/>
      <c r="M13" s="160"/>
      <c r="N13" s="160"/>
      <c r="O13" s="160"/>
      <c r="P13" s="160"/>
      <c r="Q13" s="159"/>
      <c r="S13" s="144">
        <v>584</v>
      </c>
      <c r="T13" t="s">
        <v>46</v>
      </c>
    </row>
    <row r="14" spans="1:21" x14ac:dyDescent="0.2">
      <c r="A14" s="125" t="s">
        <v>167</v>
      </c>
      <c r="B14" s="154">
        <f>SUMIF('111693 (0162)'!$A$62:$A$84,'Cmpy Rpt'!$A$4,'111693 (0162)'!C$62:C$84)</f>
        <v>0</v>
      </c>
      <c r="C14" s="159"/>
      <c r="D14" s="154">
        <f>SUMIF('111693 (0162)'!$A$62:$A$84,'Cmpy Rpt'!$A$4,'111693 (0162)'!G$62:G$84)</f>
        <v>0</v>
      </c>
      <c r="E14" s="159"/>
      <c r="F14" s="159"/>
      <c r="G14" s="154">
        <f>SUMIF('111693 (0162)'!$A$62:$A$84,'Cmpy Rpt'!$A$4,'111693 (0162)'!I$62:I$84)</f>
        <v>0</v>
      </c>
      <c r="H14" s="159"/>
      <c r="I14" s="226">
        <f>SUMIF('111693 (0162)'!$A$62:$A$84,'Cmpy Rpt'!$A$4,'111693 (0162)'!W$62:W$84)</f>
        <v>0</v>
      </c>
      <c r="J14" s="159"/>
      <c r="K14" s="160">
        <f t="shared" ref="K14:K20" si="0">$I14-B14</f>
        <v>0</v>
      </c>
      <c r="L14" s="161"/>
      <c r="M14" s="160">
        <f t="shared" ref="M14:M20" si="1">$I14-D14</f>
        <v>0</v>
      </c>
      <c r="N14" s="154"/>
      <c r="O14" s="154"/>
      <c r="P14" s="154"/>
      <c r="Q14" s="154">
        <f>SUMIF('111693 (0162)'!$A$62:$A$84,'Cmpy Rpt'!$A$4,'111693 (0162)'!AE$62:AE$84)</f>
        <v>0</v>
      </c>
    </row>
    <row r="15" spans="1:21" x14ac:dyDescent="0.2">
      <c r="A15" s="125" t="s">
        <v>144</v>
      </c>
      <c r="B15" s="154">
        <f>SUMIF('111678 (0013)'!$A$62:$A$80,'Cmpy Rpt'!$A$4,'111678 (0013)'!C$62:C$78)</f>
        <v>0</v>
      </c>
      <c r="C15" s="159"/>
      <c r="D15" s="154">
        <f>SUMIF('111678 (0013)'!$A$62:$A$80,'Cmpy Rpt'!$A$4,'111678 (0013)'!G$62:G$80)</f>
        <v>0</v>
      </c>
      <c r="E15" s="159"/>
      <c r="F15" s="159"/>
      <c r="G15" s="154">
        <f>SUMIF('111678 (0013)'!$A$62:$A$80,'Cmpy Rpt'!$A$4,'111678 (0013)'!I$62:I$80)</f>
        <v>0</v>
      </c>
      <c r="H15" s="159"/>
      <c r="I15" s="226">
        <f>SUMIF('111678 (0013)'!$A$62:$A$80,'Cmpy Rpt'!$A$4,'111678 (0013)'!W$62:W$80)</f>
        <v>0</v>
      </c>
      <c r="J15" s="159"/>
      <c r="K15" s="160">
        <f t="shared" si="0"/>
        <v>0</v>
      </c>
      <c r="L15" s="159"/>
      <c r="M15" s="160">
        <f t="shared" si="1"/>
        <v>0</v>
      </c>
      <c r="N15" s="160"/>
      <c r="O15" s="160">
        <f>$I15-G15</f>
        <v>0</v>
      </c>
      <c r="P15" s="160"/>
      <c r="Q15" s="154">
        <f>SUMIF('111678 (0013)'!$A$62:$A$80,'Cmpy Rpt'!$A$4,'111678 (0013)'!AE$62:AE$80)</f>
        <v>0</v>
      </c>
      <c r="S15" s="172"/>
      <c r="T15" s="125"/>
      <c r="U15" s="125"/>
    </row>
    <row r="16" spans="1:21" x14ac:dyDescent="0.2">
      <c r="A16" s="125" t="s">
        <v>145</v>
      </c>
      <c r="B16" s="154">
        <f>SUMIF('111679 (0014)'!$A$62:$A$84,'Cmpy Rpt'!$A$4,'111679 (0014)'!C62:C84)</f>
        <v>0</v>
      </c>
      <c r="C16" s="159"/>
      <c r="D16" s="154">
        <f>SUMIF('111679 (0014)'!$A$62:$A$84,'Cmpy Rpt'!$A$4,'111679 (0014)'!G62:G84)</f>
        <v>0</v>
      </c>
      <c r="E16" s="159"/>
      <c r="F16" s="159"/>
      <c r="G16" s="154">
        <f>SUMIF('111679 (0014)'!$A$62:$A$84,'Cmpy Rpt'!$A$4,'111679 (0014)'!I62:I84)</f>
        <v>0</v>
      </c>
      <c r="H16" s="159"/>
      <c r="I16" s="226">
        <f>SUMIF('111679 (0014)'!$A$62:$A$84,'Cmpy Rpt'!$A$4,'111679 (0014)'!W62:W84)</f>
        <v>0</v>
      </c>
      <c r="J16" s="159"/>
      <c r="K16" s="160">
        <f t="shared" si="0"/>
        <v>0</v>
      </c>
      <c r="L16" s="159"/>
      <c r="M16" s="160">
        <f t="shared" si="1"/>
        <v>0</v>
      </c>
      <c r="N16" s="160"/>
      <c r="O16" s="160">
        <f>$I16-G16</f>
        <v>0</v>
      </c>
      <c r="P16" s="160"/>
      <c r="Q16" s="154">
        <f>SUMIF('111679 (0014)'!$A$62:$A$84,'Cmpy Rpt'!$A$4,'111679 (0014)'!AE62:AE84)</f>
        <v>0</v>
      </c>
      <c r="S16" s="146"/>
      <c r="T16" s="125"/>
    </row>
    <row r="17" spans="1:19" x14ac:dyDescent="0.2">
      <c r="A17" s="125" t="s">
        <v>146</v>
      </c>
      <c r="B17" s="154">
        <f>SUMIF('111681 (0026)'!$A$62:$A$84,'Cmpy Rpt'!$A$4,'111681 (0026)'!C62:C84)</f>
        <v>0</v>
      </c>
      <c r="C17" s="159"/>
      <c r="D17" s="154">
        <f>SUMIF('111681 (0026)'!$A$62:$A$84,'Cmpy Rpt'!$A$4,'111681 (0026)'!G62:G84)</f>
        <v>0</v>
      </c>
      <c r="E17" s="159"/>
      <c r="F17" s="159"/>
      <c r="G17" s="154">
        <f>SUMIF('111681 (0026)'!$A$62:$A$84,'Cmpy Rpt'!$A$4,'111681 (0026)'!I62:I84)</f>
        <v>0</v>
      </c>
      <c r="H17" s="159"/>
      <c r="I17" s="226">
        <f>SUMIF('111681 (0026)'!$A$62:$A$84,'Cmpy Rpt'!$A$4,'111681 (0026)'!W62:W84)</f>
        <v>0</v>
      </c>
      <c r="J17" s="159"/>
      <c r="K17" s="160">
        <f t="shared" si="0"/>
        <v>0</v>
      </c>
      <c r="L17" s="159"/>
      <c r="M17" s="160">
        <f t="shared" si="1"/>
        <v>0</v>
      </c>
      <c r="N17" s="160"/>
      <c r="O17" s="160">
        <f>$I17-G17</f>
        <v>0</v>
      </c>
      <c r="P17" s="160"/>
      <c r="Q17" s="154">
        <f>SUMIF('111681 (0026)'!$A$62:$A$84,'Cmpy Rpt'!$A$4,'111681 (0026)'!AE62:AE84)</f>
        <v>0</v>
      </c>
    </row>
    <row r="18" spans="1:19" x14ac:dyDescent="0.2">
      <c r="A18" s="125" t="s">
        <v>147</v>
      </c>
      <c r="B18" s="154">
        <f>SUMIF('111705 (0237)'!$A$62:$A$84,'Cmpy Rpt'!$A$4,'111705 (0237)'!C62:C84)</f>
        <v>0</v>
      </c>
      <c r="C18" s="159"/>
      <c r="D18" s="154">
        <f>SUMIF('111705 (0237)'!$A$62:$A$84,'Cmpy Rpt'!$A$4,'111705 (0237)'!G62:G84)</f>
        <v>0</v>
      </c>
      <c r="E18" s="159"/>
      <c r="F18" s="159"/>
      <c r="G18" s="154">
        <f>SUMIF('111705 (0237)'!$A$62:$A$84,'Cmpy Rpt'!$A$4,'111705 (0237)'!I62:I84)</f>
        <v>0</v>
      </c>
      <c r="H18" s="159"/>
      <c r="I18" s="226">
        <f>SUMIF('111705 (0237)'!$A$62:$A$84,'Cmpy Rpt'!$A$4,'111705 (0237)'!W62:W84)</f>
        <v>0</v>
      </c>
      <c r="J18" s="159"/>
      <c r="K18" s="160">
        <f t="shared" si="0"/>
        <v>0</v>
      </c>
      <c r="L18" s="159"/>
      <c r="M18" s="160">
        <f t="shared" si="1"/>
        <v>0</v>
      </c>
      <c r="N18" s="160"/>
      <c r="O18" s="160">
        <f>$I18-G18</f>
        <v>0</v>
      </c>
      <c r="P18" s="160"/>
      <c r="Q18" s="154">
        <f>SUMIF('111705 (0237)'!$A$62:$A$84,'Cmpy Rpt'!$A$4,'111705 (0237)'!AE62:AE84)</f>
        <v>0</v>
      </c>
    </row>
    <row r="19" spans="1:19" x14ac:dyDescent="0.2">
      <c r="A19" s="125" t="s">
        <v>148</v>
      </c>
      <c r="B19" s="154">
        <f>SUMIF('111706 (0238)'!$A$62:$A$80,'Cmpy Rpt'!$A$4,'111706 (0238)'!C62:C80)</f>
        <v>0</v>
      </c>
      <c r="C19" s="159"/>
      <c r="D19" s="154">
        <f>SUMIF('111706 (0238)'!$A$62:$A$80,'Cmpy Rpt'!$A$4,'111706 (0238)'!G62:G80)</f>
        <v>0</v>
      </c>
      <c r="E19" s="159"/>
      <c r="F19" s="159"/>
      <c r="G19" s="154">
        <f>SUMIF('111706 (0238)'!$A$62:$A$80,'Cmpy Rpt'!$A$4,'111706 (0238)'!I62:I80)</f>
        <v>0</v>
      </c>
      <c r="H19" s="159"/>
      <c r="I19" s="226">
        <f>SUMIF('111706 (0238)'!$A$62:$A$80,'Cmpy Rpt'!$A$4,'111706 (0238)'!W62:W80)</f>
        <v>0</v>
      </c>
      <c r="J19" s="159"/>
      <c r="K19" s="160">
        <f t="shared" si="0"/>
        <v>0</v>
      </c>
      <c r="L19" s="159"/>
      <c r="M19" s="160">
        <f t="shared" si="1"/>
        <v>0</v>
      </c>
      <c r="N19" s="160"/>
      <c r="O19" s="160">
        <f>$I19-G19</f>
        <v>0</v>
      </c>
      <c r="P19" s="160"/>
      <c r="Q19" s="154">
        <f>SUMIF('111706 (0238)'!$A$62:$A$80,'Cmpy Rpt'!$A$4,'111706 (0238)'!AE62:AE80)</f>
        <v>0</v>
      </c>
    </row>
    <row r="20" spans="1:19" x14ac:dyDescent="0.2">
      <c r="A20" s="125" t="s">
        <v>166</v>
      </c>
      <c r="B20" s="154" t="e">
        <f>SUMIF(#REF!,'Cmpy Rpt'!$A$4,#REF!)</f>
        <v>#REF!</v>
      </c>
      <c r="C20" s="154"/>
      <c r="D20" s="154" t="e">
        <f>SUMIF(#REF!,'Cmpy Rpt'!$A$4,#REF!)</f>
        <v>#REF!</v>
      </c>
      <c r="E20" s="159"/>
      <c r="F20" s="159"/>
      <c r="G20" s="154" t="e">
        <f>SUMIF(#REF!,'Cmpy Rpt'!$A$4,#REF!)</f>
        <v>#REF!</v>
      </c>
      <c r="H20" s="159"/>
      <c r="I20" s="226" t="e">
        <f>SUMIF(#REF!,'Cmpy Rpt'!$A$4,#REF!)</f>
        <v>#REF!</v>
      </c>
      <c r="J20" s="159"/>
      <c r="K20" s="160" t="e">
        <f t="shared" si="0"/>
        <v>#REF!</v>
      </c>
      <c r="L20" s="159"/>
      <c r="M20" s="160" t="e">
        <f t="shared" si="1"/>
        <v>#REF!</v>
      </c>
      <c r="N20" s="160"/>
      <c r="O20" s="160"/>
      <c r="P20" s="160"/>
      <c r="Q20" s="154" t="e">
        <f>SUMIF(#REF!,'Cmpy Rpt'!$A$4,#REF!)</f>
        <v>#REF!</v>
      </c>
    </row>
    <row r="21" spans="1:19" ht="3" customHeight="1" x14ac:dyDescent="0.2">
      <c r="A21" s="125"/>
      <c r="B21" s="163"/>
      <c r="C21" s="159"/>
      <c r="D21" s="163"/>
      <c r="E21" s="159"/>
      <c r="F21" s="159"/>
      <c r="G21" s="163"/>
      <c r="H21" s="159"/>
      <c r="I21" s="227"/>
      <c r="J21" s="159"/>
      <c r="K21" s="164"/>
      <c r="L21" s="159"/>
      <c r="M21" s="164"/>
      <c r="N21" s="164"/>
      <c r="O21" s="164"/>
      <c r="P21" s="164"/>
      <c r="Q21" s="193"/>
      <c r="S21" s="165"/>
    </row>
    <row r="22" spans="1:19" ht="3" customHeight="1" x14ac:dyDescent="0.2">
      <c r="A22" s="125"/>
      <c r="B22" s="154"/>
      <c r="C22" s="159"/>
      <c r="D22" s="154"/>
      <c r="E22" s="159"/>
      <c r="F22" s="159"/>
      <c r="G22" s="154"/>
      <c r="H22" s="159"/>
      <c r="I22" s="226"/>
      <c r="J22" s="159"/>
      <c r="K22" s="160"/>
      <c r="L22" s="159"/>
      <c r="M22" s="160"/>
      <c r="N22" s="160"/>
      <c r="O22" s="160"/>
      <c r="P22" s="160"/>
      <c r="Q22" s="159"/>
      <c r="S22" s="165"/>
    </row>
    <row r="23" spans="1:19" x14ac:dyDescent="0.2">
      <c r="A23" s="3" t="s">
        <v>115</v>
      </c>
      <c r="B23" s="166" t="e">
        <f>SUM(B14:B20)</f>
        <v>#REF!</v>
      </c>
      <c r="C23" s="161"/>
      <c r="D23" s="166">
        <f>SUM(D15:D19)+D14</f>
        <v>0</v>
      </c>
      <c r="E23" s="161"/>
      <c r="F23" s="161"/>
      <c r="G23" s="166" t="e">
        <f>SUM(G14:G20)</f>
        <v>#REF!</v>
      </c>
      <c r="H23" s="161"/>
      <c r="I23" s="228" t="e">
        <f>SUM(I14:I20)</f>
        <v>#REF!</v>
      </c>
      <c r="J23" s="161"/>
      <c r="K23" s="166" t="e">
        <f>SUM(K14:K20)</f>
        <v>#REF!</v>
      </c>
      <c r="L23" s="161"/>
      <c r="M23" s="166" t="e">
        <f>SUM(M14:M20)</f>
        <v>#REF!</v>
      </c>
      <c r="N23" s="166"/>
      <c r="O23" s="166">
        <f>SUM(O15:O19)+O11</f>
        <v>0</v>
      </c>
      <c r="P23" s="166"/>
      <c r="Q23" s="166" t="e">
        <f>SUM(Q14:Q20)</f>
        <v>#REF!</v>
      </c>
      <c r="S23" s="154"/>
    </row>
    <row r="24" spans="1:19" ht="3.75" customHeight="1" x14ac:dyDescent="0.2">
      <c r="A24" s="11"/>
      <c r="B24" s="154"/>
      <c r="C24" s="161"/>
      <c r="D24" s="154"/>
      <c r="E24" s="161"/>
      <c r="F24" s="161"/>
      <c r="G24" s="154"/>
      <c r="H24" s="161"/>
      <c r="I24" s="226"/>
      <c r="J24" s="161"/>
      <c r="K24" s="154"/>
      <c r="L24" s="161"/>
      <c r="M24" s="154"/>
      <c r="N24" s="154"/>
      <c r="O24" s="154"/>
      <c r="P24" s="154"/>
      <c r="Q24" s="161"/>
      <c r="S24" s="154"/>
    </row>
    <row r="25" spans="1:19" ht="3" customHeight="1" x14ac:dyDescent="0.2">
      <c r="A25" s="11"/>
      <c r="B25" s="167"/>
      <c r="C25" s="161"/>
      <c r="D25" s="167"/>
      <c r="E25" s="161"/>
      <c r="F25" s="161"/>
      <c r="G25" s="167"/>
      <c r="H25" s="161"/>
      <c r="I25" s="229"/>
      <c r="J25" s="161"/>
      <c r="K25" s="167"/>
      <c r="L25" s="161"/>
      <c r="M25" s="167"/>
      <c r="N25" s="167"/>
      <c r="O25" s="167"/>
      <c r="P25" s="167"/>
      <c r="Q25" s="161"/>
      <c r="S25" s="154"/>
    </row>
    <row r="26" spans="1:19" ht="13.5" thickBot="1" x14ac:dyDescent="0.25">
      <c r="A26" s="11" t="s">
        <v>141</v>
      </c>
      <c r="B26" s="147"/>
      <c r="I26" s="205"/>
      <c r="K26" s="194" t="e">
        <f>+K23/B23</f>
        <v>#REF!</v>
      </c>
      <c r="L26" s="169"/>
      <c r="M26" s="194" t="e">
        <f>+M23/D23</f>
        <v>#REF!</v>
      </c>
      <c r="N26" s="169"/>
      <c r="O26" s="168" t="e">
        <f>+O23/G23</f>
        <v>#REF!</v>
      </c>
      <c r="P26" s="169"/>
      <c r="S26" s="169"/>
    </row>
    <row r="27" spans="1:19" ht="13.5" thickTop="1" x14ac:dyDescent="0.2"/>
    <row r="28" spans="1:19" x14ac:dyDescent="0.2">
      <c r="R28" s="170" t="str">
        <f ca="1">CELL("FILENAME")</f>
        <v>O:\Corporate\GPGFin\gpgPLAN\2003Plan\GPGSTAFF\GPG Legal\Template Consolidation\[Budget 2001 Consolidation - Legal.xls]111706 (0238)</v>
      </c>
    </row>
    <row r="29" spans="1:19" x14ac:dyDescent="0.2">
      <c r="Q29" s="171">
        <f ca="1">NOW()</f>
        <v>36724.628801041668</v>
      </c>
    </row>
  </sheetData>
  <printOptions horizontalCentered="1"/>
  <pageMargins left="0.35" right="0.37" top="0.87" bottom="0.57999999999999996" header="0.5" footer="0.28999999999999998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Report_Business_Unit_508">
                <anchor moveWithCells="1" sizeWithCells="1">
                  <from>
                    <xdr:col>0</xdr:col>
                    <xdr:colOff>657225</xdr:colOff>
                    <xdr:row>0</xdr:row>
                    <xdr:rowOff>57150</xdr:rowOff>
                  </from>
                  <to>
                    <xdr:col>0</xdr:col>
                    <xdr:colOff>1800225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69"/>
  <sheetViews>
    <sheetView showGridLines="0" workbookViewId="0">
      <selection activeCell="A67" sqref="A67"/>
    </sheetView>
  </sheetViews>
  <sheetFormatPr defaultRowHeight="12.75" x14ac:dyDescent="0.2"/>
  <cols>
    <col min="1" max="1" width="37.85546875" bestFit="1" customWidth="1"/>
    <col min="2" max="2" width="2" customWidth="1"/>
    <col min="3" max="3" width="12.85546875" style="71" customWidth="1"/>
    <col min="4" max="4" width="1.140625" style="71" customWidth="1"/>
    <col min="5" max="5" width="12.85546875" style="71" hidden="1" customWidth="1"/>
    <col min="6" max="6" width="3.42578125" style="71" hidden="1" customWidth="1"/>
    <col min="7" max="7" width="12.85546875" style="71" customWidth="1"/>
    <col min="8" max="8" width="0.85546875" style="71" customWidth="1"/>
    <col min="9" max="9" width="11.85546875" style="71" customWidth="1"/>
    <col min="10" max="10" width="0.85546875" style="71" customWidth="1"/>
    <col min="11" max="11" width="12.5703125" style="71" customWidth="1"/>
    <col min="12" max="12" width="0.85546875" style="71" customWidth="1"/>
    <col min="13" max="13" width="12.28515625" style="71" hidden="1" customWidth="1"/>
    <col min="14" max="14" width="1.7109375" hidden="1" customWidth="1"/>
    <col min="15" max="15" width="11.85546875" bestFit="1" customWidth="1"/>
    <col min="16" max="16" width="1.42578125" hidden="1" customWidth="1"/>
    <col min="17" max="17" width="11.85546875" hidden="1" customWidth="1"/>
    <col min="18" max="18" width="0.7109375" customWidth="1"/>
    <col min="23" max="23" width="10.28515625" bestFit="1" customWidth="1"/>
  </cols>
  <sheetData>
    <row r="1" spans="1:17" ht="18" x14ac:dyDescent="0.25">
      <c r="A1" s="119" t="s">
        <v>150</v>
      </c>
      <c r="B1" s="120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20"/>
      <c r="O1" s="120"/>
    </row>
    <row r="2" spans="1:17" x14ac:dyDescent="0.2">
      <c r="A2" s="145" t="s">
        <v>137</v>
      </c>
      <c r="B2" s="12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20"/>
      <c r="O2" s="120"/>
    </row>
    <row r="3" spans="1:17" ht="3.75" customHeight="1" x14ac:dyDescent="0.2">
      <c r="A3" s="145"/>
      <c r="B3" s="12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1:17" ht="3" customHeight="1" x14ac:dyDescent="0.2">
      <c r="A4" s="182"/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O4" s="198"/>
    </row>
    <row r="5" spans="1:17" ht="6.75" customHeight="1" x14ac:dyDescent="0.2"/>
    <row r="6" spans="1:17" s="174" customFormat="1" x14ac:dyDescent="0.2">
      <c r="C6" s="175">
        <v>1999</v>
      </c>
      <c r="D6" s="175"/>
      <c r="E6" s="175"/>
      <c r="F6" s="175"/>
      <c r="G6" s="175">
        <v>1999</v>
      </c>
      <c r="I6" s="175">
        <v>1999</v>
      </c>
      <c r="K6" s="199">
        <v>2000</v>
      </c>
      <c r="M6" s="175">
        <v>1999</v>
      </c>
      <c r="N6" s="175"/>
      <c r="O6" s="175">
        <v>1999</v>
      </c>
      <c r="P6" s="175"/>
      <c r="Q6" s="175">
        <v>1999</v>
      </c>
    </row>
    <row r="7" spans="1:17" x14ac:dyDescent="0.2">
      <c r="C7" s="173" t="s">
        <v>138</v>
      </c>
      <c r="D7" s="173"/>
      <c r="E7" s="173"/>
      <c r="F7" s="173"/>
      <c r="G7" s="173" t="s">
        <v>172</v>
      </c>
      <c r="H7" s="176"/>
      <c r="I7" s="173" t="s">
        <v>59</v>
      </c>
      <c r="K7" s="212" t="s">
        <v>140</v>
      </c>
      <c r="M7" s="173" t="s">
        <v>138</v>
      </c>
      <c r="N7" s="173"/>
      <c r="O7" s="173" t="s">
        <v>58</v>
      </c>
      <c r="P7" s="173"/>
      <c r="Q7" s="173" t="s">
        <v>59</v>
      </c>
    </row>
    <row r="8" spans="1:17" x14ac:dyDescent="0.2">
      <c r="C8" s="173" t="s">
        <v>139</v>
      </c>
      <c r="D8" s="173"/>
      <c r="E8" s="173"/>
      <c r="F8" s="173"/>
      <c r="G8" s="173" t="s">
        <v>139</v>
      </c>
      <c r="I8" s="173"/>
      <c r="K8" s="204"/>
      <c r="M8" s="173" t="s">
        <v>139</v>
      </c>
      <c r="N8" s="173"/>
      <c r="O8" s="173" t="s">
        <v>139</v>
      </c>
      <c r="P8" s="173"/>
      <c r="Q8" s="173"/>
    </row>
    <row r="9" spans="1:17" x14ac:dyDescent="0.2">
      <c r="C9" s="173"/>
      <c r="D9" s="173"/>
      <c r="E9" s="173"/>
      <c r="F9" s="173"/>
      <c r="G9" s="173"/>
      <c r="I9" s="173"/>
      <c r="K9" s="200"/>
      <c r="M9" s="186" t="s">
        <v>3</v>
      </c>
      <c r="N9" s="186"/>
      <c r="O9" s="211" t="s">
        <v>3</v>
      </c>
      <c r="P9" s="186"/>
      <c r="Q9" s="186" t="s">
        <v>3</v>
      </c>
    </row>
    <row r="10" spans="1:17" x14ac:dyDescent="0.2">
      <c r="A10" s="11" t="s">
        <v>154</v>
      </c>
      <c r="B10" s="11"/>
      <c r="K10" s="204"/>
      <c r="N10" s="71"/>
      <c r="O10" s="71"/>
      <c r="P10" s="71"/>
      <c r="Q10" s="71"/>
    </row>
    <row r="11" spans="1:17" x14ac:dyDescent="0.2">
      <c r="A11" s="125" t="s">
        <v>142</v>
      </c>
      <c r="B11" s="125"/>
      <c r="F11" s="83"/>
      <c r="K11" s="204"/>
      <c r="N11" s="71"/>
      <c r="O11" s="71"/>
      <c r="P11" s="71"/>
      <c r="Q11" s="71">
        <f>$K11-I11</f>
        <v>0</v>
      </c>
    </row>
    <row r="12" spans="1:17" x14ac:dyDescent="0.2">
      <c r="A12" s="125" t="s">
        <v>144</v>
      </c>
      <c r="B12" s="125"/>
      <c r="F12" s="83"/>
      <c r="K12" s="204"/>
      <c r="N12" s="71"/>
      <c r="O12" s="71"/>
      <c r="P12" s="71"/>
      <c r="Q12" s="71">
        <f t="shared" ref="Q12:Q17" si="0">$K12-I12</f>
        <v>0</v>
      </c>
    </row>
    <row r="13" spans="1:17" x14ac:dyDescent="0.2">
      <c r="A13" s="125" t="s">
        <v>145</v>
      </c>
      <c r="B13" s="125"/>
      <c r="F13" s="83"/>
      <c r="K13" s="204"/>
      <c r="N13" s="71"/>
      <c r="O13" s="71"/>
      <c r="P13" s="71"/>
      <c r="Q13" s="71">
        <f t="shared" si="0"/>
        <v>0</v>
      </c>
    </row>
    <row r="14" spans="1:17" x14ac:dyDescent="0.2">
      <c r="A14" s="125" t="s">
        <v>146</v>
      </c>
      <c r="B14" s="125"/>
      <c r="F14" s="83"/>
      <c r="K14" s="204"/>
      <c r="N14" s="71"/>
      <c r="O14" s="71"/>
      <c r="P14" s="71"/>
      <c r="Q14" s="71">
        <f t="shared" si="0"/>
        <v>0</v>
      </c>
    </row>
    <row r="15" spans="1:17" x14ac:dyDescent="0.2">
      <c r="A15" s="125" t="s">
        <v>147</v>
      </c>
      <c r="B15" s="125"/>
      <c r="F15" s="83"/>
      <c r="K15" s="204"/>
      <c r="N15" s="71"/>
      <c r="O15" s="71"/>
      <c r="P15" s="71"/>
      <c r="Q15" s="71">
        <f t="shared" si="0"/>
        <v>0</v>
      </c>
    </row>
    <row r="16" spans="1:17" x14ac:dyDescent="0.2">
      <c r="A16" s="125" t="s">
        <v>148</v>
      </c>
      <c r="B16" s="125"/>
      <c r="F16" s="83"/>
      <c r="K16" s="204"/>
      <c r="N16" s="71"/>
      <c r="O16" s="71"/>
      <c r="P16" s="71"/>
      <c r="Q16" s="71">
        <f t="shared" si="0"/>
        <v>0</v>
      </c>
    </row>
    <row r="17" spans="1:17" x14ac:dyDescent="0.2">
      <c r="A17" s="125" t="s">
        <v>157</v>
      </c>
      <c r="B17" s="125"/>
      <c r="F17" s="83"/>
      <c r="K17" s="204"/>
      <c r="N17" s="71"/>
      <c r="O17" s="71"/>
      <c r="P17" s="71"/>
      <c r="Q17" s="71">
        <f t="shared" si="0"/>
        <v>0</v>
      </c>
    </row>
    <row r="18" spans="1:17" ht="3" customHeight="1" x14ac:dyDescent="0.2">
      <c r="A18" s="125"/>
      <c r="B18" s="125"/>
      <c r="F18" s="83"/>
      <c r="K18" s="204"/>
      <c r="N18" s="71"/>
      <c r="O18" s="71"/>
      <c r="P18" s="71"/>
      <c r="Q18" s="71"/>
    </row>
    <row r="19" spans="1:17" ht="3" customHeight="1" x14ac:dyDescent="0.2">
      <c r="A19" s="125"/>
      <c r="B19" s="125"/>
      <c r="F19" s="83"/>
      <c r="K19" s="204"/>
      <c r="N19" s="71"/>
      <c r="O19" s="71"/>
      <c r="P19" s="71"/>
      <c r="Q19" s="71"/>
    </row>
    <row r="20" spans="1:17" s="11" customFormat="1" x14ac:dyDescent="0.2">
      <c r="A20" s="3" t="s">
        <v>153</v>
      </c>
      <c r="B20" s="3"/>
      <c r="C20" s="177"/>
      <c r="D20" s="177"/>
      <c r="E20" s="177"/>
      <c r="F20" s="195"/>
      <c r="G20" s="177"/>
      <c r="H20" s="177"/>
      <c r="I20" s="177"/>
      <c r="J20" s="176"/>
      <c r="K20" s="201"/>
      <c r="L20" s="176"/>
      <c r="M20" s="177"/>
      <c r="N20" s="177"/>
      <c r="O20" s="177"/>
      <c r="P20" s="177"/>
      <c r="Q20" s="177">
        <f>SUM(Q11:Q19)</f>
        <v>0</v>
      </c>
    </row>
    <row r="21" spans="1:17" ht="3" customHeight="1" x14ac:dyDescent="0.2">
      <c r="F21" s="83"/>
      <c r="K21" s="204"/>
      <c r="N21" s="71"/>
      <c r="O21" s="71"/>
      <c r="P21" s="71"/>
      <c r="Q21" s="71"/>
    </row>
    <row r="22" spans="1:17" ht="5.25" customHeight="1" x14ac:dyDescent="0.2">
      <c r="F22" s="83"/>
      <c r="K22" s="204"/>
      <c r="N22" s="71"/>
      <c r="O22" s="71"/>
      <c r="P22" s="71"/>
      <c r="Q22" s="71"/>
    </row>
    <row r="23" spans="1:17" s="147" customFormat="1" x14ac:dyDescent="0.2">
      <c r="A23" s="147" t="s">
        <v>155</v>
      </c>
      <c r="F23" s="154"/>
      <c r="K23" s="205"/>
      <c r="Q23" s="147">
        <f>$K23-I23</f>
        <v>0</v>
      </c>
    </row>
    <row r="24" spans="1:17" ht="5.25" customHeight="1" x14ac:dyDescent="0.2">
      <c r="F24" s="83"/>
      <c r="K24" s="204"/>
      <c r="N24" s="71"/>
      <c r="O24" s="71"/>
      <c r="P24" s="71"/>
      <c r="Q24" s="71"/>
    </row>
    <row r="25" spans="1:17" s="11" customFormat="1" x14ac:dyDescent="0.2">
      <c r="A25" s="11" t="s">
        <v>156</v>
      </c>
      <c r="C25" s="177"/>
      <c r="D25" s="177"/>
      <c r="E25" s="177"/>
      <c r="F25" s="195"/>
      <c r="G25" s="177"/>
      <c r="H25" s="177"/>
      <c r="I25" s="177"/>
      <c r="J25" s="176"/>
      <c r="K25" s="201"/>
      <c r="L25" s="176"/>
      <c r="M25" s="177"/>
      <c r="N25" s="177"/>
      <c r="O25" s="177"/>
      <c r="P25" s="177"/>
      <c r="Q25" s="177">
        <f>$K25-I25</f>
        <v>0</v>
      </c>
    </row>
    <row r="26" spans="1:17" ht="5.25" customHeight="1" x14ac:dyDescent="0.2">
      <c r="F26" s="83"/>
      <c r="K26" s="204"/>
      <c r="N26" s="71"/>
      <c r="O26" s="71"/>
      <c r="P26" s="71"/>
      <c r="Q26" s="71"/>
    </row>
    <row r="27" spans="1:17" s="147" customFormat="1" x14ac:dyDescent="0.2">
      <c r="A27" s="147" t="s">
        <v>159</v>
      </c>
      <c r="C27" s="147">
        <f>'Legal Summary'!C34+'Legal Summary'!C36+'Legal Summary'!C37</f>
        <v>0</v>
      </c>
      <c r="E27" s="147">
        <f>'Legal Summary'!E34+'Legal Summary'!E36+'Legal Summary'!E37</f>
        <v>0</v>
      </c>
      <c r="F27" s="154"/>
      <c r="G27" s="147">
        <f>'Legal Summary'!G34+'Legal Summary'!G36+'Legal Summary'!G37</f>
        <v>0</v>
      </c>
      <c r="H27" s="147">
        <f>'Legal Summary'!H34+'Legal Summary'!H36+'Legal Summary'!H37</f>
        <v>0</v>
      </c>
      <c r="I27" s="147">
        <f>'Legal Summary'!I34+'Legal Summary'!I36+'Legal Summary'!I37</f>
        <v>0</v>
      </c>
      <c r="K27" s="205">
        <f>'Legal Summary'!W34+'Legal Summary'!W36+'Legal Summary'!W37</f>
        <v>0</v>
      </c>
      <c r="M27" s="147">
        <f>$K27-C27</f>
        <v>0</v>
      </c>
      <c r="N27" s="197"/>
      <c r="O27" s="147">
        <f>$K27-G27</f>
        <v>0</v>
      </c>
      <c r="P27" s="197"/>
      <c r="Q27" s="147">
        <f>$K27-I27</f>
        <v>0</v>
      </c>
    </row>
    <row r="28" spans="1:17" ht="4.5" customHeight="1" x14ac:dyDescent="0.2">
      <c r="F28" s="83"/>
      <c r="K28" s="204"/>
      <c r="N28" s="71"/>
      <c r="O28" s="71"/>
      <c r="P28" s="71"/>
      <c r="Q28" s="71"/>
    </row>
    <row r="29" spans="1:17" x14ac:dyDescent="0.2">
      <c r="A29" s="11" t="s">
        <v>158</v>
      </c>
      <c r="F29" s="83"/>
      <c r="K29" s="204"/>
      <c r="N29" s="71"/>
      <c r="O29" s="71"/>
      <c r="P29" s="71"/>
      <c r="Q29" s="71"/>
    </row>
    <row r="30" spans="1:17" ht="3.75" customHeight="1" x14ac:dyDescent="0.2">
      <c r="F30" s="83"/>
      <c r="K30" s="204"/>
      <c r="N30" s="71"/>
      <c r="O30" s="71"/>
      <c r="P30" s="71"/>
      <c r="Q30" s="71"/>
    </row>
    <row r="31" spans="1:17" hidden="1" x14ac:dyDescent="0.2">
      <c r="A31" t="s">
        <v>25</v>
      </c>
      <c r="C31" s="71">
        <f>'Legal Summary'!C62</f>
        <v>0</v>
      </c>
      <c r="E31" s="71">
        <f>'Legal Summary'!E62</f>
        <v>0</v>
      </c>
      <c r="F31" s="83"/>
      <c r="G31" s="71">
        <f>'Legal Summary'!G62</f>
        <v>0</v>
      </c>
      <c r="H31" s="71">
        <f>'Legal Summary'!H62</f>
        <v>0</v>
      </c>
      <c r="I31" s="71">
        <f>'Legal Summary'!I62</f>
        <v>0</v>
      </c>
      <c r="K31" s="204">
        <f>'Legal Summary'!W62</f>
        <v>99999.999999999971</v>
      </c>
      <c r="M31" s="71">
        <f>K31-C31</f>
        <v>99999.999999999971</v>
      </c>
      <c r="N31" s="71"/>
      <c r="O31" s="71">
        <f>M31-E31</f>
        <v>99999.999999999971</v>
      </c>
      <c r="P31" s="71"/>
      <c r="Q31" s="71">
        <f>O31-G31</f>
        <v>99999.999999999971</v>
      </c>
    </row>
    <row r="32" spans="1:17" hidden="1" x14ac:dyDescent="0.2">
      <c r="A32" t="s">
        <v>26</v>
      </c>
      <c r="C32" s="71">
        <f>'Legal Summary'!C63</f>
        <v>903</v>
      </c>
      <c r="E32" s="71">
        <f>'Legal Summary'!E63</f>
        <v>0</v>
      </c>
      <c r="F32" s="83"/>
      <c r="G32" s="71">
        <f>'Legal Summary'!G63</f>
        <v>0</v>
      </c>
      <c r="H32" s="71">
        <f>'Legal Summary'!H63</f>
        <v>0</v>
      </c>
      <c r="I32" s="71">
        <f>'Legal Summary'!I63</f>
        <v>0</v>
      </c>
      <c r="K32" s="204">
        <f>'Legal Summary'!W63</f>
        <v>0</v>
      </c>
      <c r="M32" s="71">
        <f>K32-C32</f>
        <v>-903</v>
      </c>
      <c r="N32" s="71"/>
      <c r="O32" s="71">
        <f>M32-E32</f>
        <v>-903</v>
      </c>
      <c r="P32" s="71"/>
      <c r="Q32" s="71">
        <f>O32-G32</f>
        <v>-903</v>
      </c>
    </row>
    <row r="33" spans="1:17" x14ac:dyDescent="0.2">
      <c r="A33" t="s">
        <v>27</v>
      </c>
      <c r="C33" s="71">
        <f>'Legal Summary'!C64</f>
        <v>901</v>
      </c>
      <c r="E33" s="71">
        <f>'Legal Summary'!E64</f>
        <v>0</v>
      </c>
      <c r="F33" s="83"/>
      <c r="G33" s="71">
        <f>'Legal Summary'!G64</f>
        <v>0</v>
      </c>
      <c r="H33" s="71">
        <f>'Legal Summary'!H64</f>
        <v>0</v>
      </c>
      <c r="I33" s="71">
        <f>'Legal Summary'!I64</f>
        <v>0</v>
      </c>
      <c r="K33" s="204">
        <f>'Legal Summary'!W64</f>
        <v>0</v>
      </c>
      <c r="M33" s="71">
        <f t="shared" ref="M33:M48" si="1">$K33-C33</f>
        <v>-901</v>
      </c>
      <c r="N33" s="71"/>
      <c r="O33" s="71">
        <f t="shared" ref="O33:Q53" si="2">$K33-G33</f>
        <v>0</v>
      </c>
      <c r="P33" s="71"/>
      <c r="Q33" s="71">
        <f t="shared" si="2"/>
        <v>0</v>
      </c>
    </row>
    <row r="34" spans="1:17" hidden="1" x14ac:dyDescent="0.2">
      <c r="A34" t="s">
        <v>28</v>
      </c>
      <c r="C34" s="71">
        <f>'Legal Summary'!C65</f>
        <v>904</v>
      </c>
      <c r="E34" s="71">
        <f>'Legal Summary'!E65</f>
        <v>0</v>
      </c>
      <c r="F34" s="83"/>
      <c r="G34" s="71">
        <f>'Legal Summary'!G65</f>
        <v>0</v>
      </c>
      <c r="H34" s="71">
        <f>'Legal Summary'!H65</f>
        <v>0</v>
      </c>
      <c r="I34" s="71">
        <f>'Legal Summary'!I65</f>
        <v>0</v>
      </c>
      <c r="K34" s="204">
        <f>'Legal Summary'!W65</f>
        <v>0</v>
      </c>
      <c r="M34" s="71">
        <f t="shared" si="1"/>
        <v>-904</v>
      </c>
      <c r="N34" s="71"/>
      <c r="O34" s="71">
        <f t="shared" si="2"/>
        <v>0</v>
      </c>
      <c r="P34" s="71"/>
      <c r="Q34" s="71">
        <f t="shared" si="2"/>
        <v>0</v>
      </c>
    </row>
    <row r="35" spans="1:17" x14ac:dyDescent="0.2">
      <c r="A35" t="s">
        <v>29</v>
      </c>
      <c r="C35" s="71">
        <f>'Legal Summary'!C66</f>
        <v>912</v>
      </c>
      <c r="E35" s="71">
        <f>'Legal Summary'!E66</f>
        <v>1611181</v>
      </c>
      <c r="F35" s="83"/>
      <c r="G35" s="71">
        <f>'Legal Summary'!G66</f>
        <v>0</v>
      </c>
      <c r="H35" s="71">
        <f>'Legal Summary'!H66</f>
        <v>0</v>
      </c>
      <c r="I35" s="71">
        <f>'Legal Summary'!I66</f>
        <v>1611181</v>
      </c>
      <c r="K35" s="204">
        <f>'Legal Summary'!W66</f>
        <v>1358289.3721634643</v>
      </c>
      <c r="M35" s="71">
        <f t="shared" si="1"/>
        <v>1357377.3721634643</v>
      </c>
      <c r="N35" s="71"/>
      <c r="O35" s="71">
        <f t="shared" si="2"/>
        <v>1358289.3721634643</v>
      </c>
      <c r="P35" s="71"/>
      <c r="Q35" s="71">
        <f t="shared" si="2"/>
        <v>-252891.62783653568</v>
      </c>
    </row>
    <row r="36" spans="1:17" x14ac:dyDescent="0.2">
      <c r="A36" t="s">
        <v>30</v>
      </c>
      <c r="C36" s="71">
        <f>'Legal Summary'!C67</f>
        <v>913</v>
      </c>
      <c r="E36" s="71">
        <f>'Legal Summary'!E67</f>
        <v>1677599</v>
      </c>
      <c r="F36" s="83"/>
      <c r="G36" s="71">
        <f>'Legal Summary'!G67</f>
        <v>0</v>
      </c>
      <c r="H36" s="71">
        <f>'Legal Summary'!H67</f>
        <v>0</v>
      </c>
      <c r="I36" s="71">
        <f>'Legal Summary'!I67</f>
        <v>1677599</v>
      </c>
      <c r="K36" s="204">
        <f>'Legal Summary'!W67</f>
        <v>1389704.1022269665</v>
      </c>
      <c r="M36" s="71">
        <f t="shared" si="1"/>
        <v>1388791.1022269665</v>
      </c>
      <c r="N36" s="71"/>
      <c r="O36" s="71">
        <f t="shared" si="2"/>
        <v>1389704.1022269665</v>
      </c>
      <c r="P36" s="71"/>
      <c r="Q36" s="71">
        <f t="shared" si="2"/>
        <v>-287894.89777303347</v>
      </c>
    </row>
    <row r="37" spans="1:17" hidden="1" x14ac:dyDescent="0.2">
      <c r="A37" t="s">
        <v>31</v>
      </c>
      <c r="C37" s="71">
        <f>'Legal Summary'!C68</f>
        <v>915</v>
      </c>
      <c r="E37" s="71">
        <f>'Legal Summary'!E68</f>
        <v>0</v>
      </c>
      <c r="F37" s="83"/>
      <c r="G37" s="71">
        <f>'Legal Summary'!G68</f>
        <v>0</v>
      </c>
      <c r="H37" s="71">
        <f>'Legal Summary'!H68</f>
        <v>0</v>
      </c>
      <c r="I37" s="71">
        <f>'Legal Summary'!I68</f>
        <v>0</v>
      </c>
      <c r="K37" s="204">
        <f>'Legal Summary'!W68</f>
        <v>0</v>
      </c>
      <c r="M37" s="71">
        <f t="shared" si="1"/>
        <v>-915</v>
      </c>
      <c r="N37" s="71"/>
      <c r="O37" s="71">
        <f t="shared" si="2"/>
        <v>0</v>
      </c>
      <c r="P37" s="71"/>
      <c r="Q37" s="71">
        <f t="shared" si="2"/>
        <v>0</v>
      </c>
    </row>
    <row r="38" spans="1:17" hidden="1" x14ac:dyDescent="0.2">
      <c r="A38" t="s">
        <v>32</v>
      </c>
      <c r="C38" s="71">
        <f>'Legal Summary'!C69</f>
        <v>924</v>
      </c>
      <c r="E38" s="71">
        <f>'Legal Summary'!E69</f>
        <v>0</v>
      </c>
      <c r="F38" s="83"/>
      <c r="G38" s="71">
        <f>'Legal Summary'!G69</f>
        <v>0</v>
      </c>
      <c r="H38" s="71">
        <f>'Legal Summary'!H69</f>
        <v>0</v>
      </c>
      <c r="I38" s="71">
        <f>'Legal Summary'!I69</f>
        <v>0</v>
      </c>
      <c r="K38" s="204">
        <f>'Legal Summary'!W69</f>
        <v>0</v>
      </c>
      <c r="M38" s="71">
        <f t="shared" si="1"/>
        <v>-924</v>
      </c>
      <c r="N38" s="71"/>
      <c r="O38" s="71">
        <f t="shared" si="2"/>
        <v>0</v>
      </c>
      <c r="P38" s="71"/>
      <c r="Q38" s="71">
        <f t="shared" si="2"/>
        <v>0</v>
      </c>
    </row>
    <row r="39" spans="1:17" hidden="1" x14ac:dyDescent="0.2">
      <c r="A39" t="s">
        <v>33</v>
      </c>
      <c r="C39" s="71">
        <f>'Legal Summary'!C70</f>
        <v>927</v>
      </c>
      <c r="E39" s="71">
        <f>'Legal Summary'!E70</f>
        <v>0</v>
      </c>
      <c r="F39" s="83"/>
      <c r="G39" s="71">
        <f>'Legal Summary'!G70</f>
        <v>0</v>
      </c>
      <c r="H39" s="71">
        <f>'Legal Summary'!H70</f>
        <v>0</v>
      </c>
      <c r="I39" s="71">
        <f>'Legal Summary'!I70</f>
        <v>0</v>
      </c>
      <c r="K39" s="204">
        <f>'Legal Summary'!W70</f>
        <v>0</v>
      </c>
      <c r="M39" s="71">
        <f t="shared" si="1"/>
        <v>-927</v>
      </c>
      <c r="N39" s="71"/>
      <c r="O39" s="71">
        <f t="shared" si="2"/>
        <v>0</v>
      </c>
      <c r="P39" s="71"/>
      <c r="Q39" s="71">
        <f t="shared" si="2"/>
        <v>0</v>
      </c>
    </row>
    <row r="40" spans="1:17" x14ac:dyDescent="0.2">
      <c r="A40" t="s">
        <v>34</v>
      </c>
      <c r="C40" s="71">
        <f>'Legal Summary'!C71</f>
        <v>930</v>
      </c>
      <c r="E40" s="71">
        <f>'Legal Summary'!E71</f>
        <v>2692916</v>
      </c>
      <c r="F40" s="83"/>
      <c r="G40" s="71">
        <f>'Legal Summary'!G71</f>
        <v>0</v>
      </c>
      <c r="H40" s="71">
        <f>'Legal Summary'!H71</f>
        <v>0</v>
      </c>
      <c r="I40" s="71">
        <f>'Legal Summary'!I71</f>
        <v>2692916</v>
      </c>
      <c r="K40" s="204">
        <f>'Legal Summary'!W71</f>
        <v>2314073.5141681884</v>
      </c>
      <c r="M40" s="71">
        <f t="shared" si="1"/>
        <v>2313143.5141681884</v>
      </c>
      <c r="N40" s="71"/>
      <c r="O40" s="71">
        <f t="shared" si="2"/>
        <v>2314073.5141681884</v>
      </c>
      <c r="P40" s="71"/>
      <c r="Q40" s="71">
        <f t="shared" si="2"/>
        <v>-378842.48583181156</v>
      </c>
    </row>
    <row r="41" spans="1:17" hidden="1" x14ac:dyDescent="0.2">
      <c r="A41" t="s">
        <v>35</v>
      </c>
      <c r="C41" s="71">
        <f>'Legal Summary'!C72</f>
        <v>936</v>
      </c>
      <c r="E41" s="71">
        <f>'Legal Summary'!E72</f>
        <v>0</v>
      </c>
      <c r="F41" s="83"/>
      <c r="G41" s="71">
        <f>'Legal Summary'!G72</f>
        <v>0</v>
      </c>
      <c r="H41" s="71">
        <f>'Legal Summary'!H72</f>
        <v>0</v>
      </c>
      <c r="I41" s="71">
        <f>'Legal Summary'!I72</f>
        <v>0</v>
      </c>
      <c r="K41" s="204">
        <f>'Legal Summary'!W72</f>
        <v>0</v>
      </c>
      <c r="M41" s="71">
        <f t="shared" si="1"/>
        <v>-936</v>
      </c>
      <c r="N41" s="71"/>
      <c r="O41" s="71">
        <f t="shared" si="2"/>
        <v>0</v>
      </c>
      <c r="P41" s="71"/>
      <c r="Q41" s="71">
        <f t="shared" si="2"/>
        <v>0</v>
      </c>
    </row>
    <row r="42" spans="1:17" x14ac:dyDescent="0.2">
      <c r="A42" t="s">
        <v>36</v>
      </c>
      <c r="C42" s="71">
        <f>'Legal Summary'!C73</f>
        <v>942</v>
      </c>
      <c r="E42" s="71">
        <f>'Legal Summary'!E73</f>
        <v>130415</v>
      </c>
      <c r="F42" s="83"/>
      <c r="G42" s="71">
        <f>'Legal Summary'!G73</f>
        <v>0</v>
      </c>
      <c r="H42" s="71">
        <f>'Legal Summary'!H73</f>
        <v>0</v>
      </c>
      <c r="I42" s="71">
        <f>'Legal Summary'!I73</f>
        <v>130415</v>
      </c>
      <c r="K42" s="204">
        <f>'Legal Summary'!W73</f>
        <v>86584.980090075376</v>
      </c>
      <c r="M42" s="71">
        <f t="shared" si="1"/>
        <v>85642.980090075376</v>
      </c>
      <c r="N42" s="71"/>
      <c r="O42" s="71">
        <f t="shared" si="2"/>
        <v>86584.980090075376</v>
      </c>
      <c r="P42" s="71"/>
      <c r="Q42" s="71">
        <f t="shared" si="2"/>
        <v>-43830.019909924624</v>
      </c>
    </row>
    <row r="43" spans="1:17" hidden="1" x14ac:dyDescent="0.2">
      <c r="A43" t="s">
        <v>37</v>
      </c>
      <c r="C43" s="71">
        <f>'Legal Summary'!C74</f>
        <v>951</v>
      </c>
      <c r="E43" s="71">
        <f>'Legal Summary'!E74</f>
        <v>136488</v>
      </c>
      <c r="F43" s="83"/>
      <c r="G43" s="71">
        <f>'Legal Summary'!G74</f>
        <v>0</v>
      </c>
      <c r="H43" s="71">
        <f>'Legal Summary'!H74</f>
        <v>0</v>
      </c>
      <c r="I43" s="71">
        <f>'Legal Summary'!I74</f>
        <v>136488</v>
      </c>
      <c r="K43" s="204">
        <f>'Legal Summary'!W74</f>
        <v>118051.28312267692</v>
      </c>
      <c r="M43" s="71">
        <f t="shared" si="1"/>
        <v>117100.28312267692</v>
      </c>
      <c r="N43" s="71"/>
      <c r="O43" s="71">
        <f t="shared" si="2"/>
        <v>118051.28312267692</v>
      </c>
      <c r="P43" s="71"/>
      <c r="Q43" s="71">
        <f t="shared" si="2"/>
        <v>-18436.716877323081</v>
      </c>
    </row>
    <row r="44" spans="1:17" hidden="1" x14ac:dyDescent="0.2">
      <c r="A44" t="s">
        <v>38</v>
      </c>
      <c r="C44" s="71">
        <f>'Legal Summary'!C75</f>
        <v>954</v>
      </c>
      <c r="E44" s="71">
        <f>'Legal Summary'!E75</f>
        <v>0</v>
      </c>
      <c r="F44" s="83"/>
      <c r="G44" s="71">
        <f>'Legal Summary'!G75</f>
        <v>0</v>
      </c>
      <c r="H44" s="71">
        <f>'Legal Summary'!H75</f>
        <v>0</v>
      </c>
      <c r="I44" s="71">
        <f>'Legal Summary'!I75</f>
        <v>0</v>
      </c>
      <c r="K44" s="204">
        <f>'Legal Summary'!W75</f>
        <v>0</v>
      </c>
      <c r="M44" s="71">
        <f t="shared" si="1"/>
        <v>-954</v>
      </c>
      <c r="N44" s="71"/>
      <c r="O44" s="71">
        <f t="shared" si="2"/>
        <v>0</v>
      </c>
      <c r="P44" s="71"/>
      <c r="Q44" s="71">
        <f t="shared" si="2"/>
        <v>0</v>
      </c>
    </row>
    <row r="45" spans="1:17" x14ac:dyDescent="0.2">
      <c r="A45" t="s">
        <v>39</v>
      </c>
      <c r="C45" s="71">
        <f>'Legal Summary'!C76</f>
        <v>984</v>
      </c>
      <c r="E45" s="71">
        <f>'Legal Summary'!E76</f>
        <v>71951</v>
      </c>
      <c r="F45" s="83"/>
      <c r="G45" s="71">
        <f>'Legal Summary'!G76</f>
        <v>0</v>
      </c>
      <c r="H45" s="71">
        <f>'Legal Summary'!H76</f>
        <v>0</v>
      </c>
      <c r="I45" s="71">
        <f>'Legal Summary'!I76</f>
        <v>71951</v>
      </c>
      <c r="K45" s="204">
        <f>'Legal Summary'!W76</f>
        <v>40998.283735950332</v>
      </c>
      <c r="M45" s="71">
        <f t="shared" si="1"/>
        <v>40014.283735950332</v>
      </c>
      <c r="N45" s="71"/>
      <c r="O45" s="71">
        <f t="shared" si="2"/>
        <v>40998.283735950332</v>
      </c>
      <c r="P45" s="71"/>
      <c r="Q45" s="71">
        <f t="shared" si="2"/>
        <v>-30952.716264049668</v>
      </c>
    </row>
    <row r="46" spans="1:17" hidden="1" x14ac:dyDescent="0.2">
      <c r="A46" t="s">
        <v>40</v>
      </c>
      <c r="C46" s="71">
        <f>'Legal Summary'!C77</f>
        <v>981</v>
      </c>
      <c r="E46" s="71">
        <f>'Legal Summary'!E77</f>
        <v>64672</v>
      </c>
      <c r="F46" s="83"/>
      <c r="G46" s="71">
        <f>'Legal Summary'!G77</f>
        <v>0</v>
      </c>
      <c r="H46" s="71">
        <f>'Legal Summary'!H77</f>
        <v>0</v>
      </c>
      <c r="I46" s="71">
        <f>'Legal Summary'!I77</f>
        <v>64672</v>
      </c>
      <c r="K46" s="204">
        <f>'Legal Summary'!W77</f>
        <v>1399.3922974137934</v>
      </c>
      <c r="M46" s="71">
        <f t="shared" si="1"/>
        <v>418.39229741379336</v>
      </c>
      <c r="N46" s="71"/>
      <c r="O46" s="71">
        <f t="shared" si="2"/>
        <v>1399.3922974137934</v>
      </c>
      <c r="P46" s="71"/>
      <c r="Q46" s="71">
        <f t="shared" si="2"/>
        <v>-63272.607702586203</v>
      </c>
    </row>
    <row r="47" spans="1:17" hidden="1" x14ac:dyDescent="0.2">
      <c r="A47" t="s">
        <v>41</v>
      </c>
      <c r="C47" s="71">
        <f>'Legal Summary'!C78</f>
        <v>983</v>
      </c>
      <c r="E47" s="71">
        <f>'Legal Summary'!E78</f>
        <v>425326</v>
      </c>
      <c r="F47" s="83"/>
      <c r="G47" s="71">
        <f>'Legal Summary'!G78</f>
        <v>-138700</v>
      </c>
      <c r="H47" s="71">
        <f>'Legal Summary'!H78</f>
        <v>0</v>
      </c>
      <c r="I47" s="71">
        <f>'Legal Summary'!I78</f>
        <v>286626</v>
      </c>
      <c r="K47" s="204">
        <f>'Legal Summary'!W78</f>
        <v>159916.02218859777</v>
      </c>
      <c r="M47" s="71">
        <f t="shared" si="1"/>
        <v>158933.02218859777</v>
      </c>
      <c r="N47" s="71"/>
      <c r="O47" s="71">
        <f t="shared" si="2"/>
        <v>298616.02218859777</v>
      </c>
      <c r="P47" s="71"/>
      <c r="Q47" s="71">
        <f t="shared" si="2"/>
        <v>-126709.97781140223</v>
      </c>
    </row>
    <row r="48" spans="1:17" hidden="1" x14ac:dyDescent="0.2">
      <c r="A48" t="s">
        <v>42</v>
      </c>
      <c r="C48" s="71">
        <f>'Legal Summary'!C79</f>
        <v>0</v>
      </c>
      <c r="E48" s="71">
        <f>'Legal Summary'!E79</f>
        <v>0</v>
      </c>
      <c r="F48" s="83"/>
      <c r="G48" s="71">
        <f>'Legal Summary'!G79</f>
        <v>0</v>
      </c>
      <c r="H48" s="71">
        <f>'Legal Summary'!H79</f>
        <v>0</v>
      </c>
      <c r="I48" s="71">
        <f>'Legal Summary'!I79</f>
        <v>0</v>
      </c>
      <c r="K48" s="204">
        <f>'Legal Summary'!W79</f>
        <v>0</v>
      </c>
      <c r="M48" s="71">
        <f t="shared" si="1"/>
        <v>0</v>
      </c>
      <c r="N48" s="71"/>
      <c r="O48" s="71">
        <f t="shared" si="2"/>
        <v>0</v>
      </c>
      <c r="P48" s="71"/>
      <c r="Q48" s="71">
        <f t="shared" si="2"/>
        <v>0</v>
      </c>
    </row>
    <row r="49" spans="1:17" x14ac:dyDescent="0.2">
      <c r="A49" t="s">
        <v>43</v>
      </c>
      <c r="F49" s="83"/>
      <c r="K49" s="204"/>
      <c r="N49" s="71"/>
      <c r="O49" s="71"/>
      <c r="P49" s="71"/>
      <c r="Q49" s="71">
        <f t="shared" si="2"/>
        <v>0</v>
      </c>
    </row>
    <row r="50" spans="1:17" x14ac:dyDescent="0.2">
      <c r="A50" t="s">
        <v>152</v>
      </c>
      <c r="F50" s="83"/>
      <c r="K50" s="204"/>
      <c r="N50" s="71"/>
      <c r="O50" s="71"/>
      <c r="P50" s="71"/>
      <c r="Q50" s="71">
        <f t="shared" si="2"/>
        <v>0</v>
      </c>
    </row>
    <row r="51" spans="1:17" hidden="1" x14ac:dyDescent="0.2">
      <c r="A51" t="s">
        <v>44</v>
      </c>
      <c r="F51" s="83"/>
      <c r="K51" s="204"/>
      <c r="N51" s="71"/>
      <c r="O51" s="71"/>
      <c r="P51" s="71"/>
      <c r="Q51" s="71">
        <f t="shared" si="2"/>
        <v>0</v>
      </c>
    </row>
    <row r="52" spans="1:17" x14ac:dyDescent="0.2">
      <c r="A52" t="s">
        <v>45</v>
      </c>
      <c r="F52" s="83"/>
      <c r="K52" s="204"/>
      <c r="N52" s="71"/>
      <c r="O52" s="71"/>
      <c r="P52" s="71"/>
      <c r="Q52" s="71">
        <f t="shared" si="2"/>
        <v>0</v>
      </c>
    </row>
    <row r="53" spans="1:17" ht="13.5" thickBot="1" x14ac:dyDescent="0.25">
      <c r="A53" t="s">
        <v>46</v>
      </c>
      <c r="C53" s="178"/>
      <c r="D53" s="83"/>
      <c r="E53" s="178"/>
      <c r="F53" s="83"/>
      <c r="G53" s="178"/>
      <c r="H53" s="178"/>
      <c r="I53" s="178"/>
      <c r="K53" s="206"/>
      <c r="M53" s="178"/>
      <c r="N53" s="83"/>
      <c r="O53" s="178"/>
      <c r="P53" s="83"/>
      <c r="Q53" s="178">
        <f t="shared" si="2"/>
        <v>0</v>
      </c>
    </row>
    <row r="54" spans="1:17" ht="11.25" hidden="1" customHeight="1" x14ac:dyDescent="0.2">
      <c r="A54" t="s">
        <v>47</v>
      </c>
      <c r="C54" s="71" t="e">
        <f>'Legal Summary'!#REF!</f>
        <v>#REF!</v>
      </c>
      <c r="D54" s="83"/>
      <c r="E54" s="71" t="e">
        <f>'Legal Summary'!#REF!</f>
        <v>#REF!</v>
      </c>
      <c r="F54" s="83"/>
      <c r="G54" s="71" t="e">
        <f>'Legal Summary'!#REF!</f>
        <v>#REF!</v>
      </c>
      <c r="H54" s="71" t="e">
        <f>'Legal Summary'!#REF!</f>
        <v>#REF!</v>
      </c>
      <c r="I54" s="71" t="e">
        <f>'Legal Summary'!#REF!</f>
        <v>#REF!</v>
      </c>
      <c r="K54" s="204" t="e">
        <f>'Legal Summary'!#REF!</f>
        <v>#REF!</v>
      </c>
      <c r="N54" s="83"/>
      <c r="O54" s="71"/>
      <c r="P54" s="83"/>
      <c r="Q54" s="71"/>
    </row>
    <row r="55" spans="1:17" hidden="1" x14ac:dyDescent="0.2">
      <c r="A55" t="s">
        <v>47</v>
      </c>
      <c r="C55" s="71">
        <f>'Legal Summary'!C80</f>
        <v>0</v>
      </c>
      <c r="D55" s="83"/>
      <c r="E55" s="71">
        <f>'Legal Summary'!E80</f>
        <v>0</v>
      </c>
      <c r="F55" s="83"/>
      <c r="G55" s="71">
        <f>'Legal Summary'!G80</f>
        <v>0</v>
      </c>
      <c r="H55" s="71">
        <f>'Legal Summary'!H80</f>
        <v>0</v>
      </c>
      <c r="I55" s="71">
        <f>'Legal Summary'!I80</f>
        <v>0</v>
      </c>
      <c r="K55" s="204">
        <f>'Legal Summary'!W80</f>
        <v>0</v>
      </c>
      <c r="N55" s="83"/>
      <c r="O55" s="71"/>
      <c r="P55" s="83"/>
      <c r="Q55" s="71"/>
    </row>
    <row r="56" spans="1:17" s="11" customFormat="1" ht="13.5" thickBot="1" x14ac:dyDescent="0.25">
      <c r="A56" s="69" t="s">
        <v>48</v>
      </c>
      <c r="C56" s="187" t="e">
        <f>SUM(C31:C55)</f>
        <v>#REF!</v>
      </c>
      <c r="D56" s="195"/>
      <c r="E56" s="187" t="e">
        <f>SUM(E31:E55)</f>
        <v>#REF!</v>
      </c>
      <c r="F56" s="195"/>
      <c r="G56" s="187" t="e">
        <f>SUM(G31:G55)</f>
        <v>#REF!</v>
      </c>
      <c r="H56" s="187" t="e">
        <f>SUM(H31:H55)</f>
        <v>#REF!</v>
      </c>
      <c r="I56" s="187" t="e">
        <f>SUM(I31:I55)</f>
        <v>#REF!</v>
      </c>
      <c r="J56" s="176"/>
      <c r="K56" s="202" t="e">
        <f>SUM(K31:K55)</f>
        <v>#REF!</v>
      </c>
      <c r="L56" s="176"/>
      <c r="M56" s="188">
        <f>SUM(M31:M55)</f>
        <v>5554056.9499933338</v>
      </c>
      <c r="N56" s="196"/>
      <c r="O56" s="188">
        <f>SUM(O31:O55)</f>
        <v>5706813.9499933338</v>
      </c>
      <c r="P56" s="196"/>
      <c r="Q56" s="188">
        <f>SUM(Q31:Q55)</f>
        <v>-1103734.0500066665</v>
      </c>
    </row>
    <row r="57" spans="1:17" hidden="1" x14ac:dyDescent="0.2">
      <c r="A57" s="6" t="s">
        <v>49</v>
      </c>
      <c r="C57" s="71" t="e">
        <f>C56-C25</f>
        <v>#REF!</v>
      </c>
      <c r="D57" s="83"/>
      <c r="E57" s="71" t="e">
        <f>E56-E25</f>
        <v>#REF!</v>
      </c>
      <c r="F57" s="83"/>
      <c r="G57" s="71" t="e">
        <f>G56-G25</f>
        <v>#REF!</v>
      </c>
      <c r="H57" s="71" t="e">
        <f>H56-H25</f>
        <v>#REF!</v>
      </c>
      <c r="I57" s="71" t="e">
        <f>I56-I25</f>
        <v>#REF!</v>
      </c>
      <c r="K57" s="204" t="e">
        <f>K56-K25</f>
        <v>#REF!</v>
      </c>
      <c r="M57" s="71">
        <f>M56-M25</f>
        <v>5554056.9499933338</v>
      </c>
      <c r="N57" s="83"/>
      <c r="O57" s="71">
        <f>O56-O25</f>
        <v>5706813.9499933338</v>
      </c>
      <c r="P57" s="83"/>
      <c r="Q57" s="71">
        <f>Q56-Q25</f>
        <v>-1103734.0500066665</v>
      </c>
    </row>
    <row r="58" spans="1:17" ht="8.25" customHeight="1" x14ac:dyDescent="0.2">
      <c r="D58" s="83"/>
      <c r="F58" s="83"/>
      <c r="K58" s="204"/>
      <c r="N58" s="83"/>
      <c r="O58" s="71"/>
      <c r="P58" s="83"/>
      <c r="Q58" s="71"/>
    </row>
    <row r="59" spans="1:17" ht="6.75" customHeight="1" x14ac:dyDescent="0.2">
      <c r="D59" s="83"/>
      <c r="F59" s="83"/>
      <c r="K59" s="204"/>
      <c r="N59" s="83"/>
      <c r="O59" s="71"/>
      <c r="P59" s="83"/>
      <c r="Q59" s="71"/>
    </row>
    <row r="60" spans="1:17" x14ac:dyDescent="0.2">
      <c r="A60" s="11" t="s">
        <v>160</v>
      </c>
      <c r="D60" s="83"/>
      <c r="F60" s="83"/>
      <c r="K60" s="204"/>
      <c r="N60" s="83"/>
      <c r="O60" s="71"/>
      <c r="P60" s="83"/>
      <c r="Q60" s="71"/>
    </row>
    <row r="61" spans="1:17" x14ac:dyDescent="0.2">
      <c r="A61" t="s">
        <v>161</v>
      </c>
      <c r="C61" s="71">
        <f>C35+C40</f>
        <v>1842</v>
      </c>
      <c r="D61" s="83"/>
      <c r="F61" s="83"/>
      <c r="G61" s="71">
        <f>G35+G40</f>
        <v>0</v>
      </c>
      <c r="I61" s="71">
        <f>I35+I40</f>
        <v>4304097</v>
      </c>
      <c r="K61" s="204">
        <f>K35+K40</f>
        <v>3672362.8863316528</v>
      </c>
      <c r="M61" s="71">
        <f>M35+M40</f>
        <v>3670520.8863316528</v>
      </c>
      <c r="N61" s="83"/>
      <c r="O61" s="71">
        <f>O35+O40</f>
        <v>3672362.8863316528</v>
      </c>
      <c r="P61" s="83"/>
      <c r="Q61" s="71">
        <f>Q35+Q40</f>
        <v>-631734.11366834724</v>
      </c>
    </row>
    <row r="62" spans="1:17" x14ac:dyDescent="0.2">
      <c r="A62" t="s">
        <v>162</v>
      </c>
      <c r="C62" s="71">
        <f>C36</f>
        <v>913</v>
      </c>
      <c r="D62" s="83"/>
      <c r="F62" s="83"/>
      <c r="G62" s="71">
        <f>G36</f>
        <v>0</v>
      </c>
      <c r="I62" s="71">
        <f>I36</f>
        <v>1677599</v>
      </c>
      <c r="K62" s="204">
        <f>K36</f>
        <v>1389704.1022269665</v>
      </c>
      <c r="M62" s="71">
        <f>M36</f>
        <v>1388791.1022269665</v>
      </c>
      <c r="N62" s="83"/>
      <c r="O62" s="71">
        <f>O36</f>
        <v>1389704.1022269665</v>
      </c>
      <c r="P62" s="83"/>
      <c r="Q62" s="71">
        <f>Q36</f>
        <v>-287894.89777303347</v>
      </c>
    </row>
    <row r="63" spans="1:17" x14ac:dyDescent="0.2">
      <c r="A63" t="s">
        <v>163</v>
      </c>
      <c r="C63" s="71">
        <f>C49+C52+C53</f>
        <v>0</v>
      </c>
      <c r="F63" s="83"/>
      <c r="G63" s="71">
        <f>G49+G52+G53</f>
        <v>0</v>
      </c>
      <c r="I63" s="71">
        <f>I49+I52+I53</f>
        <v>0</v>
      </c>
      <c r="K63" s="204">
        <f>K49+K52+K53</f>
        <v>0</v>
      </c>
      <c r="M63" s="71">
        <f>M49+M52+M53</f>
        <v>0</v>
      </c>
      <c r="N63" s="83"/>
      <c r="O63" s="71">
        <f>O49+O52+O53</f>
        <v>0</v>
      </c>
      <c r="P63" s="83"/>
      <c r="Q63" s="71">
        <f>Q49+Q52+Q53</f>
        <v>0</v>
      </c>
    </row>
    <row r="64" spans="1:17" x14ac:dyDescent="0.2">
      <c r="A64" t="s">
        <v>164</v>
      </c>
      <c r="C64" s="179">
        <f>C42+C45+C50</f>
        <v>1926</v>
      </c>
      <c r="D64" s="83"/>
      <c r="E64" s="83"/>
      <c r="F64" s="83"/>
      <c r="G64" s="179">
        <f>G42+G45+G50</f>
        <v>0</v>
      </c>
      <c r="I64" s="179">
        <f>I42+I45+I50</f>
        <v>202366</v>
      </c>
      <c r="K64" s="207">
        <f>K42+K45+K50</f>
        <v>127583.26382602571</v>
      </c>
      <c r="M64" s="179">
        <f>M42+M45+M50</f>
        <v>125657.26382602571</v>
      </c>
      <c r="N64" s="83"/>
      <c r="O64" s="179">
        <f>O42+O45+O50</f>
        <v>127583.26382602571</v>
      </c>
      <c r="P64" s="83"/>
      <c r="Q64" s="179">
        <f>Q42+Q45+Q50</f>
        <v>-74782.736173974292</v>
      </c>
    </row>
    <row r="65" spans="1:18" x14ac:dyDescent="0.2">
      <c r="A65" s="11" t="s">
        <v>165</v>
      </c>
      <c r="C65" s="180">
        <f>SUM(C61:C64)</f>
        <v>4681</v>
      </c>
      <c r="D65" s="180"/>
      <c r="E65" s="180"/>
      <c r="F65" s="196"/>
      <c r="G65" s="180">
        <f>SUM(G61:G64)</f>
        <v>0</v>
      </c>
      <c r="I65" s="180">
        <f>SUM(I61:I64)</f>
        <v>6184062</v>
      </c>
      <c r="K65" s="203">
        <f>SUM(K61:K64)</f>
        <v>5189650.2523846449</v>
      </c>
      <c r="M65" s="180">
        <f>SUM(M61:M64)</f>
        <v>5184969.2523846449</v>
      </c>
      <c r="N65" s="196"/>
      <c r="O65" s="180">
        <f>SUM(O61:O64)</f>
        <v>5189650.2523846449</v>
      </c>
      <c r="P65" s="196"/>
      <c r="Q65" s="180">
        <f>SUM(Q61:Q64)</f>
        <v>-994411.74761535507</v>
      </c>
    </row>
    <row r="66" spans="1:18" x14ac:dyDescent="0.2">
      <c r="A66" s="11"/>
      <c r="C66" s="180"/>
      <c r="D66" s="180"/>
      <c r="E66" s="180"/>
      <c r="F66" s="196"/>
      <c r="G66" s="180"/>
      <c r="I66" s="180"/>
      <c r="K66" s="203"/>
      <c r="M66" s="180"/>
      <c r="N66" s="196"/>
      <c r="O66" s="180"/>
      <c r="P66" s="196"/>
      <c r="Q66" s="180"/>
    </row>
    <row r="67" spans="1:18" x14ac:dyDescent="0.2">
      <c r="A67" s="11" t="s">
        <v>173</v>
      </c>
      <c r="N67" s="6"/>
      <c r="P67" s="6"/>
    </row>
    <row r="68" spans="1:18" x14ac:dyDescent="0.2">
      <c r="R68" s="50" t="str">
        <f ca="1">CELL("filename")</f>
        <v>O:\Corporate\GPGFin\gpgPLAN\2003Plan\GPGSTAFF\GPG Legal\Template Consolidation\[Budget 2001 Consolidation - Legal.xls]111706 (0238)</v>
      </c>
    </row>
    <row r="69" spans="1:18" x14ac:dyDescent="0.2">
      <c r="O69" s="208">
        <f ca="1">NOW()</f>
        <v>36724.628801041668</v>
      </c>
    </row>
  </sheetData>
  <printOptions horizontalCentered="1"/>
  <pageMargins left="0" right="0" top="0.39" bottom="0.21" header="0.17" footer="0.21"/>
  <pageSetup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82"/>
  <sheetViews>
    <sheetView showGridLines="0" tabSelected="1" zoomScale="85" workbookViewId="0">
      <selection activeCell="E4" sqref="E4"/>
    </sheetView>
  </sheetViews>
  <sheetFormatPr defaultRowHeight="12.75" x14ac:dyDescent="0.2"/>
  <cols>
    <col min="1" max="1" width="9.5703125" customWidth="1"/>
    <col min="2" max="2" width="32.85546875" customWidth="1"/>
    <col min="3" max="3" width="6.42578125" style="71" customWidth="1"/>
    <col min="4" max="4" width="0.85546875" style="71" customWidth="1"/>
    <col min="5" max="5" width="11.28515625" style="71" customWidth="1"/>
    <col min="6" max="6" width="0.85546875" customWidth="1"/>
    <col min="7" max="7" width="11.28515625" bestFit="1" customWidth="1"/>
    <col min="8" max="8" width="0.85546875" customWidth="1"/>
    <col min="9" max="9" width="11.28515625" bestFit="1" customWidth="1"/>
    <col min="10" max="10" width="9.5703125" customWidth="1"/>
    <col min="11" max="22" width="10.7109375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1.28515625" customWidth="1"/>
    <col min="29" max="29" width="7.28515625" bestFit="1" customWidth="1"/>
    <col min="30" max="30" width="7.7109375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43" t="s">
        <v>194</v>
      </c>
      <c r="D2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ht="3" customHeight="1" x14ac:dyDescent="0.2">
      <c r="B3" s="3"/>
      <c r="C3" s="16"/>
      <c r="D3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43" t="s">
        <v>54</v>
      </c>
      <c r="D4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51">
        <f ca="1">NOW()</f>
        <v>36724.628801041668</v>
      </c>
      <c r="AB4" s="1"/>
    </row>
    <row r="5" spans="1:29" ht="3" customHeight="1" x14ac:dyDescent="0.2">
      <c r="C5"/>
      <c r="D5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">
      <c r="B6" s="3" t="s">
        <v>232</v>
      </c>
      <c r="C6" s="43" t="s">
        <v>54</v>
      </c>
      <c r="D6"/>
      <c r="E6" s="73"/>
      <c r="F6" s="60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f>SUM('111678 (0013):111706 (0238)'!C8)</f>
        <v>30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7">
        <f>SUM('111678 (0013):111706 (0238)'!C9)</f>
        <v>37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ht="3" customHeight="1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80"/>
      <c r="H13" s="33"/>
      <c r="I13" s="80"/>
      <c r="J13" s="5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f>SUM('111678 (0013):111706 (0238)'!E14)</f>
        <v>2671620</v>
      </c>
      <c r="F14" s="281"/>
      <c r="G14" s="80">
        <f>SUM('111678 (0013):111706 (0238)'!G14)</f>
        <v>-236598</v>
      </c>
      <c r="H14" s="33"/>
      <c r="I14" s="80">
        <f>SUM('111678 (0013):111706 (0238)'!I14)</f>
        <v>2435022</v>
      </c>
      <c r="J14" s="57"/>
      <c r="K14" s="263">
        <f>SUM('111678 (0013):111706 (0238)'!K14)</f>
        <v>233178</v>
      </c>
      <c r="L14" s="263">
        <f>SUM('111678 (0013):111706 (0238)'!L14)</f>
        <v>233178</v>
      </c>
      <c r="M14" s="263">
        <f>SUM('111678 (0013):111706 (0238)'!M14)</f>
        <v>233178</v>
      </c>
      <c r="N14" s="263">
        <f>SUM('111678 (0013):111706 (0238)'!N14)</f>
        <v>233178</v>
      </c>
      <c r="O14" s="263">
        <f>SUM('111678 (0013):111706 (0238)'!O14)</f>
        <v>233178</v>
      </c>
      <c r="P14" s="263">
        <f>SUM('111678 (0013):111706 (0238)'!P14)</f>
        <v>233178</v>
      </c>
      <c r="Q14" s="263">
        <f>SUM('111678 (0013):111706 (0238)'!Q14)</f>
        <v>233178</v>
      </c>
      <c r="R14" s="263">
        <f>SUM('111678 (0013):111706 (0238)'!R14)</f>
        <v>233178</v>
      </c>
      <c r="S14" s="263">
        <f>SUM('111678 (0013):111706 (0238)'!S14)</f>
        <v>233178</v>
      </c>
      <c r="T14" s="263">
        <f>SUM('111678 (0013):111706 (0238)'!T14)</f>
        <v>233178</v>
      </c>
      <c r="U14" s="263">
        <f>SUM('111678 (0013):111706 (0238)'!U14)</f>
        <v>233178</v>
      </c>
      <c r="V14" s="263">
        <f>SUM('111678 (0013):111706 (0238)'!V14)</f>
        <v>233178</v>
      </c>
      <c r="W14" s="21">
        <f>SUM(K14:V14)</f>
        <v>2798136</v>
      </c>
      <c r="X14" s="1"/>
      <c r="Y14" s="263">
        <f t="shared" ref="Y14:Y21" si="0">W14-E14</f>
        <v>126516</v>
      </c>
      <c r="Z14" s="264"/>
      <c r="AA14" s="263">
        <f t="shared" ref="AA14:AA39" si="1">W14-I14</f>
        <v>363114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f>SUM('111678 (0013):111706 (0238)'!E15)</f>
        <v>99958</v>
      </c>
      <c r="F15" s="281"/>
      <c r="G15" s="80">
        <f>SUM('111678 (0013):111706 (0238)'!G15)</f>
        <v>-49838</v>
      </c>
      <c r="H15" s="33"/>
      <c r="I15" s="80">
        <f>SUM('111678 (0013):111706 (0238)'!I15)</f>
        <v>50120</v>
      </c>
      <c r="J15" s="57"/>
      <c r="K15" s="80">
        <f>SUM('111678 (0013):111706 (0238)'!K15)</f>
        <v>8329.8266666666659</v>
      </c>
      <c r="L15" s="80">
        <f>SUM('111678 (0013):111706 (0238)'!L15)</f>
        <v>8329.8266666666659</v>
      </c>
      <c r="M15" s="80">
        <f>SUM('111678 (0013):111706 (0238)'!M15)</f>
        <v>8329.8266666666659</v>
      </c>
      <c r="N15" s="80">
        <f>SUM('111678 (0013):111706 (0238)'!N15)</f>
        <v>8329.8266666666659</v>
      </c>
      <c r="O15" s="80">
        <f>SUM('111678 (0013):111706 (0238)'!O15)</f>
        <v>8329.8266666666659</v>
      </c>
      <c r="P15" s="80">
        <f>SUM('111678 (0013):111706 (0238)'!P15)</f>
        <v>8329.8266666666659</v>
      </c>
      <c r="Q15" s="80">
        <f>SUM('111678 (0013):111706 (0238)'!Q15)</f>
        <v>8329.8266666666659</v>
      </c>
      <c r="R15" s="80">
        <f>SUM('111678 (0013):111706 (0238)'!R15)</f>
        <v>8329.8266666666659</v>
      </c>
      <c r="S15" s="80">
        <f>SUM('111678 (0013):111706 (0238)'!S15)</f>
        <v>8329.8266666666659</v>
      </c>
      <c r="T15" s="80">
        <f>SUM('111678 (0013):111706 (0238)'!T15)</f>
        <v>8329.8266666666659</v>
      </c>
      <c r="U15" s="80">
        <f>SUM('111678 (0013):111706 (0238)'!U15)</f>
        <v>8329.8266666666659</v>
      </c>
      <c r="V15" s="80">
        <f>SUM('111678 (0013):111706 (0238)'!V15)</f>
        <v>8329.8266666666659</v>
      </c>
      <c r="W15" s="21">
        <f t="shared" ref="W15:W45" si="2">SUM(K15:V15)</f>
        <v>99957.919999999969</v>
      </c>
      <c r="X15" s="1"/>
      <c r="Y15" s="21">
        <f t="shared" si="0"/>
        <v>-8.000000003085006E-2</v>
      </c>
      <c r="Z15" s="262"/>
      <c r="AA15" s="21">
        <f t="shared" si="1"/>
        <v>49837.919999999969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f>SUM('111678 (0013):111706 (0238)'!E16)</f>
        <v>78472</v>
      </c>
      <c r="F16" s="281"/>
      <c r="G16" s="80">
        <f>SUM('111678 (0013):111706 (0238)'!G16)</f>
        <v>17608</v>
      </c>
      <c r="H16" s="33"/>
      <c r="I16" s="80">
        <f>SUM('111678 (0013):111706 (0238)'!I16)</f>
        <v>96080</v>
      </c>
      <c r="J16" s="57"/>
      <c r="K16" s="80">
        <f>SUM('111678 (0013):111706 (0238)'!K16)</f>
        <v>6531</v>
      </c>
      <c r="L16" s="80">
        <f>SUM('111678 (0013):111706 (0238)'!L16)</f>
        <v>6531</v>
      </c>
      <c r="M16" s="80">
        <f>SUM('111678 (0013):111706 (0238)'!M16)</f>
        <v>6531</v>
      </c>
      <c r="N16" s="80">
        <f>SUM('111678 (0013):111706 (0238)'!N16)</f>
        <v>6531</v>
      </c>
      <c r="O16" s="80">
        <f>SUM('111678 (0013):111706 (0238)'!O16)</f>
        <v>6531</v>
      </c>
      <c r="P16" s="80">
        <f>SUM('111678 (0013):111706 (0238)'!P16)</f>
        <v>6531</v>
      </c>
      <c r="Q16" s="80">
        <f>SUM('111678 (0013):111706 (0238)'!Q16)</f>
        <v>6531</v>
      </c>
      <c r="R16" s="80">
        <f>SUM('111678 (0013):111706 (0238)'!R16)</f>
        <v>6531</v>
      </c>
      <c r="S16" s="80">
        <f>SUM('111678 (0013):111706 (0238)'!S16)</f>
        <v>6531</v>
      </c>
      <c r="T16" s="80">
        <f>SUM('111678 (0013):111706 (0238)'!T16)</f>
        <v>6531</v>
      </c>
      <c r="U16" s="80">
        <f>SUM('111678 (0013):111706 (0238)'!U16)</f>
        <v>6531</v>
      </c>
      <c r="V16" s="80">
        <f>SUM('111678 (0013):111706 (0238)'!V16)</f>
        <v>6531</v>
      </c>
      <c r="W16" s="21">
        <f t="shared" si="2"/>
        <v>78372</v>
      </c>
      <c r="X16" s="1"/>
      <c r="Y16" s="21">
        <f t="shared" si="0"/>
        <v>-100</v>
      </c>
      <c r="Z16" s="262"/>
      <c r="AA16" s="21">
        <f t="shared" si="1"/>
        <v>-17708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f>SUM('111678 (0013):111706 (0238)'!E17)</f>
        <v>35304</v>
      </c>
      <c r="F17" s="281"/>
      <c r="G17" s="80">
        <f>SUM('111678 (0013):111706 (0238)'!G17)</f>
        <v>-19783</v>
      </c>
      <c r="H17" s="33"/>
      <c r="I17" s="80">
        <f>SUM('111678 (0013):111706 (0238)'!I17)</f>
        <v>15521</v>
      </c>
      <c r="J17" s="57"/>
      <c r="K17" s="80">
        <f>SUM('111678 (0013):111706 (0238)'!K17)</f>
        <v>2958.4166666666665</v>
      </c>
      <c r="L17" s="80">
        <f>SUM('111678 (0013):111706 (0238)'!L17)</f>
        <v>2958.4166666666665</v>
      </c>
      <c r="M17" s="80">
        <f>SUM('111678 (0013):111706 (0238)'!M17)</f>
        <v>2958.4166666666665</v>
      </c>
      <c r="N17" s="80">
        <f>SUM('111678 (0013):111706 (0238)'!N17)</f>
        <v>2958.4166666666665</v>
      </c>
      <c r="O17" s="80">
        <f>SUM('111678 (0013):111706 (0238)'!O17)</f>
        <v>2958.4166666666665</v>
      </c>
      <c r="P17" s="80">
        <f>SUM('111678 (0013):111706 (0238)'!P17)</f>
        <v>2958.4166666666665</v>
      </c>
      <c r="Q17" s="80">
        <f>SUM('111678 (0013):111706 (0238)'!Q17)</f>
        <v>2958.4166666666665</v>
      </c>
      <c r="R17" s="80">
        <f>SUM('111678 (0013):111706 (0238)'!R17)</f>
        <v>2958.4166666666665</v>
      </c>
      <c r="S17" s="80">
        <f>SUM('111678 (0013):111706 (0238)'!S17)</f>
        <v>2958.4166666666665</v>
      </c>
      <c r="T17" s="80">
        <f>SUM('111678 (0013):111706 (0238)'!T17)</f>
        <v>2958.4166666666665</v>
      </c>
      <c r="U17" s="80">
        <f>SUM('111678 (0013):111706 (0238)'!U17)</f>
        <v>2958.4166666666665</v>
      </c>
      <c r="V17" s="80">
        <f>SUM('111678 (0013):111706 (0238)'!V17)</f>
        <v>2958.4166666666665</v>
      </c>
      <c r="W17" s="21">
        <f t="shared" si="2"/>
        <v>35501.000000000007</v>
      </c>
      <c r="X17" s="1"/>
      <c r="Y17" s="21">
        <f t="shared" si="0"/>
        <v>197.00000000000728</v>
      </c>
      <c r="Z17" s="262"/>
      <c r="AA17" s="21">
        <f t="shared" si="1"/>
        <v>19980.000000000007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f>SUM('111678 (0013):111706 (0238)'!E18)</f>
        <v>10860</v>
      </c>
      <c r="F18" s="281"/>
      <c r="G18" s="80">
        <f>SUM('111678 (0013):111706 (0238)'!G18)</f>
        <v>-5785</v>
      </c>
      <c r="H18" s="33"/>
      <c r="I18" s="80">
        <f>SUM('111678 (0013):111706 (0238)'!I18)</f>
        <v>5075</v>
      </c>
      <c r="J18" s="57"/>
      <c r="K18" s="80">
        <f>SUM('111678 (0013):111706 (0238)'!K18)</f>
        <v>897.91666666666663</v>
      </c>
      <c r="L18" s="80">
        <f>SUM('111678 (0013):111706 (0238)'!L18)</f>
        <v>897.91666666666663</v>
      </c>
      <c r="M18" s="80">
        <f>SUM('111678 (0013):111706 (0238)'!M18)</f>
        <v>897.91666666666663</v>
      </c>
      <c r="N18" s="80">
        <f>SUM('111678 (0013):111706 (0238)'!N18)</f>
        <v>897.91666666666663</v>
      </c>
      <c r="O18" s="80">
        <f>SUM('111678 (0013):111706 (0238)'!O18)</f>
        <v>897.91666666666663</v>
      </c>
      <c r="P18" s="80">
        <f>SUM('111678 (0013):111706 (0238)'!P18)</f>
        <v>897.91666666666663</v>
      </c>
      <c r="Q18" s="80">
        <f>SUM('111678 (0013):111706 (0238)'!Q18)</f>
        <v>897.91666666666663</v>
      </c>
      <c r="R18" s="80">
        <f>SUM('111678 (0013):111706 (0238)'!R18)</f>
        <v>897.91666666666663</v>
      </c>
      <c r="S18" s="80">
        <f>SUM('111678 (0013):111706 (0238)'!S18)</f>
        <v>897.91666666666663</v>
      </c>
      <c r="T18" s="80">
        <f>SUM('111678 (0013):111706 (0238)'!T18)</f>
        <v>897.91666666666663</v>
      </c>
      <c r="U18" s="80">
        <f>SUM('111678 (0013):111706 (0238)'!U18)</f>
        <v>897.91666666666663</v>
      </c>
      <c r="V18" s="80">
        <f>SUM('111678 (0013):111706 (0238)'!V18)</f>
        <v>897.91666666666663</v>
      </c>
      <c r="W18" s="21">
        <f t="shared" si="2"/>
        <v>10775</v>
      </c>
      <c r="X18" s="1"/>
      <c r="Y18" s="21">
        <f t="shared" si="0"/>
        <v>-85</v>
      </c>
      <c r="Z18" s="262"/>
      <c r="AA18" s="21">
        <f t="shared" si="1"/>
        <v>5700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f>SUM('111678 (0013):111706 (0238)'!E19)</f>
        <v>15336</v>
      </c>
      <c r="F19" s="281"/>
      <c r="G19" s="80">
        <f>SUM('111678 (0013):111706 (0238)'!G19)</f>
        <v>-6408</v>
      </c>
      <c r="H19" s="33"/>
      <c r="I19" s="80">
        <f>SUM('111678 (0013):111706 (0238)'!I19)</f>
        <v>8928</v>
      </c>
      <c r="J19" s="57"/>
      <c r="K19" s="80">
        <f>SUM('111678 (0013):111706 (0238)'!K19)</f>
        <v>1278</v>
      </c>
      <c r="L19" s="80">
        <f>SUM('111678 (0013):111706 (0238)'!L19)</f>
        <v>1278</v>
      </c>
      <c r="M19" s="80">
        <f>SUM('111678 (0013):111706 (0238)'!M19)</f>
        <v>1278</v>
      </c>
      <c r="N19" s="80">
        <f>SUM('111678 (0013):111706 (0238)'!N19)</f>
        <v>1278</v>
      </c>
      <c r="O19" s="80">
        <f>SUM('111678 (0013):111706 (0238)'!O19)</f>
        <v>1278</v>
      </c>
      <c r="P19" s="80">
        <f>SUM('111678 (0013):111706 (0238)'!P19)</f>
        <v>1278</v>
      </c>
      <c r="Q19" s="80">
        <f>SUM('111678 (0013):111706 (0238)'!Q19)</f>
        <v>1278</v>
      </c>
      <c r="R19" s="80">
        <f>SUM('111678 (0013):111706 (0238)'!R19)</f>
        <v>1278</v>
      </c>
      <c r="S19" s="80">
        <f>SUM('111678 (0013):111706 (0238)'!S19)</f>
        <v>1278</v>
      </c>
      <c r="T19" s="80">
        <f>SUM('111678 (0013):111706 (0238)'!T19)</f>
        <v>1278</v>
      </c>
      <c r="U19" s="80">
        <f>SUM('111678 (0013):111706 (0238)'!U19)</f>
        <v>1278</v>
      </c>
      <c r="V19" s="80">
        <f>SUM('111678 (0013):111706 (0238)'!V19)</f>
        <v>1278</v>
      </c>
      <c r="W19" s="21">
        <f t="shared" si="2"/>
        <v>15336</v>
      </c>
      <c r="X19" s="1"/>
      <c r="Y19" s="21">
        <f t="shared" si="0"/>
        <v>0</v>
      </c>
      <c r="Z19" s="262"/>
      <c r="AA19" s="21">
        <f t="shared" si="1"/>
        <v>6408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f>SUM('111678 (0013):111706 (0238)'!E20)</f>
        <v>0</v>
      </c>
      <c r="F20" s="281"/>
      <c r="G20" s="80">
        <f>SUM('111678 (0013):111706 (0238)'!G20)</f>
        <v>0</v>
      </c>
      <c r="H20" s="33"/>
      <c r="I20" s="80">
        <f>SUM('111678 (0013):111706 (0238)'!I20)</f>
        <v>0</v>
      </c>
      <c r="J20" s="57"/>
      <c r="K20" s="80">
        <f>SUM('111678 (0013):111706 (0238)'!K20)</f>
        <v>0</v>
      </c>
      <c r="L20" s="80">
        <f>SUM('111678 (0013):111706 (0238)'!L20)</f>
        <v>0</v>
      </c>
      <c r="M20" s="80">
        <f>SUM('111678 (0013):111706 (0238)'!M20)</f>
        <v>0</v>
      </c>
      <c r="N20" s="80">
        <f>SUM('111678 (0013):111706 (0238)'!N20)</f>
        <v>0</v>
      </c>
      <c r="O20" s="80">
        <f>SUM('111678 (0013):111706 (0238)'!O20)</f>
        <v>0</v>
      </c>
      <c r="P20" s="80">
        <f>SUM('111678 (0013):111706 (0238)'!P20)</f>
        <v>0</v>
      </c>
      <c r="Q20" s="80">
        <f>SUM('111678 (0013):111706 (0238)'!Q20)</f>
        <v>0</v>
      </c>
      <c r="R20" s="80">
        <f>SUM('111678 (0013):111706 (0238)'!R20)</f>
        <v>0</v>
      </c>
      <c r="S20" s="80">
        <f>SUM('111678 (0013):111706 (0238)'!S20)</f>
        <v>0</v>
      </c>
      <c r="T20" s="80">
        <f>SUM('111678 (0013):111706 (0238)'!T20)</f>
        <v>0</v>
      </c>
      <c r="U20" s="80">
        <f>SUM('111678 (0013):111706 (0238)'!U20)</f>
        <v>0</v>
      </c>
      <c r="V20" s="80">
        <f>SUM('111678 (0013):111706 (0238)'!V20)</f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f>SUM('111678 (0013):111706 (0238)'!E21)</f>
        <v>0</v>
      </c>
      <c r="F21" s="281"/>
      <c r="G21" s="80">
        <f>SUM('111678 (0013):111706 (0238)'!G21)</f>
        <v>0</v>
      </c>
      <c r="H21" s="33"/>
      <c r="I21" s="80">
        <f>SUM('111678 (0013):111706 (0238)'!I21)</f>
        <v>0</v>
      </c>
      <c r="J21" s="57"/>
      <c r="K21" s="80">
        <f>SUM('111678 (0013):111706 (0238)'!K21)</f>
        <v>0</v>
      </c>
      <c r="L21" s="80">
        <f>SUM('111678 (0013):111706 (0238)'!L21)</f>
        <v>0</v>
      </c>
      <c r="M21" s="80">
        <f>SUM('111678 (0013):111706 (0238)'!M21)</f>
        <v>0</v>
      </c>
      <c r="N21" s="80">
        <f>SUM('111678 (0013):111706 (0238)'!N21)</f>
        <v>0</v>
      </c>
      <c r="O21" s="80">
        <f>SUM('111678 (0013):111706 (0238)'!O21)</f>
        <v>0</v>
      </c>
      <c r="P21" s="80">
        <f>SUM('111678 (0013):111706 (0238)'!P21)</f>
        <v>0</v>
      </c>
      <c r="Q21" s="80">
        <f>SUM('111678 (0013):111706 (0238)'!Q21)</f>
        <v>0</v>
      </c>
      <c r="R21" s="80">
        <f>SUM('111678 (0013):111706 (0238)'!R21)</f>
        <v>0</v>
      </c>
      <c r="S21" s="80">
        <f>SUM('111678 (0013):111706 (0238)'!S21)</f>
        <v>0</v>
      </c>
      <c r="T21" s="80">
        <f>SUM('111678 (0013):111706 (0238)'!T21)</f>
        <v>0</v>
      </c>
      <c r="U21" s="80">
        <f>SUM('111678 (0013):111706 (0238)'!U21)</f>
        <v>0</v>
      </c>
      <c r="V21" s="80">
        <f>SUM('111678 (0013):111706 (0238)'!V21)</f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f>SUM('111678 (0013):111706 (0238)'!E22)</f>
        <v>0</v>
      </c>
      <c r="F22" s="281"/>
      <c r="G22" s="80">
        <f>SUM('111678 (0013):111706 (0238)'!G22)</f>
        <v>0</v>
      </c>
      <c r="H22" s="33"/>
      <c r="I22" s="80">
        <f>SUM('111678 (0013):111706 (0238)'!I22)</f>
        <v>0</v>
      </c>
      <c r="J22" s="57"/>
      <c r="K22" s="80">
        <f>SUM('111678 (0013):111706 (0238)'!K22)</f>
        <v>0</v>
      </c>
      <c r="L22" s="80">
        <f>SUM('111678 (0013):111706 (0238)'!L22)</f>
        <v>0</v>
      </c>
      <c r="M22" s="80">
        <f>SUM('111678 (0013):111706 (0238)'!M22)</f>
        <v>0</v>
      </c>
      <c r="N22" s="80">
        <f>SUM('111678 (0013):111706 (0238)'!N22)</f>
        <v>0</v>
      </c>
      <c r="O22" s="80">
        <f>SUM('111678 (0013):111706 (0238)'!O22)</f>
        <v>0</v>
      </c>
      <c r="P22" s="80">
        <f>SUM('111678 (0013):111706 (0238)'!P22)</f>
        <v>0</v>
      </c>
      <c r="Q22" s="80">
        <f>SUM('111678 (0013):111706 (0238)'!Q22)</f>
        <v>0</v>
      </c>
      <c r="R22" s="80">
        <f>SUM('111678 (0013):111706 (0238)'!R22)</f>
        <v>0</v>
      </c>
      <c r="S22" s="80">
        <f>SUM('111678 (0013):111706 (0238)'!S22)</f>
        <v>0</v>
      </c>
      <c r="T22" s="80">
        <f>SUM('111678 (0013):111706 (0238)'!T22)</f>
        <v>0</v>
      </c>
      <c r="U22" s="80">
        <f>SUM('111678 (0013):111706 (0238)'!U22)</f>
        <v>0</v>
      </c>
      <c r="V22" s="80">
        <f>SUM('111678 (0013):111706 (0238)'!V22)</f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f>SUM('111678 (0013):111706 (0238)'!E23)</f>
        <v>0</v>
      </c>
      <c r="F23" s="281"/>
      <c r="G23" s="80">
        <f>SUM('111678 (0013):111706 (0238)'!G23)</f>
        <v>0</v>
      </c>
      <c r="H23" s="33"/>
      <c r="I23" s="80">
        <f>SUM('111678 (0013):111706 (0238)'!I23)</f>
        <v>0</v>
      </c>
      <c r="J23" s="57"/>
      <c r="K23" s="80">
        <f>SUM('111678 (0013):111706 (0238)'!K23)</f>
        <v>0</v>
      </c>
      <c r="L23" s="80">
        <f>SUM('111678 (0013):111706 (0238)'!L23)</f>
        <v>0</v>
      </c>
      <c r="M23" s="80">
        <f>SUM('111678 (0013):111706 (0238)'!M23)</f>
        <v>0</v>
      </c>
      <c r="N23" s="80">
        <f>SUM('111678 (0013):111706 (0238)'!N23)</f>
        <v>0</v>
      </c>
      <c r="O23" s="80">
        <f>SUM('111678 (0013):111706 (0238)'!O23)</f>
        <v>0</v>
      </c>
      <c r="P23" s="80">
        <f>SUM('111678 (0013):111706 (0238)'!P23)</f>
        <v>0</v>
      </c>
      <c r="Q23" s="80">
        <f>SUM('111678 (0013):111706 (0238)'!Q23)</f>
        <v>0</v>
      </c>
      <c r="R23" s="80">
        <f>SUM('111678 (0013):111706 (0238)'!R23)</f>
        <v>0</v>
      </c>
      <c r="S23" s="80">
        <f>SUM('111678 (0013):111706 (0238)'!S23)</f>
        <v>0</v>
      </c>
      <c r="T23" s="80">
        <f>SUM('111678 (0013):111706 (0238)'!T23)</f>
        <v>0</v>
      </c>
      <c r="U23" s="80">
        <f>SUM('111678 (0013):111706 (0238)'!U23)</f>
        <v>0</v>
      </c>
      <c r="V23" s="80">
        <f>SUM('111678 (0013):111706 (0238)'!V23)</f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f>SUM('111678 (0013):111706 (0238)'!E24)</f>
        <v>0</v>
      </c>
      <c r="F24" s="281"/>
      <c r="G24" s="80">
        <f>SUM('111678 (0013):111706 (0238)'!G24)</f>
        <v>336</v>
      </c>
      <c r="H24" s="33"/>
      <c r="I24" s="80">
        <f>SUM('111678 (0013):111706 (0238)'!I24)</f>
        <v>336</v>
      </c>
      <c r="J24" s="57"/>
      <c r="K24" s="80">
        <f>SUM('111678 (0013):111706 (0238)'!K24)</f>
        <v>0</v>
      </c>
      <c r="L24" s="80">
        <f>SUM('111678 (0013):111706 (0238)'!L24)</f>
        <v>0</v>
      </c>
      <c r="M24" s="80">
        <f>SUM('111678 (0013):111706 (0238)'!M24)</f>
        <v>0</v>
      </c>
      <c r="N24" s="80">
        <f>SUM('111678 (0013):111706 (0238)'!N24)</f>
        <v>0</v>
      </c>
      <c r="O24" s="80">
        <f>SUM('111678 (0013):111706 (0238)'!O24)</f>
        <v>0</v>
      </c>
      <c r="P24" s="80">
        <f>SUM('111678 (0013):111706 (0238)'!P24)</f>
        <v>0</v>
      </c>
      <c r="Q24" s="80">
        <f>SUM('111678 (0013):111706 (0238)'!Q24)</f>
        <v>0</v>
      </c>
      <c r="R24" s="80">
        <f>SUM('111678 (0013):111706 (0238)'!R24)</f>
        <v>0</v>
      </c>
      <c r="S24" s="80">
        <f>SUM('111678 (0013):111706 (0238)'!S24)</f>
        <v>0</v>
      </c>
      <c r="T24" s="80">
        <f>SUM('111678 (0013):111706 (0238)'!T24)</f>
        <v>0</v>
      </c>
      <c r="U24" s="80">
        <f>SUM('111678 (0013):111706 (0238)'!U24)</f>
        <v>0</v>
      </c>
      <c r="V24" s="80">
        <f>SUM('111678 (0013):111706 (0238)'!V24)</f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-336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f>SUM('111678 (0013):111706 (0238)'!E25)</f>
        <v>400</v>
      </c>
      <c r="F25" s="281"/>
      <c r="G25" s="80">
        <f>SUM('111678 (0013):111706 (0238)'!G25)</f>
        <v>-400</v>
      </c>
      <c r="H25" s="33"/>
      <c r="I25" s="80">
        <f>SUM('111678 (0013):111706 (0238)'!I25)</f>
        <v>0</v>
      </c>
      <c r="J25" s="57"/>
      <c r="K25" s="80">
        <f>SUM('111678 (0013):111706 (0238)'!K25)</f>
        <v>33.333333333333336</v>
      </c>
      <c r="L25" s="80">
        <f>SUM('111678 (0013):111706 (0238)'!L25)</f>
        <v>33.333333333333336</v>
      </c>
      <c r="M25" s="80">
        <f>SUM('111678 (0013):111706 (0238)'!M25)</f>
        <v>33.333333333333336</v>
      </c>
      <c r="N25" s="80">
        <f>SUM('111678 (0013):111706 (0238)'!N25)</f>
        <v>33.333333333333336</v>
      </c>
      <c r="O25" s="80">
        <f>SUM('111678 (0013):111706 (0238)'!O25)</f>
        <v>33.333333333333336</v>
      </c>
      <c r="P25" s="80">
        <f>SUM('111678 (0013):111706 (0238)'!P25)</f>
        <v>33.333333333333336</v>
      </c>
      <c r="Q25" s="80">
        <f>SUM('111678 (0013):111706 (0238)'!Q25)</f>
        <v>33.333333333333336</v>
      </c>
      <c r="R25" s="80">
        <f>SUM('111678 (0013):111706 (0238)'!R25)</f>
        <v>33.333333333333336</v>
      </c>
      <c r="S25" s="80">
        <f>SUM('111678 (0013):111706 (0238)'!S25)</f>
        <v>33.333333333333336</v>
      </c>
      <c r="T25" s="80">
        <f>SUM('111678 (0013):111706 (0238)'!T25)</f>
        <v>33.333333333333336</v>
      </c>
      <c r="U25" s="80">
        <f>SUM('111678 (0013):111706 (0238)'!U25)</f>
        <v>33.333333333333336</v>
      </c>
      <c r="V25" s="80">
        <f>SUM('111678 (0013):111706 (0238)'!V25)</f>
        <v>33.333333333333336</v>
      </c>
      <c r="W25" s="21">
        <f t="shared" si="2"/>
        <v>399.99999999999994</v>
      </c>
      <c r="X25" s="1"/>
      <c r="Y25" s="21">
        <f t="shared" si="3"/>
        <v>0</v>
      </c>
      <c r="Z25" s="262"/>
      <c r="AA25" s="21">
        <f t="shared" si="1"/>
        <v>399.99999999999994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f>SUM('111678 (0013):111706 (0238)'!E26)</f>
        <v>127571</v>
      </c>
      <c r="F26" s="281"/>
      <c r="G26" s="80">
        <f>SUM('111678 (0013):111706 (0238)'!G26)</f>
        <v>-72313</v>
      </c>
      <c r="H26" s="33"/>
      <c r="I26" s="80">
        <f>SUM('111678 (0013):111706 (0238)'!I26)</f>
        <v>55258</v>
      </c>
      <c r="J26" s="57"/>
      <c r="K26" s="80">
        <f>SUM('111678 (0013):111706 (0238)'!K26)</f>
        <v>10626.75</v>
      </c>
      <c r="L26" s="80">
        <f>SUM('111678 (0013):111706 (0238)'!L26)</f>
        <v>10626.75</v>
      </c>
      <c r="M26" s="80">
        <f>SUM('111678 (0013):111706 (0238)'!M26)</f>
        <v>10626.75</v>
      </c>
      <c r="N26" s="80">
        <f>SUM('111678 (0013):111706 (0238)'!N26)</f>
        <v>10626.75</v>
      </c>
      <c r="O26" s="80">
        <f>SUM('111678 (0013):111706 (0238)'!O26)</f>
        <v>10626.75</v>
      </c>
      <c r="P26" s="80">
        <f>SUM('111678 (0013):111706 (0238)'!P26)</f>
        <v>10626.75</v>
      </c>
      <c r="Q26" s="80">
        <f>SUM('111678 (0013):111706 (0238)'!Q26)</f>
        <v>10626.75</v>
      </c>
      <c r="R26" s="80">
        <f>SUM('111678 (0013):111706 (0238)'!R26)</f>
        <v>10626.75</v>
      </c>
      <c r="S26" s="80">
        <f>SUM('111678 (0013):111706 (0238)'!S26)</f>
        <v>10626.75</v>
      </c>
      <c r="T26" s="80">
        <f>SUM('111678 (0013):111706 (0238)'!T26)</f>
        <v>10626.75</v>
      </c>
      <c r="U26" s="80">
        <f>SUM('111678 (0013):111706 (0238)'!U26)</f>
        <v>10626.75</v>
      </c>
      <c r="V26" s="80">
        <f>SUM('111678 (0013):111706 (0238)'!V26)</f>
        <v>10626.75</v>
      </c>
      <c r="W26" s="21">
        <f t="shared" si="2"/>
        <v>127521</v>
      </c>
      <c r="X26" s="1"/>
      <c r="Y26" s="21">
        <f t="shared" si="3"/>
        <v>-50</v>
      </c>
      <c r="Z26" s="262"/>
      <c r="AA26" s="21">
        <f t="shared" si="1"/>
        <v>72263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f>SUM('111678 (0013):111706 (0238)'!E27)</f>
        <v>25468</v>
      </c>
      <c r="F27" s="281"/>
      <c r="G27" s="80">
        <f>SUM('111678 (0013):111706 (0238)'!G27)</f>
        <v>-20188</v>
      </c>
      <c r="H27" s="33"/>
      <c r="I27" s="80">
        <f>SUM('111678 (0013):111706 (0238)'!I27)</f>
        <v>5280</v>
      </c>
      <c r="J27" s="57"/>
      <c r="K27" s="80">
        <f>SUM('111678 (0013):111706 (0238)'!K27)</f>
        <v>2122.333333333333</v>
      </c>
      <c r="L27" s="80">
        <f>SUM('111678 (0013):111706 (0238)'!L27)</f>
        <v>2122.333333333333</v>
      </c>
      <c r="M27" s="80">
        <f>SUM('111678 (0013):111706 (0238)'!M27)</f>
        <v>2122.333333333333</v>
      </c>
      <c r="N27" s="80">
        <f>SUM('111678 (0013):111706 (0238)'!N27)</f>
        <v>2122.333333333333</v>
      </c>
      <c r="O27" s="80">
        <f>SUM('111678 (0013):111706 (0238)'!O27)</f>
        <v>2122.333333333333</v>
      </c>
      <c r="P27" s="80">
        <f>SUM('111678 (0013):111706 (0238)'!P27)</f>
        <v>2122.333333333333</v>
      </c>
      <c r="Q27" s="80">
        <f>SUM('111678 (0013):111706 (0238)'!Q27)</f>
        <v>2122.333333333333</v>
      </c>
      <c r="R27" s="80">
        <f>SUM('111678 (0013):111706 (0238)'!R27)</f>
        <v>2122.333333333333</v>
      </c>
      <c r="S27" s="80">
        <f>SUM('111678 (0013):111706 (0238)'!S27)</f>
        <v>2122.333333333333</v>
      </c>
      <c r="T27" s="80">
        <f>SUM('111678 (0013):111706 (0238)'!T27)</f>
        <v>2122.333333333333</v>
      </c>
      <c r="U27" s="80">
        <f>SUM('111678 (0013):111706 (0238)'!U27)</f>
        <v>2122.333333333333</v>
      </c>
      <c r="V27" s="80">
        <f>SUM('111678 (0013):111706 (0238)'!V27)</f>
        <v>2122.333333333333</v>
      </c>
      <c r="W27" s="21">
        <f t="shared" si="2"/>
        <v>25467.999999999989</v>
      </c>
      <c r="X27" s="1"/>
      <c r="Y27" s="21">
        <f t="shared" si="3"/>
        <v>0</v>
      </c>
      <c r="Z27" s="262"/>
      <c r="AA27" s="21">
        <f t="shared" si="1"/>
        <v>20187.999999999989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f>SUM('111678 (0013):111706 (0238)'!E28)</f>
        <v>2980660</v>
      </c>
      <c r="F28" s="281"/>
      <c r="G28" s="80">
        <f>SUM('111678 (0013):111706 (0238)'!G28)</f>
        <v>390630</v>
      </c>
      <c r="H28" s="33"/>
      <c r="I28" s="80">
        <f>SUM('111678 (0013):111706 (0238)'!I28)</f>
        <v>3371290</v>
      </c>
      <c r="J28" s="57"/>
      <c r="K28" s="80">
        <f>SUM('111678 (0013):111706 (0238)'!K28)</f>
        <v>226555</v>
      </c>
      <c r="L28" s="80">
        <f>SUM('111678 (0013):111706 (0238)'!L28)</f>
        <v>226555</v>
      </c>
      <c r="M28" s="80">
        <f>SUM('111678 (0013):111706 (0238)'!M28)</f>
        <v>226555</v>
      </c>
      <c r="N28" s="80">
        <f>SUM('111678 (0013):111706 (0238)'!N28)</f>
        <v>226555</v>
      </c>
      <c r="O28" s="80">
        <f>SUM('111678 (0013):111706 (0238)'!O28)</f>
        <v>226555</v>
      </c>
      <c r="P28" s="80">
        <f>SUM('111678 (0013):111706 (0238)'!P28)</f>
        <v>226555</v>
      </c>
      <c r="Q28" s="80">
        <f>SUM('111678 (0013):111706 (0238)'!Q28)</f>
        <v>226555</v>
      </c>
      <c r="R28" s="80">
        <f>SUM('111678 (0013):111706 (0238)'!R28)</f>
        <v>226555</v>
      </c>
      <c r="S28" s="80">
        <f>SUM('111678 (0013):111706 (0238)'!S28)</f>
        <v>226555</v>
      </c>
      <c r="T28" s="80">
        <f>SUM('111678 (0013):111706 (0238)'!T28)</f>
        <v>226555</v>
      </c>
      <c r="U28" s="80">
        <f>SUM('111678 (0013):111706 (0238)'!U28)</f>
        <v>226555</v>
      </c>
      <c r="V28" s="80">
        <f>SUM('111678 (0013):111706 (0238)'!V28)</f>
        <v>226555</v>
      </c>
      <c r="W28" s="21">
        <f t="shared" si="2"/>
        <v>2718660</v>
      </c>
      <c r="X28" s="1"/>
      <c r="Y28" s="21">
        <f t="shared" si="3"/>
        <v>-262000</v>
      </c>
      <c r="Z28" s="262"/>
      <c r="AA28" s="21">
        <f t="shared" si="1"/>
        <v>-652630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f>SUM('111678 (0013):111706 (0238)'!E29)</f>
        <v>0</v>
      </c>
      <c r="F29" s="281"/>
      <c r="G29" s="80">
        <f>SUM('111678 (0013):111706 (0238)'!G29)</f>
        <v>0</v>
      </c>
      <c r="H29" s="33"/>
      <c r="I29" s="80">
        <f>SUM('111678 (0013):111706 (0238)'!I29)</f>
        <v>0</v>
      </c>
      <c r="J29" s="57"/>
      <c r="K29" s="80">
        <f>SUM('111678 (0013):111706 (0238)'!K29)</f>
        <v>0</v>
      </c>
      <c r="L29" s="80">
        <f>SUM('111678 (0013):111706 (0238)'!L29)</f>
        <v>0</v>
      </c>
      <c r="M29" s="80">
        <f>SUM('111678 (0013):111706 (0238)'!M29)</f>
        <v>0</v>
      </c>
      <c r="N29" s="80">
        <f>SUM('111678 (0013):111706 (0238)'!N29)</f>
        <v>0</v>
      </c>
      <c r="O29" s="80">
        <f>SUM('111678 (0013):111706 (0238)'!O29)</f>
        <v>0</v>
      </c>
      <c r="P29" s="80">
        <f>SUM('111678 (0013):111706 (0238)'!P29)</f>
        <v>0</v>
      </c>
      <c r="Q29" s="80">
        <f>SUM('111678 (0013):111706 (0238)'!Q29)</f>
        <v>0</v>
      </c>
      <c r="R29" s="80">
        <f>SUM('111678 (0013):111706 (0238)'!R29)</f>
        <v>0</v>
      </c>
      <c r="S29" s="80">
        <f>SUM('111678 (0013):111706 (0238)'!S29)</f>
        <v>0</v>
      </c>
      <c r="T29" s="80">
        <f>SUM('111678 (0013):111706 (0238)'!T29)</f>
        <v>0</v>
      </c>
      <c r="U29" s="80">
        <f>SUM('111678 (0013):111706 (0238)'!U29)</f>
        <v>0</v>
      </c>
      <c r="V29" s="80">
        <f>SUM('111678 (0013):111706 (0238)'!V29)</f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f>SUM('111678 (0013):111706 (0238)'!E30)</f>
        <v>17376</v>
      </c>
      <c r="F30" s="281"/>
      <c r="G30" s="80">
        <f>SUM('111678 (0013):111706 (0238)'!G30)</f>
        <v>3228</v>
      </c>
      <c r="H30" s="33"/>
      <c r="I30" s="80">
        <f>SUM('111678 (0013):111706 (0238)'!I30)</f>
        <v>20604</v>
      </c>
      <c r="J30" s="57"/>
      <c r="K30" s="80">
        <f>SUM('111678 (0013):111706 (0238)'!K30)</f>
        <v>1448</v>
      </c>
      <c r="L30" s="80">
        <f>SUM('111678 (0013):111706 (0238)'!L30)</f>
        <v>1448</v>
      </c>
      <c r="M30" s="80">
        <f>SUM('111678 (0013):111706 (0238)'!M30)</f>
        <v>1448</v>
      </c>
      <c r="N30" s="80">
        <f>SUM('111678 (0013):111706 (0238)'!N30)</f>
        <v>1448</v>
      </c>
      <c r="O30" s="80">
        <f>SUM('111678 (0013):111706 (0238)'!O30)</f>
        <v>1448</v>
      </c>
      <c r="P30" s="80">
        <f>SUM('111678 (0013):111706 (0238)'!P30)</f>
        <v>1448</v>
      </c>
      <c r="Q30" s="80">
        <f>SUM('111678 (0013):111706 (0238)'!Q30)</f>
        <v>1448</v>
      </c>
      <c r="R30" s="80">
        <f>SUM('111678 (0013):111706 (0238)'!R30)</f>
        <v>1448</v>
      </c>
      <c r="S30" s="80">
        <f>SUM('111678 (0013):111706 (0238)'!S30)</f>
        <v>1448</v>
      </c>
      <c r="T30" s="80">
        <f>SUM('111678 (0013):111706 (0238)'!T30)</f>
        <v>1448</v>
      </c>
      <c r="U30" s="80">
        <f>SUM('111678 (0013):111706 (0238)'!U30)</f>
        <v>1448</v>
      </c>
      <c r="V30" s="80">
        <f>SUM('111678 (0013):111706 (0238)'!V30)</f>
        <v>1448</v>
      </c>
      <c r="W30" s="21">
        <f t="shared" si="2"/>
        <v>17376</v>
      </c>
      <c r="X30" s="1"/>
      <c r="Y30" s="21">
        <f t="shared" si="3"/>
        <v>0</v>
      </c>
      <c r="Z30" s="262"/>
      <c r="AA30" s="21">
        <f t="shared" si="1"/>
        <v>-3228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f>SUM('111678 (0013):111706 (0238)'!E31)</f>
        <v>0</v>
      </c>
      <c r="F31" s="281"/>
      <c r="G31" s="80">
        <f>SUM('111678 (0013):111706 (0238)'!G31)</f>
        <v>3180</v>
      </c>
      <c r="H31" s="33"/>
      <c r="I31" s="80">
        <f>SUM('111678 (0013):111706 (0238)'!I31)</f>
        <v>3180</v>
      </c>
      <c r="J31" s="57"/>
      <c r="K31" s="80">
        <f>SUM('111678 (0013):111706 (0238)'!K31)</f>
        <v>0</v>
      </c>
      <c r="L31" s="80">
        <f>SUM('111678 (0013):111706 (0238)'!L31)</f>
        <v>0</v>
      </c>
      <c r="M31" s="80">
        <f>SUM('111678 (0013):111706 (0238)'!M31)</f>
        <v>0</v>
      </c>
      <c r="N31" s="80">
        <f>SUM('111678 (0013):111706 (0238)'!N31)</f>
        <v>0</v>
      </c>
      <c r="O31" s="80">
        <f>SUM('111678 (0013):111706 (0238)'!O31)</f>
        <v>0</v>
      </c>
      <c r="P31" s="80">
        <f>SUM('111678 (0013):111706 (0238)'!P31)</f>
        <v>0</v>
      </c>
      <c r="Q31" s="80">
        <f>SUM('111678 (0013):111706 (0238)'!Q31)</f>
        <v>0</v>
      </c>
      <c r="R31" s="80">
        <f>SUM('111678 (0013):111706 (0238)'!R31)</f>
        <v>0</v>
      </c>
      <c r="S31" s="80">
        <f>SUM('111678 (0013):111706 (0238)'!S31)</f>
        <v>0</v>
      </c>
      <c r="T31" s="80">
        <f>SUM('111678 (0013):111706 (0238)'!T31)</f>
        <v>0</v>
      </c>
      <c r="U31" s="80">
        <f>SUM('111678 (0013):111706 (0238)'!U31)</f>
        <v>0</v>
      </c>
      <c r="V31" s="80">
        <f>SUM('111678 (0013):111706 (0238)'!V31)</f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-3180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f>SUM('111678 (0013):111706 (0238)'!E32)</f>
        <v>12000</v>
      </c>
      <c r="F32" s="281"/>
      <c r="G32" s="80">
        <f>SUM('111678 (0013):111706 (0238)'!G32)</f>
        <v>-11256</v>
      </c>
      <c r="H32" s="33"/>
      <c r="I32" s="80">
        <f>SUM('111678 (0013):111706 (0238)'!I32)</f>
        <v>744</v>
      </c>
      <c r="J32" s="57"/>
      <c r="K32" s="80">
        <f>SUM('111678 (0013):111706 (0238)'!K32)</f>
        <v>1000</v>
      </c>
      <c r="L32" s="80">
        <f>SUM('111678 (0013):111706 (0238)'!L32)</f>
        <v>1000</v>
      </c>
      <c r="M32" s="80">
        <f>SUM('111678 (0013):111706 (0238)'!M32)</f>
        <v>1000</v>
      </c>
      <c r="N32" s="80">
        <f>SUM('111678 (0013):111706 (0238)'!N32)</f>
        <v>1000</v>
      </c>
      <c r="O32" s="80">
        <f>SUM('111678 (0013):111706 (0238)'!O32)</f>
        <v>1000</v>
      </c>
      <c r="P32" s="80">
        <f>SUM('111678 (0013):111706 (0238)'!P32)</f>
        <v>1000</v>
      </c>
      <c r="Q32" s="80">
        <f>SUM('111678 (0013):111706 (0238)'!Q32)</f>
        <v>1000</v>
      </c>
      <c r="R32" s="80">
        <f>SUM('111678 (0013):111706 (0238)'!R32)</f>
        <v>1000</v>
      </c>
      <c r="S32" s="80">
        <f>SUM('111678 (0013):111706 (0238)'!S32)</f>
        <v>1000</v>
      </c>
      <c r="T32" s="80">
        <f>SUM('111678 (0013):111706 (0238)'!T32)</f>
        <v>1000</v>
      </c>
      <c r="U32" s="80">
        <f>SUM('111678 (0013):111706 (0238)'!U32)</f>
        <v>1000</v>
      </c>
      <c r="V32" s="80">
        <f>SUM('111678 (0013):111706 (0238)'!V32)</f>
        <v>1000</v>
      </c>
      <c r="W32" s="21">
        <f t="shared" si="2"/>
        <v>12000</v>
      </c>
      <c r="X32" s="1"/>
      <c r="Y32" s="21">
        <f t="shared" si="3"/>
        <v>0</v>
      </c>
      <c r="Z32" s="262"/>
      <c r="AA32" s="21">
        <f t="shared" si="1"/>
        <v>11256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f>SUM('111678 (0013):111706 (0238)'!E33)</f>
        <v>4800</v>
      </c>
      <c r="F33" s="281"/>
      <c r="G33" s="80">
        <f>SUM('111678 (0013):111706 (0238)'!G33)</f>
        <v>-3360</v>
      </c>
      <c r="H33" s="33"/>
      <c r="I33" s="80">
        <f>SUM('111678 (0013):111706 (0238)'!I33)</f>
        <v>1440</v>
      </c>
      <c r="J33" s="57"/>
      <c r="K33" s="80">
        <f>SUM('111678 (0013):111706 (0238)'!K33)</f>
        <v>400</v>
      </c>
      <c r="L33" s="80">
        <f>SUM('111678 (0013):111706 (0238)'!L33)</f>
        <v>400</v>
      </c>
      <c r="M33" s="80">
        <f>SUM('111678 (0013):111706 (0238)'!M33)</f>
        <v>400</v>
      </c>
      <c r="N33" s="80">
        <f>SUM('111678 (0013):111706 (0238)'!N33)</f>
        <v>400</v>
      </c>
      <c r="O33" s="80">
        <f>SUM('111678 (0013):111706 (0238)'!O33)</f>
        <v>400</v>
      </c>
      <c r="P33" s="80">
        <f>SUM('111678 (0013):111706 (0238)'!P33)</f>
        <v>400</v>
      </c>
      <c r="Q33" s="80">
        <f>SUM('111678 (0013):111706 (0238)'!Q33)</f>
        <v>400</v>
      </c>
      <c r="R33" s="80">
        <f>SUM('111678 (0013):111706 (0238)'!R33)</f>
        <v>400</v>
      </c>
      <c r="S33" s="80">
        <f>SUM('111678 (0013):111706 (0238)'!S33)</f>
        <v>400</v>
      </c>
      <c r="T33" s="80">
        <f>SUM('111678 (0013):111706 (0238)'!T33)</f>
        <v>400</v>
      </c>
      <c r="U33" s="80">
        <f>SUM('111678 (0013):111706 (0238)'!U33)</f>
        <v>400</v>
      </c>
      <c r="V33" s="80">
        <f>SUM('111678 (0013):111706 (0238)'!V33)</f>
        <v>400</v>
      </c>
      <c r="W33" s="21">
        <f t="shared" si="2"/>
        <v>4800</v>
      </c>
      <c r="X33" s="1"/>
      <c r="Y33" s="21">
        <f t="shared" si="3"/>
        <v>0</v>
      </c>
      <c r="Z33" s="262"/>
      <c r="AA33" s="21">
        <f t="shared" si="1"/>
        <v>3360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f>SUM('111678 (0013):111706 (0238)'!E34)</f>
        <v>0</v>
      </c>
      <c r="F34" s="281"/>
      <c r="G34" s="80">
        <f>SUM('111678 (0013):111706 (0238)'!G34)</f>
        <v>0</v>
      </c>
      <c r="H34" s="33"/>
      <c r="I34" s="80">
        <f>SUM('111678 (0013):111706 (0238)'!I34)</f>
        <v>0</v>
      </c>
      <c r="J34" s="57"/>
      <c r="K34" s="80">
        <f>SUM('111678 (0013):111706 (0238)'!K34)</f>
        <v>0</v>
      </c>
      <c r="L34" s="80">
        <f>SUM('111678 (0013):111706 (0238)'!L34)</f>
        <v>0</v>
      </c>
      <c r="M34" s="80">
        <f>SUM('111678 (0013):111706 (0238)'!M34)</f>
        <v>0</v>
      </c>
      <c r="N34" s="80">
        <f>SUM('111678 (0013):111706 (0238)'!N34)</f>
        <v>0</v>
      </c>
      <c r="O34" s="80">
        <f>SUM('111678 (0013):111706 (0238)'!O34)</f>
        <v>0</v>
      </c>
      <c r="P34" s="80">
        <f>SUM('111678 (0013):111706 (0238)'!P34)</f>
        <v>0</v>
      </c>
      <c r="Q34" s="80">
        <f>SUM('111678 (0013):111706 (0238)'!Q34)</f>
        <v>0</v>
      </c>
      <c r="R34" s="80">
        <f>SUM('111678 (0013):111706 (0238)'!R34)</f>
        <v>0</v>
      </c>
      <c r="S34" s="80">
        <f>SUM('111678 (0013):111706 (0238)'!S34)</f>
        <v>0</v>
      </c>
      <c r="T34" s="80">
        <f>SUM('111678 (0013):111706 (0238)'!T34)</f>
        <v>0</v>
      </c>
      <c r="U34" s="80">
        <f>SUM('111678 (0013):111706 (0238)'!U34)</f>
        <v>0</v>
      </c>
      <c r="V34" s="80">
        <f>SUM('111678 (0013):111706 (0238)'!V34)</f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f>SUM('111678 (0013):111706 (0238)'!E35)</f>
        <v>0</v>
      </c>
      <c r="F35" s="281"/>
      <c r="G35" s="80">
        <f>SUM('111678 (0013):111706 (0238)'!G35)</f>
        <v>0</v>
      </c>
      <c r="H35" s="33"/>
      <c r="I35" s="80">
        <f>SUM('111678 (0013):111706 (0238)'!I35)</f>
        <v>0</v>
      </c>
      <c r="J35" s="57"/>
      <c r="K35" s="80">
        <f>SUM('111678 (0013):111706 (0238)'!K35)</f>
        <v>0</v>
      </c>
      <c r="L35" s="80">
        <f>SUM('111678 (0013):111706 (0238)'!L35)</f>
        <v>0</v>
      </c>
      <c r="M35" s="80">
        <f>SUM('111678 (0013):111706 (0238)'!M35)</f>
        <v>0</v>
      </c>
      <c r="N35" s="80">
        <f>SUM('111678 (0013):111706 (0238)'!N35)</f>
        <v>0</v>
      </c>
      <c r="O35" s="80">
        <f>SUM('111678 (0013):111706 (0238)'!O35)</f>
        <v>0</v>
      </c>
      <c r="P35" s="80">
        <f>SUM('111678 (0013):111706 (0238)'!P35)</f>
        <v>0</v>
      </c>
      <c r="Q35" s="80">
        <f>SUM('111678 (0013):111706 (0238)'!Q35)</f>
        <v>0</v>
      </c>
      <c r="R35" s="80">
        <f>SUM('111678 (0013):111706 (0238)'!R35)</f>
        <v>0</v>
      </c>
      <c r="S35" s="80">
        <f>SUM('111678 (0013):111706 (0238)'!S35)</f>
        <v>0</v>
      </c>
      <c r="T35" s="80">
        <f>SUM('111678 (0013):111706 (0238)'!T35)</f>
        <v>0</v>
      </c>
      <c r="U35" s="80">
        <f>SUM('111678 (0013):111706 (0238)'!U35)</f>
        <v>0</v>
      </c>
      <c r="V35" s="80">
        <f>SUM('111678 (0013):111706 (0238)'!V35)</f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f>SUM('111678 (0013):111706 (0238)'!E36)</f>
        <v>0</v>
      </c>
      <c r="F36" s="281"/>
      <c r="G36" s="80">
        <f>SUM('111678 (0013):111706 (0238)'!G36)</f>
        <v>0</v>
      </c>
      <c r="H36" s="33"/>
      <c r="I36" s="80">
        <f>SUM('111678 (0013):111706 (0238)'!I36)</f>
        <v>0</v>
      </c>
      <c r="J36" s="57"/>
      <c r="K36" s="80">
        <f>SUM('111678 (0013):111706 (0238)'!K36)</f>
        <v>0</v>
      </c>
      <c r="L36" s="80">
        <f>SUM('111678 (0013):111706 (0238)'!L36)</f>
        <v>0</v>
      </c>
      <c r="M36" s="80">
        <f>SUM('111678 (0013):111706 (0238)'!M36)</f>
        <v>0</v>
      </c>
      <c r="N36" s="80">
        <f>SUM('111678 (0013):111706 (0238)'!N36)</f>
        <v>0</v>
      </c>
      <c r="O36" s="80">
        <f>SUM('111678 (0013):111706 (0238)'!O36)</f>
        <v>0</v>
      </c>
      <c r="P36" s="80">
        <f>SUM('111678 (0013):111706 (0238)'!P36)</f>
        <v>0</v>
      </c>
      <c r="Q36" s="80">
        <f>SUM('111678 (0013):111706 (0238)'!Q36)</f>
        <v>0</v>
      </c>
      <c r="R36" s="80">
        <f>SUM('111678 (0013):111706 (0238)'!R36)</f>
        <v>0</v>
      </c>
      <c r="S36" s="80">
        <f>SUM('111678 (0013):111706 (0238)'!S36)</f>
        <v>0</v>
      </c>
      <c r="T36" s="80">
        <f>SUM('111678 (0013):111706 (0238)'!T36)</f>
        <v>0</v>
      </c>
      <c r="U36" s="80">
        <f>SUM('111678 (0013):111706 (0238)'!U36)</f>
        <v>0</v>
      </c>
      <c r="V36" s="80">
        <f>SUM('111678 (0013):111706 (0238)'!V36)</f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237</v>
      </c>
      <c r="C37" s="242"/>
      <c r="D37" s="57"/>
      <c r="E37" s="80">
        <f>SUM('111678 (0013):111706 (0238)'!E37)</f>
        <v>0</v>
      </c>
      <c r="F37" s="281"/>
      <c r="G37" s="80">
        <f>SUM('111678 (0013):111706 (0238)'!G37)</f>
        <v>0</v>
      </c>
      <c r="H37" s="33"/>
      <c r="I37" s="80">
        <f>SUM('111678 (0013):111706 (0238)'!I37)</f>
        <v>0</v>
      </c>
      <c r="J37" s="57"/>
      <c r="K37" s="80">
        <f>SUM('111678 (0013):111706 (0238)'!K37)</f>
        <v>0</v>
      </c>
      <c r="L37" s="80">
        <f>SUM('111678 (0013):111706 (0238)'!L37)</f>
        <v>0</v>
      </c>
      <c r="M37" s="80">
        <f>SUM('111678 (0013):111706 (0238)'!M37)</f>
        <v>0</v>
      </c>
      <c r="N37" s="80">
        <f>SUM('111678 (0013):111706 (0238)'!N37)</f>
        <v>0</v>
      </c>
      <c r="O37" s="80">
        <f>SUM('111678 (0013):111706 (0238)'!O37)</f>
        <v>0</v>
      </c>
      <c r="P37" s="80">
        <f>SUM('111678 (0013):111706 (0238)'!P37)</f>
        <v>0</v>
      </c>
      <c r="Q37" s="80">
        <f>SUM('111678 (0013):111706 (0238)'!Q37)</f>
        <v>0</v>
      </c>
      <c r="R37" s="80">
        <f>SUM('111678 (0013):111706 (0238)'!R37)</f>
        <v>0</v>
      </c>
      <c r="S37" s="80">
        <f>SUM('111678 (0013):111706 (0238)'!S37)</f>
        <v>0</v>
      </c>
      <c r="T37" s="80">
        <f>SUM('111678 (0013):111706 (0238)'!T37)</f>
        <v>0</v>
      </c>
      <c r="U37" s="80">
        <f>SUM('111678 (0013):111706 (0238)'!U37)</f>
        <v>0</v>
      </c>
      <c r="V37" s="80">
        <f>SUM('111678 (0013):111706 (0238)'!V37)</f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f>SUM('111678 (0013):111706 (0238)'!E38)</f>
        <v>0</v>
      </c>
      <c r="F38" s="281"/>
      <c r="G38" s="80">
        <f>SUM('111678 (0013):111706 (0238)'!G38)</f>
        <v>0</v>
      </c>
      <c r="H38" s="33"/>
      <c r="I38" s="80">
        <f>SUM('111678 (0013):111706 (0238)'!I38)</f>
        <v>0</v>
      </c>
      <c r="J38" s="57"/>
      <c r="K38" s="80">
        <f>SUM('111678 (0013):111706 (0238)'!K38)</f>
        <v>0</v>
      </c>
      <c r="L38" s="80">
        <f>SUM('111678 (0013):111706 (0238)'!L38)</f>
        <v>0</v>
      </c>
      <c r="M38" s="80">
        <f>SUM('111678 (0013):111706 (0238)'!M38)</f>
        <v>0</v>
      </c>
      <c r="N38" s="80">
        <f>SUM('111678 (0013):111706 (0238)'!N38)</f>
        <v>0</v>
      </c>
      <c r="O38" s="80">
        <f>SUM('111678 (0013):111706 (0238)'!O38)</f>
        <v>0</v>
      </c>
      <c r="P38" s="80">
        <f>SUM('111678 (0013):111706 (0238)'!P38)</f>
        <v>0</v>
      </c>
      <c r="Q38" s="80">
        <f>SUM('111678 (0013):111706 (0238)'!Q38)</f>
        <v>0</v>
      </c>
      <c r="R38" s="80">
        <f>SUM('111678 (0013):111706 (0238)'!R38)</f>
        <v>0</v>
      </c>
      <c r="S38" s="80">
        <f>SUM('111678 (0013):111706 (0238)'!S38)</f>
        <v>0</v>
      </c>
      <c r="T38" s="80">
        <f>SUM('111678 (0013):111706 (0238)'!T38)</f>
        <v>0</v>
      </c>
      <c r="U38" s="80">
        <f>SUM('111678 (0013):111706 (0238)'!U38)</f>
        <v>0</v>
      </c>
      <c r="V38" s="80">
        <f>SUM('111678 (0013):111706 (0238)'!V38)</f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f>SUM('111678 (0013):111706 (0238)'!E39)</f>
        <v>0</v>
      </c>
      <c r="F39" s="281"/>
      <c r="G39" s="82">
        <f>SUM('111678 (0013):111706 (0238)'!G39)</f>
        <v>0</v>
      </c>
      <c r="H39" s="33"/>
      <c r="I39" s="82">
        <f>SUM('111678 (0013):111706 (0238)'!I39)</f>
        <v>0</v>
      </c>
      <c r="J39" s="57"/>
      <c r="K39" s="82">
        <f>SUM('111678 (0013):111706 (0238)'!K39)</f>
        <v>0</v>
      </c>
      <c r="L39" s="82">
        <f>SUM('111678 (0013):111706 (0238)'!L39)</f>
        <v>0</v>
      </c>
      <c r="M39" s="82">
        <f>SUM('111678 (0013):111706 (0238)'!M39)</f>
        <v>0</v>
      </c>
      <c r="N39" s="82">
        <f>SUM('111678 (0013):111706 (0238)'!N39)</f>
        <v>0</v>
      </c>
      <c r="O39" s="82">
        <f>SUM('111678 (0013):111706 (0238)'!O39)</f>
        <v>0</v>
      </c>
      <c r="P39" s="82">
        <f>SUM('111678 (0013):111706 (0238)'!P39)</f>
        <v>0</v>
      </c>
      <c r="Q39" s="82">
        <f>SUM('111678 (0013):111706 (0238)'!Q39)</f>
        <v>0</v>
      </c>
      <c r="R39" s="82">
        <f>SUM('111678 (0013):111706 (0238)'!R39)</f>
        <v>0</v>
      </c>
      <c r="S39" s="82">
        <f>SUM('111678 (0013):111706 (0238)'!S39)</f>
        <v>0</v>
      </c>
      <c r="T39" s="82">
        <f>SUM('111678 (0013):111706 (0238)'!T39)</f>
        <v>0</v>
      </c>
      <c r="U39" s="82">
        <f>SUM('111678 (0013):111706 (0238)'!U39)</f>
        <v>0</v>
      </c>
      <c r="V39" s="82">
        <f>SUM('111678 (0013):111706 (0238)'!V39)</f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f>SUM(E14:E39)</f>
        <v>6079825</v>
      </c>
      <c r="F40" s="282"/>
      <c r="G40" s="23">
        <f>SUM(G14:G39)</f>
        <v>-10947</v>
      </c>
      <c r="H40" s="63"/>
      <c r="I40" s="23">
        <f>SUM(I14:I39)</f>
        <v>6068878</v>
      </c>
      <c r="J40" s="58"/>
      <c r="K40" s="23">
        <f t="shared" ref="K40:W40" si="4">SUM(K14:K39)</f>
        <v>495358.5766666666</v>
      </c>
      <c r="L40" s="23">
        <f t="shared" si="4"/>
        <v>495358.5766666666</v>
      </c>
      <c r="M40" s="23">
        <f t="shared" si="4"/>
        <v>495358.5766666666</v>
      </c>
      <c r="N40" s="23">
        <f t="shared" si="4"/>
        <v>495358.5766666666</v>
      </c>
      <c r="O40" s="23">
        <f t="shared" si="4"/>
        <v>495358.5766666666</v>
      </c>
      <c r="P40" s="23">
        <f t="shared" si="4"/>
        <v>495358.5766666666</v>
      </c>
      <c r="Q40" s="23">
        <f t="shared" si="4"/>
        <v>495358.5766666666</v>
      </c>
      <c r="R40" s="23">
        <f t="shared" si="4"/>
        <v>495358.5766666666</v>
      </c>
      <c r="S40" s="23">
        <f t="shared" si="4"/>
        <v>495358.5766666666</v>
      </c>
      <c r="T40" s="23">
        <f t="shared" si="4"/>
        <v>495358.5766666666</v>
      </c>
      <c r="U40" s="23">
        <f t="shared" si="4"/>
        <v>495358.5766666666</v>
      </c>
      <c r="V40" s="23">
        <f t="shared" si="4"/>
        <v>495358.5766666666</v>
      </c>
      <c r="W40" s="266">
        <f t="shared" si="4"/>
        <v>5944302.9199999999</v>
      </c>
      <c r="X40" s="265"/>
      <c r="Y40" s="266">
        <f>SUM(Y14:Y39)</f>
        <v>-135522.08000000002</v>
      </c>
      <c r="Z40" s="267"/>
      <c r="AA40" s="266">
        <f>SUM(AA14:AA39)</f>
        <v>-124575.08000000002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f>SUM('111678 (0013):111706 (0238)'!E41)</f>
        <v>319534</v>
      </c>
      <c r="F41" s="281"/>
      <c r="G41" s="80">
        <f>SUM('111678 (0013):111706 (0238)'!G41)</f>
        <v>-28982</v>
      </c>
      <c r="H41" s="33"/>
      <c r="I41" s="80">
        <f>SUM('111678 (0013):111706 (0238)'!I41)</f>
        <v>290552</v>
      </c>
      <c r="J41" s="57"/>
      <c r="K41" s="263">
        <f>SUM('111678 (0013):111706 (0238)'!K41)</f>
        <v>27615</v>
      </c>
      <c r="L41" s="263">
        <f>SUM('111678 (0013):111706 (0238)'!L41)</f>
        <v>27614.416666666668</v>
      </c>
      <c r="M41" s="263">
        <f>SUM('111678 (0013):111706 (0238)'!M41)</f>
        <v>27614.416666666668</v>
      </c>
      <c r="N41" s="263">
        <f>SUM('111678 (0013):111706 (0238)'!N41)</f>
        <v>27614.416666666668</v>
      </c>
      <c r="O41" s="263">
        <f>SUM('111678 (0013):111706 (0238)'!O41)</f>
        <v>27614.416666666668</v>
      </c>
      <c r="P41" s="263">
        <f>SUM('111678 (0013):111706 (0238)'!P41)</f>
        <v>27614.416666666668</v>
      </c>
      <c r="Q41" s="263">
        <f>SUM('111678 (0013):111706 (0238)'!Q41)</f>
        <v>27614.416666666668</v>
      </c>
      <c r="R41" s="263">
        <f>SUM('111678 (0013):111706 (0238)'!R41)</f>
        <v>27614.416666666668</v>
      </c>
      <c r="S41" s="263">
        <f>SUM('111678 (0013):111706 (0238)'!S41)</f>
        <v>27614.416666666668</v>
      </c>
      <c r="T41" s="263">
        <f>SUM('111678 (0013):111706 (0238)'!T41)</f>
        <v>27614.416666666668</v>
      </c>
      <c r="U41" s="263">
        <f>SUM('111678 (0013):111706 (0238)'!U41)</f>
        <v>27614.416666666668</v>
      </c>
      <c r="V41" s="263">
        <f>SUM('111678 (0013):111706 (0238)'!V41)</f>
        <v>27614.416666666668</v>
      </c>
      <c r="W41" s="21">
        <f t="shared" si="2"/>
        <v>331373.58333333337</v>
      </c>
      <c r="X41" s="1"/>
      <c r="Y41" s="263">
        <f>W41-E41</f>
        <v>11839.583333333372</v>
      </c>
      <c r="Z41" s="264"/>
      <c r="AA41" s="263">
        <f>W41-I41</f>
        <v>40821.583333333372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f>SUM('111678 (0013):111706 (0238)'!E42)</f>
        <v>203349</v>
      </c>
      <c r="F42" s="281"/>
      <c r="G42" s="82">
        <f>SUM('111678 (0013):111706 (0238)'!G42)</f>
        <v>-13768</v>
      </c>
      <c r="H42" s="33"/>
      <c r="I42" s="82">
        <f>SUM('111678 (0013):111706 (0238)'!I42)</f>
        <v>189581</v>
      </c>
      <c r="J42" s="57"/>
      <c r="K42" s="268">
        <f>SUM('111678 (0013):111706 (0238)'!K42)</f>
        <v>15482.829999999998</v>
      </c>
      <c r="L42" s="268">
        <f>SUM('111678 (0013):111706 (0238)'!L42)</f>
        <v>39760.746660000004</v>
      </c>
      <c r="M42" s="268">
        <f>SUM('111678 (0013):111706 (0238)'!M42)</f>
        <v>15482.829999999998</v>
      </c>
      <c r="N42" s="268">
        <f>SUM('111678 (0013):111706 (0238)'!N42)</f>
        <v>15482.829999999998</v>
      </c>
      <c r="O42" s="268">
        <f>SUM('111678 (0013):111706 (0238)'!O42)</f>
        <v>15482.829999999998</v>
      </c>
      <c r="P42" s="268">
        <f>SUM('111678 (0013):111706 (0238)'!P42)</f>
        <v>15482.829999999998</v>
      </c>
      <c r="Q42" s="268">
        <f>SUM('111678 (0013):111706 (0238)'!Q42)</f>
        <v>15482.829999999998</v>
      </c>
      <c r="R42" s="268">
        <f>SUM('111678 (0013):111706 (0238)'!R42)</f>
        <v>15482.829999999998</v>
      </c>
      <c r="S42" s="268">
        <f>SUM('111678 (0013):111706 (0238)'!S42)</f>
        <v>15482.829999999998</v>
      </c>
      <c r="T42" s="268">
        <f>SUM('111678 (0013):111706 (0238)'!T42)</f>
        <v>15482.829999999998</v>
      </c>
      <c r="U42" s="268">
        <f>SUM('111678 (0013):111706 (0238)'!U42)</f>
        <v>15482.829999999998</v>
      </c>
      <c r="V42" s="268">
        <f>SUM('111678 (0013):111706 (0238)'!V42)</f>
        <v>15482.829999999998</v>
      </c>
      <c r="W42" s="22">
        <f t="shared" si="2"/>
        <v>210071.87665999995</v>
      </c>
      <c r="X42" s="261"/>
      <c r="Y42" s="268">
        <f>W42-E42</f>
        <v>6722.8766599999508</v>
      </c>
      <c r="Z42" s="264"/>
      <c r="AA42" s="268">
        <f>W42-I42</f>
        <v>20490.876659999951</v>
      </c>
    </row>
    <row r="43" spans="1:27" x14ac:dyDescent="0.2">
      <c r="A43" s="240"/>
      <c r="B43" s="243" t="s">
        <v>17</v>
      </c>
      <c r="C43" s="244"/>
      <c r="D43" s="58"/>
      <c r="E43" s="23">
        <f>+E42+E41</f>
        <v>522883</v>
      </c>
      <c r="F43" s="282"/>
      <c r="G43" s="23">
        <f>+G42+G41</f>
        <v>-42750</v>
      </c>
      <c r="H43" s="63"/>
      <c r="I43" s="23">
        <f>+I42+I41</f>
        <v>480133</v>
      </c>
      <c r="J43" s="58"/>
      <c r="K43" s="23">
        <f t="shared" ref="K43:V43" si="5">+K42+K41</f>
        <v>43097.83</v>
      </c>
      <c r="L43" s="23">
        <f t="shared" si="5"/>
        <v>67375.163326666676</v>
      </c>
      <c r="M43" s="23">
        <f t="shared" si="5"/>
        <v>43097.246666666666</v>
      </c>
      <c r="N43" s="23">
        <f t="shared" si="5"/>
        <v>43097.246666666666</v>
      </c>
      <c r="O43" s="23">
        <f t="shared" si="5"/>
        <v>43097.246666666666</v>
      </c>
      <c r="P43" s="23">
        <f t="shared" si="5"/>
        <v>43097.246666666666</v>
      </c>
      <c r="Q43" s="23">
        <f t="shared" si="5"/>
        <v>43097.246666666666</v>
      </c>
      <c r="R43" s="23">
        <f t="shared" si="5"/>
        <v>43097.246666666666</v>
      </c>
      <c r="S43" s="23">
        <f t="shared" si="5"/>
        <v>43097.246666666666</v>
      </c>
      <c r="T43" s="23">
        <f t="shared" si="5"/>
        <v>43097.246666666666</v>
      </c>
      <c r="U43" s="23">
        <f t="shared" si="5"/>
        <v>43097.246666666666</v>
      </c>
      <c r="V43" s="23">
        <f t="shared" si="5"/>
        <v>43097.246666666666</v>
      </c>
      <c r="W43" s="23">
        <f>SUM(W41:W42)</f>
        <v>541445.45999333332</v>
      </c>
      <c r="X43" s="269"/>
      <c r="Y43" s="270">
        <f>SUM(Y41:Y42)</f>
        <v>18562.459993333323</v>
      </c>
      <c r="Z43" s="271"/>
      <c r="AA43" s="270">
        <f>SUM(AA41:AA42)</f>
        <v>61312.459993333323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f>SUM('111678 (0013):111706 (0238)'!E44)</f>
        <v>0</v>
      </c>
      <c r="F44" s="281"/>
      <c r="G44" s="80">
        <f>SUM('111678 (0013):111706 (0238)'!G44)</f>
        <v>0</v>
      </c>
      <c r="H44" s="33"/>
      <c r="I44" s="80">
        <f>SUM('111678 (0013):111706 (0238)'!I44)</f>
        <v>0</v>
      </c>
      <c r="J44" s="57"/>
      <c r="K44" s="80">
        <f>SUM('111678 (0013):111706 (0238)'!K44)</f>
        <v>0</v>
      </c>
      <c r="L44" s="80">
        <f>SUM('111678 (0013):111706 (0238)'!L44)</f>
        <v>0</v>
      </c>
      <c r="M44" s="80">
        <f>SUM('111678 (0013):111706 (0238)'!M44)</f>
        <v>0</v>
      </c>
      <c r="N44" s="80">
        <f>SUM('111678 (0013):111706 (0238)'!N44)</f>
        <v>0</v>
      </c>
      <c r="O44" s="80">
        <f>SUM('111678 (0013):111706 (0238)'!O44)</f>
        <v>0</v>
      </c>
      <c r="P44" s="80">
        <f>SUM('111678 (0013):111706 (0238)'!P44)</f>
        <v>0</v>
      </c>
      <c r="Q44" s="80">
        <f>SUM('111678 (0013):111706 (0238)'!Q44)</f>
        <v>0</v>
      </c>
      <c r="R44" s="80">
        <f>SUM('111678 (0013):111706 (0238)'!R44)</f>
        <v>0</v>
      </c>
      <c r="S44" s="80">
        <f>SUM('111678 (0013):111706 (0238)'!S44)</f>
        <v>0</v>
      </c>
      <c r="T44" s="80">
        <f>SUM('111678 (0013):111706 (0238)'!T44)</f>
        <v>0</v>
      </c>
      <c r="U44" s="80">
        <f>SUM('111678 (0013):111706 (0238)'!U44)</f>
        <v>0</v>
      </c>
      <c r="V44" s="80">
        <f>SUM('111678 (0013):111706 (0238)'!V44)</f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f>SUM('111678 (0013):111706 (0238)'!E45)</f>
        <v>0</v>
      </c>
      <c r="F45" s="281"/>
      <c r="G45" s="80">
        <f>SUM('111678 (0013):111706 (0238)'!G45)</f>
        <v>0</v>
      </c>
      <c r="H45" s="33"/>
      <c r="I45" s="80">
        <f>SUM('111678 (0013):111706 (0238)'!I45)</f>
        <v>0</v>
      </c>
      <c r="J45" s="57"/>
      <c r="K45" s="80">
        <f>SUM('111678 (0013):111706 (0238)'!K45)</f>
        <v>0</v>
      </c>
      <c r="L45" s="80">
        <f>SUM('111678 (0013):111706 (0238)'!L45)</f>
        <v>0</v>
      </c>
      <c r="M45" s="80">
        <f>SUM('111678 (0013):111706 (0238)'!M45)</f>
        <v>0</v>
      </c>
      <c r="N45" s="80">
        <f>SUM('111678 (0013):111706 (0238)'!N45)</f>
        <v>0</v>
      </c>
      <c r="O45" s="80">
        <f>SUM('111678 (0013):111706 (0238)'!O45)</f>
        <v>0</v>
      </c>
      <c r="P45" s="80">
        <f>SUM('111678 (0013):111706 (0238)'!P45)</f>
        <v>0</v>
      </c>
      <c r="Q45" s="80">
        <f>SUM('111678 (0013):111706 (0238)'!Q45)</f>
        <v>0</v>
      </c>
      <c r="R45" s="80">
        <f>SUM('111678 (0013):111706 (0238)'!R45)</f>
        <v>0</v>
      </c>
      <c r="S45" s="80">
        <f>SUM('111678 (0013):111706 (0238)'!S45)</f>
        <v>0</v>
      </c>
      <c r="T45" s="80">
        <f>SUM('111678 (0013):111706 (0238)'!T45)</f>
        <v>0</v>
      </c>
      <c r="U45" s="80">
        <f>SUM('111678 (0013):111706 (0238)'!U45)</f>
        <v>0</v>
      </c>
      <c r="V45" s="80">
        <f>SUM('111678 (0013):111706 (0238)'!V45)</f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f>SUM('111678 (0013):111706 (0238)'!E46)</f>
        <v>300406</v>
      </c>
      <c r="F46" s="281"/>
      <c r="G46" s="80">
        <f>SUM('111678 (0013):111706 (0238)'!G46)</f>
        <v>-21608</v>
      </c>
      <c r="H46" s="33"/>
      <c r="I46" s="80">
        <f>SUM('111678 (0013):111706 (0238)'!I46)</f>
        <v>278798</v>
      </c>
      <c r="J46" s="57"/>
      <c r="K46" s="263">
        <f>SUM('111678 (0013):111706 (0238)'!K46)</f>
        <v>22652.177499999998</v>
      </c>
      <c r="L46" s="263">
        <f>SUM('111678 (0013):111706 (0238)'!L46)</f>
        <v>22652.177499999998</v>
      </c>
      <c r="M46" s="263">
        <f>SUM('111678 (0013):111706 (0238)'!M46)</f>
        <v>22652.177499999998</v>
      </c>
      <c r="N46" s="263">
        <f>SUM('111678 (0013):111706 (0238)'!N46)</f>
        <v>22652.177499999998</v>
      </c>
      <c r="O46" s="263">
        <f>SUM('111678 (0013):111706 (0238)'!O46)</f>
        <v>22652.177499999998</v>
      </c>
      <c r="P46" s="263">
        <f>SUM('111678 (0013):111706 (0238)'!P46)</f>
        <v>22652.177499999998</v>
      </c>
      <c r="Q46" s="263">
        <f>SUM('111678 (0013):111706 (0238)'!Q46)</f>
        <v>22652.177499999998</v>
      </c>
      <c r="R46" s="263">
        <f>SUM('111678 (0013):111706 (0238)'!R46)</f>
        <v>22652.177499999998</v>
      </c>
      <c r="S46" s="263">
        <f>SUM('111678 (0013):111706 (0238)'!S46)</f>
        <v>22652.177499999998</v>
      </c>
      <c r="T46" s="263">
        <f>SUM('111678 (0013):111706 (0238)'!T46)</f>
        <v>22652.177499999998</v>
      </c>
      <c r="U46" s="263">
        <f>SUM('111678 (0013):111706 (0238)'!U46)</f>
        <v>22652.177499999998</v>
      </c>
      <c r="V46" s="263">
        <f>SUM('111678 (0013):111706 (0238)'!V46)</f>
        <v>22652.177499999998</v>
      </c>
      <c r="W46" s="21">
        <f>SUM(K46:V46)</f>
        <v>271826.12999999995</v>
      </c>
      <c r="X46" s="1"/>
      <c r="Y46" s="263">
        <f>W46-E46</f>
        <v>-28579.870000000054</v>
      </c>
      <c r="Z46" s="264"/>
      <c r="AA46" s="263">
        <f>W46-I46</f>
        <v>-6971.8700000000536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f>SUM('111678 (0013):111706 (0238)'!E47)</f>
        <v>66694</v>
      </c>
      <c r="F47" s="281"/>
      <c r="G47" s="82">
        <f>SUM('111678 (0013):111706 (0238)'!G47)</f>
        <v>-2902</v>
      </c>
      <c r="H47" s="33"/>
      <c r="I47" s="82">
        <f>SUM('111678 (0013):111706 (0238)'!I47)</f>
        <v>63792</v>
      </c>
      <c r="J47" s="57"/>
      <c r="K47" s="268">
        <f>SUM('111678 (0013):111706 (0238)'!K47)</f>
        <v>5349.5749999999998</v>
      </c>
      <c r="L47" s="268">
        <f>SUM('111678 (0013):111706 (0238)'!L47)</f>
        <v>5349.5749999999998</v>
      </c>
      <c r="M47" s="268">
        <f>SUM('111678 (0013):111706 (0238)'!M47)</f>
        <v>5349.5749999999998</v>
      </c>
      <c r="N47" s="268">
        <f>SUM('111678 (0013):111706 (0238)'!N47)</f>
        <v>5349.5749999999998</v>
      </c>
      <c r="O47" s="268">
        <f>SUM('111678 (0013):111706 (0238)'!O47)</f>
        <v>5349.5749999999998</v>
      </c>
      <c r="P47" s="268">
        <f>SUM('111678 (0013):111706 (0238)'!P47)</f>
        <v>5349.5749999999998</v>
      </c>
      <c r="Q47" s="268">
        <f>SUM('111678 (0013):111706 (0238)'!Q47)</f>
        <v>5349.5749999999998</v>
      </c>
      <c r="R47" s="268">
        <f>SUM('111678 (0013):111706 (0238)'!R47)</f>
        <v>5349.5749999999998</v>
      </c>
      <c r="S47" s="268">
        <f>SUM('111678 (0013):111706 (0238)'!S47)</f>
        <v>5349.5749999999998</v>
      </c>
      <c r="T47" s="268">
        <f>SUM('111678 (0013):111706 (0238)'!T47)</f>
        <v>5349.5749999999998</v>
      </c>
      <c r="U47" s="268">
        <f>SUM('111678 (0013):111706 (0238)'!U47)</f>
        <v>5349.5749999999998</v>
      </c>
      <c r="V47" s="268">
        <f>SUM('111678 (0013):111706 (0238)'!V47)</f>
        <v>5349.5749999999998</v>
      </c>
      <c r="W47" s="22">
        <f>SUM(K47:V47)</f>
        <v>64194.899999999987</v>
      </c>
      <c r="X47" s="1"/>
      <c r="Y47" s="268">
        <f>W47-E47</f>
        <v>-2499.1000000000131</v>
      </c>
      <c r="Z47" s="264"/>
      <c r="AA47" s="268">
        <f>W47-I47</f>
        <v>402.8999999999869</v>
      </c>
    </row>
    <row r="48" spans="1:27" x14ac:dyDescent="0.2">
      <c r="A48" s="240"/>
      <c r="B48" s="243" t="s">
        <v>17</v>
      </c>
      <c r="C48" s="244"/>
      <c r="D48" s="58"/>
      <c r="E48" s="24">
        <f>SUM(E44:E47)</f>
        <v>367100</v>
      </c>
      <c r="F48" s="282"/>
      <c r="G48" s="24">
        <f>SUM(G44:G47)</f>
        <v>-24510</v>
      </c>
      <c r="H48" s="63"/>
      <c r="I48" s="24">
        <f>SUM(I44:I47)</f>
        <v>342590</v>
      </c>
      <c r="J48" s="58"/>
      <c r="K48" s="24">
        <f t="shared" ref="K48:V48" si="6">SUM(K44:K47)</f>
        <v>28001.752499999999</v>
      </c>
      <c r="L48" s="24">
        <f t="shared" si="6"/>
        <v>28001.752499999999</v>
      </c>
      <c r="M48" s="24">
        <f t="shared" si="6"/>
        <v>28001.752499999999</v>
      </c>
      <c r="N48" s="24">
        <f t="shared" si="6"/>
        <v>28001.752499999999</v>
      </c>
      <c r="O48" s="24">
        <f t="shared" si="6"/>
        <v>28001.752499999999</v>
      </c>
      <c r="P48" s="24">
        <f t="shared" si="6"/>
        <v>28001.752499999999</v>
      </c>
      <c r="Q48" s="24">
        <f t="shared" si="6"/>
        <v>28001.752499999999</v>
      </c>
      <c r="R48" s="24">
        <f t="shared" si="6"/>
        <v>28001.752499999999</v>
      </c>
      <c r="S48" s="24">
        <f t="shared" si="6"/>
        <v>28001.752499999999</v>
      </c>
      <c r="T48" s="24">
        <f t="shared" si="6"/>
        <v>28001.752499999999</v>
      </c>
      <c r="U48" s="24">
        <f t="shared" si="6"/>
        <v>28001.752499999999</v>
      </c>
      <c r="V48" s="24">
        <f t="shared" si="6"/>
        <v>28001.752499999999</v>
      </c>
      <c r="W48" s="24">
        <f t="shared" ref="W48:W55" si="7">SUM(K48:V48)</f>
        <v>336021.02999999997</v>
      </c>
      <c r="X48" s="265"/>
      <c r="Y48" s="24">
        <f>SUM(Y44:Y47)</f>
        <v>-31078.970000000067</v>
      </c>
      <c r="Z48" s="267"/>
      <c r="AA48" s="24">
        <f>SUM(AA44:AA47)</f>
        <v>-6568.9700000000666</v>
      </c>
    </row>
    <row r="49" spans="1:28" x14ac:dyDescent="0.2">
      <c r="A49" s="245" t="s">
        <v>18</v>
      </c>
      <c r="B49" s="245"/>
      <c r="C49" s="242"/>
      <c r="D49" s="57"/>
      <c r="E49" s="24">
        <f>+E48+E43+E40</f>
        <v>6969808</v>
      </c>
      <c r="F49" s="282"/>
      <c r="G49" s="24">
        <f>+G48+G43+G40</f>
        <v>-78207</v>
      </c>
      <c r="H49" s="63"/>
      <c r="I49" s="24">
        <f>+I48+I43+I40</f>
        <v>6891601</v>
      </c>
      <c r="J49" s="57"/>
      <c r="K49" s="24">
        <f t="shared" ref="K49:V49" si="8">+K48+K43+K40</f>
        <v>566458.15916666656</v>
      </c>
      <c r="L49" s="24">
        <f t="shared" si="8"/>
        <v>590735.49249333329</v>
      </c>
      <c r="M49" s="24">
        <f t="shared" si="8"/>
        <v>566457.57583333331</v>
      </c>
      <c r="N49" s="24">
        <f t="shared" si="8"/>
        <v>566457.57583333331</v>
      </c>
      <c r="O49" s="24">
        <f t="shared" si="8"/>
        <v>566457.57583333331</v>
      </c>
      <c r="P49" s="24">
        <f t="shared" si="8"/>
        <v>566457.57583333331</v>
      </c>
      <c r="Q49" s="24">
        <f t="shared" si="8"/>
        <v>566457.57583333331</v>
      </c>
      <c r="R49" s="24">
        <f t="shared" si="8"/>
        <v>566457.57583333331</v>
      </c>
      <c r="S49" s="24">
        <f t="shared" si="8"/>
        <v>566457.57583333331</v>
      </c>
      <c r="T49" s="24">
        <f t="shared" si="8"/>
        <v>566457.57583333331</v>
      </c>
      <c r="U49" s="24">
        <f t="shared" si="8"/>
        <v>566457.57583333331</v>
      </c>
      <c r="V49" s="24">
        <f t="shared" si="8"/>
        <v>566457.57583333331</v>
      </c>
      <c r="W49" s="24">
        <f t="shared" si="7"/>
        <v>6821769.4099933337</v>
      </c>
      <c r="X49" s="1"/>
      <c r="Y49" s="24">
        <f>W49-E49</f>
        <v>-148038.59000666626</v>
      </c>
      <c r="Z49" s="267"/>
      <c r="AA49" s="24">
        <f>W49-I49</f>
        <v>-69831.590006666258</v>
      </c>
    </row>
    <row r="50" spans="1:28" x14ac:dyDescent="0.2">
      <c r="A50" s="240" t="s">
        <v>230</v>
      </c>
      <c r="B50" s="241"/>
      <c r="C50" s="242"/>
      <c r="D50" s="57"/>
      <c r="E50" s="96"/>
      <c r="F50" s="281"/>
      <c r="G50" s="96"/>
      <c r="H50" s="33"/>
      <c r="I50" s="96"/>
      <c r="J50" s="57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272"/>
      <c r="X50" s="1"/>
      <c r="Y50" s="272"/>
      <c r="Z50" s="262"/>
      <c r="AA50" s="272"/>
    </row>
    <row r="51" spans="1:28" x14ac:dyDescent="0.2">
      <c r="A51" s="276">
        <v>80020054</v>
      </c>
      <c r="B51" s="241" t="s">
        <v>19</v>
      </c>
      <c r="C51" s="242"/>
      <c r="D51" s="57"/>
      <c r="E51" s="80">
        <f>SUM('111678 (0013):111706 (0238)'!E51)</f>
        <v>-178835</v>
      </c>
      <c r="F51" s="281"/>
      <c r="G51" s="80">
        <f>SUM('111678 (0013):111706 (0238)'!G51)</f>
        <v>-112040</v>
      </c>
      <c r="H51" s="33"/>
      <c r="I51" s="80">
        <f>SUM('111678 (0013):111706 (0238)'!I51)</f>
        <v>-290875</v>
      </c>
      <c r="J51" s="57"/>
      <c r="K51" s="80">
        <f>SUM('111678 (0013):111706 (0238)'!K51)</f>
        <v>-26077.541666666668</v>
      </c>
      <c r="L51" s="80">
        <f>SUM('111678 (0013):111706 (0238)'!L51)</f>
        <v>-26077.541666666668</v>
      </c>
      <c r="M51" s="80">
        <f>SUM('111678 (0013):111706 (0238)'!M51)</f>
        <v>-26077.541666666668</v>
      </c>
      <c r="N51" s="80">
        <f>SUM('111678 (0013):111706 (0238)'!N51)</f>
        <v>-26077.541666666668</v>
      </c>
      <c r="O51" s="80">
        <f>SUM('111678 (0013):111706 (0238)'!O51)</f>
        <v>-26077.541666666668</v>
      </c>
      <c r="P51" s="80">
        <f>SUM('111678 (0013):111706 (0238)'!P51)</f>
        <v>-26077.541666666668</v>
      </c>
      <c r="Q51" s="80">
        <f>SUM('111678 (0013):111706 (0238)'!Q51)</f>
        <v>-26077.541666666668</v>
      </c>
      <c r="R51" s="80">
        <f>SUM('111678 (0013):111706 (0238)'!R51)</f>
        <v>-26077.541666666668</v>
      </c>
      <c r="S51" s="80">
        <f>SUM('111678 (0013):111706 (0238)'!S51)</f>
        <v>-26077.541666666668</v>
      </c>
      <c r="T51" s="80">
        <f>SUM('111678 (0013):111706 (0238)'!T51)</f>
        <v>-26077.541666666668</v>
      </c>
      <c r="U51" s="80">
        <f>SUM('111678 (0013):111706 (0238)'!U51)</f>
        <v>-26077.541666666668</v>
      </c>
      <c r="V51" s="80">
        <f>SUM('111678 (0013):111706 (0238)'!V51)</f>
        <v>-26077.541666666668</v>
      </c>
      <c r="W51" s="21">
        <f t="shared" si="7"/>
        <v>-312930.5</v>
      </c>
      <c r="X51" s="1"/>
      <c r="Y51" s="21">
        <f>W51-E51</f>
        <v>-134095.5</v>
      </c>
      <c r="Z51" s="262"/>
      <c r="AA51" s="21">
        <f>W51-I51</f>
        <v>-22055.5</v>
      </c>
    </row>
    <row r="52" spans="1:28" x14ac:dyDescent="0.2">
      <c r="A52" s="276">
        <v>80020056</v>
      </c>
      <c r="B52" s="241" t="s">
        <v>20</v>
      </c>
      <c r="C52" s="242"/>
      <c r="D52" s="57"/>
      <c r="E52" s="80">
        <f>SUM('111678 (0013):111706 (0238)'!E52)</f>
        <v>-22643</v>
      </c>
      <c r="F52" s="281"/>
      <c r="G52" s="80">
        <f>SUM('111678 (0013):111706 (0238)'!G52)</f>
        <v>-10500</v>
      </c>
      <c r="H52" s="33"/>
      <c r="I52" s="80">
        <f>SUM('111678 (0013):111706 (0238)'!I52)</f>
        <v>-33143</v>
      </c>
      <c r="J52" s="57"/>
      <c r="K52" s="80">
        <f>SUM('111678 (0013):111706 (0238)'!K52)</f>
        <v>-2204.9166666666665</v>
      </c>
      <c r="L52" s="80">
        <f>SUM('111678 (0013):111706 (0238)'!L52)</f>
        <v>-2204.9166666666665</v>
      </c>
      <c r="M52" s="80">
        <f>SUM('111678 (0013):111706 (0238)'!M52)</f>
        <v>-2204.9166666666665</v>
      </c>
      <c r="N52" s="80">
        <f>SUM('111678 (0013):111706 (0238)'!N52)</f>
        <v>-2204.9166666666665</v>
      </c>
      <c r="O52" s="80">
        <f>SUM('111678 (0013):111706 (0238)'!O52)</f>
        <v>-2204.9166666666665</v>
      </c>
      <c r="P52" s="80">
        <f>SUM('111678 (0013):111706 (0238)'!P52)</f>
        <v>-2204.9166666666665</v>
      </c>
      <c r="Q52" s="80">
        <f>SUM('111678 (0013):111706 (0238)'!Q52)</f>
        <v>-2204.9166666666665</v>
      </c>
      <c r="R52" s="80">
        <f>SUM('111678 (0013):111706 (0238)'!R52)</f>
        <v>-2204.9166666666665</v>
      </c>
      <c r="S52" s="80">
        <f>SUM('111678 (0013):111706 (0238)'!S52)</f>
        <v>-2204.9166666666665</v>
      </c>
      <c r="T52" s="80">
        <f>SUM('111678 (0013):111706 (0238)'!T52)</f>
        <v>-2204.9166666666665</v>
      </c>
      <c r="U52" s="80">
        <f>SUM('111678 (0013):111706 (0238)'!U52)</f>
        <v>-2204.9166666666665</v>
      </c>
      <c r="V52" s="80">
        <f>SUM('111678 (0013):111706 (0238)'!V52)</f>
        <v>-2204.9166666666665</v>
      </c>
      <c r="W52" s="21">
        <f t="shared" si="7"/>
        <v>-26459.000000000004</v>
      </c>
      <c r="X52" s="1"/>
      <c r="Y52" s="21">
        <f>W52-E52</f>
        <v>-3816.0000000000036</v>
      </c>
      <c r="Z52" s="262"/>
      <c r="AA52" s="21">
        <f>W52-I52</f>
        <v>6683.9999999999964</v>
      </c>
    </row>
    <row r="53" spans="1:28" x14ac:dyDescent="0.2">
      <c r="A53" s="276">
        <v>80020055</v>
      </c>
      <c r="B53" s="241" t="s">
        <v>21</v>
      </c>
      <c r="C53" s="242"/>
      <c r="D53" s="57"/>
      <c r="E53" s="80">
        <f>SUM('111678 (0013):111706 (0238)'!E53)</f>
        <v>-12551</v>
      </c>
      <c r="F53" s="281"/>
      <c r="G53" s="80">
        <f>SUM('111678 (0013):111706 (0238)'!G53)</f>
        <v>-16760</v>
      </c>
      <c r="H53" s="33"/>
      <c r="I53" s="80">
        <f>SUM('111678 (0013):111706 (0238)'!I53)</f>
        <v>-29311</v>
      </c>
      <c r="J53" s="57"/>
      <c r="K53" s="80">
        <f>SUM('111678 (0013):111706 (0238)'!K53)</f>
        <v>-2696.916666666667</v>
      </c>
      <c r="L53" s="80">
        <f>SUM('111678 (0013):111706 (0238)'!L53)</f>
        <v>-2696.916666666667</v>
      </c>
      <c r="M53" s="80">
        <f>SUM('111678 (0013):111706 (0238)'!M53)</f>
        <v>-2696.916666666667</v>
      </c>
      <c r="N53" s="80">
        <f>SUM('111678 (0013):111706 (0238)'!N53)</f>
        <v>-2696.916666666667</v>
      </c>
      <c r="O53" s="80">
        <f>SUM('111678 (0013):111706 (0238)'!O53)</f>
        <v>-2696.916666666667</v>
      </c>
      <c r="P53" s="80">
        <f>SUM('111678 (0013):111706 (0238)'!P53)</f>
        <v>-2696.916666666667</v>
      </c>
      <c r="Q53" s="80">
        <f>SUM('111678 (0013):111706 (0238)'!Q53)</f>
        <v>-2696.916666666667</v>
      </c>
      <c r="R53" s="80">
        <f>SUM('111678 (0013):111706 (0238)'!R53)</f>
        <v>-2696.916666666667</v>
      </c>
      <c r="S53" s="80">
        <f>SUM('111678 (0013):111706 (0238)'!S53)</f>
        <v>-2696.916666666667</v>
      </c>
      <c r="T53" s="80">
        <f>SUM('111678 (0013):111706 (0238)'!T53)</f>
        <v>-2696.916666666667</v>
      </c>
      <c r="U53" s="80">
        <f>SUM('111678 (0013):111706 (0238)'!U53)</f>
        <v>-2696.916666666667</v>
      </c>
      <c r="V53" s="80">
        <f>SUM('111678 (0013):111706 (0238)'!V53)</f>
        <v>-2696.916666666667</v>
      </c>
      <c r="W53" s="21">
        <f t="shared" si="7"/>
        <v>-32363.000000000011</v>
      </c>
      <c r="X53" s="1"/>
      <c r="Y53" s="21">
        <f>W53-E53</f>
        <v>-19812.000000000011</v>
      </c>
      <c r="Z53" s="262"/>
      <c r="AA53" s="21">
        <f>W53-I53</f>
        <v>-3052.0000000000109</v>
      </c>
    </row>
    <row r="54" spans="1:28" x14ac:dyDescent="0.2">
      <c r="A54" s="276">
        <v>80020046</v>
      </c>
      <c r="B54" s="241" t="s">
        <v>22</v>
      </c>
      <c r="C54" s="242"/>
      <c r="D54" s="57"/>
      <c r="E54" s="82">
        <f>SUM('111678 (0013):111706 (0238)'!E54)</f>
        <v>-1293000</v>
      </c>
      <c r="F54" s="281"/>
      <c r="G54" s="82">
        <f>SUM('111678 (0013):111706 (0238)'!G54)</f>
        <v>450000</v>
      </c>
      <c r="H54" s="33"/>
      <c r="I54" s="82">
        <f>SUM('111678 (0013):111706 (0238)'!I54)</f>
        <v>-843000</v>
      </c>
      <c r="J54" s="57"/>
      <c r="K54" s="82">
        <f>SUM('111678 (0013):111706 (0238)'!K54)</f>
        <v>-73416.66333333333</v>
      </c>
      <c r="L54" s="82">
        <f>SUM('111678 (0013):111706 (0238)'!L54)</f>
        <v>-73416.66333333333</v>
      </c>
      <c r="M54" s="82">
        <f>SUM('111678 (0013):111706 (0238)'!M54)</f>
        <v>-73416.66333333333</v>
      </c>
      <c r="N54" s="82">
        <f>SUM('111678 (0013):111706 (0238)'!N54)</f>
        <v>-73416.66333333333</v>
      </c>
      <c r="O54" s="82">
        <f>SUM('111678 (0013):111706 (0238)'!O54)</f>
        <v>-73416.66333333333</v>
      </c>
      <c r="P54" s="82">
        <f>SUM('111678 (0013):111706 (0238)'!P54)</f>
        <v>-73416.66333333333</v>
      </c>
      <c r="Q54" s="82">
        <f>SUM('111678 (0013):111706 (0238)'!Q54)</f>
        <v>-73416.66333333333</v>
      </c>
      <c r="R54" s="82">
        <f>SUM('111678 (0013):111706 (0238)'!R54)</f>
        <v>-73416.66333333333</v>
      </c>
      <c r="S54" s="82">
        <f>SUM('111678 (0013):111706 (0238)'!S54)</f>
        <v>-73416.66333333333</v>
      </c>
      <c r="T54" s="82">
        <f>SUM('111678 (0013):111706 (0238)'!T54)</f>
        <v>-73416.66333333333</v>
      </c>
      <c r="U54" s="82">
        <f>SUM('111678 (0013):111706 (0238)'!U54)</f>
        <v>-73416.66333333333</v>
      </c>
      <c r="V54" s="82">
        <f>SUM('111678 (0013):111706 (0238)'!V54)</f>
        <v>-73416.66333333333</v>
      </c>
      <c r="W54" s="22">
        <f t="shared" si="7"/>
        <v>-880999.96</v>
      </c>
      <c r="X54" s="1"/>
      <c r="Y54" s="22">
        <f>W54-E54</f>
        <v>412000.04000000004</v>
      </c>
      <c r="Z54" s="262"/>
      <c r="AA54" s="22">
        <f>W54-I54</f>
        <v>-37999.959999999963</v>
      </c>
    </row>
    <row r="55" spans="1:28" ht="13.5" thickBot="1" x14ac:dyDescent="0.25">
      <c r="A55" s="240"/>
      <c r="B55" s="243" t="s">
        <v>17</v>
      </c>
      <c r="C55" s="244"/>
      <c r="D55" s="58"/>
      <c r="E55" s="273">
        <f>SUM(E51:E54)</f>
        <v>-1507029</v>
      </c>
      <c r="F55" s="282"/>
      <c r="G55" s="273">
        <f>SUM(G51:G54)</f>
        <v>310700</v>
      </c>
      <c r="H55" s="63"/>
      <c r="I55" s="273">
        <f>SUM(I51:I54)</f>
        <v>-1196329</v>
      </c>
      <c r="J55" s="58"/>
      <c r="K55" s="273">
        <f t="shared" ref="K55:V55" si="9">SUM(K51:K54)</f>
        <v>-104396.03833333333</v>
      </c>
      <c r="L55" s="273">
        <f t="shared" si="9"/>
        <v>-104396.03833333333</v>
      </c>
      <c r="M55" s="273">
        <f t="shared" si="9"/>
        <v>-104396.03833333333</v>
      </c>
      <c r="N55" s="273">
        <f t="shared" si="9"/>
        <v>-104396.03833333333</v>
      </c>
      <c r="O55" s="273">
        <f t="shared" si="9"/>
        <v>-104396.03833333333</v>
      </c>
      <c r="P55" s="273">
        <f t="shared" si="9"/>
        <v>-104396.03833333333</v>
      </c>
      <c r="Q55" s="273">
        <f t="shared" si="9"/>
        <v>-104396.03833333333</v>
      </c>
      <c r="R55" s="273">
        <f t="shared" si="9"/>
        <v>-104396.03833333333</v>
      </c>
      <c r="S55" s="273">
        <f t="shared" si="9"/>
        <v>-104396.03833333333</v>
      </c>
      <c r="T55" s="273">
        <f t="shared" si="9"/>
        <v>-104396.03833333333</v>
      </c>
      <c r="U55" s="273">
        <f t="shared" si="9"/>
        <v>-104396.03833333333</v>
      </c>
      <c r="V55" s="273">
        <f t="shared" si="9"/>
        <v>-104396.03833333333</v>
      </c>
      <c r="W55" s="273">
        <f t="shared" si="7"/>
        <v>-1252752.46</v>
      </c>
      <c r="X55" s="269"/>
      <c r="Y55" s="273">
        <f>SUM(Y51:Y54)</f>
        <v>254276.54000000004</v>
      </c>
      <c r="Z55" s="267"/>
      <c r="AA55" s="273">
        <f>W55-I55</f>
        <v>-56423.459999999963</v>
      </c>
    </row>
    <row r="56" spans="1:28" ht="13.5" thickBot="1" x14ac:dyDescent="0.25">
      <c r="A56" s="246" t="s">
        <v>23</v>
      </c>
      <c r="B56" s="246"/>
      <c r="C56" s="247"/>
      <c r="D56" s="279"/>
      <c r="E56" s="274">
        <f>+E49+E55</f>
        <v>5462779</v>
      </c>
      <c r="F56" s="283"/>
      <c r="G56" s="274">
        <f>+G49+G55</f>
        <v>232493</v>
      </c>
      <c r="H56" s="284"/>
      <c r="I56" s="274">
        <f>+I49+I55</f>
        <v>5695272</v>
      </c>
      <c r="J56" s="279"/>
      <c r="K56" s="274">
        <f t="shared" ref="K56:W56" si="10">+K49+K55</f>
        <v>462062.12083333323</v>
      </c>
      <c r="L56" s="274">
        <f t="shared" si="10"/>
        <v>486339.45415999996</v>
      </c>
      <c r="M56" s="274">
        <f t="shared" si="10"/>
        <v>462061.53749999998</v>
      </c>
      <c r="N56" s="274">
        <f t="shared" si="10"/>
        <v>462061.53749999998</v>
      </c>
      <c r="O56" s="274">
        <f t="shared" si="10"/>
        <v>462061.53749999998</v>
      </c>
      <c r="P56" s="274">
        <f t="shared" si="10"/>
        <v>462061.53749999998</v>
      </c>
      <c r="Q56" s="274">
        <f t="shared" si="10"/>
        <v>462061.53749999998</v>
      </c>
      <c r="R56" s="274">
        <f t="shared" si="10"/>
        <v>462061.53749999998</v>
      </c>
      <c r="S56" s="274">
        <f t="shared" si="10"/>
        <v>462061.53749999998</v>
      </c>
      <c r="T56" s="274">
        <f t="shared" si="10"/>
        <v>462061.53749999998</v>
      </c>
      <c r="U56" s="274">
        <f t="shared" si="10"/>
        <v>462061.53749999998</v>
      </c>
      <c r="V56" s="274">
        <f t="shared" si="10"/>
        <v>462061.53749999998</v>
      </c>
      <c r="W56" s="274">
        <f t="shared" si="10"/>
        <v>5569016.9499933338</v>
      </c>
      <c r="X56" s="269"/>
      <c r="Y56" s="274">
        <f>+Y49+Y55</f>
        <v>106237.94999333378</v>
      </c>
      <c r="Z56" s="275"/>
      <c r="AA56" s="274">
        <f>+AA49+AA55</f>
        <v>-126255.05000666622</v>
      </c>
    </row>
    <row r="57" spans="1:28" x14ac:dyDescent="0.2">
      <c r="C57"/>
      <c r="D57"/>
      <c r="E57"/>
    </row>
    <row r="58" spans="1:28" x14ac:dyDescent="0.2">
      <c r="A58" s="12" t="s">
        <v>24</v>
      </c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B62" s="248" t="s">
        <v>25</v>
      </c>
      <c r="C62" s="248"/>
      <c r="D62" s="79"/>
      <c r="E62" s="76">
        <f>SUM('111678 (0013):111706 (0238)'!E62:E62)</f>
        <v>0</v>
      </c>
      <c r="F62" s="299"/>
      <c r="G62" s="292">
        <f>SUM('111678 (0013):111706 (0238)'!G62:G62)</f>
        <v>0</v>
      </c>
      <c r="H62" s="300"/>
      <c r="I62" s="293">
        <f>SUM('111678 (0013):111706 (0238)'!I62:I62)</f>
        <v>0</v>
      </c>
      <c r="J62" s="98">
        <f t="shared" ref="J62:J80" si="11">W62/$W$81</f>
        <v>1.7956490507740272E-2</v>
      </c>
      <c r="K62" s="20">
        <f>SUM('111678 (0013):111706 (0238)'!K62:K62)</f>
        <v>8278.4679244603649</v>
      </c>
      <c r="L62" s="20">
        <f>SUM('111678 (0013):111706 (0238)'!L62:L62)</f>
        <v>8936.7009275066903</v>
      </c>
      <c r="M62" s="20">
        <f>SUM('111678 (0013):111706 (0238)'!M62:M62)</f>
        <v>8278.4831148032899</v>
      </c>
      <c r="N62" s="20">
        <f>SUM('111678 (0013):111706 (0238)'!N62:N62)</f>
        <v>8278.4831148032899</v>
      </c>
      <c r="O62" s="20">
        <f>SUM('111678 (0013):111706 (0238)'!O62:O62)</f>
        <v>8278.4831148032899</v>
      </c>
      <c r="P62" s="20">
        <f>SUM('111678 (0013):111706 (0238)'!P62:P62)</f>
        <v>8278.4831148032899</v>
      </c>
      <c r="Q62" s="20">
        <f>SUM('111678 (0013):111706 (0238)'!Q62:Q62)</f>
        <v>8278.4831148032899</v>
      </c>
      <c r="R62" s="20">
        <f>SUM('111678 (0013):111706 (0238)'!R62:R62)</f>
        <v>8278.4831148032899</v>
      </c>
      <c r="S62" s="20">
        <f>SUM('111678 (0013):111706 (0238)'!S62:S62)</f>
        <v>8278.4831148032899</v>
      </c>
      <c r="T62" s="20">
        <f>SUM('111678 (0013):111706 (0238)'!T62:T62)</f>
        <v>8278.4831148032899</v>
      </c>
      <c r="U62" s="20">
        <f>SUM('111678 (0013):111706 (0238)'!U62:U62)</f>
        <v>8278.4831148032899</v>
      </c>
      <c r="V62" s="18">
        <f>SUM('111678 (0013):111706 (0238)'!V62:V62)</f>
        <v>8278.4831148032899</v>
      </c>
      <c r="W62" s="20">
        <f>SUM(K62:V62)</f>
        <v>99999.999999999971</v>
      </c>
      <c r="X62" s="32"/>
      <c r="Y62" s="20">
        <f>$W62-E62</f>
        <v>99999.999999999971</v>
      </c>
      <c r="Z62" s="32"/>
      <c r="AA62" s="20">
        <f>$W62-I62</f>
        <v>99999.999999999971</v>
      </c>
    </row>
    <row r="63" spans="1:28" x14ac:dyDescent="0.2">
      <c r="B63" s="249" t="s">
        <v>26</v>
      </c>
      <c r="C63" s="249">
        <v>903</v>
      </c>
      <c r="D63" s="81"/>
      <c r="E63" s="77">
        <f>SUM('111678 (0013):111706 (0238)'!E63:E63)</f>
        <v>0</v>
      </c>
      <c r="F63" s="295"/>
      <c r="G63" s="296">
        <f>SUM('111678 (0013):111706 (0238)'!G63:G63)</f>
        <v>0</v>
      </c>
      <c r="H63" s="297"/>
      <c r="I63" s="298">
        <f>SUM('111678 (0013):111706 (0238)'!I63:I63)</f>
        <v>0</v>
      </c>
      <c r="J63" s="99">
        <f t="shared" si="11"/>
        <v>0</v>
      </c>
      <c r="K63" s="21">
        <f>SUM('111678 (0013):111706 (0238)'!K63:K63)</f>
        <v>0</v>
      </c>
      <c r="L63" s="21">
        <f>SUM('111678 (0013):111706 (0238)'!L63:L63)</f>
        <v>0</v>
      </c>
      <c r="M63" s="21">
        <f>SUM('111678 (0013):111706 (0238)'!M63:M63)</f>
        <v>0</v>
      </c>
      <c r="N63" s="21">
        <f>SUM('111678 (0013):111706 (0238)'!N63:N63)</f>
        <v>0</v>
      </c>
      <c r="O63" s="21">
        <f>SUM('111678 (0013):111706 (0238)'!O63:O63)</f>
        <v>0</v>
      </c>
      <c r="P63" s="21">
        <f>SUM('111678 (0013):111706 (0238)'!P63:P63)</f>
        <v>0</v>
      </c>
      <c r="Q63" s="21">
        <f>SUM('111678 (0013):111706 (0238)'!Q63:Q63)</f>
        <v>0</v>
      </c>
      <c r="R63" s="21">
        <f>SUM('111678 (0013):111706 (0238)'!R63:R63)</f>
        <v>0</v>
      </c>
      <c r="S63" s="21">
        <f>SUM('111678 (0013):111706 (0238)'!S63:S63)</f>
        <v>0</v>
      </c>
      <c r="T63" s="21">
        <f>SUM('111678 (0013):111706 (0238)'!T63:T63)</f>
        <v>0</v>
      </c>
      <c r="U63" s="21">
        <f>SUM('111678 (0013):111706 (0238)'!U63:U63)</f>
        <v>0</v>
      </c>
      <c r="V63" s="19">
        <f>SUM('111678 (0013):111706 (0238)'!V63:V63)</f>
        <v>0</v>
      </c>
      <c r="W63" s="21">
        <f t="shared" ref="W63:W80" si="12">SUM(K63:V63)</f>
        <v>0</v>
      </c>
      <c r="X63" s="33"/>
      <c r="Y63" s="21">
        <f>$W63-E63</f>
        <v>0</v>
      </c>
      <c r="Z63" s="33"/>
      <c r="AA63" s="21">
        <f>$W63-I63</f>
        <v>0</v>
      </c>
    </row>
    <row r="64" spans="1:28" x14ac:dyDescent="0.2">
      <c r="B64" s="249" t="s">
        <v>231</v>
      </c>
      <c r="C64" s="249">
        <v>901</v>
      </c>
      <c r="D64" s="81"/>
      <c r="E64" s="77">
        <f>SUM('111678 (0013):111706 (0238)'!E64:E64)</f>
        <v>0</v>
      </c>
      <c r="F64" s="295"/>
      <c r="G64" s="296">
        <f>SUM('111678 (0013):111706 (0238)'!G64:G64)</f>
        <v>0</v>
      </c>
      <c r="H64" s="297"/>
      <c r="I64" s="298">
        <f>SUM('111678 (0013):111706 (0238)'!I64:I64)</f>
        <v>0</v>
      </c>
      <c r="J64" s="99">
        <f t="shared" si="11"/>
        <v>0</v>
      </c>
      <c r="K64" s="21">
        <f>SUM('111678 (0013):111706 (0238)'!K64:K64)</f>
        <v>0</v>
      </c>
      <c r="L64" s="21">
        <f>SUM('111678 (0013):111706 (0238)'!L64:L64)</f>
        <v>0</v>
      </c>
      <c r="M64" s="21">
        <f>SUM('111678 (0013):111706 (0238)'!M64:M64)</f>
        <v>0</v>
      </c>
      <c r="N64" s="21">
        <f>SUM('111678 (0013):111706 (0238)'!N64:N64)</f>
        <v>0</v>
      </c>
      <c r="O64" s="21">
        <f>SUM('111678 (0013):111706 (0238)'!O64:O64)</f>
        <v>0</v>
      </c>
      <c r="P64" s="21">
        <f>SUM('111678 (0013):111706 (0238)'!P64:P64)</f>
        <v>0</v>
      </c>
      <c r="Q64" s="21">
        <f>SUM('111678 (0013):111706 (0238)'!Q64:Q64)</f>
        <v>0</v>
      </c>
      <c r="R64" s="21">
        <f>SUM('111678 (0013):111706 (0238)'!R64:R64)</f>
        <v>0</v>
      </c>
      <c r="S64" s="21">
        <f>SUM('111678 (0013):111706 (0238)'!S64:S64)</f>
        <v>0</v>
      </c>
      <c r="T64" s="21">
        <f>SUM('111678 (0013):111706 (0238)'!T64:T64)</f>
        <v>0</v>
      </c>
      <c r="U64" s="21">
        <f>SUM('111678 (0013):111706 (0238)'!U64:U64)</f>
        <v>0</v>
      </c>
      <c r="V64" s="19">
        <f>SUM('111678 (0013):111706 (0238)'!V64:V64)</f>
        <v>0</v>
      </c>
      <c r="W64" s="21">
        <f t="shared" si="12"/>
        <v>0</v>
      </c>
      <c r="X64" s="33"/>
      <c r="Y64" s="21">
        <f t="shared" ref="Y64:Y80" si="13">$W64-E64</f>
        <v>0</v>
      </c>
      <c r="Z64" s="33"/>
      <c r="AA64" s="21">
        <f t="shared" ref="AA64:AA80" si="14">$W64-I64</f>
        <v>0</v>
      </c>
    </row>
    <row r="65" spans="2:27" x14ac:dyDescent="0.2">
      <c r="B65" s="249" t="s">
        <v>27</v>
      </c>
      <c r="C65" s="249">
        <v>904</v>
      </c>
      <c r="D65" s="81"/>
      <c r="E65" s="77">
        <f>SUM('111678 (0013):111706 (0238)'!E65:E65)</f>
        <v>0</v>
      </c>
      <c r="F65" s="295"/>
      <c r="G65" s="296">
        <f>SUM('111678 (0013):111706 (0238)'!G65:G65)</f>
        <v>0</v>
      </c>
      <c r="H65" s="297"/>
      <c r="I65" s="298">
        <f>SUM('111678 (0013):111706 (0238)'!I65:I65)</f>
        <v>0</v>
      </c>
      <c r="J65" s="99">
        <f t="shared" si="11"/>
        <v>0</v>
      </c>
      <c r="K65" s="21">
        <f>SUM('111678 (0013):111706 (0238)'!K65:K65)</f>
        <v>0</v>
      </c>
      <c r="L65" s="21">
        <f>SUM('111678 (0013):111706 (0238)'!L65:L65)</f>
        <v>0</v>
      </c>
      <c r="M65" s="21">
        <f>SUM('111678 (0013):111706 (0238)'!M65:M65)</f>
        <v>0</v>
      </c>
      <c r="N65" s="21">
        <f>SUM('111678 (0013):111706 (0238)'!N65:N65)</f>
        <v>0</v>
      </c>
      <c r="O65" s="21">
        <f>SUM('111678 (0013):111706 (0238)'!O65:O65)</f>
        <v>0</v>
      </c>
      <c r="P65" s="21">
        <f>SUM('111678 (0013):111706 (0238)'!P65:P65)</f>
        <v>0</v>
      </c>
      <c r="Q65" s="21">
        <f>SUM('111678 (0013):111706 (0238)'!Q65:Q65)</f>
        <v>0</v>
      </c>
      <c r="R65" s="21">
        <f>SUM('111678 (0013):111706 (0238)'!R65:R65)</f>
        <v>0</v>
      </c>
      <c r="S65" s="21">
        <f>SUM('111678 (0013):111706 (0238)'!S65:S65)</f>
        <v>0</v>
      </c>
      <c r="T65" s="21">
        <f>SUM('111678 (0013):111706 (0238)'!T65:T65)</f>
        <v>0</v>
      </c>
      <c r="U65" s="21">
        <f>SUM('111678 (0013):111706 (0238)'!U65:U65)</f>
        <v>0</v>
      </c>
      <c r="V65" s="19">
        <f>SUM('111678 (0013):111706 (0238)'!V65:V65)</f>
        <v>0</v>
      </c>
      <c r="W65" s="21">
        <f t="shared" si="12"/>
        <v>0</v>
      </c>
      <c r="X65" s="33"/>
      <c r="Y65" s="21">
        <f t="shared" si="13"/>
        <v>0</v>
      </c>
      <c r="Z65" s="33"/>
      <c r="AA65" s="21">
        <f t="shared" si="14"/>
        <v>0</v>
      </c>
    </row>
    <row r="66" spans="2:27" x14ac:dyDescent="0.2">
      <c r="B66" s="249" t="s">
        <v>29</v>
      </c>
      <c r="C66" s="249">
        <v>912</v>
      </c>
      <c r="D66" s="81"/>
      <c r="E66" s="77">
        <f>SUM('111678 (0013):111706 (0238)'!E66:E66)</f>
        <v>1611181</v>
      </c>
      <c r="F66" s="295"/>
      <c r="G66" s="296">
        <f>SUM('111678 (0013):111706 (0238)'!G66:G66)</f>
        <v>0</v>
      </c>
      <c r="H66" s="297"/>
      <c r="I66" s="298">
        <f>SUM('111678 (0013):111706 (0238)'!I66:I66)</f>
        <v>1611181</v>
      </c>
      <c r="J66" s="99">
        <f t="shared" si="11"/>
        <v>0.24390110218017746</v>
      </c>
      <c r="K66" s="21">
        <f>SUM('111678 (0013):111706 (0238)'!K66:K66)</f>
        <v>112653.84733971382</v>
      </c>
      <c r="L66" s="21">
        <f>SUM('111678 (0013):111706 (0238)'!L66:L66)</f>
        <v>119099.39782487808</v>
      </c>
      <c r="M66" s="21">
        <f>SUM('111678 (0013):111706 (0238)'!M66:M66)</f>
        <v>112653.61269988722</v>
      </c>
      <c r="N66" s="21">
        <f>SUM('111678 (0013):111706 (0238)'!N66:N66)</f>
        <v>112653.61269988722</v>
      </c>
      <c r="O66" s="21">
        <f>SUM('111678 (0013):111706 (0238)'!O66:O66)</f>
        <v>112653.61269988722</v>
      </c>
      <c r="P66" s="21">
        <f>SUM('111678 (0013):111706 (0238)'!P66:P66)</f>
        <v>112653.61269988722</v>
      </c>
      <c r="Q66" s="21">
        <f>SUM('111678 (0013):111706 (0238)'!Q66:Q66)</f>
        <v>112653.61269988722</v>
      </c>
      <c r="R66" s="21">
        <f>SUM('111678 (0013):111706 (0238)'!R66:R66)</f>
        <v>112653.61269988722</v>
      </c>
      <c r="S66" s="21">
        <f>SUM('111678 (0013):111706 (0238)'!S66:S66)</f>
        <v>112653.61269988722</v>
      </c>
      <c r="T66" s="21">
        <f>SUM('111678 (0013):111706 (0238)'!T66:T66)</f>
        <v>112653.61269988722</v>
      </c>
      <c r="U66" s="21">
        <f>SUM('111678 (0013):111706 (0238)'!U66:U66)</f>
        <v>112653.61269988722</v>
      </c>
      <c r="V66" s="19">
        <f>SUM('111678 (0013):111706 (0238)'!V66:V66)</f>
        <v>112653.61269988722</v>
      </c>
      <c r="W66" s="21">
        <f t="shared" si="12"/>
        <v>1358289.3721634643</v>
      </c>
      <c r="X66" s="33"/>
      <c r="Y66" s="21">
        <f t="shared" si="13"/>
        <v>-252891.62783653568</v>
      </c>
      <c r="Z66" s="33"/>
      <c r="AA66" s="21">
        <f t="shared" si="14"/>
        <v>-252891.62783653568</v>
      </c>
    </row>
    <row r="67" spans="2:27" x14ac:dyDescent="0.2">
      <c r="B67" s="249" t="s">
        <v>30</v>
      </c>
      <c r="C67" s="249">
        <v>913</v>
      </c>
      <c r="D67" s="81"/>
      <c r="E67" s="77">
        <f>SUM('111678 (0013):111706 (0238)'!E67:E67)</f>
        <v>1677599</v>
      </c>
      <c r="F67" s="295"/>
      <c r="G67" s="296">
        <f>SUM('111678 (0013):111706 (0238)'!G67:G67)</f>
        <v>0</v>
      </c>
      <c r="H67" s="297"/>
      <c r="I67" s="298">
        <f>SUM('111678 (0013):111706 (0238)'!I67:I67)</f>
        <v>1677599</v>
      </c>
      <c r="J67" s="99">
        <f t="shared" si="11"/>
        <v>0.24954208520206247</v>
      </c>
      <c r="K67" s="21">
        <f>SUM('111678 (0013):111706 (0238)'!K67:K67)</f>
        <v>115320.28045390689</v>
      </c>
      <c r="L67" s="21">
        <f>SUM('111678 (0013):111706 (0238)'!L67:L67)</f>
        <v>121185.70128535396</v>
      </c>
      <c r="M67" s="21">
        <f>SUM('111678 (0013):111706 (0238)'!M67:M67)</f>
        <v>115319.8120487706</v>
      </c>
      <c r="N67" s="21">
        <f>SUM('111678 (0013):111706 (0238)'!N67:N67)</f>
        <v>115319.8120487706</v>
      </c>
      <c r="O67" s="21">
        <f>SUM('111678 (0013):111706 (0238)'!O67:O67)</f>
        <v>115319.8120487706</v>
      </c>
      <c r="P67" s="21">
        <f>SUM('111678 (0013):111706 (0238)'!P67:P67)</f>
        <v>115319.8120487706</v>
      </c>
      <c r="Q67" s="21">
        <f>SUM('111678 (0013):111706 (0238)'!Q67:Q67)</f>
        <v>115319.8120487706</v>
      </c>
      <c r="R67" s="21">
        <f>SUM('111678 (0013):111706 (0238)'!R67:R67)</f>
        <v>115319.8120487706</v>
      </c>
      <c r="S67" s="21">
        <f>SUM('111678 (0013):111706 (0238)'!S67:S67)</f>
        <v>115319.8120487706</v>
      </c>
      <c r="T67" s="21">
        <f>SUM('111678 (0013):111706 (0238)'!T67:T67)</f>
        <v>115319.8120487706</v>
      </c>
      <c r="U67" s="21">
        <f>SUM('111678 (0013):111706 (0238)'!U67:U67)</f>
        <v>115319.8120487706</v>
      </c>
      <c r="V67" s="19">
        <f>SUM('111678 (0013):111706 (0238)'!V67:V67)</f>
        <v>115319.8120487706</v>
      </c>
      <c r="W67" s="21">
        <f t="shared" si="12"/>
        <v>1389704.1022269665</v>
      </c>
      <c r="X67" s="33"/>
      <c r="Y67" s="21">
        <f t="shared" si="13"/>
        <v>-287894.89777303347</v>
      </c>
      <c r="Z67" s="33"/>
      <c r="AA67" s="21">
        <f t="shared" si="14"/>
        <v>-287894.89777303347</v>
      </c>
    </row>
    <row r="68" spans="2:27" x14ac:dyDescent="0.2">
      <c r="B68" s="249" t="s">
        <v>31</v>
      </c>
      <c r="C68" s="249">
        <v>915</v>
      </c>
      <c r="D68" s="81"/>
      <c r="E68" s="77">
        <f>SUM('111678 (0013):111706 (0238)'!E68:E68)</f>
        <v>0</v>
      </c>
      <c r="F68" s="295"/>
      <c r="G68" s="296">
        <f>SUM('111678 (0013):111706 (0238)'!G68:G68)</f>
        <v>0</v>
      </c>
      <c r="H68" s="297"/>
      <c r="I68" s="298">
        <f>SUM('111678 (0013):111706 (0238)'!I68:I68)</f>
        <v>0</v>
      </c>
      <c r="J68" s="99">
        <f t="shared" si="11"/>
        <v>0</v>
      </c>
      <c r="K68" s="21">
        <f>SUM('111678 (0013):111706 (0238)'!K68:K68)</f>
        <v>0</v>
      </c>
      <c r="L68" s="21">
        <f>SUM('111678 (0013):111706 (0238)'!L68:L68)</f>
        <v>0</v>
      </c>
      <c r="M68" s="21">
        <f>SUM('111678 (0013):111706 (0238)'!M68:M68)</f>
        <v>0</v>
      </c>
      <c r="N68" s="21">
        <f>SUM('111678 (0013):111706 (0238)'!N68:N68)</f>
        <v>0</v>
      </c>
      <c r="O68" s="21">
        <f>SUM('111678 (0013):111706 (0238)'!O68:O68)</f>
        <v>0</v>
      </c>
      <c r="P68" s="21">
        <f>SUM('111678 (0013):111706 (0238)'!P68:P68)</f>
        <v>0</v>
      </c>
      <c r="Q68" s="21">
        <f>SUM('111678 (0013):111706 (0238)'!Q68:Q68)</f>
        <v>0</v>
      </c>
      <c r="R68" s="21">
        <f>SUM('111678 (0013):111706 (0238)'!R68:R68)</f>
        <v>0</v>
      </c>
      <c r="S68" s="21">
        <f>SUM('111678 (0013):111706 (0238)'!S68:S68)</f>
        <v>0</v>
      </c>
      <c r="T68" s="21">
        <f>SUM('111678 (0013):111706 (0238)'!T68:T68)</f>
        <v>0</v>
      </c>
      <c r="U68" s="21">
        <f>SUM('111678 (0013):111706 (0238)'!U68:U68)</f>
        <v>0</v>
      </c>
      <c r="V68" s="19">
        <f>SUM('111678 (0013):111706 (0238)'!V68:V68)</f>
        <v>0</v>
      </c>
      <c r="W68" s="21">
        <f t="shared" si="12"/>
        <v>0</v>
      </c>
      <c r="X68" s="33"/>
      <c r="Y68" s="21">
        <f t="shared" si="13"/>
        <v>0</v>
      </c>
      <c r="Z68" s="33"/>
      <c r="AA68" s="21">
        <f t="shared" si="14"/>
        <v>0</v>
      </c>
    </row>
    <row r="69" spans="2:27" x14ac:dyDescent="0.2">
      <c r="B69" s="249" t="s">
        <v>32</v>
      </c>
      <c r="C69" s="249">
        <v>924</v>
      </c>
      <c r="D69" s="81"/>
      <c r="E69" s="77">
        <f>SUM('111678 (0013):111706 (0238)'!E69:E69)</f>
        <v>0</v>
      </c>
      <c r="F69" s="295"/>
      <c r="G69" s="296">
        <f>SUM('111678 (0013):111706 (0238)'!G69:G69)</f>
        <v>0</v>
      </c>
      <c r="H69" s="297"/>
      <c r="I69" s="298">
        <f>SUM('111678 (0013):111706 (0238)'!I69:I69)</f>
        <v>0</v>
      </c>
      <c r="J69" s="99">
        <f t="shared" si="11"/>
        <v>0</v>
      </c>
      <c r="K69" s="21">
        <f>SUM('111678 (0013):111706 (0238)'!K69:K69)</f>
        <v>0</v>
      </c>
      <c r="L69" s="21">
        <f>SUM('111678 (0013):111706 (0238)'!L69:L69)</f>
        <v>0</v>
      </c>
      <c r="M69" s="21">
        <f>SUM('111678 (0013):111706 (0238)'!M69:M69)</f>
        <v>0</v>
      </c>
      <c r="N69" s="21">
        <f>SUM('111678 (0013):111706 (0238)'!N69:N69)</f>
        <v>0</v>
      </c>
      <c r="O69" s="21">
        <f>SUM('111678 (0013):111706 (0238)'!O69:O69)</f>
        <v>0</v>
      </c>
      <c r="P69" s="21">
        <f>SUM('111678 (0013):111706 (0238)'!P69:P69)</f>
        <v>0</v>
      </c>
      <c r="Q69" s="21">
        <f>SUM('111678 (0013):111706 (0238)'!Q69:Q69)</f>
        <v>0</v>
      </c>
      <c r="R69" s="21">
        <f>SUM('111678 (0013):111706 (0238)'!R69:R69)</f>
        <v>0</v>
      </c>
      <c r="S69" s="21">
        <f>SUM('111678 (0013):111706 (0238)'!S69:S69)</f>
        <v>0</v>
      </c>
      <c r="T69" s="21">
        <f>SUM('111678 (0013):111706 (0238)'!T69:T69)</f>
        <v>0</v>
      </c>
      <c r="U69" s="21">
        <f>SUM('111678 (0013):111706 (0238)'!U69:U69)</f>
        <v>0</v>
      </c>
      <c r="V69" s="19">
        <f>SUM('111678 (0013):111706 (0238)'!V69:V69)</f>
        <v>0</v>
      </c>
      <c r="W69" s="21">
        <f t="shared" si="12"/>
        <v>0</v>
      </c>
      <c r="X69" s="33"/>
      <c r="Y69" s="21">
        <f t="shared" si="13"/>
        <v>0</v>
      </c>
      <c r="Z69" s="33"/>
      <c r="AA69" s="21">
        <f t="shared" si="14"/>
        <v>0</v>
      </c>
    </row>
    <row r="70" spans="2:27" x14ac:dyDescent="0.2">
      <c r="B70" s="249" t="s">
        <v>33</v>
      </c>
      <c r="C70" s="249">
        <v>927</v>
      </c>
      <c r="D70" s="81"/>
      <c r="E70" s="77">
        <f>SUM('111678 (0013):111706 (0238)'!E70:E70)</f>
        <v>0</v>
      </c>
      <c r="F70" s="295"/>
      <c r="G70" s="296">
        <f>SUM('111678 (0013):111706 (0238)'!G70:G70)</f>
        <v>0</v>
      </c>
      <c r="H70" s="297"/>
      <c r="I70" s="298">
        <f>SUM('111678 (0013):111706 (0238)'!I70:I70)</f>
        <v>0</v>
      </c>
      <c r="J70" s="99">
        <f t="shared" si="11"/>
        <v>0</v>
      </c>
      <c r="K70" s="21">
        <f>SUM('111678 (0013):111706 (0238)'!K70:K70)</f>
        <v>0</v>
      </c>
      <c r="L70" s="21">
        <f>SUM('111678 (0013):111706 (0238)'!L70:L70)</f>
        <v>0</v>
      </c>
      <c r="M70" s="21">
        <f>SUM('111678 (0013):111706 (0238)'!M70:M70)</f>
        <v>0</v>
      </c>
      <c r="N70" s="21">
        <f>SUM('111678 (0013):111706 (0238)'!N70:N70)</f>
        <v>0</v>
      </c>
      <c r="O70" s="21">
        <f>SUM('111678 (0013):111706 (0238)'!O70:O70)</f>
        <v>0</v>
      </c>
      <c r="P70" s="21">
        <f>SUM('111678 (0013):111706 (0238)'!P70:P70)</f>
        <v>0</v>
      </c>
      <c r="Q70" s="21">
        <f>SUM('111678 (0013):111706 (0238)'!Q70:Q70)</f>
        <v>0</v>
      </c>
      <c r="R70" s="21">
        <f>SUM('111678 (0013):111706 (0238)'!R70:R70)</f>
        <v>0</v>
      </c>
      <c r="S70" s="21">
        <f>SUM('111678 (0013):111706 (0238)'!S70:S70)</f>
        <v>0</v>
      </c>
      <c r="T70" s="21">
        <f>SUM('111678 (0013):111706 (0238)'!T70:T70)</f>
        <v>0</v>
      </c>
      <c r="U70" s="21">
        <f>SUM('111678 (0013):111706 (0238)'!U70:U70)</f>
        <v>0</v>
      </c>
      <c r="V70" s="19">
        <f>SUM('111678 (0013):111706 (0238)'!V70:V70)</f>
        <v>0</v>
      </c>
      <c r="W70" s="21">
        <f t="shared" si="12"/>
        <v>0</v>
      </c>
      <c r="X70" s="33"/>
      <c r="Y70" s="21">
        <f t="shared" si="13"/>
        <v>0</v>
      </c>
      <c r="Z70" s="33"/>
      <c r="AA70" s="21">
        <f t="shared" si="14"/>
        <v>0</v>
      </c>
    </row>
    <row r="71" spans="2:27" x14ac:dyDescent="0.2">
      <c r="B71" s="249" t="s">
        <v>34</v>
      </c>
      <c r="C71" s="249">
        <v>930</v>
      </c>
      <c r="D71" s="81"/>
      <c r="E71" s="77">
        <f>SUM('111678 (0013):111706 (0238)'!E71:E71)</f>
        <v>2692916</v>
      </c>
      <c r="F71" s="295"/>
      <c r="G71" s="296">
        <f>SUM('111678 (0013):111706 (0238)'!G71:G71)</f>
        <v>0</v>
      </c>
      <c r="H71" s="297"/>
      <c r="I71" s="298">
        <f>SUM('111678 (0013):111706 (0238)'!I71:I71)</f>
        <v>2692916</v>
      </c>
      <c r="J71" s="99">
        <f t="shared" si="11"/>
        <v>0.4155263909137426</v>
      </c>
      <c r="K71" s="21">
        <f>SUM('111678 (0013):111706 (0238)'!K71:K71)</f>
        <v>192117.45702604597</v>
      </c>
      <c r="L71" s="21">
        <f>SUM('111678 (0013):111706 (0238)'!L71:L71)</f>
        <v>200780.90089649646</v>
      </c>
      <c r="M71" s="21">
        <f>SUM('111678 (0013):111706 (0238)'!M71:M71)</f>
        <v>192117.51562456455</v>
      </c>
      <c r="N71" s="21">
        <f>SUM('111678 (0013):111706 (0238)'!N71:N71)</f>
        <v>192117.51562456455</v>
      </c>
      <c r="O71" s="21">
        <f>SUM('111678 (0013):111706 (0238)'!O71:O71)</f>
        <v>192117.51562456455</v>
      </c>
      <c r="P71" s="21">
        <f>SUM('111678 (0013):111706 (0238)'!P71:P71)</f>
        <v>192117.51562456455</v>
      </c>
      <c r="Q71" s="21">
        <f>SUM('111678 (0013):111706 (0238)'!Q71:Q71)</f>
        <v>192117.51562456455</v>
      </c>
      <c r="R71" s="21">
        <f>SUM('111678 (0013):111706 (0238)'!R71:R71)</f>
        <v>192117.51562456455</v>
      </c>
      <c r="S71" s="21">
        <f>SUM('111678 (0013):111706 (0238)'!S71:S71)</f>
        <v>192117.51562456455</v>
      </c>
      <c r="T71" s="21">
        <f>SUM('111678 (0013):111706 (0238)'!T71:T71)</f>
        <v>192117.51562456455</v>
      </c>
      <c r="U71" s="21">
        <f>SUM('111678 (0013):111706 (0238)'!U71:U71)</f>
        <v>192117.51562456455</v>
      </c>
      <c r="V71" s="19">
        <f>SUM('111678 (0013):111706 (0238)'!V71:V71)</f>
        <v>192117.51562456455</v>
      </c>
      <c r="W71" s="21">
        <f>SUM(K71:V71)</f>
        <v>2314073.5141681884</v>
      </c>
      <c r="X71" s="33"/>
      <c r="Y71" s="21">
        <f t="shared" si="13"/>
        <v>-378842.48583181156</v>
      </c>
      <c r="Z71" s="33"/>
      <c r="AA71" s="21">
        <f t="shared" si="14"/>
        <v>-378842.48583181156</v>
      </c>
    </row>
    <row r="72" spans="2:27" x14ac:dyDescent="0.2">
      <c r="B72" s="249" t="s">
        <v>35</v>
      </c>
      <c r="C72" s="249">
        <v>936</v>
      </c>
      <c r="D72" s="81"/>
      <c r="E72" s="77">
        <f>SUM('111678 (0013):111706 (0238)'!E72:E72)</f>
        <v>0</v>
      </c>
      <c r="F72" s="295"/>
      <c r="G72" s="296">
        <f>SUM('111678 (0013):111706 (0238)'!G72:G72)</f>
        <v>0</v>
      </c>
      <c r="H72" s="297"/>
      <c r="I72" s="298">
        <f>SUM('111678 (0013):111706 (0238)'!I72:I72)</f>
        <v>0</v>
      </c>
      <c r="J72" s="99">
        <f t="shared" si="11"/>
        <v>0</v>
      </c>
      <c r="K72" s="21">
        <f>SUM('111678 (0013):111706 (0238)'!K72:K72)</f>
        <v>0</v>
      </c>
      <c r="L72" s="21">
        <f>SUM('111678 (0013):111706 (0238)'!L72:L72)</f>
        <v>0</v>
      </c>
      <c r="M72" s="21">
        <f>SUM('111678 (0013):111706 (0238)'!M72:M72)</f>
        <v>0</v>
      </c>
      <c r="N72" s="21">
        <f>SUM('111678 (0013):111706 (0238)'!N72:N72)</f>
        <v>0</v>
      </c>
      <c r="O72" s="21">
        <f>SUM('111678 (0013):111706 (0238)'!O72:O72)</f>
        <v>0</v>
      </c>
      <c r="P72" s="21">
        <f>SUM('111678 (0013):111706 (0238)'!P72:P72)</f>
        <v>0</v>
      </c>
      <c r="Q72" s="21">
        <f>SUM('111678 (0013):111706 (0238)'!Q72:Q72)</f>
        <v>0</v>
      </c>
      <c r="R72" s="21">
        <f>SUM('111678 (0013):111706 (0238)'!R72:R72)</f>
        <v>0</v>
      </c>
      <c r="S72" s="21">
        <f>SUM('111678 (0013):111706 (0238)'!S72:S72)</f>
        <v>0</v>
      </c>
      <c r="T72" s="21">
        <f>SUM('111678 (0013):111706 (0238)'!T72:T72)</f>
        <v>0</v>
      </c>
      <c r="U72" s="21">
        <f>SUM('111678 (0013):111706 (0238)'!U72:U72)</f>
        <v>0</v>
      </c>
      <c r="V72" s="19">
        <f>SUM('111678 (0013):111706 (0238)'!V72:V72)</f>
        <v>0</v>
      </c>
      <c r="W72" s="21">
        <f t="shared" si="12"/>
        <v>0</v>
      </c>
      <c r="X72" s="33"/>
      <c r="Y72" s="21">
        <f t="shared" si="13"/>
        <v>0</v>
      </c>
      <c r="Z72" s="33"/>
      <c r="AA72" s="21">
        <f t="shared" si="14"/>
        <v>0</v>
      </c>
    </row>
    <row r="73" spans="2:27" x14ac:dyDescent="0.2">
      <c r="B73" s="249" t="s">
        <v>36</v>
      </c>
      <c r="C73" s="249">
        <v>942</v>
      </c>
      <c r="D73" s="81"/>
      <c r="E73" s="77">
        <f>SUM('111678 (0013):111706 (0238)'!E73:E73)</f>
        <v>130415</v>
      </c>
      <c r="F73" s="295"/>
      <c r="G73" s="296">
        <f>SUM('111678 (0013):111706 (0238)'!G73:G73)</f>
        <v>0</v>
      </c>
      <c r="H73" s="297"/>
      <c r="I73" s="298">
        <f>SUM('111678 (0013):111706 (0238)'!I73:I73)</f>
        <v>130415</v>
      </c>
      <c r="J73" s="99">
        <f t="shared" si="11"/>
        <v>1.5547623731003192E-2</v>
      </c>
      <c r="K73" s="21">
        <f>SUM('111678 (0013):111706 (0238)'!K73:K73)</f>
        <v>7165.329399463737</v>
      </c>
      <c r="L73" s="21">
        <f>SUM('111678 (0013):111706 (0238)'!L73:L73)</f>
        <v>7766.2935579165514</v>
      </c>
      <c r="M73" s="21">
        <f>SUM('111678 (0013):111706 (0238)'!M73:M73)</f>
        <v>7165.3357132695082</v>
      </c>
      <c r="N73" s="21">
        <f>SUM('111678 (0013):111706 (0238)'!N73:N73)</f>
        <v>7165.3357132695082</v>
      </c>
      <c r="O73" s="21">
        <f>SUM('111678 (0013):111706 (0238)'!O73:O73)</f>
        <v>7165.3357132695082</v>
      </c>
      <c r="P73" s="21">
        <f>SUM('111678 (0013):111706 (0238)'!P73:P73)</f>
        <v>7165.3357132695082</v>
      </c>
      <c r="Q73" s="21">
        <f>SUM('111678 (0013):111706 (0238)'!Q73:Q73)</f>
        <v>7165.3357132695082</v>
      </c>
      <c r="R73" s="21">
        <f>SUM('111678 (0013):111706 (0238)'!R73:R73)</f>
        <v>7165.3357132695082</v>
      </c>
      <c r="S73" s="21">
        <f>SUM('111678 (0013):111706 (0238)'!S73:S73)</f>
        <v>7165.3357132695082</v>
      </c>
      <c r="T73" s="21">
        <f>SUM('111678 (0013):111706 (0238)'!T73:T73)</f>
        <v>7165.3357132695082</v>
      </c>
      <c r="U73" s="21">
        <f>SUM('111678 (0013):111706 (0238)'!U73:U73)</f>
        <v>7165.3357132695082</v>
      </c>
      <c r="V73" s="19">
        <f>SUM('111678 (0013):111706 (0238)'!V73:V73)</f>
        <v>7165.3357132695082</v>
      </c>
      <c r="W73" s="21">
        <f t="shared" si="12"/>
        <v>86584.980090075376</v>
      </c>
      <c r="X73" s="33"/>
      <c r="Y73" s="21">
        <f t="shared" si="13"/>
        <v>-43830.019909924624</v>
      </c>
      <c r="Z73" s="33"/>
      <c r="AA73" s="21">
        <f t="shared" si="14"/>
        <v>-43830.019909924624</v>
      </c>
    </row>
    <row r="74" spans="2:27" x14ac:dyDescent="0.2">
      <c r="B74" s="249" t="s">
        <v>39</v>
      </c>
      <c r="C74" s="249">
        <v>951</v>
      </c>
      <c r="D74" s="81"/>
      <c r="E74" s="77">
        <f>SUM('111678 (0013):111706 (0238)'!E74:E74)</f>
        <v>136488</v>
      </c>
      <c r="F74" s="295"/>
      <c r="G74" s="296">
        <f>SUM('111678 (0013):111706 (0238)'!G74:G74)</f>
        <v>0</v>
      </c>
      <c r="H74" s="297"/>
      <c r="I74" s="298">
        <f>SUM('111678 (0013):111706 (0238)'!I74:I74)</f>
        <v>136488</v>
      </c>
      <c r="J74" s="99">
        <f t="shared" si="11"/>
        <v>2.1197867448189078E-2</v>
      </c>
      <c r="K74" s="21">
        <f>SUM('111678 (0013):111706 (0238)'!K74:K74)</f>
        <v>9771.1346685233984</v>
      </c>
      <c r="L74" s="21">
        <f>SUM('111678 (0013):111706 (0238)'!L74:L74)</f>
        <v>10568.693261868317</v>
      </c>
      <c r="M74" s="21">
        <f>SUM('111678 (0013):111706 (0238)'!M74:M74)</f>
        <v>9771.1455192285193</v>
      </c>
      <c r="N74" s="21">
        <f>SUM('111678 (0013):111706 (0238)'!N74:N74)</f>
        <v>9771.1455192285193</v>
      </c>
      <c r="O74" s="21">
        <f>SUM('111678 (0013):111706 (0238)'!O74:O74)</f>
        <v>9771.1455192285193</v>
      </c>
      <c r="P74" s="21">
        <f>SUM('111678 (0013):111706 (0238)'!P74:P74)</f>
        <v>9771.1455192285193</v>
      </c>
      <c r="Q74" s="21">
        <f>SUM('111678 (0013):111706 (0238)'!Q74:Q74)</f>
        <v>9771.1455192285193</v>
      </c>
      <c r="R74" s="21">
        <f>SUM('111678 (0013):111706 (0238)'!R74:R74)</f>
        <v>9771.1455192285193</v>
      </c>
      <c r="S74" s="21">
        <f>SUM('111678 (0013):111706 (0238)'!S74:S74)</f>
        <v>9771.1455192285193</v>
      </c>
      <c r="T74" s="21">
        <f>SUM('111678 (0013):111706 (0238)'!T74:T74)</f>
        <v>9771.1455192285193</v>
      </c>
      <c r="U74" s="21">
        <f>SUM('111678 (0013):111706 (0238)'!U74:U74)</f>
        <v>9771.1455192285193</v>
      </c>
      <c r="V74" s="19">
        <f>SUM('111678 (0013):111706 (0238)'!V74:V74)</f>
        <v>9771.1455192285193</v>
      </c>
      <c r="W74" s="21">
        <f t="shared" si="12"/>
        <v>118051.28312267692</v>
      </c>
      <c r="X74" s="33"/>
      <c r="Y74" s="21">
        <f t="shared" si="13"/>
        <v>-18436.716877323081</v>
      </c>
      <c r="Z74" s="33"/>
      <c r="AA74" s="21">
        <f t="shared" si="14"/>
        <v>-18436.716877323081</v>
      </c>
    </row>
    <row r="75" spans="2:27" x14ac:dyDescent="0.2">
      <c r="B75" s="249" t="s">
        <v>40</v>
      </c>
      <c r="C75" s="249">
        <v>954</v>
      </c>
      <c r="D75" s="81"/>
      <c r="E75" s="77">
        <f>SUM('111678 (0013):111706 (0238)'!E75:E75)</f>
        <v>0</v>
      </c>
      <c r="F75" s="295"/>
      <c r="G75" s="296">
        <f>SUM('111678 (0013):111706 (0238)'!G75:G75)</f>
        <v>0</v>
      </c>
      <c r="H75" s="297"/>
      <c r="I75" s="298">
        <f>SUM('111678 (0013):111706 (0238)'!I75:I75)</f>
        <v>0</v>
      </c>
      <c r="J75" s="99">
        <f t="shared" si="11"/>
        <v>0</v>
      </c>
      <c r="K75" s="21">
        <f>SUM('111678 (0013):111706 (0238)'!K75:K75)</f>
        <v>0</v>
      </c>
      <c r="L75" s="21">
        <f>SUM('111678 (0013):111706 (0238)'!L75:L75)</f>
        <v>0</v>
      </c>
      <c r="M75" s="21">
        <f>SUM('111678 (0013):111706 (0238)'!M75:M75)</f>
        <v>0</v>
      </c>
      <c r="N75" s="21">
        <f>SUM('111678 (0013):111706 (0238)'!N75:N75)</f>
        <v>0</v>
      </c>
      <c r="O75" s="21">
        <f>SUM('111678 (0013):111706 (0238)'!O75:O75)</f>
        <v>0</v>
      </c>
      <c r="P75" s="21">
        <f>SUM('111678 (0013):111706 (0238)'!P75:P75)</f>
        <v>0</v>
      </c>
      <c r="Q75" s="21">
        <f>SUM('111678 (0013):111706 (0238)'!Q75:Q75)</f>
        <v>0</v>
      </c>
      <c r="R75" s="21">
        <f>SUM('111678 (0013):111706 (0238)'!R75:R75)</f>
        <v>0</v>
      </c>
      <c r="S75" s="21">
        <f>SUM('111678 (0013):111706 (0238)'!S75:S75)</f>
        <v>0</v>
      </c>
      <c r="T75" s="21">
        <f>SUM('111678 (0013):111706 (0238)'!T75:T75)</f>
        <v>0</v>
      </c>
      <c r="U75" s="21">
        <f>SUM('111678 (0013):111706 (0238)'!U75:U75)</f>
        <v>0</v>
      </c>
      <c r="V75" s="19">
        <f>SUM('111678 (0013):111706 (0238)'!V75:V75)</f>
        <v>0</v>
      </c>
      <c r="W75" s="21">
        <f t="shared" si="12"/>
        <v>0</v>
      </c>
      <c r="X75" s="33"/>
      <c r="Y75" s="21">
        <f t="shared" si="13"/>
        <v>0</v>
      </c>
      <c r="Z75" s="33"/>
      <c r="AA75" s="21">
        <f t="shared" si="14"/>
        <v>0</v>
      </c>
    </row>
    <row r="76" spans="2:27" x14ac:dyDescent="0.2">
      <c r="B76" s="249" t="s">
        <v>152</v>
      </c>
      <c r="C76" s="249">
        <v>984</v>
      </c>
      <c r="D76" s="81"/>
      <c r="E76" s="77">
        <f>SUM('111678 (0013):111706 (0238)'!E76:E76)</f>
        <v>71951</v>
      </c>
      <c r="F76" s="295"/>
      <c r="G76" s="296">
        <f>SUM('111678 (0013):111706 (0238)'!G76:G76)</f>
        <v>0</v>
      </c>
      <c r="H76" s="297"/>
      <c r="I76" s="298">
        <f>SUM('111678 (0013):111706 (0238)'!I76:I76)</f>
        <v>71951</v>
      </c>
      <c r="J76" s="99">
        <f t="shared" si="11"/>
        <v>7.3618529273823466E-3</v>
      </c>
      <c r="K76" s="21">
        <f>SUM('111678 (0013):111706 (0238)'!K76:K76)</f>
        <v>3394.9072341521432</v>
      </c>
      <c r="L76" s="21">
        <f>SUM('111678 (0013):111706 (0238)'!L76:L76)</f>
        <v>3654.2443118776964</v>
      </c>
      <c r="M76" s="21">
        <f>SUM('111678 (0013):111706 (0238)'!M76:M76)</f>
        <v>3394.9132189920492</v>
      </c>
      <c r="N76" s="21">
        <f>SUM('111678 (0013):111706 (0238)'!N76:N76)</f>
        <v>3394.9132189920492</v>
      </c>
      <c r="O76" s="21">
        <f>SUM('111678 (0013):111706 (0238)'!O76:O76)</f>
        <v>3394.9132189920492</v>
      </c>
      <c r="P76" s="21">
        <f>SUM('111678 (0013):111706 (0238)'!P76:P76)</f>
        <v>3394.9132189920492</v>
      </c>
      <c r="Q76" s="21">
        <f>SUM('111678 (0013):111706 (0238)'!Q76:Q76)</f>
        <v>3394.9132189920492</v>
      </c>
      <c r="R76" s="21">
        <f>SUM('111678 (0013):111706 (0238)'!R76:R76)</f>
        <v>3394.9132189920492</v>
      </c>
      <c r="S76" s="21">
        <f>SUM('111678 (0013):111706 (0238)'!S76:S76)</f>
        <v>3394.9132189920492</v>
      </c>
      <c r="T76" s="21">
        <f>SUM('111678 (0013):111706 (0238)'!T76:T76)</f>
        <v>3394.9132189920492</v>
      </c>
      <c r="U76" s="21">
        <f>SUM('111678 (0013):111706 (0238)'!U76:U76)</f>
        <v>3394.9132189920492</v>
      </c>
      <c r="V76" s="19">
        <f>SUM('111678 (0013):111706 (0238)'!V76:V76)</f>
        <v>3394.9132189920492</v>
      </c>
      <c r="W76" s="21">
        <f t="shared" si="12"/>
        <v>40998.283735950332</v>
      </c>
      <c r="X76" s="33"/>
      <c r="Y76" s="21">
        <f t="shared" si="13"/>
        <v>-30952.716264049668</v>
      </c>
      <c r="Z76" s="33"/>
      <c r="AA76" s="21">
        <f t="shared" si="14"/>
        <v>-30952.716264049668</v>
      </c>
    </row>
    <row r="77" spans="2:27" x14ac:dyDescent="0.2">
      <c r="B77" s="249" t="s">
        <v>45</v>
      </c>
      <c r="C77" s="249">
        <v>981</v>
      </c>
      <c r="D77" s="81"/>
      <c r="E77" s="77">
        <f>SUM('111678 (0013):111706 (0238)'!E77:E77)</f>
        <v>64672</v>
      </c>
      <c r="F77" s="295"/>
      <c r="G77" s="296">
        <f>SUM('111678 (0013):111706 (0238)'!G77:G77)</f>
        <v>0</v>
      </c>
      <c r="H77" s="297"/>
      <c r="I77" s="298">
        <f>SUM('111678 (0013):111706 (0238)'!I77:I77)</f>
        <v>64672</v>
      </c>
      <c r="J77" s="99">
        <f t="shared" si="11"/>
        <v>2.5128174505115636E-4</v>
      </c>
      <c r="K77" s="21">
        <f>SUM('111678 (0013):111706 (0238)'!K77:K77)</f>
        <v>116.61602478448282</v>
      </c>
      <c r="L77" s="21">
        <f>SUM('111678 (0013):111706 (0238)'!L77:L77)</f>
        <v>116.61602478448282</v>
      </c>
      <c r="M77" s="21">
        <f>SUM('111678 (0013):111706 (0238)'!M77:M77)</f>
        <v>116.61602478448282</v>
      </c>
      <c r="N77" s="21">
        <f>SUM('111678 (0013):111706 (0238)'!N77:N77)</f>
        <v>116.61602478448282</v>
      </c>
      <c r="O77" s="21">
        <f>SUM('111678 (0013):111706 (0238)'!O77:O77)</f>
        <v>116.61602478448282</v>
      </c>
      <c r="P77" s="21">
        <f>SUM('111678 (0013):111706 (0238)'!P77:P77)</f>
        <v>116.61602478448282</v>
      </c>
      <c r="Q77" s="21">
        <f>SUM('111678 (0013):111706 (0238)'!Q77:Q77)</f>
        <v>116.61602478448282</v>
      </c>
      <c r="R77" s="21">
        <f>SUM('111678 (0013):111706 (0238)'!R77:R77)</f>
        <v>116.61602478448282</v>
      </c>
      <c r="S77" s="21">
        <f>SUM('111678 (0013):111706 (0238)'!S77:S77)</f>
        <v>116.61602478448282</v>
      </c>
      <c r="T77" s="21">
        <f>SUM('111678 (0013):111706 (0238)'!T77:T77)</f>
        <v>116.61602478448282</v>
      </c>
      <c r="U77" s="21">
        <f>SUM('111678 (0013):111706 (0238)'!U77:U77)</f>
        <v>116.61602478448282</v>
      </c>
      <c r="V77" s="19">
        <f>SUM('111678 (0013):111706 (0238)'!V77:V77)</f>
        <v>116.61602478448282</v>
      </c>
      <c r="W77" s="21">
        <f t="shared" si="12"/>
        <v>1399.3922974137934</v>
      </c>
      <c r="X77" s="33"/>
      <c r="Y77" s="21">
        <f t="shared" si="13"/>
        <v>-63272.607702586203</v>
      </c>
      <c r="Z77" s="33"/>
      <c r="AA77" s="21">
        <f t="shared" si="14"/>
        <v>-63272.607702586203</v>
      </c>
    </row>
    <row r="78" spans="2:27" x14ac:dyDescent="0.2">
      <c r="B78" s="249" t="s">
        <v>46</v>
      </c>
      <c r="C78" s="249">
        <v>983</v>
      </c>
      <c r="D78" s="81"/>
      <c r="E78" s="77">
        <f>SUM('111678 (0013):111706 (0238)'!E78:E78)</f>
        <v>425326</v>
      </c>
      <c r="F78" s="295"/>
      <c r="G78" s="296">
        <f>SUM('111678 (0013):111706 (0238)'!G78:G78)</f>
        <v>-138700</v>
      </c>
      <c r="H78" s="297"/>
      <c r="I78" s="298">
        <f>SUM('111678 (0013):111706 (0238)'!I78:I78)</f>
        <v>286626</v>
      </c>
      <c r="J78" s="99">
        <f t="shared" si="11"/>
        <v>2.8715305344651391E-2</v>
      </c>
      <c r="K78" s="21">
        <f>SUM('111678 (0013):111706 (0238)'!K78:K78)</f>
        <v>13244.08076228251</v>
      </c>
      <c r="L78" s="21">
        <f>SUM('111678 (0013):111706 (0238)'!L78:L78)</f>
        <v>14230.906069317703</v>
      </c>
      <c r="M78" s="21">
        <f>SUM('111678 (0013):111706 (0238)'!M78:M78)</f>
        <v>13244.103535699755</v>
      </c>
      <c r="N78" s="21">
        <f>SUM('111678 (0013):111706 (0238)'!N78:N78)</f>
        <v>13244.103535699755</v>
      </c>
      <c r="O78" s="21">
        <f>SUM('111678 (0013):111706 (0238)'!O78:O78)</f>
        <v>13244.103535699755</v>
      </c>
      <c r="P78" s="21">
        <f>SUM('111678 (0013):111706 (0238)'!P78:P78)</f>
        <v>13244.103535699755</v>
      </c>
      <c r="Q78" s="21">
        <f>SUM('111678 (0013):111706 (0238)'!Q78:Q78)</f>
        <v>13244.103535699755</v>
      </c>
      <c r="R78" s="21">
        <f>SUM('111678 (0013):111706 (0238)'!R78:R78)</f>
        <v>13244.103535699755</v>
      </c>
      <c r="S78" s="21">
        <f>SUM('111678 (0013):111706 (0238)'!S78:S78)</f>
        <v>13244.103535699755</v>
      </c>
      <c r="T78" s="21">
        <f>SUM('111678 (0013):111706 (0238)'!T78:T78)</f>
        <v>13244.103535699755</v>
      </c>
      <c r="U78" s="21">
        <f>SUM('111678 (0013):111706 (0238)'!U78:U78)</f>
        <v>13244.103535699755</v>
      </c>
      <c r="V78" s="19">
        <f>SUM('111678 (0013):111706 (0238)'!V78:V78)</f>
        <v>13244.103535699755</v>
      </c>
      <c r="W78" s="21">
        <f t="shared" si="12"/>
        <v>159916.02218859777</v>
      </c>
      <c r="X78" s="33"/>
      <c r="Y78" s="21">
        <f t="shared" si="13"/>
        <v>-265409.97781140223</v>
      </c>
      <c r="Z78" s="33"/>
      <c r="AA78" s="21">
        <f t="shared" si="14"/>
        <v>-126709.97781140223</v>
      </c>
    </row>
    <row r="79" spans="2:27" x14ac:dyDescent="0.2">
      <c r="B79" s="249" t="s">
        <v>47</v>
      </c>
      <c r="C79" s="249"/>
      <c r="D79" s="81"/>
      <c r="E79" s="77">
        <f>SUM('111678 (0013):111706 (0238)'!E79:E79)</f>
        <v>0</v>
      </c>
      <c r="F79" s="295"/>
      <c r="G79" s="296">
        <f>SUM('111678 (0013):111706 (0238)'!G79:G79)</f>
        <v>0</v>
      </c>
      <c r="H79" s="297"/>
      <c r="I79" s="298">
        <f>SUM('111678 (0013):111706 (0238)'!I79:I79)</f>
        <v>0</v>
      </c>
      <c r="J79" s="99">
        <f t="shared" si="11"/>
        <v>0</v>
      </c>
      <c r="K79" s="21">
        <f>SUM('111678 (0013):111706 (0238)'!K79:K79)</f>
        <v>0</v>
      </c>
      <c r="L79" s="21">
        <f>SUM('111678 (0013):111706 (0238)'!L79:L79)</f>
        <v>0</v>
      </c>
      <c r="M79" s="21">
        <f>SUM('111678 (0013):111706 (0238)'!M79:M79)</f>
        <v>0</v>
      </c>
      <c r="N79" s="21">
        <f>SUM('111678 (0013):111706 (0238)'!N79:N79)</f>
        <v>0</v>
      </c>
      <c r="O79" s="21">
        <f>SUM('111678 (0013):111706 (0238)'!O79:O79)</f>
        <v>0</v>
      </c>
      <c r="P79" s="21">
        <f>SUM('111678 (0013):111706 (0238)'!P79:P79)</f>
        <v>0</v>
      </c>
      <c r="Q79" s="21">
        <f>SUM('111678 (0013):111706 (0238)'!Q79:Q79)</f>
        <v>0</v>
      </c>
      <c r="R79" s="21">
        <f>SUM('111678 (0013):111706 (0238)'!R79:R79)</f>
        <v>0</v>
      </c>
      <c r="S79" s="21">
        <f>SUM('111678 (0013):111706 (0238)'!S79:S79)</f>
        <v>0</v>
      </c>
      <c r="T79" s="21">
        <f>SUM('111678 (0013):111706 (0238)'!T79:T79)</f>
        <v>0</v>
      </c>
      <c r="U79" s="21">
        <f>SUM('111678 (0013):111706 (0238)'!U79:U79)</f>
        <v>0</v>
      </c>
      <c r="V79" s="19">
        <f>SUM('111678 (0013):111706 (0238)'!V79:V79)</f>
        <v>0</v>
      </c>
      <c r="W79" s="21">
        <f t="shared" si="12"/>
        <v>0</v>
      </c>
      <c r="X79" s="33"/>
      <c r="Y79" s="21">
        <f t="shared" si="13"/>
        <v>0</v>
      </c>
      <c r="Z79" s="33"/>
      <c r="AA79" s="21">
        <f t="shared" si="14"/>
        <v>0</v>
      </c>
    </row>
    <row r="80" spans="2:27" ht="13.5" thickBot="1" x14ac:dyDescent="0.25">
      <c r="B80" s="249" t="s">
        <v>47</v>
      </c>
      <c r="C80" s="249"/>
      <c r="D80" s="81"/>
      <c r="E80" s="86">
        <f>SUM('111678 (0013):111706 (0238)'!E80:E80)</f>
        <v>0</v>
      </c>
      <c r="F80" s="295"/>
      <c r="G80" s="86">
        <f>SUM('111678 (0013):111706 (0238)'!G80:G80)</f>
        <v>0</v>
      </c>
      <c r="H80" s="297"/>
      <c r="I80" s="86">
        <f>SUM('111678 (0013):111706 (0238)'!I80:I80)</f>
        <v>0</v>
      </c>
      <c r="J80" s="99">
        <f t="shared" si="11"/>
        <v>0</v>
      </c>
      <c r="K80" s="42">
        <f>SUM('111678 (0013):111706 (0238)'!K80:K80)</f>
        <v>0</v>
      </c>
      <c r="L80" s="42">
        <f>SUM('111678 (0013):111706 (0238)'!L80:L80)</f>
        <v>0</v>
      </c>
      <c r="M80" s="42">
        <f>SUM('111678 (0013):111706 (0238)'!M80:M80)</f>
        <v>0</v>
      </c>
      <c r="N80" s="42">
        <f>SUM('111678 (0013):111706 (0238)'!N80:N80)</f>
        <v>0</v>
      </c>
      <c r="O80" s="42">
        <f>SUM('111678 (0013):111706 (0238)'!O80:O80)</f>
        <v>0</v>
      </c>
      <c r="P80" s="42">
        <f>SUM('111678 (0013):111706 (0238)'!P80:P80)</f>
        <v>0</v>
      </c>
      <c r="Q80" s="42">
        <f>SUM('111678 (0013):111706 (0238)'!Q80:Q80)</f>
        <v>0</v>
      </c>
      <c r="R80" s="42">
        <f>SUM('111678 (0013):111706 (0238)'!R80:R80)</f>
        <v>0</v>
      </c>
      <c r="S80" s="42">
        <f>SUM('111678 (0013):111706 (0238)'!S80:S80)</f>
        <v>0</v>
      </c>
      <c r="T80" s="42">
        <f>SUM('111678 (0013):111706 (0238)'!T80:T80)</f>
        <v>0</v>
      </c>
      <c r="U80" s="42">
        <f>SUM('111678 (0013):111706 (0238)'!U80:U80)</f>
        <v>0</v>
      </c>
      <c r="V80" s="291">
        <f>SUM('111678 (0013):111706 (0238)'!V80:V80)</f>
        <v>0</v>
      </c>
      <c r="W80" s="42">
        <f t="shared" si="12"/>
        <v>0</v>
      </c>
      <c r="X80" s="33"/>
      <c r="Y80" s="21">
        <f t="shared" si="13"/>
        <v>0</v>
      </c>
      <c r="Z80" s="33"/>
      <c r="AA80" s="21">
        <f t="shared" si="14"/>
        <v>0</v>
      </c>
    </row>
    <row r="81" spans="1:29" ht="13.5" thickBot="1" x14ac:dyDescent="0.25">
      <c r="B81" s="289" t="s">
        <v>48</v>
      </c>
      <c r="C81" s="289"/>
      <c r="D81" s="84"/>
      <c r="E81" s="93">
        <f>SUM('111678 (0013):111706 (0238)'!E81:E81)</f>
        <v>6810548</v>
      </c>
      <c r="F81" s="66"/>
      <c r="G81" s="93">
        <f>SUM('111678 (0013):111706 (0238)'!G81:G81)</f>
        <v>-138700</v>
      </c>
      <c r="H81" s="294"/>
      <c r="I81" s="93">
        <f>SUM('111678 (0013):111706 (0238)'!I81:I81)</f>
        <v>6671848</v>
      </c>
      <c r="J81" s="38">
        <f t="shared" ref="J81:V81" si="15">SUM(J62:J80)</f>
        <v>1</v>
      </c>
      <c r="K81" s="37">
        <f t="shared" si="15"/>
        <v>462062.12083333329</v>
      </c>
      <c r="L81" s="37">
        <f t="shared" si="15"/>
        <v>486339.45416000002</v>
      </c>
      <c r="M81" s="37">
        <f t="shared" si="15"/>
        <v>462061.53750000003</v>
      </c>
      <c r="N81" s="37">
        <f t="shared" si="15"/>
        <v>462061.53750000003</v>
      </c>
      <c r="O81" s="37">
        <f t="shared" si="15"/>
        <v>462061.53750000003</v>
      </c>
      <c r="P81" s="37">
        <f t="shared" si="15"/>
        <v>462061.53750000003</v>
      </c>
      <c r="Q81" s="37">
        <f t="shared" si="15"/>
        <v>462061.53750000003</v>
      </c>
      <c r="R81" s="37">
        <f t="shared" si="15"/>
        <v>462061.53750000003</v>
      </c>
      <c r="S81" s="37">
        <f t="shared" si="15"/>
        <v>462061.53750000003</v>
      </c>
      <c r="T81" s="37">
        <f t="shared" si="15"/>
        <v>462061.53750000003</v>
      </c>
      <c r="U81" s="37">
        <f t="shared" si="15"/>
        <v>462061.53750000003</v>
      </c>
      <c r="V81" s="39">
        <f t="shared" si="15"/>
        <v>462061.53750000003</v>
      </c>
      <c r="W81" s="93">
        <f>SUM('111678 (0013):111706 (0238)'!W81:W81)</f>
        <v>5569016.9499933338</v>
      </c>
      <c r="X81" s="93"/>
      <c r="Y81" s="40">
        <f>SUM(Y62:Y80)</f>
        <v>-1241531.0500066665</v>
      </c>
      <c r="Z81" s="63"/>
      <c r="AA81" s="40">
        <f>SUM(AA62:AA80)</f>
        <v>-1102831.0500066665</v>
      </c>
    </row>
    <row r="82" spans="1:29" s="71" customFormat="1" x14ac:dyDescent="0.2">
      <c r="A82"/>
      <c r="B82" s="250" t="s">
        <v>49</v>
      </c>
      <c r="C82" s="251"/>
      <c r="D82" s="85"/>
      <c r="E82" s="213">
        <f>E81-E56</f>
        <v>1347769</v>
      </c>
      <c r="F82" s="214"/>
      <c r="G82" s="213">
        <f>G81-G56</f>
        <v>-371193</v>
      </c>
      <c r="H82" s="216"/>
      <c r="I82" s="213">
        <f>I81-I56</f>
        <v>976576</v>
      </c>
      <c r="J82" s="213"/>
      <c r="K82" s="213">
        <f t="shared" ref="K82:W82" si="16">K81-K56</f>
        <v>0</v>
      </c>
      <c r="L82" s="213">
        <f t="shared" si="16"/>
        <v>0</v>
      </c>
      <c r="M82" s="213">
        <f t="shared" si="16"/>
        <v>0</v>
      </c>
      <c r="N82" s="213">
        <f t="shared" si="16"/>
        <v>0</v>
      </c>
      <c r="O82" s="213">
        <f t="shared" si="16"/>
        <v>0</v>
      </c>
      <c r="P82" s="213">
        <f t="shared" si="16"/>
        <v>0</v>
      </c>
      <c r="Q82" s="213">
        <f t="shared" si="16"/>
        <v>0</v>
      </c>
      <c r="R82" s="213">
        <f t="shared" si="16"/>
        <v>0</v>
      </c>
      <c r="S82" s="213">
        <f t="shared" si="16"/>
        <v>0</v>
      </c>
      <c r="T82" s="213">
        <f t="shared" si="16"/>
        <v>0</v>
      </c>
      <c r="U82" s="213">
        <f t="shared" si="16"/>
        <v>0</v>
      </c>
      <c r="V82" s="215">
        <f t="shared" si="16"/>
        <v>0</v>
      </c>
      <c r="W82" s="215">
        <f t="shared" si="16"/>
        <v>0</v>
      </c>
      <c r="X82" s="216"/>
      <c r="Y82" s="215">
        <f>Y81-Y56</f>
        <v>-1347769.0000000002</v>
      </c>
      <c r="Z82" s="216"/>
      <c r="AA82" s="215">
        <f>AA81-AA56</f>
        <v>-976576.00000000023</v>
      </c>
      <c r="AB82"/>
      <c r="AC82"/>
    </row>
  </sheetData>
  <pageMargins left="0.25" right="0.25" top="0.32" bottom="0.27" header="0.25" footer="0.2"/>
  <pageSetup scale="7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82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9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7.7109375" bestFit="1" customWidth="1"/>
    <col min="8" max="8" width="0.85546875" customWidth="1"/>
    <col min="9" max="9" width="10.5703125" bestFit="1" customWidth="1"/>
    <col min="10" max="10" width="9.5703125" customWidth="1"/>
    <col min="11" max="22" width="8.7109375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9.7109375" bestFit="1" customWidth="1"/>
    <col min="30" max="30" width="0.7109375" customWidth="1"/>
    <col min="31" max="31" width="9.85546875" style="71" bestFit="1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111678</v>
      </c>
      <c r="D4" s="23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36724.628800925922</v>
      </c>
      <c r="AB5" s="1"/>
    </row>
    <row r="6" spans="1:29" x14ac:dyDescent="0.2">
      <c r="B6" s="3" t="s">
        <v>232</v>
      </c>
      <c r="C6" s="304">
        <v>13</v>
      </c>
      <c r="D6" s="232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36724.628800925922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v>5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5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417672</v>
      </c>
      <c r="F14" s="281"/>
      <c r="G14" s="21">
        <v>7350</v>
      </c>
      <c r="H14" s="33"/>
      <c r="I14" s="21">
        <v>425022</v>
      </c>
      <c r="J14" s="57"/>
      <c r="K14" s="263">
        <v>37912</v>
      </c>
      <c r="L14" s="263">
        <v>37912</v>
      </c>
      <c r="M14" s="263">
        <v>37912</v>
      </c>
      <c r="N14" s="263">
        <v>37912</v>
      </c>
      <c r="O14" s="263">
        <v>37912</v>
      </c>
      <c r="P14" s="263">
        <v>37912</v>
      </c>
      <c r="Q14" s="263">
        <v>37912</v>
      </c>
      <c r="R14" s="263">
        <v>37912</v>
      </c>
      <c r="S14" s="263">
        <v>37912</v>
      </c>
      <c r="T14" s="263">
        <v>37912</v>
      </c>
      <c r="U14" s="263">
        <v>37912</v>
      </c>
      <c r="V14" s="263">
        <v>37912</v>
      </c>
      <c r="W14" s="21">
        <f>SUM(K14:V14)</f>
        <v>454944</v>
      </c>
      <c r="X14" s="1"/>
      <c r="Y14" s="263">
        <f t="shared" ref="Y14:Y21" si="0">W14-E14</f>
        <v>37272</v>
      </c>
      <c r="Z14" s="264"/>
      <c r="AA14" s="263">
        <f t="shared" ref="AA14:AA39" si="1">W14-I14</f>
        <v>29922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20000</v>
      </c>
      <c r="F15" s="281"/>
      <c r="G15" s="21"/>
      <c r="H15" s="33"/>
      <c r="I15" s="21">
        <v>20000</v>
      </c>
      <c r="J15" s="57"/>
      <c r="K15" s="263">
        <v>1666.6666666666665</v>
      </c>
      <c r="L15" s="21">
        <v>1666.6666666666665</v>
      </c>
      <c r="M15" s="21">
        <v>1666.6666666666665</v>
      </c>
      <c r="N15" s="21">
        <v>1666.6666666666665</v>
      </c>
      <c r="O15" s="21">
        <v>1666.6666666666665</v>
      </c>
      <c r="P15" s="21">
        <v>1666.6666666666665</v>
      </c>
      <c r="Q15" s="21">
        <v>1666.6666666666665</v>
      </c>
      <c r="R15" s="21">
        <v>1666.6666666666665</v>
      </c>
      <c r="S15" s="21">
        <v>1666.6666666666665</v>
      </c>
      <c r="T15" s="21">
        <v>1666.6666666666665</v>
      </c>
      <c r="U15" s="21">
        <v>1666.6666666666665</v>
      </c>
      <c r="V15" s="21">
        <v>1666.6666666666665</v>
      </c>
      <c r="W15" s="21">
        <f t="shared" ref="W15:W45" si="2">SUM(K15:V15)</f>
        <v>20000</v>
      </c>
      <c r="X15" s="1"/>
      <c r="Y15" s="21">
        <f t="shared" si="0"/>
        <v>0</v>
      </c>
      <c r="Z15" s="262"/>
      <c r="AA15" s="21">
        <f t="shared" si="1"/>
        <v>0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12000</v>
      </c>
      <c r="F16" s="281"/>
      <c r="G16" s="21">
        <v>-100</v>
      </c>
      <c r="H16" s="33"/>
      <c r="I16" s="21">
        <v>11900</v>
      </c>
      <c r="J16" s="57"/>
      <c r="K16" s="21">
        <v>991.66666666666663</v>
      </c>
      <c r="L16" s="21">
        <v>991.66666666666663</v>
      </c>
      <c r="M16" s="21">
        <v>991.66666666666663</v>
      </c>
      <c r="N16" s="21">
        <v>991.66666666666663</v>
      </c>
      <c r="O16" s="21">
        <v>991.66666666666663</v>
      </c>
      <c r="P16" s="21">
        <v>991.66666666666663</v>
      </c>
      <c r="Q16" s="21">
        <v>991.66666666666663</v>
      </c>
      <c r="R16" s="21">
        <v>991.66666666666663</v>
      </c>
      <c r="S16" s="21">
        <v>991.66666666666663</v>
      </c>
      <c r="T16" s="21">
        <v>991.66666666666663</v>
      </c>
      <c r="U16" s="21">
        <v>991.66666666666663</v>
      </c>
      <c r="V16" s="21">
        <v>991.66666666666663</v>
      </c>
      <c r="W16" s="21">
        <f t="shared" si="2"/>
        <v>11899.999999999998</v>
      </c>
      <c r="X16" s="1"/>
      <c r="Y16" s="21">
        <f t="shared" si="0"/>
        <v>-100.00000000000182</v>
      </c>
      <c r="Z16" s="262"/>
      <c r="AA16" s="21">
        <f t="shared" si="1"/>
        <v>0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3000</v>
      </c>
      <c r="F17" s="281"/>
      <c r="G17" s="21">
        <v>197</v>
      </c>
      <c r="H17" s="33"/>
      <c r="I17" s="21">
        <v>3197</v>
      </c>
      <c r="J17" s="57"/>
      <c r="K17" s="21">
        <v>266.41666666666663</v>
      </c>
      <c r="L17" s="21">
        <v>266.41666666666663</v>
      </c>
      <c r="M17" s="21">
        <v>266.41666666666663</v>
      </c>
      <c r="N17" s="21">
        <v>266.41666666666663</v>
      </c>
      <c r="O17" s="21">
        <v>266.41666666666663</v>
      </c>
      <c r="P17" s="21">
        <v>266.41666666666663</v>
      </c>
      <c r="Q17" s="21">
        <v>266.41666666666663</v>
      </c>
      <c r="R17" s="21">
        <v>266.41666666666663</v>
      </c>
      <c r="S17" s="21">
        <v>266.41666666666663</v>
      </c>
      <c r="T17" s="21">
        <v>266.41666666666663</v>
      </c>
      <c r="U17" s="21">
        <v>266.41666666666663</v>
      </c>
      <c r="V17" s="21">
        <v>266.41666666666663</v>
      </c>
      <c r="W17" s="21">
        <f t="shared" si="2"/>
        <v>3196.9999999999986</v>
      </c>
      <c r="X17" s="1"/>
      <c r="Y17" s="21">
        <f t="shared" si="0"/>
        <v>196.99999999999864</v>
      </c>
      <c r="Z17" s="262"/>
      <c r="AA17" s="21">
        <f t="shared" si="1"/>
        <v>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3000</v>
      </c>
      <c r="F18" s="281"/>
      <c r="G18" s="21">
        <v>-85</v>
      </c>
      <c r="H18" s="33"/>
      <c r="I18" s="21">
        <v>2915</v>
      </c>
      <c r="J18" s="57"/>
      <c r="K18" s="21">
        <v>242.91666666666666</v>
      </c>
      <c r="L18" s="21">
        <v>242.91666666666666</v>
      </c>
      <c r="M18" s="21">
        <v>242.91666666666666</v>
      </c>
      <c r="N18" s="21">
        <v>242.91666666666666</v>
      </c>
      <c r="O18" s="21">
        <v>242.91666666666666</v>
      </c>
      <c r="P18" s="21">
        <v>242.91666666666666</v>
      </c>
      <c r="Q18" s="21">
        <v>242.91666666666666</v>
      </c>
      <c r="R18" s="21">
        <v>242.91666666666666</v>
      </c>
      <c r="S18" s="21">
        <v>242.91666666666666</v>
      </c>
      <c r="T18" s="21">
        <v>242.91666666666666</v>
      </c>
      <c r="U18" s="21">
        <v>242.91666666666666</v>
      </c>
      <c r="V18" s="21">
        <v>242.91666666666666</v>
      </c>
      <c r="W18" s="21">
        <f t="shared" si="2"/>
        <v>2914.9999999999995</v>
      </c>
      <c r="X18" s="1"/>
      <c r="Y18" s="21">
        <f t="shared" si="0"/>
        <v>-85.000000000000455</v>
      </c>
      <c r="Z18" s="262"/>
      <c r="AA18" s="21">
        <f t="shared" si="1"/>
        <v>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5016</v>
      </c>
      <c r="F26" s="281"/>
      <c r="G26" s="21">
        <v>-50</v>
      </c>
      <c r="H26" s="33"/>
      <c r="I26" s="21">
        <v>4966</v>
      </c>
      <c r="J26" s="57"/>
      <c r="K26" s="21">
        <v>413.83333333333331</v>
      </c>
      <c r="L26" s="21">
        <v>413.83333333333331</v>
      </c>
      <c r="M26" s="21">
        <v>413.83333333333331</v>
      </c>
      <c r="N26" s="21">
        <v>413.83333333333331</v>
      </c>
      <c r="O26" s="21">
        <v>413.83333333333331</v>
      </c>
      <c r="P26" s="21">
        <v>413.83333333333331</v>
      </c>
      <c r="Q26" s="21">
        <v>413.83333333333331</v>
      </c>
      <c r="R26" s="21">
        <v>413.83333333333331</v>
      </c>
      <c r="S26" s="21">
        <v>413.83333333333331</v>
      </c>
      <c r="T26" s="21">
        <v>413.83333333333331</v>
      </c>
      <c r="U26" s="21">
        <v>413.83333333333331</v>
      </c>
      <c r="V26" s="21">
        <v>413.83333333333331</v>
      </c>
      <c r="W26" s="21">
        <f t="shared" si="2"/>
        <v>4966</v>
      </c>
      <c r="X26" s="1"/>
      <c r="Y26" s="21">
        <f t="shared" si="3"/>
        <v>-50</v>
      </c>
      <c r="Z26" s="262"/>
      <c r="AA26" s="21">
        <f t="shared" si="1"/>
        <v>0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0</v>
      </c>
      <c r="F27" s="281"/>
      <c r="G27" s="21"/>
      <c r="H27" s="33"/>
      <c r="I27" s="21">
        <v>0</v>
      </c>
      <c r="J27" s="57"/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f t="shared" si="2"/>
        <v>0</v>
      </c>
      <c r="X27" s="1"/>
      <c r="Y27" s="21">
        <f t="shared" si="3"/>
        <v>0</v>
      </c>
      <c r="Z27" s="262"/>
      <c r="AA27" s="21">
        <f t="shared" si="1"/>
        <v>0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438330</v>
      </c>
      <c r="F28" s="281"/>
      <c r="G28" s="21"/>
      <c r="H28" s="33"/>
      <c r="I28" s="21">
        <v>438330</v>
      </c>
      <c r="J28" s="57"/>
      <c r="K28" s="21">
        <v>36527.5</v>
      </c>
      <c r="L28" s="21">
        <v>36527.5</v>
      </c>
      <c r="M28" s="21">
        <v>36527.5</v>
      </c>
      <c r="N28" s="21">
        <v>36527.5</v>
      </c>
      <c r="O28" s="21">
        <v>36527.5</v>
      </c>
      <c r="P28" s="21">
        <v>36527.5</v>
      </c>
      <c r="Q28" s="21">
        <v>36527.5</v>
      </c>
      <c r="R28" s="21">
        <v>36527.5</v>
      </c>
      <c r="S28" s="21">
        <v>36527.5</v>
      </c>
      <c r="T28" s="21">
        <v>36527.5</v>
      </c>
      <c r="U28" s="21">
        <v>36527.5</v>
      </c>
      <c r="V28" s="21">
        <v>36527.5</v>
      </c>
      <c r="W28" s="21">
        <f t="shared" si="2"/>
        <v>438330</v>
      </c>
      <c r="X28" s="1"/>
      <c r="Y28" s="21">
        <f t="shared" si="3"/>
        <v>0</v>
      </c>
      <c r="Z28" s="262"/>
      <c r="AA28" s="21">
        <f t="shared" si="1"/>
        <v>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2616</v>
      </c>
      <c r="F30" s="281"/>
      <c r="G30" s="21"/>
      <c r="H30" s="33"/>
      <c r="I30" s="21">
        <v>2616</v>
      </c>
      <c r="J30" s="57"/>
      <c r="K30" s="21">
        <v>218</v>
      </c>
      <c r="L30" s="21">
        <v>218</v>
      </c>
      <c r="M30" s="21">
        <v>218</v>
      </c>
      <c r="N30" s="21">
        <v>218</v>
      </c>
      <c r="O30" s="21">
        <v>218</v>
      </c>
      <c r="P30" s="21">
        <v>218</v>
      </c>
      <c r="Q30" s="21">
        <v>218</v>
      </c>
      <c r="R30" s="21">
        <v>218</v>
      </c>
      <c r="S30" s="21">
        <v>218</v>
      </c>
      <c r="T30" s="21">
        <v>218</v>
      </c>
      <c r="U30" s="21">
        <v>218</v>
      </c>
      <c r="V30" s="21">
        <v>218</v>
      </c>
      <c r="W30" s="21">
        <f t="shared" si="2"/>
        <v>2616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901634</v>
      </c>
      <c r="F40" s="282"/>
      <c r="G40" s="23">
        <v>7312</v>
      </c>
      <c r="H40" s="63"/>
      <c r="I40" s="23">
        <v>908946</v>
      </c>
      <c r="J40" s="58"/>
      <c r="K40" s="266">
        <v>78239</v>
      </c>
      <c r="L40" s="266">
        <v>78239</v>
      </c>
      <c r="M40" s="266">
        <v>78239</v>
      </c>
      <c r="N40" s="266">
        <v>78239</v>
      </c>
      <c r="O40" s="266">
        <v>78239</v>
      </c>
      <c r="P40" s="266">
        <v>78239</v>
      </c>
      <c r="Q40" s="266">
        <v>78239</v>
      </c>
      <c r="R40" s="266">
        <v>78239</v>
      </c>
      <c r="S40" s="266">
        <v>78239</v>
      </c>
      <c r="T40" s="266">
        <v>78239</v>
      </c>
      <c r="U40" s="266">
        <v>78239</v>
      </c>
      <c r="V40" s="266">
        <v>78239</v>
      </c>
      <c r="W40" s="266">
        <f>SUM(W14:W39)</f>
        <v>938868</v>
      </c>
      <c r="X40" s="265"/>
      <c r="Y40" s="266">
        <f>SUM(Y14:Y39)</f>
        <v>37234</v>
      </c>
      <c r="Z40" s="267"/>
      <c r="AA40" s="266">
        <f>SUM(AA14:AA39)</f>
        <v>29922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49072</v>
      </c>
      <c r="F41" s="281"/>
      <c r="G41" s="21">
        <v>864</v>
      </c>
      <c r="H41" s="33"/>
      <c r="I41" s="21">
        <v>49936</v>
      </c>
      <c r="J41" s="57"/>
      <c r="K41" s="263">
        <v>4372</v>
      </c>
      <c r="L41" s="263">
        <v>4371.5</v>
      </c>
      <c r="M41" s="263">
        <v>4371.5</v>
      </c>
      <c r="N41" s="263">
        <v>4371.5</v>
      </c>
      <c r="O41" s="263">
        <v>4371.5</v>
      </c>
      <c r="P41" s="263">
        <v>4371.5</v>
      </c>
      <c r="Q41" s="263">
        <v>4371.5</v>
      </c>
      <c r="R41" s="263">
        <v>4371.5</v>
      </c>
      <c r="S41" s="263">
        <v>4371.5</v>
      </c>
      <c r="T41" s="263">
        <v>4371.5</v>
      </c>
      <c r="U41" s="263">
        <v>4371.5</v>
      </c>
      <c r="V41" s="263">
        <v>4371.5</v>
      </c>
      <c r="W41" s="21">
        <f t="shared" si="2"/>
        <v>52458.5</v>
      </c>
      <c r="X41" s="1"/>
      <c r="Y41" s="263">
        <f>W41-E41</f>
        <v>3386.5</v>
      </c>
      <c r="Z41" s="264"/>
      <c r="AA41" s="263">
        <f>W41-I41</f>
        <v>2522.5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30819</v>
      </c>
      <c r="F42" s="281"/>
      <c r="G42" s="22">
        <v>147</v>
      </c>
      <c r="H42" s="33"/>
      <c r="I42" s="22">
        <v>30966</v>
      </c>
      <c r="J42" s="57"/>
      <c r="K42" s="268">
        <v>2462.67</v>
      </c>
      <c r="L42" s="268">
        <v>4995.2783320000008</v>
      </c>
      <c r="M42" s="268">
        <v>2462.67</v>
      </c>
      <c r="N42" s="268">
        <v>2462.67</v>
      </c>
      <c r="O42" s="268">
        <v>2462.67</v>
      </c>
      <c r="P42" s="268">
        <v>2462.67</v>
      </c>
      <c r="Q42" s="268">
        <v>2462.67</v>
      </c>
      <c r="R42" s="268">
        <v>2462.67</v>
      </c>
      <c r="S42" s="268">
        <v>2462.67</v>
      </c>
      <c r="T42" s="268">
        <v>2462.67</v>
      </c>
      <c r="U42" s="268">
        <v>2462.67</v>
      </c>
      <c r="V42" s="268">
        <v>2462.67</v>
      </c>
      <c r="W42" s="22">
        <f t="shared" si="2"/>
        <v>32084.64833199999</v>
      </c>
      <c r="X42" s="261"/>
      <c r="Y42" s="268">
        <f>W42-E42</f>
        <v>1265.6483319999898</v>
      </c>
      <c r="Z42" s="264"/>
      <c r="AA42" s="268">
        <f>W42-I42</f>
        <v>1118.6483319999898</v>
      </c>
    </row>
    <row r="43" spans="1:27" x14ac:dyDescent="0.2">
      <c r="A43" s="240"/>
      <c r="B43" s="243" t="s">
        <v>17</v>
      </c>
      <c r="C43" s="244"/>
      <c r="D43" s="58"/>
      <c r="E43" s="23">
        <v>79891</v>
      </c>
      <c r="F43" s="282"/>
      <c r="G43" s="23">
        <v>1011</v>
      </c>
      <c r="H43" s="63"/>
      <c r="I43" s="23">
        <v>80902</v>
      </c>
      <c r="J43" s="58"/>
      <c r="K43" s="266">
        <v>6834.67</v>
      </c>
      <c r="L43" s="266">
        <v>9366.7783320000017</v>
      </c>
      <c r="M43" s="266">
        <v>6834.17</v>
      </c>
      <c r="N43" s="266">
        <v>6834.17</v>
      </c>
      <c r="O43" s="266">
        <v>6834.17</v>
      </c>
      <c r="P43" s="266">
        <v>6834.17</v>
      </c>
      <c r="Q43" s="266">
        <v>6834.17</v>
      </c>
      <c r="R43" s="266">
        <v>6834.17</v>
      </c>
      <c r="S43" s="266">
        <v>6834.17</v>
      </c>
      <c r="T43" s="266">
        <v>6834.17</v>
      </c>
      <c r="U43" s="266">
        <v>6834.17</v>
      </c>
      <c r="V43" s="266">
        <v>6834.17</v>
      </c>
      <c r="W43" s="23">
        <f t="shared" si="2"/>
        <v>84543.148331999997</v>
      </c>
      <c r="X43" s="269"/>
      <c r="Y43" s="270">
        <f>SUM(Y41:Y42)</f>
        <v>4652.1483319999898</v>
      </c>
      <c r="Z43" s="271"/>
      <c r="AA43" s="270">
        <f>SUM(AA41:AA42)</f>
        <v>3641.1483319999898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60764</v>
      </c>
      <c r="F46" s="281"/>
      <c r="G46" s="21"/>
      <c r="H46" s="33"/>
      <c r="I46" s="21">
        <v>60764</v>
      </c>
      <c r="J46" s="57"/>
      <c r="K46" s="263">
        <v>4146.7</v>
      </c>
      <c r="L46" s="263">
        <v>4146.7</v>
      </c>
      <c r="M46" s="263">
        <v>4146.7</v>
      </c>
      <c r="N46" s="263">
        <v>4146.7</v>
      </c>
      <c r="O46" s="263">
        <v>4146.7</v>
      </c>
      <c r="P46" s="263">
        <v>4146.7</v>
      </c>
      <c r="Q46" s="263">
        <v>4146.7</v>
      </c>
      <c r="R46" s="263">
        <v>4146.7</v>
      </c>
      <c r="S46" s="263">
        <v>4146.7</v>
      </c>
      <c r="T46" s="263">
        <v>4146.7</v>
      </c>
      <c r="U46" s="263">
        <v>4146.7</v>
      </c>
      <c r="V46" s="263">
        <v>4146.7</v>
      </c>
      <c r="W46" s="21">
        <f>SUM(K46:V46)</f>
        <v>49760.399999999987</v>
      </c>
      <c r="X46" s="1"/>
      <c r="Y46" s="263">
        <f>W46-E46</f>
        <v>-11003.600000000013</v>
      </c>
      <c r="Z46" s="264"/>
      <c r="AA46" s="263">
        <f>W46-I46</f>
        <v>-11003.600000000013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6789</v>
      </c>
      <c r="F47" s="281"/>
      <c r="G47" s="22"/>
      <c r="H47" s="33"/>
      <c r="I47" s="21">
        <v>6789</v>
      </c>
      <c r="J47" s="57"/>
      <c r="K47" s="268">
        <v>599.375</v>
      </c>
      <c r="L47" s="268">
        <v>599.375</v>
      </c>
      <c r="M47" s="268">
        <v>599.375</v>
      </c>
      <c r="N47" s="268">
        <v>599.375</v>
      </c>
      <c r="O47" s="268">
        <v>599.375</v>
      </c>
      <c r="P47" s="268">
        <v>599.375</v>
      </c>
      <c r="Q47" s="268">
        <v>599.375</v>
      </c>
      <c r="R47" s="268">
        <v>599.375</v>
      </c>
      <c r="S47" s="268">
        <v>599.375</v>
      </c>
      <c r="T47" s="268">
        <v>599.375</v>
      </c>
      <c r="U47" s="268">
        <v>599.375</v>
      </c>
      <c r="V47" s="268">
        <v>599.375</v>
      </c>
      <c r="W47" s="22">
        <f>SUM(K47:V47)</f>
        <v>7192.5</v>
      </c>
      <c r="X47" s="1"/>
      <c r="Y47" s="268">
        <f>W47-E47</f>
        <v>403.5</v>
      </c>
      <c r="Z47" s="264"/>
      <c r="AA47" s="268">
        <f>W47-I47</f>
        <v>403.5</v>
      </c>
    </row>
    <row r="48" spans="1:27" x14ac:dyDescent="0.2">
      <c r="A48" s="240"/>
      <c r="B48" s="243" t="s">
        <v>17</v>
      </c>
      <c r="C48" s="244"/>
      <c r="D48" s="58"/>
      <c r="E48" s="24">
        <v>67553</v>
      </c>
      <c r="F48" s="282"/>
      <c r="G48" s="24">
        <v>0</v>
      </c>
      <c r="H48" s="63"/>
      <c r="I48" s="24">
        <v>67553</v>
      </c>
      <c r="J48" s="58"/>
      <c r="K48" s="24">
        <v>4746.0749999999998</v>
      </c>
      <c r="L48" s="24">
        <v>4746.0749999999998</v>
      </c>
      <c r="M48" s="24">
        <v>4746.0749999999998</v>
      </c>
      <c r="N48" s="24">
        <v>4746.0749999999998</v>
      </c>
      <c r="O48" s="24">
        <v>4746.0749999999998</v>
      </c>
      <c r="P48" s="24">
        <v>4746.0749999999998</v>
      </c>
      <c r="Q48" s="24">
        <v>4746.0749999999998</v>
      </c>
      <c r="R48" s="24">
        <v>4746.0749999999998</v>
      </c>
      <c r="S48" s="24">
        <v>4746.0749999999998</v>
      </c>
      <c r="T48" s="24">
        <v>4746.0749999999998</v>
      </c>
      <c r="U48" s="24">
        <v>4746.0749999999998</v>
      </c>
      <c r="V48" s="24">
        <v>4746.0749999999998</v>
      </c>
      <c r="W48" s="24">
        <f t="shared" ref="W48:W55" si="4">SUM(K48:V48)</f>
        <v>56952.899999999987</v>
      </c>
      <c r="X48" s="265"/>
      <c r="Y48" s="24">
        <f>SUM(Y44:Y47)</f>
        <v>-10600.100000000013</v>
      </c>
      <c r="Z48" s="267"/>
      <c r="AA48" s="24">
        <f>SUM(AA44:AA47)</f>
        <v>-10600.100000000013</v>
      </c>
    </row>
    <row r="49" spans="1:31" x14ac:dyDescent="0.2">
      <c r="A49" s="245" t="s">
        <v>18</v>
      </c>
      <c r="B49" s="245"/>
      <c r="C49" s="242"/>
      <c r="D49" s="57"/>
      <c r="E49" s="24">
        <v>1049078</v>
      </c>
      <c r="F49" s="282"/>
      <c r="G49" s="24">
        <v>8323</v>
      </c>
      <c r="H49" s="63"/>
      <c r="I49" s="24">
        <v>1057401</v>
      </c>
      <c r="J49" s="57"/>
      <c r="K49" s="24">
        <v>89819.744999999995</v>
      </c>
      <c r="L49" s="24">
        <v>92351.853331999999</v>
      </c>
      <c r="M49" s="24">
        <v>89819.244999999995</v>
      </c>
      <c r="N49" s="24">
        <v>89819.244999999995</v>
      </c>
      <c r="O49" s="24">
        <v>89819.244999999995</v>
      </c>
      <c r="P49" s="24">
        <v>89819.244999999995</v>
      </c>
      <c r="Q49" s="24">
        <v>89819.244999999995</v>
      </c>
      <c r="R49" s="24">
        <v>89819.244999999995</v>
      </c>
      <c r="S49" s="24">
        <v>89819.244999999995</v>
      </c>
      <c r="T49" s="24">
        <v>89819.244999999995</v>
      </c>
      <c r="U49" s="24">
        <v>89819.244999999995</v>
      </c>
      <c r="V49" s="24">
        <v>89819.244999999995</v>
      </c>
      <c r="W49" s="24">
        <f t="shared" si="4"/>
        <v>1080364.0483319999</v>
      </c>
      <c r="X49" s="1"/>
      <c r="Y49" s="24">
        <f>W49-E49</f>
        <v>31286.048331999918</v>
      </c>
      <c r="Z49" s="267"/>
      <c r="AA49" s="24">
        <f>W49-I49</f>
        <v>22963.048331999918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-62651</v>
      </c>
      <c r="F51" s="281"/>
      <c r="G51" s="21">
        <v>0</v>
      </c>
      <c r="H51" s="33"/>
      <c r="I51" s="21">
        <v>-62651</v>
      </c>
      <c r="J51" s="57"/>
      <c r="K51" s="21">
        <v>-5220.916666666667</v>
      </c>
      <c r="L51" s="21">
        <v>-5220.916666666667</v>
      </c>
      <c r="M51" s="21">
        <v>-5220.916666666667</v>
      </c>
      <c r="N51" s="21">
        <v>-5220.916666666667</v>
      </c>
      <c r="O51" s="21">
        <v>-5220.916666666667</v>
      </c>
      <c r="P51" s="21">
        <v>-5220.916666666667</v>
      </c>
      <c r="Q51" s="21">
        <v>-5220.916666666667</v>
      </c>
      <c r="R51" s="21">
        <v>-5220.916666666667</v>
      </c>
      <c r="S51" s="21">
        <v>-5220.916666666667</v>
      </c>
      <c r="T51" s="21">
        <v>-5220.916666666667</v>
      </c>
      <c r="U51" s="21">
        <v>-5220.916666666667</v>
      </c>
      <c r="V51" s="21">
        <v>-5220.916666666667</v>
      </c>
      <c r="W51" s="21">
        <f t="shared" si="4"/>
        <v>-62650.999999999993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-6899</v>
      </c>
      <c r="F52" s="281"/>
      <c r="G52" s="21">
        <v>0</v>
      </c>
      <c r="H52" s="33"/>
      <c r="I52" s="21">
        <v>-6899</v>
      </c>
      <c r="J52" s="57"/>
      <c r="K52" s="21">
        <v>-574.91666666666663</v>
      </c>
      <c r="L52" s="21">
        <v>-574.91666666666663</v>
      </c>
      <c r="M52" s="21">
        <v>-574.91666666666663</v>
      </c>
      <c r="N52" s="21">
        <v>-574.91666666666663</v>
      </c>
      <c r="O52" s="21">
        <v>-574.91666666666663</v>
      </c>
      <c r="P52" s="21">
        <v>-574.91666666666663</v>
      </c>
      <c r="Q52" s="21">
        <v>-574.91666666666663</v>
      </c>
      <c r="R52" s="21">
        <v>-574.91666666666663</v>
      </c>
      <c r="S52" s="21">
        <v>-574.91666666666663</v>
      </c>
      <c r="T52" s="21">
        <v>-574.91666666666663</v>
      </c>
      <c r="U52" s="21">
        <v>-574.91666666666663</v>
      </c>
      <c r="V52" s="21">
        <v>-574.91666666666663</v>
      </c>
      <c r="W52" s="21">
        <f t="shared" si="4"/>
        <v>-6899.0000000000009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-4079</v>
      </c>
      <c r="F53" s="281"/>
      <c r="G53" s="21">
        <v>0</v>
      </c>
      <c r="H53" s="33"/>
      <c r="I53" s="21">
        <v>-4079</v>
      </c>
      <c r="J53" s="57"/>
      <c r="K53" s="21">
        <v>-339.91666666666669</v>
      </c>
      <c r="L53" s="21">
        <v>-339.91666666666669</v>
      </c>
      <c r="M53" s="21">
        <v>-339.91666666666669</v>
      </c>
      <c r="N53" s="21">
        <v>-339.91666666666669</v>
      </c>
      <c r="O53" s="21">
        <v>-339.91666666666669</v>
      </c>
      <c r="P53" s="21">
        <v>-339.91666666666669</v>
      </c>
      <c r="Q53" s="21">
        <v>-339.91666666666669</v>
      </c>
      <c r="R53" s="21">
        <v>-339.91666666666669</v>
      </c>
      <c r="S53" s="21">
        <v>-339.91666666666669</v>
      </c>
      <c r="T53" s="21">
        <v>-339.91666666666669</v>
      </c>
      <c r="U53" s="21">
        <v>-339.91666666666669</v>
      </c>
      <c r="V53" s="21">
        <v>-339.91666666666669</v>
      </c>
      <c r="W53" s="21">
        <f t="shared" si="4"/>
        <v>-4078.9999999999995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-125000</v>
      </c>
      <c r="F54" s="281"/>
      <c r="G54" s="22">
        <v>0</v>
      </c>
      <c r="H54" s="33"/>
      <c r="I54" s="21">
        <v>-125000</v>
      </c>
      <c r="J54" s="57"/>
      <c r="K54" s="22">
        <v>-10416.666666666666</v>
      </c>
      <c r="L54" s="22">
        <v>-10416.666666666666</v>
      </c>
      <c r="M54" s="22">
        <v>-10416.666666666666</v>
      </c>
      <c r="N54" s="22">
        <v>-10416.666666666666</v>
      </c>
      <c r="O54" s="22">
        <v>-10416.666666666666</v>
      </c>
      <c r="P54" s="22">
        <v>-10416.666666666666</v>
      </c>
      <c r="Q54" s="22">
        <v>-10416.666666666666</v>
      </c>
      <c r="R54" s="22">
        <v>-10416.666666666666</v>
      </c>
      <c r="S54" s="22">
        <v>-10416.666666666666</v>
      </c>
      <c r="T54" s="22">
        <v>-10416.666666666666</v>
      </c>
      <c r="U54" s="22">
        <v>-10416.666666666666</v>
      </c>
      <c r="V54" s="22">
        <v>-10416.666666666666</v>
      </c>
      <c r="W54" s="22">
        <f t="shared" si="4"/>
        <v>-125000.00000000001</v>
      </c>
      <c r="X54" s="1"/>
      <c r="Y54" s="22">
        <f>W54-E54</f>
        <v>0</v>
      </c>
      <c r="Z54" s="262"/>
      <c r="AA54" s="22">
        <f>W54-I54</f>
        <v>0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-198629</v>
      </c>
      <c r="F55" s="282"/>
      <c r="G55" s="273">
        <v>0</v>
      </c>
      <c r="H55" s="63"/>
      <c r="I55" s="273">
        <v>-198629</v>
      </c>
      <c r="J55" s="58"/>
      <c r="K55" s="273">
        <v>-16552.416666666668</v>
      </c>
      <c r="L55" s="273">
        <v>-16552.416666666668</v>
      </c>
      <c r="M55" s="273">
        <v>-16552.416666666668</v>
      </c>
      <c r="N55" s="273">
        <v>-16552.416666666668</v>
      </c>
      <c r="O55" s="273">
        <v>-16552.416666666668</v>
      </c>
      <c r="P55" s="273">
        <v>-16552.416666666668</v>
      </c>
      <c r="Q55" s="273">
        <v>-16552.416666666668</v>
      </c>
      <c r="R55" s="273">
        <v>-16552.416666666668</v>
      </c>
      <c r="S55" s="273">
        <v>-16552.416666666668</v>
      </c>
      <c r="T55" s="273">
        <v>-16552.416666666668</v>
      </c>
      <c r="U55" s="273">
        <v>-16552.416666666668</v>
      </c>
      <c r="V55" s="273">
        <v>-16552.416666666668</v>
      </c>
      <c r="W55" s="273">
        <f t="shared" si="4"/>
        <v>-198628.99999999997</v>
      </c>
      <c r="X55" s="269"/>
      <c r="Y55" s="273">
        <f>SUM(Y51:Y54)</f>
        <v>0</v>
      </c>
      <c r="Z55" s="267"/>
      <c r="AA55" s="273">
        <f>W55-I55</f>
        <v>0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850449</v>
      </c>
      <c r="F56" s="283"/>
      <c r="G56" s="274">
        <v>8323</v>
      </c>
      <c r="H56" s="284"/>
      <c r="I56" s="274">
        <v>858772</v>
      </c>
      <c r="J56" s="279"/>
      <c r="K56" s="274">
        <v>73267.328333333324</v>
      </c>
      <c r="L56" s="274">
        <v>75799.436665333327</v>
      </c>
      <c r="M56" s="274">
        <v>73266.828333333324</v>
      </c>
      <c r="N56" s="274">
        <v>73266.828333333324</v>
      </c>
      <c r="O56" s="274">
        <v>73266.828333333324</v>
      </c>
      <c r="P56" s="274">
        <v>73266.828333333324</v>
      </c>
      <c r="Q56" s="274">
        <v>73266.828333333324</v>
      </c>
      <c r="R56" s="274">
        <v>73266.828333333324</v>
      </c>
      <c r="S56" s="274">
        <v>73266.828333333324</v>
      </c>
      <c r="T56" s="274">
        <v>73266.828333333324</v>
      </c>
      <c r="U56" s="274">
        <v>73266.828333333324</v>
      </c>
      <c r="V56" s="274">
        <v>73266.828333333324</v>
      </c>
      <c r="W56" s="274">
        <f>+W49+W55</f>
        <v>881735.04833199992</v>
      </c>
      <c r="X56" s="269"/>
      <c r="Y56" s="274">
        <f>+Y49+Y55</f>
        <v>31286.048331999918</v>
      </c>
      <c r="Z56" s="275"/>
      <c r="AA56" s="274">
        <f>+AA49+AA55</f>
        <v>22963.048331999918</v>
      </c>
    </row>
    <row r="57" spans="1:31" x14ac:dyDescent="0.2">
      <c r="C57"/>
      <c r="D57"/>
      <c r="E57"/>
    </row>
    <row r="58" spans="1:31" x14ac:dyDescent="0.2">
      <c r="C58"/>
      <c r="D58"/>
      <c r="E5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D59"/>
      <c r="E5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D60"/>
      <c r="E60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D61"/>
      <c r="E6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0</v>
      </c>
      <c r="F66" s="29"/>
      <c r="G66" s="27"/>
      <c r="H66" s="80"/>
      <c r="I66" s="21">
        <v>0</v>
      </c>
      <c r="J66" s="3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f t="shared" si="5"/>
        <v>0</v>
      </c>
      <c r="X66" s="33"/>
      <c r="Y66" s="21">
        <f t="shared" si="6"/>
        <v>0</v>
      </c>
      <c r="Z66" s="33"/>
      <c r="AA66" s="21">
        <f t="shared" si="7"/>
        <v>0</v>
      </c>
      <c r="AE66" s="80"/>
    </row>
    <row r="67" spans="2:31" x14ac:dyDescent="0.2">
      <c r="B67" s="249" t="s">
        <v>30</v>
      </c>
      <c r="C67" s="249">
        <v>913</v>
      </c>
      <c r="D67" s="81"/>
      <c r="E67" s="80">
        <v>850449</v>
      </c>
      <c r="F67" s="29"/>
      <c r="G67" s="27"/>
      <c r="H67" s="80"/>
      <c r="I67" s="21">
        <v>850449</v>
      </c>
      <c r="J67" s="31">
        <v>1</v>
      </c>
      <c r="K67" s="21">
        <v>73267.328333333324</v>
      </c>
      <c r="L67" s="21">
        <v>75799.436665333327</v>
      </c>
      <c r="M67" s="21">
        <v>73266.828333333324</v>
      </c>
      <c r="N67" s="21">
        <v>73266.828333333324</v>
      </c>
      <c r="O67" s="21">
        <v>73266.828333333324</v>
      </c>
      <c r="P67" s="21">
        <v>73266.828333333324</v>
      </c>
      <c r="Q67" s="21">
        <v>73266.828333333324</v>
      </c>
      <c r="R67" s="21">
        <v>73266.828333333324</v>
      </c>
      <c r="S67" s="21">
        <v>73266.828333333324</v>
      </c>
      <c r="T67" s="21">
        <v>73266.828333333324</v>
      </c>
      <c r="U67" s="21">
        <v>73266.828333333324</v>
      </c>
      <c r="V67" s="21">
        <v>73266.828333333324</v>
      </c>
      <c r="W67" s="21">
        <f t="shared" si="5"/>
        <v>881735.04833200003</v>
      </c>
      <c r="X67" s="33"/>
      <c r="Y67" s="21">
        <f t="shared" si="6"/>
        <v>31286.048332000035</v>
      </c>
      <c r="Z67" s="33"/>
      <c r="AA67" s="21">
        <f t="shared" si="7"/>
        <v>31286.048332000035</v>
      </c>
      <c r="AE67" s="80" t="e">
        <f>AA34+AA36+AA37+#REF!</f>
        <v>#REF!</v>
      </c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0</v>
      </c>
      <c r="F71" s="29"/>
      <c r="G71" s="27"/>
      <c r="H71" s="80"/>
      <c r="I71" s="21">
        <v>0</v>
      </c>
      <c r="J71" s="3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f t="shared" si="5"/>
        <v>0</v>
      </c>
      <c r="X71" s="33"/>
      <c r="Y71" s="21">
        <f t="shared" si="6"/>
        <v>0</v>
      </c>
      <c r="Z71" s="33"/>
      <c r="AA71" s="21">
        <f t="shared" si="7"/>
        <v>0</v>
      </c>
      <c r="AE71" s="80"/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90"/>
    </row>
    <row r="81" spans="2:31" ht="13.5" thickBot="1" x14ac:dyDescent="0.25">
      <c r="B81" s="290" t="s">
        <v>48</v>
      </c>
      <c r="C81" s="290"/>
      <c r="D81" s="88"/>
      <c r="E81" s="101">
        <v>850449</v>
      </c>
      <c r="F81" s="66"/>
      <c r="G81" s="37">
        <v>0</v>
      </c>
      <c r="H81" s="37"/>
      <c r="I81" s="37">
        <v>850449</v>
      </c>
      <c r="J81" s="38">
        <v>1</v>
      </c>
      <c r="K81" s="37">
        <v>73267.328333333324</v>
      </c>
      <c r="L81" s="37">
        <v>75799.436665333327</v>
      </c>
      <c r="M81" s="37">
        <v>73266.828333333324</v>
      </c>
      <c r="N81" s="37">
        <v>73266.828333333324</v>
      </c>
      <c r="O81" s="37">
        <v>73266.828333333324</v>
      </c>
      <c r="P81" s="37">
        <v>73266.828333333324</v>
      </c>
      <c r="Q81" s="37">
        <v>73266.828333333324</v>
      </c>
      <c r="R81" s="37">
        <v>73266.828333333324</v>
      </c>
      <c r="S81" s="37">
        <v>73266.828333333324</v>
      </c>
      <c r="T81" s="37">
        <v>73266.828333333324</v>
      </c>
      <c r="U81" s="37">
        <v>73266.828333333324</v>
      </c>
      <c r="V81" s="37">
        <v>73266.828333333324</v>
      </c>
      <c r="W81" s="40">
        <f>SUM(W62:W80)</f>
        <v>881735.04833200003</v>
      </c>
      <c r="X81" s="58"/>
      <c r="Y81" s="40">
        <f>SUM(Y62:Y80)</f>
        <v>31286.048332000035</v>
      </c>
      <c r="Z81" s="63"/>
      <c r="AA81" s="40">
        <f>SUM(AA62:AA80)</f>
        <v>31286.048332000035</v>
      </c>
      <c r="AE81" s="102" t="e">
        <f>SUM(AE67:AE80)</f>
        <v>#REF!</v>
      </c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-8323</v>
      </c>
      <c r="H82" s="64"/>
      <c r="I82" s="64">
        <v>-8323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1.1641532182693481E-10</v>
      </c>
      <c r="Z82" s="94"/>
      <c r="AA82" s="64">
        <f>AA81-AA56</f>
        <v>8323.0000000001164</v>
      </c>
      <c r="AE82" s="190"/>
    </row>
  </sheetData>
  <printOptions horizontalCentered="1"/>
  <pageMargins left="0" right="0" top="0.43" bottom="0.25" header="0.28999999999999998" footer="0.2"/>
  <pageSetup scale="71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86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9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9.7109375" bestFit="1" customWidth="1"/>
    <col min="8" max="8" width="0.85546875" customWidth="1"/>
    <col min="9" max="9" width="9" bestFit="1" customWidth="1"/>
    <col min="10" max="10" width="9.5703125" customWidth="1"/>
    <col min="11" max="22" width="8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9.140625" style="7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111679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36724.628800925922</v>
      </c>
      <c r="AB5" s="1"/>
    </row>
    <row r="6" spans="1:29" x14ac:dyDescent="0.2">
      <c r="B6" s="3" t="s">
        <v>232</v>
      </c>
      <c r="C6" s="304">
        <v>14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36724.628800925922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v>5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5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451224</v>
      </c>
      <c r="F14" s="281"/>
      <c r="G14" s="21">
        <v>-41784</v>
      </c>
      <c r="H14" s="33"/>
      <c r="I14" s="21">
        <v>409440</v>
      </c>
      <c r="J14" s="57"/>
      <c r="K14" s="263">
        <v>40900</v>
      </c>
      <c r="L14" s="263">
        <v>40900</v>
      </c>
      <c r="M14" s="263">
        <v>40900</v>
      </c>
      <c r="N14" s="263">
        <v>40900</v>
      </c>
      <c r="O14" s="263">
        <v>40900</v>
      </c>
      <c r="P14" s="263">
        <v>40900</v>
      </c>
      <c r="Q14" s="263">
        <v>40900</v>
      </c>
      <c r="R14" s="263">
        <v>40900</v>
      </c>
      <c r="S14" s="263">
        <v>40900</v>
      </c>
      <c r="T14" s="263">
        <v>40900</v>
      </c>
      <c r="U14" s="263">
        <v>40900</v>
      </c>
      <c r="V14" s="263">
        <v>40900</v>
      </c>
      <c r="W14" s="21">
        <f>SUM(K14:V14)</f>
        <v>490800</v>
      </c>
      <c r="X14" s="1"/>
      <c r="Y14" s="263">
        <f t="shared" ref="Y14:Y21" si="0">W14-E14</f>
        <v>39576</v>
      </c>
      <c r="Z14" s="264"/>
      <c r="AA14" s="263">
        <f t="shared" ref="AA14:AA39" si="1">W14-I14</f>
        <v>81360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20004</v>
      </c>
      <c r="F15" s="281"/>
      <c r="G15" s="21">
        <v>-20004</v>
      </c>
      <c r="H15" s="33"/>
      <c r="I15" s="21">
        <v>0</v>
      </c>
      <c r="J15" s="57"/>
      <c r="K15" s="263">
        <v>1667</v>
      </c>
      <c r="L15" s="21">
        <v>1667</v>
      </c>
      <c r="M15" s="21">
        <v>1667</v>
      </c>
      <c r="N15" s="21">
        <v>1667</v>
      </c>
      <c r="O15" s="21">
        <v>1667</v>
      </c>
      <c r="P15" s="21">
        <v>1667</v>
      </c>
      <c r="Q15" s="21">
        <v>1667</v>
      </c>
      <c r="R15" s="21">
        <v>1667</v>
      </c>
      <c r="S15" s="21">
        <v>1667</v>
      </c>
      <c r="T15" s="21">
        <v>1667</v>
      </c>
      <c r="U15" s="21">
        <v>1667</v>
      </c>
      <c r="V15" s="21">
        <v>1667</v>
      </c>
      <c r="W15" s="21">
        <f t="shared" ref="W15:W45" si="2">SUM(K15:V15)</f>
        <v>20004</v>
      </c>
      <c r="X15" s="1"/>
      <c r="Y15" s="21">
        <f t="shared" si="0"/>
        <v>0</v>
      </c>
      <c r="Z15" s="262"/>
      <c r="AA15" s="21">
        <f t="shared" si="1"/>
        <v>20004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8004</v>
      </c>
      <c r="F16" s="281"/>
      <c r="G16" s="21">
        <v>-5208</v>
      </c>
      <c r="H16" s="33"/>
      <c r="I16" s="21">
        <v>2796</v>
      </c>
      <c r="J16" s="57"/>
      <c r="K16" s="21">
        <v>667</v>
      </c>
      <c r="L16" s="21">
        <v>667</v>
      </c>
      <c r="M16" s="21">
        <v>667</v>
      </c>
      <c r="N16" s="21">
        <v>667</v>
      </c>
      <c r="O16" s="21">
        <v>667</v>
      </c>
      <c r="P16" s="21">
        <v>667</v>
      </c>
      <c r="Q16" s="21">
        <v>667</v>
      </c>
      <c r="R16" s="21">
        <v>667</v>
      </c>
      <c r="S16" s="21">
        <v>667</v>
      </c>
      <c r="T16" s="21">
        <v>667</v>
      </c>
      <c r="U16" s="21">
        <v>667</v>
      </c>
      <c r="V16" s="21">
        <v>667</v>
      </c>
      <c r="W16" s="21">
        <f t="shared" si="2"/>
        <v>8004</v>
      </c>
      <c r="X16" s="1"/>
      <c r="Y16" s="21">
        <f t="shared" si="0"/>
        <v>0</v>
      </c>
      <c r="Z16" s="262"/>
      <c r="AA16" s="21">
        <f t="shared" si="1"/>
        <v>5208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3204</v>
      </c>
      <c r="F17" s="281"/>
      <c r="G17" s="21">
        <v>-2880</v>
      </c>
      <c r="H17" s="33"/>
      <c r="I17" s="21">
        <v>324</v>
      </c>
      <c r="J17" s="57"/>
      <c r="K17" s="21">
        <v>267</v>
      </c>
      <c r="L17" s="21">
        <v>267</v>
      </c>
      <c r="M17" s="21">
        <v>267</v>
      </c>
      <c r="N17" s="21">
        <v>267</v>
      </c>
      <c r="O17" s="21">
        <v>267</v>
      </c>
      <c r="P17" s="21">
        <v>267</v>
      </c>
      <c r="Q17" s="21">
        <v>267</v>
      </c>
      <c r="R17" s="21">
        <v>267</v>
      </c>
      <c r="S17" s="21">
        <v>267</v>
      </c>
      <c r="T17" s="21">
        <v>267</v>
      </c>
      <c r="U17" s="21">
        <v>267</v>
      </c>
      <c r="V17" s="21">
        <v>267</v>
      </c>
      <c r="W17" s="21">
        <f t="shared" si="2"/>
        <v>3204</v>
      </c>
      <c r="X17" s="1"/>
      <c r="Y17" s="21">
        <f t="shared" si="0"/>
        <v>0</v>
      </c>
      <c r="Z17" s="262"/>
      <c r="AA17" s="21">
        <f t="shared" si="1"/>
        <v>2880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2100</v>
      </c>
      <c r="F18" s="281"/>
      <c r="G18" s="21">
        <v>-2100</v>
      </c>
      <c r="H18" s="33"/>
      <c r="I18" s="21">
        <v>0</v>
      </c>
      <c r="J18" s="57"/>
      <c r="K18" s="21">
        <v>175</v>
      </c>
      <c r="L18" s="21">
        <v>175</v>
      </c>
      <c r="M18" s="21">
        <v>175</v>
      </c>
      <c r="N18" s="21">
        <v>175</v>
      </c>
      <c r="O18" s="21">
        <v>175</v>
      </c>
      <c r="P18" s="21">
        <v>175</v>
      </c>
      <c r="Q18" s="21">
        <v>175</v>
      </c>
      <c r="R18" s="21">
        <v>175</v>
      </c>
      <c r="S18" s="21">
        <v>175</v>
      </c>
      <c r="T18" s="21">
        <v>175</v>
      </c>
      <c r="U18" s="21">
        <v>175</v>
      </c>
      <c r="V18" s="21">
        <v>175</v>
      </c>
      <c r="W18" s="21">
        <f t="shared" si="2"/>
        <v>2100</v>
      </c>
      <c r="X18" s="1"/>
      <c r="Y18" s="21">
        <f t="shared" si="0"/>
        <v>0</v>
      </c>
      <c r="Z18" s="262"/>
      <c r="AA18" s="21">
        <f t="shared" si="1"/>
        <v>2100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3600</v>
      </c>
      <c r="F26" s="281"/>
      <c r="G26" s="21">
        <v>-3600</v>
      </c>
      <c r="H26" s="33"/>
      <c r="I26" s="21">
        <v>0</v>
      </c>
      <c r="J26" s="57"/>
      <c r="K26" s="21">
        <v>300</v>
      </c>
      <c r="L26" s="21">
        <v>300</v>
      </c>
      <c r="M26" s="21">
        <v>300</v>
      </c>
      <c r="N26" s="21">
        <v>300</v>
      </c>
      <c r="O26" s="21">
        <v>300</v>
      </c>
      <c r="P26" s="21">
        <v>300</v>
      </c>
      <c r="Q26" s="21">
        <v>300</v>
      </c>
      <c r="R26" s="21">
        <v>300</v>
      </c>
      <c r="S26" s="21">
        <v>300</v>
      </c>
      <c r="T26" s="21">
        <v>300</v>
      </c>
      <c r="U26" s="21">
        <v>300</v>
      </c>
      <c r="V26" s="21">
        <v>300</v>
      </c>
      <c r="W26" s="21">
        <f t="shared" si="2"/>
        <v>3600</v>
      </c>
      <c r="X26" s="1"/>
      <c r="Y26" s="21">
        <f t="shared" si="3"/>
        <v>0</v>
      </c>
      <c r="Z26" s="262"/>
      <c r="AA26" s="21">
        <f t="shared" si="1"/>
        <v>3600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0</v>
      </c>
      <c r="F27" s="281"/>
      <c r="G27" s="21"/>
      <c r="H27" s="33"/>
      <c r="I27" s="21">
        <v>0</v>
      </c>
      <c r="J27" s="57"/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f t="shared" si="2"/>
        <v>0</v>
      </c>
      <c r="X27" s="1"/>
      <c r="Y27" s="21">
        <f t="shared" si="3"/>
        <v>0</v>
      </c>
      <c r="Z27" s="262"/>
      <c r="AA27" s="21">
        <f t="shared" si="1"/>
        <v>0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274000</v>
      </c>
      <c r="F28" s="281"/>
      <c r="G28" s="21">
        <v>-83080</v>
      </c>
      <c r="H28" s="33"/>
      <c r="I28" s="21">
        <v>190920</v>
      </c>
      <c r="J28" s="57"/>
      <c r="K28" s="21">
        <v>22833.333333333332</v>
      </c>
      <c r="L28" s="21">
        <v>22833.333333333332</v>
      </c>
      <c r="M28" s="21">
        <v>22833.333333333332</v>
      </c>
      <c r="N28" s="21">
        <v>22833.333333333332</v>
      </c>
      <c r="O28" s="21">
        <v>22833.333333333332</v>
      </c>
      <c r="P28" s="21">
        <v>22833.333333333332</v>
      </c>
      <c r="Q28" s="21">
        <v>22833.333333333332</v>
      </c>
      <c r="R28" s="21">
        <v>22833.333333333332</v>
      </c>
      <c r="S28" s="21">
        <v>22833.333333333332</v>
      </c>
      <c r="T28" s="21">
        <v>22833.333333333332</v>
      </c>
      <c r="U28" s="21">
        <v>22833.333333333332</v>
      </c>
      <c r="V28" s="21">
        <v>22833.333333333332</v>
      </c>
      <c r="W28" s="21">
        <f t="shared" si="2"/>
        <v>274000.00000000006</v>
      </c>
      <c r="X28" s="1"/>
      <c r="Y28" s="21">
        <f t="shared" si="3"/>
        <v>0</v>
      </c>
      <c r="Z28" s="262"/>
      <c r="AA28" s="21">
        <f t="shared" si="1"/>
        <v>83080.000000000058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/>
      <c r="H30" s="33"/>
      <c r="I30" s="21">
        <v>0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762136</v>
      </c>
      <c r="F40" s="282"/>
      <c r="G40" s="23">
        <v>-158656</v>
      </c>
      <c r="H40" s="63"/>
      <c r="I40" s="23">
        <v>603480</v>
      </c>
      <c r="J40" s="58"/>
      <c r="K40" s="266">
        <v>66809.333333333328</v>
      </c>
      <c r="L40" s="266">
        <v>66809.333333333328</v>
      </c>
      <c r="M40" s="266">
        <v>66809.333333333328</v>
      </c>
      <c r="N40" s="266">
        <v>66809.333333333328</v>
      </c>
      <c r="O40" s="266">
        <v>66809.333333333328</v>
      </c>
      <c r="P40" s="266">
        <v>66809.333333333328</v>
      </c>
      <c r="Q40" s="266">
        <v>66809.333333333328</v>
      </c>
      <c r="R40" s="266">
        <v>66809.333333333328</v>
      </c>
      <c r="S40" s="266">
        <v>66809.333333333328</v>
      </c>
      <c r="T40" s="266">
        <v>66809.333333333328</v>
      </c>
      <c r="U40" s="266">
        <v>66809.333333333328</v>
      </c>
      <c r="V40" s="266">
        <v>66809.333333333328</v>
      </c>
      <c r="W40" s="266">
        <f>SUM(W14:W39)</f>
        <v>801712</v>
      </c>
      <c r="X40" s="265"/>
      <c r="Y40" s="266">
        <f>SUM(Y14:Y39)</f>
        <v>39576</v>
      </c>
      <c r="Z40" s="267"/>
      <c r="AA40" s="266">
        <f>SUM(AA14:AA39)</f>
        <v>198232.00000000006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56377</v>
      </c>
      <c r="F41" s="281"/>
      <c r="G41" s="21">
        <v>-7820</v>
      </c>
      <c r="H41" s="33"/>
      <c r="I41" s="21">
        <v>48557</v>
      </c>
      <c r="J41" s="57"/>
      <c r="K41" s="263">
        <v>5011</v>
      </c>
      <c r="L41" s="263">
        <v>5010.75</v>
      </c>
      <c r="M41" s="263">
        <v>5010.75</v>
      </c>
      <c r="N41" s="263">
        <v>5010.75</v>
      </c>
      <c r="O41" s="263">
        <v>5010.75</v>
      </c>
      <c r="P41" s="263">
        <v>5010.75</v>
      </c>
      <c r="Q41" s="263">
        <v>5010.75</v>
      </c>
      <c r="R41" s="263">
        <v>5010.75</v>
      </c>
      <c r="S41" s="263">
        <v>5010.75</v>
      </c>
      <c r="T41" s="263">
        <v>5010.75</v>
      </c>
      <c r="U41" s="263">
        <v>5010.75</v>
      </c>
      <c r="V41" s="263">
        <v>5010.75</v>
      </c>
      <c r="W41" s="21">
        <f t="shared" si="2"/>
        <v>60129.25</v>
      </c>
      <c r="X41" s="1"/>
      <c r="Y41" s="263">
        <f>W41-E41</f>
        <v>3752.25</v>
      </c>
      <c r="Z41" s="264"/>
      <c r="AA41" s="263">
        <f>W41-I41</f>
        <v>11572.25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37745</v>
      </c>
      <c r="F42" s="281"/>
      <c r="G42" s="22">
        <v>-3761</v>
      </c>
      <c r="H42" s="33"/>
      <c r="I42" s="22">
        <v>33984</v>
      </c>
      <c r="J42" s="57"/>
      <c r="K42" s="268">
        <v>2960</v>
      </c>
      <c r="L42" s="268">
        <v>6775.9749980000015</v>
      </c>
      <c r="M42" s="268">
        <v>2960</v>
      </c>
      <c r="N42" s="268">
        <v>2960</v>
      </c>
      <c r="O42" s="268">
        <v>2960</v>
      </c>
      <c r="P42" s="268">
        <v>2960</v>
      </c>
      <c r="Q42" s="268">
        <v>2960</v>
      </c>
      <c r="R42" s="268">
        <v>2960</v>
      </c>
      <c r="S42" s="268">
        <v>2960</v>
      </c>
      <c r="T42" s="268">
        <v>2960</v>
      </c>
      <c r="U42" s="268">
        <v>2960</v>
      </c>
      <c r="V42" s="268">
        <v>2960</v>
      </c>
      <c r="W42" s="22">
        <f t="shared" si="2"/>
        <v>39335.974998000005</v>
      </c>
      <c r="X42" s="261"/>
      <c r="Y42" s="268">
        <f>W42-E42</f>
        <v>1590.9749980000051</v>
      </c>
      <c r="Z42" s="264"/>
      <c r="AA42" s="268">
        <f>W42-I42</f>
        <v>5351.9749980000051</v>
      </c>
    </row>
    <row r="43" spans="1:27" x14ac:dyDescent="0.2">
      <c r="A43" s="240"/>
      <c r="B43" s="243" t="s">
        <v>17</v>
      </c>
      <c r="C43" s="244"/>
      <c r="D43" s="58"/>
      <c r="E43" s="23">
        <v>94122</v>
      </c>
      <c r="F43" s="282"/>
      <c r="G43" s="23">
        <v>-11581</v>
      </c>
      <c r="H43" s="63"/>
      <c r="I43" s="23">
        <v>82541</v>
      </c>
      <c r="J43" s="58"/>
      <c r="K43" s="266">
        <v>7971</v>
      </c>
      <c r="L43" s="266">
        <v>11786.724998000002</v>
      </c>
      <c r="M43" s="266">
        <v>7970.75</v>
      </c>
      <c r="N43" s="266">
        <v>7970.75</v>
      </c>
      <c r="O43" s="266">
        <v>7970.75</v>
      </c>
      <c r="P43" s="266">
        <v>7970.75</v>
      </c>
      <c r="Q43" s="266">
        <v>7970.75</v>
      </c>
      <c r="R43" s="266">
        <v>7970.75</v>
      </c>
      <c r="S43" s="266">
        <v>7970.75</v>
      </c>
      <c r="T43" s="266">
        <v>7970.75</v>
      </c>
      <c r="U43" s="266">
        <v>7970.75</v>
      </c>
      <c r="V43" s="266">
        <v>7970.75</v>
      </c>
      <c r="W43" s="23">
        <f t="shared" si="2"/>
        <v>99465.224998000005</v>
      </c>
      <c r="X43" s="269"/>
      <c r="Y43" s="270">
        <f>SUM(Y41:Y42)</f>
        <v>5343.2249980000051</v>
      </c>
      <c r="Z43" s="271"/>
      <c r="AA43" s="270">
        <f>SUM(AA41:AA42)</f>
        <v>16924.224998000005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46469</v>
      </c>
      <c r="F46" s="281"/>
      <c r="G46" s="21">
        <v>-1756</v>
      </c>
      <c r="H46" s="33"/>
      <c r="I46" s="21">
        <v>44713</v>
      </c>
      <c r="J46" s="57"/>
      <c r="K46" s="263">
        <v>3726.0833333333335</v>
      </c>
      <c r="L46" s="263">
        <v>3726.0833333333335</v>
      </c>
      <c r="M46" s="263">
        <v>3726.0833333333335</v>
      </c>
      <c r="N46" s="263">
        <v>3726.0833333333335</v>
      </c>
      <c r="O46" s="263">
        <v>3726.0833333333335</v>
      </c>
      <c r="P46" s="263">
        <v>3726.0833333333335</v>
      </c>
      <c r="Q46" s="263">
        <v>3726.0833333333335</v>
      </c>
      <c r="R46" s="263">
        <v>3726.0833333333335</v>
      </c>
      <c r="S46" s="263">
        <v>3726.0833333333335</v>
      </c>
      <c r="T46" s="263">
        <v>3726.0833333333335</v>
      </c>
      <c r="U46" s="263">
        <v>3726.0833333333335</v>
      </c>
      <c r="V46" s="263">
        <v>3726.0833333333335</v>
      </c>
      <c r="W46" s="21">
        <f>SUM(K46:V46)</f>
        <v>44713.000000000007</v>
      </c>
      <c r="X46" s="1"/>
      <c r="Y46" s="263">
        <f>W46-E46</f>
        <v>-1755.9999999999927</v>
      </c>
      <c r="Z46" s="264"/>
      <c r="AA46" s="263">
        <f>W46-I46</f>
        <v>0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10449</v>
      </c>
      <c r="F47" s="281"/>
      <c r="G47" s="22">
        <v>-676</v>
      </c>
      <c r="H47" s="33"/>
      <c r="I47" s="21">
        <v>9773</v>
      </c>
      <c r="J47" s="57"/>
      <c r="K47" s="268">
        <v>814.375</v>
      </c>
      <c r="L47" s="268">
        <v>814.375</v>
      </c>
      <c r="M47" s="268">
        <v>814.375</v>
      </c>
      <c r="N47" s="268">
        <v>814.375</v>
      </c>
      <c r="O47" s="268">
        <v>814.375</v>
      </c>
      <c r="P47" s="268">
        <v>814.375</v>
      </c>
      <c r="Q47" s="268">
        <v>814.375</v>
      </c>
      <c r="R47" s="268">
        <v>814.375</v>
      </c>
      <c r="S47" s="268">
        <v>814.375</v>
      </c>
      <c r="T47" s="268">
        <v>814.375</v>
      </c>
      <c r="U47" s="268">
        <v>814.375</v>
      </c>
      <c r="V47" s="268">
        <v>814.375</v>
      </c>
      <c r="W47" s="22">
        <f>SUM(K47:V47)</f>
        <v>9772.5</v>
      </c>
      <c r="X47" s="1"/>
      <c r="Y47" s="268">
        <f>W47-E47</f>
        <v>-676.5</v>
      </c>
      <c r="Z47" s="264"/>
      <c r="AA47" s="268">
        <f>W47-I47</f>
        <v>-0.5</v>
      </c>
    </row>
    <row r="48" spans="1:27" x14ac:dyDescent="0.2">
      <c r="A48" s="240"/>
      <c r="B48" s="243" t="s">
        <v>17</v>
      </c>
      <c r="C48" s="244"/>
      <c r="D48" s="58"/>
      <c r="E48" s="24">
        <v>56918</v>
      </c>
      <c r="F48" s="282"/>
      <c r="G48" s="24">
        <v>-2432</v>
      </c>
      <c r="H48" s="63"/>
      <c r="I48" s="24">
        <v>54486</v>
      </c>
      <c r="J48" s="58"/>
      <c r="K48" s="24">
        <v>4540.4583333333339</v>
      </c>
      <c r="L48" s="24">
        <v>4540.4583333333339</v>
      </c>
      <c r="M48" s="24">
        <v>4540.4583333333339</v>
      </c>
      <c r="N48" s="24">
        <v>4540.4583333333339</v>
      </c>
      <c r="O48" s="24">
        <v>4540.4583333333339</v>
      </c>
      <c r="P48" s="24">
        <v>4540.4583333333339</v>
      </c>
      <c r="Q48" s="24">
        <v>4540.4583333333339</v>
      </c>
      <c r="R48" s="24">
        <v>4540.4583333333339</v>
      </c>
      <c r="S48" s="24">
        <v>4540.4583333333339</v>
      </c>
      <c r="T48" s="24">
        <v>4540.4583333333339</v>
      </c>
      <c r="U48" s="24">
        <v>4540.4583333333339</v>
      </c>
      <c r="V48" s="24">
        <v>4540.4583333333339</v>
      </c>
      <c r="W48" s="24">
        <f t="shared" ref="W48:W55" si="4">SUM(K48:V48)</f>
        <v>54485.500000000022</v>
      </c>
      <c r="X48" s="265"/>
      <c r="Y48" s="24">
        <f>SUM(Y44:Y47)</f>
        <v>-2432.4999999999927</v>
      </c>
      <c r="Z48" s="267"/>
      <c r="AA48" s="24">
        <f>SUM(AA44:AA47)</f>
        <v>-0.5</v>
      </c>
    </row>
    <row r="49" spans="1:31" x14ac:dyDescent="0.2">
      <c r="A49" s="245" t="s">
        <v>18</v>
      </c>
      <c r="B49" s="245"/>
      <c r="C49" s="242"/>
      <c r="D49" s="57"/>
      <c r="E49" s="24">
        <v>913176</v>
      </c>
      <c r="F49" s="282"/>
      <c r="G49" s="24">
        <v>-172669</v>
      </c>
      <c r="H49" s="63"/>
      <c r="I49" s="24">
        <v>740507</v>
      </c>
      <c r="J49" s="57"/>
      <c r="K49" s="24">
        <v>79320.791666666657</v>
      </c>
      <c r="L49" s="24">
        <v>83136.516664666662</v>
      </c>
      <c r="M49" s="24">
        <v>79320.541666666657</v>
      </c>
      <c r="N49" s="24">
        <v>79320.541666666657</v>
      </c>
      <c r="O49" s="24">
        <v>79320.541666666657</v>
      </c>
      <c r="P49" s="24">
        <v>79320.541666666657</v>
      </c>
      <c r="Q49" s="24">
        <v>79320.541666666657</v>
      </c>
      <c r="R49" s="24">
        <v>79320.541666666657</v>
      </c>
      <c r="S49" s="24">
        <v>79320.541666666657</v>
      </c>
      <c r="T49" s="24">
        <v>79320.541666666657</v>
      </c>
      <c r="U49" s="24">
        <v>79320.541666666657</v>
      </c>
      <c r="V49" s="24">
        <v>79320.541666666657</v>
      </c>
      <c r="W49" s="24">
        <f t="shared" si="4"/>
        <v>955662.72499799973</v>
      </c>
      <c r="X49" s="1"/>
      <c r="Y49" s="24">
        <f>W49-E49</f>
        <v>42486.724997999729</v>
      </c>
      <c r="Z49" s="267"/>
      <c r="AA49" s="24">
        <f>W49-I49</f>
        <v>215155.72499799973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0</v>
      </c>
      <c r="F55" s="282"/>
      <c r="G55" s="273">
        <v>0</v>
      </c>
      <c r="H55" s="63"/>
      <c r="I55" s="273">
        <v>0</v>
      </c>
      <c r="J55" s="58"/>
      <c r="K55" s="273">
        <v>0</v>
      </c>
      <c r="L55" s="273">
        <v>0</v>
      </c>
      <c r="M55" s="273">
        <v>0</v>
      </c>
      <c r="N55" s="273">
        <v>0</v>
      </c>
      <c r="O55" s="273">
        <v>0</v>
      </c>
      <c r="P55" s="273">
        <v>0</v>
      </c>
      <c r="Q55" s="273">
        <v>0</v>
      </c>
      <c r="R55" s="273">
        <v>0</v>
      </c>
      <c r="S55" s="273">
        <v>0</v>
      </c>
      <c r="T55" s="273">
        <v>0</v>
      </c>
      <c r="U55" s="273">
        <v>0</v>
      </c>
      <c r="V55" s="273">
        <v>0</v>
      </c>
      <c r="W55" s="273">
        <f t="shared" si="4"/>
        <v>0</v>
      </c>
      <c r="X55" s="269"/>
      <c r="Y55" s="273">
        <f>SUM(Y51:Y54)</f>
        <v>0</v>
      </c>
      <c r="Z55" s="267"/>
      <c r="AA55" s="273">
        <f>W55-I55</f>
        <v>0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913176</v>
      </c>
      <c r="F56" s="283"/>
      <c r="G56" s="274">
        <v>-172669</v>
      </c>
      <c r="H56" s="284"/>
      <c r="I56" s="274">
        <v>740507</v>
      </c>
      <c r="J56" s="279"/>
      <c r="K56" s="274">
        <v>79320.791666666657</v>
      </c>
      <c r="L56" s="274">
        <v>83136.516664666662</v>
      </c>
      <c r="M56" s="274">
        <v>79320.541666666657</v>
      </c>
      <c r="N56" s="274">
        <v>79320.541666666657</v>
      </c>
      <c r="O56" s="274">
        <v>79320.541666666657</v>
      </c>
      <c r="P56" s="274">
        <v>79320.541666666657</v>
      </c>
      <c r="Q56" s="274">
        <v>79320.541666666657</v>
      </c>
      <c r="R56" s="274">
        <v>79320.541666666657</v>
      </c>
      <c r="S56" s="274">
        <v>79320.541666666657</v>
      </c>
      <c r="T56" s="274">
        <v>79320.541666666657</v>
      </c>
      <c r="U56" s="274">
        <v>79320.541666666657</v>
      </c>
      <c r="V56" s="274">
        <v>79320.541666666657</v>
      </c>
      <c r="W56" s="274">
        <f>+W49+W55</f>
        <v>955662.72499799973</v>
      </c>
      <c r="X56" s="269"/>
      <c r="Y56" s="274">
        <f>+Y49+Y55</f>
        <v>42486.724997999729</v>
      </c>
      <c r="Z56" s="275"/>
      <c r="AA56" s="274">
        <f>+AA49+AA55</f>
        <v>215155.72499799973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913176</v>
      </c>
      <c r="F66" s="29"/>
      <c r="G66" s="27"/>
      <c r="H66" s="80"/>
      <c r="I66" s="21">
        <v>913176</v>
      </c>
      <c r="J66" s="31">
        <v>1</v>
      </c>
      <c r="K66" s="21">
        <v>79320.791666666657</v>
      </c>
      <c r="L66" s="21">
        <v>83136.516664666662</v>
      </c>
      <c r="M66" s="21">
        <v>79320.541666666657</v>
      </c>
      <c r="N66" s="21">
        <v>79320.541666666657</v>
      </c>
      <c r="O66" s="21">
        <v>79320.541666666657</v>
      </c>
      <c r="P66" s="21">
        <v>79320.541666666657</v>
      </c>
      <c r="Q66" s="21">
        <v>79320.541666666657</v>
      </c>
      <c r="R66" s="21">
        <v>79320.541666666657</v>
      </c>
      <c r="S66" s="21">
        <v>79320.541666666657</v>
      </c>
      <c r="T66" s="21">
        <v>79320.541666666657</v>
      </c>
      <c r="U66" s="21">
        <v>79320.541666666657</v>
      </c>
      <c r="V66" s="21">
        <v>79320.541666666657</v>
      </c>
      <c r="W66" s="21">
        <f t="shared" si="5"/>
        <v>955662.72499799973</v>
      </c>
      <c r="X66" s="33"/>
      <c r="Y66" s="21">
        <f t="shared" si="6"/>
        <v>42486.724997999729</v>
      </c>
      <c r="Z66" s="33"/>
      <c r="AA66" s="21">
        <f t="shared" si="7"/>
        <v>42486.724997999729</v>
      </c>
      <c r="AE66" s="80" t="e">
        <f>AA34+AA36+AA37+#REF!</f>
        <v>#REF!</v>
      </c>
    </row>
    <row r="67" spans="2:31" x14ac:dyDescent="0.2">
      <c r="B67" s="249" t="s">
        <v>30</v>
      </c>
      <c r="C67" s="249">
        <v>913</v>
      </c>
      <c r="D67" s="81"/>
      <c r="E67" s="80">
        <v>0</v>
      </c>
      <c r="F67" s="29"/>
      <c r="G67" s="27"/>
      <c r="H67" s="80"/>
      <c r="I67" s="21">
        <v>0</v>
      </c>
      <c r="J67" s="3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f t="shared" si="5"/>
        <v>0</v>
      </c>
      <c r="X67" s="33"/>
      <c r="Y67" s="21">
        <f t="shared" si="6"/>
        <v>0</v>
      </c>
      <c r="Z67" s="33"/>
      <c r="AA67" s="21">
        <f t="shared" si="7"/>
        <v>0</v>
      </c>
      <c r="AE67" s="80"/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0</v>
      </c>
      <c r="F71" s="29"/>
      <c r="G71" s="27"/>
      <c r="H71" s="80"/>
      <c r="I71" s="21">
        <v>0</v>
      </c>
      <c r="J71" s="3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f t="shared" si="5"/>
        <v>0</v>
      </c>
      <c r="X71" s="33"/>
      <c r="Y71" s="21">
        <f t="shared" si="6"/>
        <v>0</v>
      </c>
      <c r="Z71" s="33"/>
      <c r="AA71" s="21">
        <f t="shared" si="7"/>
        <v>0</v>
      </c>
      <c r="AE71" s="80"/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913176</v>
      </c>
      <c r="F81" s="66"/>
      <c r="G81" s="37">
        <v>0</v>
      </c>
      <c r="H81" s="37"/>
      <c r="I81" s="37">
        <v>913176</v>
      </c>
      <c r="J81" s="38">
        <v>1</v>
      </c>
      <c r="K81" s="37">
        <v>79320.791666666657</v>
      </c>
      <c r="L81" s="37">
        <v>83136.516664666662</v>
      </c>
      <c r="M81" s="37">
        <v>79320.541666666657</v>
      </c>
      <c r="N81" s="37">
        <v>79320.541666666657</v>
      </c>
      <c r="O81" s="37">
        <v>79320.541666666657</v>
      </c>
      <c r="P81" s="37">
        <v>79320.541666666657</v>
      </c>
      <c r="Q81" s="37">
        <v>79320.541666666657</v>
      </c>
      <c r="R81" s="37">
        <v>79320.541666666657</v>
      </c>
      <c r="S81" s="37">
        <v>79320.541666666657</v>
      </c>
      <c r="T81" s="37">
        <v>79320.541666666657</v>
      </c>
      <c r="U81" s="37">
        <v>79320.541666666657</v>
      </c>
      <c r="V81" s="37">
        <v>79320.541666666657</v>
      </c>
      <c r="W81" s="40">
        <f>SUM(W62:W80)</f>
        <v>955662.72499799973</v>
      </c>
      <c r="X81" s="58"/>
      <c r="Y81" s="40">
        <f>SUM(Y62:Y80)</f>
        <v>42486.724997999729</v>
      </c>
      <c r="Z81" s="63"/>
      <c r="AA81" s="40">
        <f>SUM(AA62:AA80)</f>
        <v>42486.724997999729</v>
      </c>
      <c r="AE81" s="80"/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172669</v>
      </c>
      <c r="H82" s="64"/>
      <c r="I82" s="64">
        <v>172669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0</v>
      </c>
      <c r="Z82" s="94"/>
      <c r="AA82" s="64">
        <f>AA81-AA56</f>
        <v>-172669</v>
      </c>
      <c r="AE82" s="80"/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89"/>
    </row>
    <row r="86" spans="2:31" x14ac:dyDescent="0.2">
      <c r="C86"/>
      <c r="D86"/>
      <c r="E86"/>
      <c r="AE86" s="190"/>
    </row>
  </sheetData>
  <printOptions horizontalCentered="1"/>
  <pageMargins left="0" right="0" top="0.45" bottom="0.4" header="0.34" footer="0.2"/>
  <pageSetup scale="68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88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10.5703125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9.7109375" bestFit="1" customWidth="1"/>
    <col min="8" max="8" width="0.85546875" customWidth="1"/>
    <col min="9" max="9" width="10.5703125" bestFit="1" customWidth="1"/>
    <col min="10" max="10" width="9.5703125" customWidth="1"/>
    <col min="11" max="22" width="9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11" style="71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111681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36724.628800925922</v>
      </c>
      <c r="AB5" s="1"/>
    </row>
    <row r="6" spans="1:29" x14ac:dyDescent="0.2">
      <c r="B6" s="3" t="s">
        <v>232</v>
      </c>
      <c r="C6" s="304">
        <v>26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36724.628800925922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">
      <c r="B8" s="252" t="s">
        <v>2</v>
      </c>
      <c r="C8" s="7">
        <v>7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548952</v>
      </c>
      <c r="F14" s="281"/>
      <c r="G14" s="21">
        <v>-104088</v>
      </c>
      <c r="H14" s="33"/>
      <c r="I14" s="21">
        <v>444864</v>
      </c>
      <c r="J14" s="57"/>
      <c r="K14" s="263">
        <v>51592</v>
      </c>
      <c r="L14" s="263">
        <v>51592</v>
      </c>
      <c r="M14" s="263">
        <v>51592</v>
      </c>
      <c r="N14" s="263">
        <v>51592</v>
      </c>
      <c r="O14" s="263">
        <v>51592</v>
      </c>
      <c r="P14" s="263">
        <v>51592</v>
      </c>
      <c r="Q14" s="263">
        <v>51592</v>
      </c>
      <c r="R14" s="263">
        <v>51592</v>
      </c>
      <c r="S14" s="263">
        <v>51592</v>
      </c>
      <c r="T14" s="263">
        <v>51592</v>
      </c>
      <c r="U14" s="263">
        <v>51592</v>
      </c>
      <c r="V14" s="263">
        <v>51592</v>
      </c>
      <c r="W14" s="21">
        <f>SUM(K14:V14)</f>
        <v>619104</v>
      </c>
      <c r="X14" s="1"/>
      <c r="Y14" s="263">
        <f t="shared" ref="Y14:Y21" si="0">W14-E14</f>
        <v>70152</v>
      </c>
      <c r="Z14" s="264"/>
      <c r="AA14" s="263">
        <f t="shared" ref="AA14:AA39" si="1">W14-I14</f>
        <v>174240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30000</v>
      </c>
      <c r="F15" s="281"/>
      <c r="G15" s="21">
        <v>-12000</v>
      </c>
      <c r="H15" s="33"/>
      <c r="I15" s="21">
        <v>18000</v>
      </c>
      <c r="J15" s="57"/>
      <c r="K15" s="263">
        <v>2500</v>
      </c>
      <c r="L15" s="21">
        <v>2500</v>
      </c>
      <c r="M15" s="21">
        <v>2500</v>
      </c>
      <c r="N15" s="21">
        <v>2500</v>
      </c>
      <c r="O15" s="21">
        <v>2500</v>
      </c>
      <c r="P15" s="21">
        <v>2500</v>
      </c>
      <c r="Q15" s="21">
        <v>2500</v>
      </c>
      <c r="R15" s="21">
        <v>2500</v>
      </c>
      <c r="S15" s="21">
        <v>2500</v>
      </c>
      <c r="T15" s="21">
        <v>2500</v>
      </c>
      <c r="U15" s="21">
        <v>2500</v>
      </c>
      <c r="V15" s="21">
        <v>2500</v>
      </c>
      <c r="W15" s="21">
        <f t="shared" ref="W15:W45" si="2">SUM(K15:V15)</f>
        <v>30000</v>
      </c>
      <c r="X15" s="1"/>
      <c r="Y15" s="21">
        <f t="shared" si="0"/>
        <v>0</v>
      </c>
      <c r="Z15" s="262"/>
      <c r="AA15" s="21">
        <f t="shared" si="1"/>
        <v>12000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21204</v>
      </c>
      <c r="F16" s="281"/>
      <c r="G16" s="21">
        <v>23196</v>
      </c>
      <c r="H16" s="33"/>
      <c r="I16" s="21">
        <v>44400</v>
      </c>
      <c r="J16" s="57"/>
      <c r="K16" s="21">
        <v>1767</v>
      </c>
      <c r="L16" s="21">
        <v>1767</v>
      </c>
      <c r="M16" s="21">
        <v>1767</v>
      </c>
      <c r="N16" s="21">
        <v>1767</v>
      </c>
      <c r="O16" s="21">
        <v>1767</v>
      </c>
      <c r="P16" s="21">
        <v>1767</v>
      </c>
      <c r="Q16" s="21">
        <v>1767</v>
      </c>
      <c r="R16" s="21">
        <v>1767</v>
      </c>
      <c r="S16" s="21">
        <v>1767</v>
      </c>
      <c r="T16" s="21">
        <v>1767</v>
      </c>
      <c r="U16" s="21">
        <v>1767</v>
      </c>
      <c r="V16" s="21">
        <v>1767</v>
      </c>
      <c r="W16" s="21">
        <f t="shared" si="2"/>
        <v>21204</v>
      </c>
      <c r="X16" s="1"/>
      <c r="Y16" s="21">
        <f t="shared" si="0"/>
        <v>0</v>
      </c>
      <c r="Z16" s="262"/>
      <c r="AA16" s="21">
        <f t="shared" si="1"/>
        <v>-23196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13200</v>
      </c>
      <c r="F17" s="281"/>
      <c r="G17" s="21">
        <v>-5400</v>
      </c>
      <c r="H17" s="33"/>
      <c r="I17" s="21">
        <v>7800</v>
      </c>
      <c r="J17" s="57"/>
      <c r="K17" s="21">
        <v>1100</v>
      </c>
      <c r="L17" s="21">
        <v>1100</v>
      </c>
      <c r="M17" s="21">
        <v>1100</v>
      </c>
      <c r="N17" s="21">
        <v>1100</v>
      </c>
      <c r="O17" s="21">
        <v>1100</v>
      </c>
      <c r="P17" s="21">
        <v>1100</v>
      </c>
      <c r="Q17" s="21">
        <v>1100</v>
      </c>
      <c r="R17" s="21">
        <v>1100</v>
      </c>
      <c r="S17" s="21">
        <v>1100</v>
      </c>
      <c r="T17" s="21">
        <v>1100</v>
      </c>
      <c r="U17" s="21">
        <v>1100</v>
      </c>
      <c r="V17" s="21">
        <v>1100</v>
      </c>
      <c r="W17" s="21">
        <f t="shared" si="2"/>
        <v>13200</v>
      </c>
      <c r="X17" s="1"/>
      <c r="Y17" s="21">
        <f t="shared" si="0"/>
        <v>0</v>
      </c>
      <c r="Z17" s="262"/>
      <c r="AA17" s="21">
        <f t="shared" si="1"/>
        <v>5400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1740</v>
      </c>
      <c r="F18" s="281"/>
      <c r="G18" s="21">
        <v>-1740</v>
      </c>
      <c r="H18" s="33"/>
      <c r="I18" s="21">
        <v>0</v>
      </c>
      <c r="J18" s="57"/>
      <c r="K18" s="21">
        <v>145</v>
      </c>
      <c r="L18" s="21">
        <v>145</v>
      </c>
      <c r="M18" s="21">
        <v>145</v>
      </c>
      <c r="N18" s="21">
        <v>145</v>
      </c>
      <c r="O18" s="21">
        <v>145</v>
      </c>
      <c r="P18" s="21">
        <v>145</v>
      </c>
      <c r="Q18" s="21">
        <v>145</v>
      </c>
      <c r="R18" s="21">
        <v>145</v>
      </c>
      <c r="S18" s="21">
        <v>145</v>
      </c>
      <c r="T18" s="21">
        <v>145</v>
      </c>
      <c r="U18" s="21">
        <v>145</v>
      </c>
      <c r="V18" s="21">
        <v>145</v>
      </c>
      <c r="W18" s="21">
        <f t="shared" si="2"/>
        <v>1740</v>
      </c>
      <c r="X18" s="1"/>
      <c r="Y18" s="21">
        <f t="shared" si="0"/>
        <v>0</v>
      </c>
      <c r="Z18" s="262"/>
      <c r="AA18" s="21">
        <f t="shared" si="1"/>
        <v>1740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6600</v>
      </c>
      <c r="F19" s="281"/>
      <c r="G19" s="21">
        <v>-1440</v>
      </c>
      <c r="H19" s="33"/>
      <c r="I19" s="21">
        <v>5160</v>
      </c>
      <c r="J19" s="57"/>
      <c r="K19" s="21">
        <v>550</v>
      </c>
      <c r="L19" s="21">
        <v>550</v>
      </c>
      <c r="M19" s="21">
        <v>550</v>
      </c>
      <c r="N19" s="21">
        <v>550</v>
      </c>
      <c r="O19" s="21">
        <v>550</v>
      </c>
      <c r="P19" s="21">
        <v>550</v>
      </c>
      <c r="Q19" s="21">
        <v>550</v>
      </c>
      <c r="R19" s="21">
        <v>550</v>
      </c>
      <c r="S19" s="21">
        <v>550</v>
      </c>
      <c r="T19" s="21">
        <v>550</v>
      </c>
      <c r="U19" s="21">
        <v>550</v>
      </c>
      <c r="V19" s="21">
        <v>550</v>
      </c>
      <c r="W19" s="21">
        <f t="shared" si="2"/>
        <v>6600</v>
      </c>
      <c r="X19" s="1"/>
      <c r="Y19" s="21">
        <f t="shared" si="0"/>
        <v>0</v>
      </c>
      <c r="Z19" s="262"/>
      <c r="AA19" s="21">
        <f t="shared" si="1"/>
        <v>1440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26800</v>
      </c>
      <c r="F26" s="281"/>
      <c r="G26" s="21">
        <v>-14800</v>
      </c>
      <c r="H26" s="33"/>
      <c r="I26" s="21">
        <v>12000</v>
      </c>
      <c r="J26" s="57"/>
      <c r="K26" s="21">
        <v>2233.3333333333335</v>
      </c>
      <c r="L26" s="21">
        <v>2233.3333333333335</v>
      </c>
      <c r="M26" s="21">
        <v>2233.3333333333335</v>
      </c>
      <c r="N26" s="21">
        <v>2233.3333333333335</v>
      </c>
      <c r="O26" s="21">
        <v>2233.3333333333335</v>
      </c>
      <c r="P26" s="21">
        <v>2233.3333333333335</v>
      </c>
      <c r="Q26" s="21">
        <v>2233.3333333333335</v>
      </c>
      <c r="R26" s="21">
        <v>2233.3333333333335</v>
      </c>
      <c r="S26" s="21">
        <v>2233.3333333333335</v>
      </c>
      <c r="T26" s="21">
        <v>2233.3333333333335</v>
      </c>
      <c r="U26" s="21">
        <v>2233.3333333333335</v>
      </c>
      <c r="V26" s="21">
        <v>2233.3333333333335</v>
      </c>
      <c r="W26" s="21">
        <f t="shared" si="2"/>
        <v>26799.999999999996</v>
      </c>
      <c r="X26" s="1"/>
      <c r="Y26" s="21">
        <f t="shared" si="3"/>
        <v>0</v>
      </c>
      <c r="Z26" s="262"/>
      <c r="AA26" s="21">
        <f t="shared" si="1"/>
        <v>14799.999999999996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16660</v>
      </c>
      <c r="F27" s="281"/>
      <c r="G27" s="21">
        <v>-12460</v>
      </c>
      <c r="H27" s="33"/>
      <c r="I27" s="21">
        <v>4200</v>
      </c>
      <c r="J27" s="57"/>
      <c r="K27" s="21">
        <v>1388.3333333333333</v>
      </c>
      <c r="L27" s="21">
        <v>1388.3333333333333</v>
      </c>
      <c r="M27" s="21">
        <v>1388.3333333333333</v>
      </c>
      <c r="N27" s="21">
        <v>1388.3333333333333</v>
      </c>
      <c r="O27" s="21">
        <v>1388.3333333333333</v>
      </c>
      <c r="P27" s="21">
        <v>1388.3333333333333</v>
      </c>
      <c r="Q27" s="21">
        <v>1388.3333333333333</v>
      </c>
      <c r="R27" s="21">
        <v>1388.3333333333333</v>
      </c>
      <c r="S27" s="21">
        <v>1388.3333333333333</v>
      </c>
      <c r="T27" s="21">
        <v>1388.3333333333333</v>
      </c>
      <c r="U27" s="21">
        <v>1388.3333333333333</v>
      </c>
      <c r="V27" s="21">
        <v>1388.3333333333333</v>
      </c>
      <c r="W27" s="21">
        <f t="shared" si="2"/>
        <v>16660.000000000004</v>
      </c>
      <c r="X27" s="1"/>
      <c r="Y27" s="21">
        <f t="shared" si="3"/>
        <v>0</v>
      </c>
      <c r="Z27" s="262"/>
      <c r="AA27" s="21">
        <f t="shared" si="1"/>
        <v>12460.000000000004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1193330</v>
      </c>
      <c r="F28" s="281"/>
      <c r="G28" s="21">
        <v>756670</v>
      </c>
      <c r="H28" s="33"/>
      <c r="I28" s="21">
        <v>1950000</v>
      </c>
      <c r="J28" s="57"/>
      <c r="K28" s="21">
        <v>99444.166666666672</v>
      </c>
      <c r="L28" s="21">
        <v>99444.166666666672</v>
      </c>
      <c r="M28" s="21">
        <v>99444.166666666672</v>
      </c>
      <c r="N28" s="21">
        <v>99444.166666666672</v>
      </c>
      <c r="O28" s="21">
        <v>99444.166666666672</v>
      </c>
      <c r="P28" s="21">
        <v>99444.166666666672</v>
      </c>
      <c r="Q28" s="21">
        <v>99444.166666666672</v>
      </c>
      <c r="R28" s="21">
        <v>99444.166666666672</v>
      </c>
      <c r="S28" s="21">
        <v>99444.166666666672</v>
      </c>
      <c r="T28" s="21">
        <v>99444.166666666672</v>
      </c>
      <c r="U28" s="21">
        <v>99444.166666666672</v>
      </c>
      <c r="V28" s="21">
        <v>99444.166666666672</v>
      </c>
      <c r="W28" s="21">
        <f t="shared" si="2"/>
        <v>1193330</v>
      </c>
      <c r="X28" s="1"/>
      <c r="Y28" s="21">
        <f t="shared" si="3"/>
        <v>0</v>
      </c>
      <c r="Z28" s="262"/>
      <c r="AA28" s="21">
        <f t="shared" si="1"/>
        <v>-756670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6000</v>
      </c>
      <c r="F30" s="281"/>
      <c r="G30" s="21">
        <v>600</v>
      </c>
      <c r="H30" s="33"/>
      <c r="I30" s="21">
        <v>6600</v>
      </c>
      <c r="J30" s="57"/>
      <c r="K30" s="21">
        <v>500</v>
      </c>
      <c r="L30" s="21">
        <v>500</v>
      </c>
      <c r="M30" s="21">
        <v>500</v>
      </c>
      <c r="N30" s="21">
        <v>500</v>
      </c>
      <c r="O30" s="21">
        <v>500</v>
      </c>
      <c r="P30" s="21">
        <v>500</v>
      </c>
      <c r="Q30" s="21">
        <v>500</v>
      </c>
      <c r="R30" s="21">
        <v>500</v>
      </c>
      <c r="S30" s="21">
        <v>500</v>
      </c>
      <c r="T30" s="21">
        <v>500</v>
      </c>
      <c r="U30" s="21">
        <v>500</v>
      </c>
      <c r="V30" s="21">
        <v>500</v>
      </c>
      <c r="W30" s="21">
        <f t="shared" si="2"/>
        <v>6000</v>
      </c>
      <c r="X30" s="1"/>
      <c r="Y30" s="21">
        <f t="shared" si="3"/>
        <v>0</v>
      </c>
      <c r="Z30" s="262"/>
      <c r="AA30" s="21">
        <f t="shared" si="1"/>
        <v>-600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6000</v>
      </c>
      <c r="F32" s="281"/>
      <c r="G32" s="21">
        <v>-6000</v>
      </c>
      <c r="H32" s="33"/>
      <c r="I32" s="21">
        <v>0</v>
      </c>
      <c r="J32" s="57"/>
      <c r="K32" s="21">
        <v>500</v>
      </c>
      <c r="L32" s="21">
        <v>500</v>
      </c>
      <c r="M32" s="21">
        <v>500</v>
      </c>
      <c r="N32" s="21">
        <v>500</v>
      </c>
      <c r="O32" s="21">
        <v>500</v>
      </c>
      <c r="P32" s="21">
        <v>500</v>
      </c>
      <c r="Q32" s="21">
        <v>500</v>
      </c>
      <c r="R32" s="21">
        <v>500</v>
      </c>
      <c r="S32" s="21">
        <v>500</v>
      </c>
      <c r="T32" s="21">
        <v>500</v>
      </c>
      <c r="U32" s="21">
        <v>500</v>
      </c>
      <c r="V32" s="21">
        <v>500</v>
      </c>
      <c r="W32" s="21">
        <f t="shared" si="2"/>
        <v>6000</v>
      </c>
      <c r="X32" s="1"/>
      <c r="Y32" s="21">
        <f t="shared" si="3"/>
        <v>0</v>
      </c>
      <c r="Z32" s="262"/>
      <c r="AA32" s="21">
        <f t="shared" si="1"/>
        <v>6000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4800</v>
      </c>
      <c r="F33" s="281"/>
      <c r="G33" s="21">
        <v>-3360</v>
      </c>
      <c r="H33" s="33"/>
      <c r="I33" s="21">
        <v>1440</v>
      </c>
      <c r="J33" s="57"/>
      <c r="K33" s="21">
        <v>400</v>
      </c>
      <c r="L33" s="21">
        <v>400</v>
      </c>
      <c r="M33" s="21">
        <v>400</v>
      </c>
      <c r="N33" s="21">
        <v>400</v>
      </c>
      <c r="O33" s="21">
        <v>400</v>
      </c>
      <c r="P33" s="21">
        <v>400</v>
      </c>
      <c r="Q33" s="21">
        <v>400</v>
      </c>
      <c r="R33" s="21">
        <v>400</v>
      </c>
      <c r="S33" s="21">
        <v>400</v>
      </c>
      <c r="T33" s="21">
        <v>400</v>
      </c>
      <c r="U33" s="21">
        <v>400</v>
      </c>
      <c r="V33" s="21">
        <v>400</v>
      </c>
      <c r="W33" s="21">
        <f t="shared" si="2"/>
        <v>4800</v>
      </c>
      <c r="X33" s="1"/>
      <c r="Y33" s="21">
        <f t="shared" si="3"/>
        <v>0</v>
      </c>
      <c r="Z33" s="262"/>
      <c r="AA33" s="21">
        <f t="shared" si="1"/>
        <v>3360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1875286</v>
      </c>
      <c r="F40" s="282"/>
      <c r="G40" s="23">
        <v>619178</v>
      </c>
      <c r="H40" s="63"/>
      <c r="I40" s="23">
        <v>2494464</v>
      </c>
      <c r="J40" s="58"/>
      <c r="K40" s="266">
        <v>162119.83333333334</v>
      </c>
      <c r="L40" s="266">
        <v>162119.83333333334</v>
      </c>
      <c r="M40" s="266">
        <v>162119.83333333334</v>
      </c>
      <c r="N40" s="266">
        <v>162119.83333333334</v>
      </c>
      <c r="O40" s="266">
        <v>162119.83333333334</v>
      </c>
      <c r="P40" s="266">
        <v>162119.83333333334</v>
      </c>
      <c r="Q40" s="266">
        <v>162119.83333333334</v>
      </c>
      <c r="R40" s="266">
        <v>162119.83333333334</v>
      </c>
      <c r="S40" s="266">
        <v>162119.83333333334</v>
      </c>
      <c r="T40" s="266">
        <v>162119.83333333334</v>
      </c>
      <c r="U40" s="266">
        <v>162119.83333333334</v>
      </c>
      <c r="V40" s="266">
        <v>162119.83333333334</v>
      </c>
      <c r="W40" s="266">
        <f>SUM(W14:W39)</f>
        <v>1945438</v>
      </c>
      <c r="X40" s="265"/>
      <c r="Y40" s="266">
        <f>SUM(Y14:Y39)</f>
        <v>70152</v>
      </c>
      <c r="Z40" s="267"/>
      <c r="AA40" s="266">
        <f>SUM(AA14:AA39)</f>
        <v>-549026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67055</v>
      </c>
      <c r="F41" s="281"/>
      <c r="G41" s="21">
        <v>-12026</v>
      </c>
      <c r="H41" s="33"/>
      <c r="I41" s="21">
        <v>55029</v>
      </c>
      <c r="J41" s="57"/>
      <c r="K41" s="263">
        <v>6295</v>
      </c>
      <c r="L41" s="263">
        <v>6295</v>
      </c>
      <c r="M41" s="263">
        <v>6295</v>
      </c>
      <c r="N41" s="263">
        <v>6295</v>
      </c>
      <c r="O41" s="263">
        <v>6295</v>
      </c>
      <c r="P41" s="263">
        <v>6295</v>
      </c>
      <c r="Q41" s="263">
        <v>6295</v>
      </c>
      <c r="R41" s="263">
        <v>6295</v>
      </c>
      <c r="S41" s="263">
        <v>6295</v>
      </c>
      <c r="T41" s="263">
        <v>6295</v>
      </c>
      <c r="U41" s="263">
        <v>6295</v>
      </c>
      <c r="V41" s="263">
        <v>6295</v>
      </c>
      <c r="W41" s="21">
        <f t="shared" si="2"/>
        <v>75540</v>
      </c>
      <c r="X41" s="1"/>
      <c r="Y41" s="263">
        <f>W41-E41</f>
        <v>8485</v>
      </c>
      <c r="Z41" s="264"/>
      <c r="AA41" s="263">
        <f>W41-I41</f>
        <v>20511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42961</v>
      </c>
      <c r="F42" s="281"/>
      <c r="G42" s="22">
        <v>-6154</v>
      </c>
      <c r="H42" s="33"/>
      <c r="I42" s="22">
        <v>36807</v>
      </c>
      <c r="J42" s="57"/>
      <c r="K42" s="268">
        <v>3566.4</v>
      </c>
      <c r="L42" s="268">
        <v>7726.3999980000017</v>
      </c>
      <c r="M42" s="268">
        <v>3566.4</v>
      </c>
      <c r="N42" s="268">
        <v>3566.4</v>
      </c>
      <c r="O42" s="268">
        <v>3566.4</v>
      </c>
      <c r="P42" s="268">
        <v>3566.4</v>
      </c>
      <c r="Q42" s="268">
        <v>3566.4</v>
      </c>
      <c r="R42" s="268">
        <v>3566.4</v>
      </c>
      <c r="S42" s="268">
        <v>3566.4</v>
      </c>
      <c r="T42" s="268">
        <v>3566.4</v>
      </c>
      <c r="U42" s="268">
        <v>3566.4</v>
      </c>
      <c r="V42" s="268">
        <v>3566.4</v>
      </c>
      <c r="W42" s="22">
        <f t="shared" si="2"/>
        <v>46956.79999800001</v>
      </c>
      <c r="X42" s="261"/>
      <c r="Y42" s="268">
        <f>W42-E42</f>
        <v>3995.7999980000095</v>
      </c>
      <c r="Z42" s="264"/>
      <c r="AA42" s="268">
        <f>W42-I42</f>
        <v>10149.79999800001</v>
      </c>
    </row>
    <row r="43" spans="1:27" x14ac:dyDescent="0.2">
      <c r="A43" s="240"/>
      <c r="B43" s="243" t="s">
        <v>17</v>
      </c>
      <c r="C43" s="244"/>
      <c r="D43" s="58"/>
      <c r="E43" s="23">
        <v>110016</v>
      </c>
      <c r="F43" s="282"/>
      <c r="G43" s="23">
        <v>-18180</v>
      </c>
      <c r="H43" s="63"/>
      <c r="I43" s="23">
        <v>91836</v>
      </c>
      <c r="J43" s="58"/>
      <c r="K43" s="266">
        <v>9861.4</v>
      </c>
      <c r="L43" s="266">
        <v>14021.399998000001</v>
      </c>
      <c r="M43" s="266">
        <v>9861.4</v>
      </c>
      <c r="N43" s="266">
        <v>9861.4</v>
      </c>
      <c r="O43" s="266">
        <v>9861.4</v>
      </c>
      <c r="P43" s="266">
        <v>9861.4</v>
      </c>
      <c r="Q43" s="266">
        <v>9861.4</v>
      </c>
      <c r="R43" s="266">
        <v>9861.4</v>
      </c>
      <c r="S43" s="266">
        <v>9861.4</v>
      </c>
      <c r="T43" s="266">
        <v>9861.4</v>
      </c>
      <c r="U43" s="266">
        <v>9861.4</v>
      </c>
      <c r="V43" s="266">
        <v>9861.4</v>
      </c>
      <c r="W43" s="23">
        <f t="shared" si="2"/>
        <v>122496.79999799997</v>
      </c>
      <c r="X43" s="269"/>
      <c r="Y43" s="270">
        <f>SUM(Y41:Y42)</f>
        <v>12480.79999800001</v>
      </c>
      <c r="Z43" s="271"/>
      <c r="AA43" s="270">
        <f>SUM(AA41:AA42)</f>
        <v>30660.79999800001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13530</v>
      </c>
      <c r="F46" s="281"/>
      <c r="G46" s="21">
        <v>-7153</v>
      </c>
      <c r="H46" s="33"/>
      <c r="I46" s="21">
        <v>6377</v>
      </c>
      <c r="J46" s="57"/>
      <c r="K46" s="263">
        <v>531.39</v>
      </c>
      <c r="L46" s="263">
        <v>531.39</v>
      </c>
      <c r="M46" s="263">
        <v>531.39</v>
      </c>
      <c r="N46" s="263">
        <v>531.39</v>
      </c>
      <c r="O46" s="263">
        <v>531.39</v>
      </c>
      <c r="P46" s="263">
        <v>531.39</v>
      </c>
      <c r="Q46" s="263">
        <v>531.39</v>
      </c>
      <c r="R46" s="263">
        <v>531.39</v>
      </c>
      <c r="S46" s="263">
        <v>531.39</v>
      </c>
      <c r="T46" s="263">
        <v>531.39</v>
      </c>
      <c r="U46" s="263">
        <v>531.39</v>
      </c>
      <c r="V46" s="263">
        <v>531.39</v>
      </c>
      <c r="W46" s="21">
        <f>SUM(K46:V46)</f>
        <v>6376.6800000000012</v>
      </c>
      <c r="X46" s="1"/>
      <c r="Y46" s="263">
        <f>W46-E46</f>
        <v>-7153.3199999999988</v>
      </c>
      <c r="Z46" s="264"/>
      <c r="AA46" s="263">
        <f>W46-I46</f>
        <v>-0.31999999999879947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15951</v>
      </c>
      <c r="F47" s="281"/>
      <c r="G47" s="22">
        <v>-1187</v>
      </c>
      <c r="H47" s="33"/>
      <c r="I47" s="21">
        <v>14764</v>
      </c>
      <c r="J47" s="57"/>
      <c r="K47" s="268">
        <v>1230.325</v>
      </c>
      <c r="L47" s="268">
        <v>1230.325</v>
      </c>
      <c r="M47" s="268">
        <v>1230.325</v>
      </c>
      <c r="N47" s="268">
        <v>1230.325</v>
      </c>
      <c r="O47" s="268">
        <v>1230.325</v>
      </c>
      <c r="P47" s="268">
        <v>1230.325</v>
      </c>
      <c r="Q47" s="268">
        <v>1230.325</v>
      </c>
      <c r="R47" s="268">
        <v>1230.325</v>
      </c>
      <c r="S47" s="268">
        <v>1230.325</v>
      </c>
      <c r="T47" s="268">
        <v>1230.325</v>
      </c>
      <c r="U47" s="268">
        <v>1230.325</v>
      </c>
      <c r="V47" s="268">
        <v>1230.325</v>
      </c>
      <c r="W47" s="22">
        <f>SUM(K47:V47)</f>
        <v>14763.900000000003</v>
      </c>
      <c r="X47" s="1"/>
      <c r="Y47" s="268">
        <f>W47-E47</f>
        <v>-1187.0999999999967</v>
      </c>
      <c r="Z47" s="264"/>
      <c r="AA47" s="268">
        <f>W47-I47</f>
        <v>-9.9999999996725819E-2</v>
      </c>
    </row>
    <row r="48" spans="1:27" x14ac:dyDescent="0.2">
      <c r="A48" s="240"/>
      <c r="B48" s="243" t="s">
        <v>17</v>
      </c>
      <c r="C48" s="244"/>
      <c r="D48" s="58"/>
      <c r="E48" s="24">
        <v>29481</v>
      </c>
      <c r="F48" s="282"/>
      <c r="G48" s="24">
        <v>-8340</v>
      </c>
      <c r="H48" s="63"/>
      <c r="I48" s="24">
        <v>21141</v>
      </c>
      <c r="J48" s="58"/>
      <c r="K48" s="24">
        <v>1761.7149999999999</v>
      </c>
      <c r="L48" s="24">
        <v>1761.7149999999999</v>
      </c>
      <c r="M48" s="24">
        <v>1761.7149999999999</v>
      </c>
      <c r="N48" s="24">
        <v>1761.7149999999999</v>
      </c>
      <c r="O48" s="24">
        <v>1761.7149999999999</v>
      </c>
      <c r="P48" s="24">
        <v>1761.7149999999999</v>
      </c>
      <c r="Q48" s="24">
        <v>1761.7149999999999</v>
      </c>
      <c r="R48" s="24">
        <v>1761.7149999999999</v>
      </c>
      <c r="S48" s="24">
        <v>1761.7149999999999</v>
      </c>
      <c r="T48" s="24">
        <v>1761.7149999999999</v>
      </c>
      <c r="U48" s="24">
        <v>1761.7149999999999</v>
      </c>
      <c r="V48" s="24">
        <v>1761.7149999999999</v>
      </c>
      <c r="W48" s="24">
        <f t="shared" ref="W48:W55" si="4">SUM(K48:V48)</f>
        <v>21140.579999999998</v>
      </c>
      <c r="X48" s="265"/>
      <c r="Y48" s="24">
        <f>SUM(Y44:Y47)</f>
        <v>-8340.4199999999946</v>
      </c>
      <c r="Z48" s="267"/>
      <c r="AA48" s="24">
        <f>SUM(AA44:AA47)</f>
        <v>-0.41999999999552529</v>
      </c>
    </row>
    <row r="49" spans="1:31" x14ac:dyDescent="0.2">
      <c r="A49" s="245" t="s">
        <v>18</v>
      </c>
      <c r="B49" s="245"/>
      <c r="C49" s="242"/>
      <c r="D49" s="57"/>
      <c r="E49" s="24">
        <v>2014783</v>
      </c>
      <c r="F49" s="282"/>
      <c r="G49" s="24">
        <v>592658</v>
      </c>
      <c r="H49" s="63"/>
      <c r="I49" s="24">
        <v>2607441</v>
      </c>
      <c r="J49" s="57"/>
      <c r="K49" s="24">
        <v>173742.94833333333</v>
      </c>
      <c r="L49" s="24">
        <v>177902.94833133335</v>
      </c>
      <c r="M49" s="24">
        <v>173742.94833333333</v>
      </c>
      <c r="N49" s="24">
        <v>173742.94833333333</v>
      </c>
      <c r="O49" s="24">
        <v>173742.94833333333</v>
      </c>
      <c r="P49" s="24">
        <v>173742.94833333333</v>
      </c>
      <c r="Q49" s="24">
        <v>173742.94833333333</v>
      </c>
      <c r="R49" s="24">
        <v>173742.94833333333</v>
      </c>
      <c r="S49" s="24">
        <v>173742.94833333333</v>
      </c>
      <c r="T49" s="24">
        <v>173742.94833333333</v>
      </c>
      <c r="U49" s="24">
        <v>173742.94833333333</v>
      </c>
      <c r="V49" s="24">
        <v>173742.94833333333</v>
      </c>
      <c r="W49" s="24">
        <f t="shared" si="4"/>
        <v>2089075.3799979996</v>
      </c>
      <c r="X49" s="1"/>
      <c r="Y49" s="24">
        <f>W49-E49</f>
        <v>74292.37999799964</v>
      </c>
      <c r="Z49" s="267"/>
      <c r="AA49" s="24">
        <f>W49-I49</f>
        <v>-518365.62000200036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-475000</v>
      </c>
      <c r="F54" s="281"/>
      <c r="G54" s="22">
        <v>0</v>
      </c>
      <c r="H54" s="33"/>
      <c r="I54" s="21">
        <v>-475000</v>
      </c>
      <c r="J54" s="57"/>
      <c r="K54" s="22">
        <v>-39583.33</v>
      </c>
      <c r="L54" s="22">
        <v>-39583.33</v>
      </c>
      <c r="M54" s="22">
        <v>-39583.33</v>
      </c>
      <c r="N54" s="22">
        <v>-39583.33</v>
      </c>
      <c r="O54" s="22">
        <v>-39583.33</v>
      </c>
      <c r="P54" s="22">
        <v>-39583.33</v>
      </c>
      <c r="Q54" s="22">
        <v>-39583.33</v>
      </c>
      <c r="R54" s="22">
        <v>-39583.33</v>
      </c>
      <c r="S54" s="22">
        <v>-39583.33</v>
      </c>
      <c r="T54" s="22">
        <v>-39583.33</v>
      </c>
      <c r="U54" s="22">
        <v>-39583.33</v>
      </c>
      <c r="V54" s="22">
        <v>-39583.33</v>
      </c>
      <c r="W54" s="22">
        <f t="shared" si="4"/>
        <v>-474999.96000000014</v>
      </c>
      <c r="X54" s="1"/>
      <c r="Y54" s="22">
        <f>W54-E54</f>
        <v>3.999999986262992E-2</v>
      </c>
      <c r="Z54" s="262"/>
      <c r="AA54" s="22">
        <f>W54-I54</f>
        <v>3.999999986262992E-2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-475000</v>
      </c>
      <c r="F55" s="282"/>
      <c r="G55" s="273">
        <v>0</v>
      </c>
      <c r="H55" s="63"/>
      <c r="I55" s="273">
        <v>-475000</v>
      </c>
      <c r="J55" s="58"/>
      <c r="K55" s="273">
        <v>-39583.33</v>
      </c>
      <c r="L55" s="273">
        <v>-39583.33</v>
      </c>
      <c r="M55" s="273">
        <v>-39583.33</v>
      </c>
      <c r="N55" s="273">
        <v>-39583.33</v>
      </c>
      <c r="O55" s="273">
        <v>-39583.33</v>
      </c>
      <c r="P55" s="273">
        <v>-39583.33</v>
      </c>
      <c r="Q55" s="273">
        <v>-39583.33</v>
      </c>
      <c r="R55" s="273">
        <v>-39583.33</v>
      </c>
      <c r="S55" s="273">
        <v>-39583.33</v>
      </c>
      <c r="T55" s="273">
        <v>-39583.33</v>
      </c>
      <c r="U55" s="273">
        <v>-39583.33</v>
      </c>
      <c r="V55" s="273">
        <v>-39583.33</v>
      </c>
      <c r="W55" s="273">
        <f t="shared" si="4"/>
        <v>-474999.96000000014</v>
      </c>
      <c r="X55" s="269"/>
      <c r="Y55" s="273">
        <f>SUM(Y51:Y54)</f>
        <v>3.999999986262992E-2</v>
      </c>
      <c r="Z55" s="267"/>
      <c r="AA55" s="273">
        <f>W55-I55</f>
        <v>3.999999986262992E-2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1539783</v>
      </c>
      <c r="F56" s="283"/>
      <c r="G56" s="274">
        <v>592658</v>
      </c>
      <c r="H56" s="284"/>
      <c r="I56" s="274">
        <v>2132441</v>
      </c>
      <c r="J56" s="279"/>
      <c r="K56" s="274">
        <v>134159.61833333335</v>
      </c>
      <c r="L56" s="274">
        <v>138319.61833133333</v>
      </c>
      <c r="M56" s="274">
        <v>134159.61833333335</v>
      </c>
      <c r="N56" s="274">
        <v>134159.61833333335</v>
      </c>
      <c r="O56" s="274">
        <v>134159.61833333335</v>
      </c>
      <c r="P56" s="274">
        <v>134159.61833333335</v>
      </c>
      <c r="Q56" s="274">
        <v>134159.61833333335</v>
      </c>
      <c r="R56" s="274">
        <v>134159.61833333335</v>
      </c>
      <c r="S56" s="274">
        <v>134159.61833333335</v>
      </c>
      <c r="T56" s="274">
        <v>134159.61833333335</v>
      </c>
      <c r="U56" s="274">
        <v>134159.61833333335</v>
      </c>
      <c r="V56" s="274">
        <v>134159.61833333335</v>
      </c>
      <c r="W56" s="274">
        <f>+W49+W55</f>
        <v>1614075.4199979994</v>
      </c>
      <c r="X56" s="269"/>
      <c r="Y56" s="274">
        <f>+Y49+Y55</f>
        <v>74292.419997999503</v>
      </c>
      <c r="Z56" s="275"/>
      <c r="AA56" s="274">
        <f>+AA49+AA55</f>
        <v>-518365.5800020005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0</v>
      </c>
      <c r="F66" s="29"/>
      <c r="G66" s="27"/>
      <c r="H66" s="80"/>
      <c r="I66" s="21">
        <v>0</v>
      </c>
      <c r="J66" s="3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f t="shared" si="5"/>
        <v>0</v>
      </c>
      <c r="X66" s="33"/>
      <c r="Y66" s="21">
        <f t="shared" si="6"/>
        <v>0</v>
      </c>
      <c r="Z66" s="33"/>
      <c r="AA66" s="21">
        <f t="shared" si="7"/>
        <v>0</v>
      </c>
      <c r="AE66" s="80"/>
    </row>
    <row r="67" spans="2:31" x14ac:dyDescent="0.2">
      <c r="B67" s="249" t="s">
        <v>30</v>
      </c>
      <c r="C67" s="249">
        <v>913</v>
      </c>
      <c r="D67" s="81"/>
      <c r="E67" s="80">
        <v>0</v>
      </c>
      <c r="F67" s="29"/>
      <c r="G67" s="27"/>
      <c r="H67" s="80"/>
      <c r="I67" s="21">
        <v>0</v>
      </c>
      <c r="J67" s="3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f t="shared" si="5"/>
        <v>0</v>
      </c>
      <c r="X67" s="33"/>
      <c r="Y67" s="21">
        <f t="shared" si="6"/>
        <v>0</v>
      </c>
      <c r="Z67" s="33"/>
      <c r="AA67" s="21">
        <f t="shared" si="7"/>
        <v>0</v>
      </c>
      <c r="AE67" s="80"/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1539783</v>
      </c>
      <c r="F71" s="29"/>
      <c r="G71" s="27"/>
      <c r="H71" s="80"/>
      <c r="I71" s="21">
        <v>1539783</v>
      </c>
      <c r="J71" s="31">
        <v>1</v>
      </c>
      <c r="K71" s="21">
        <v>134159.61833333335</v>
      </c>
      <c r="L71" s="21">
        <v>138319.61833133333</v>
      </c>
      <c r="M71" s="21">
        <v>134159.61833333335</v>
      </c>
      <c r="N71" s="21">
        <v>134159.61833333335</v>
      </c>
      <c r="O71" s="21">
        <v>134159.61833333335</v>
      </c>
      <c r="P71" s="21">
        <v>134159.61833333335</v>
      </c>
      <c r="Q71" s="21">
        <v>134159.61833333335</v>
      </c>
      <c r="R71" s="21">
        <v>134159.61833333335</v>
      </c>
      <c r="S71" s="21">
        <v>134159.61833333335</v>
      </c>
      <c r="T71" s="21">
        <v>134159.61833333335</v>
      </c>
      <c r="U71" s="21">
        <v>134159.61833333335</v>
      </c>
      <c r="V71" s="21">
        <v>134159.61833333335</v>
      </c>
      <c r="W71" s="21">
        <f t="shared" si="5"/>
        <v>1614075.4199980006</v>
      </c>
      <c r="X71" s="33"/>
      <c r="Y71" s="21">
        <f t="shared" si="6"/>
        <v>74292.419998000609</v>
      </c>
      <c r="Z71" s="33"/>
      <c r="AA71" s="21">
        <f t="shared" si="7"/>
        <v>74292.419998000609</v>
      </c>
      <c r="AE71" s="80" t="e">
        <f>AA34+AA36+AA37+#REF!</f>
        <v>#REF!</v>
      </c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1539783</v>
      </c>
      <c r="F81" s="66"/>
      <c r="G81" s="37">
        <v>0</v>
      </c>
      <c r="H81" s="37"/>
      <c r="I81" s="37">
        <v>1539783</v>
      </c>
      <c r="J81" s="38">
        <v>1</v>
      </c>
      <c r="K81" s="37">
        <v>134159.61833333335</v>
      </c>
      <c r="L81" s="37">
        <v>138319.61833133333</v>
      </c>
      <c r="M81" s="37">
        <v>134159.61833333335</v>
      </c>
      <c r="N81" s="37">
        <v>134159.61833333335</v>
      </c>
      <c r="O81" s="37">
        <v>134159.61833333335</v>
      </c>
      <c r="P81" s="37">
        <v>134159.61833333335</v>
      </c>
      <c r="Q81" s="37">
        <v>134159.61833333335</v>
      </c>
      <c r="R81" s="37">
        <v>134159.61833333335</v>
      </c>
      <c r="S81" s="37">
        <v>134159.61833333335</v>
      </c>
      <c r="T81" s="37">
        <v>134159.61833333335</v>
      </c>
      <c r="U81" s="37">
        <v>134159.61833333335</v>
      </c>
      <c r="V81" s="37">
        <v>134159.61833333335</v>
      </c>
      <c r="W81" s="40">
        <f>SUM(W62:W80)</f>
        <v>1614075.4199980006</v>
      </c>
      <c r="X81" s="58"/>
      <c r="Y81" s="40">
        <f>SUM(Y62:Y80)</f>
        <v>74292.419998000609</v>
      </c>
      <c r="Z81" s="63"/>
      <c r="AA81" s="40">
        <f>SUM(AA62:AA80)</f>
        <v>74292.419998000609</v>
      </c>
      <c r="AE81" s="80"/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-592658</v>
      </c>
      <c r="H82" s="64"/>
      <c r="I82" s="64">
        <v>-592658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1.1059455573558807E-9</v>
      </c>
      <c r="Z82" s="94"/>
      <c r="AA82" s="64">
        <f>AA81-AA56</f>
        <v>592658.00000000116</v>
      </c>
      <c r="AE82" s="80"/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89"/>
    </row>
    <row r="86" spans="2:31" x14ac:dyDescent="0.2">
      <c r="C86"/>
      <c r="D86"/>
      <c r="E86"/>
      <c r="AE86" s="190"/>
    </row>
    <row r="88" spans="2:31" x14ac:dyDescent="0.2">
      <c r="J88" s="6"/>
    </row>
  </sheetData>
  <printOptions horizontalCentered="1"/>
  <pageMargins left="0" right="0" top="0.36" bottom="0.31" header="0.27" footer="0.2"/>
  <pageSetup scale="6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Presentation</vt:lpstr>
      <vt:lpstr>Total by RC</vt:lpstr>
      <vt:lpstr>Overhead Allocation</vt:lpstr>
      <vt:lpstr>Cmpy Rpt</vt:lpstr>
      <vt:lpstr>Report</vt:lpstr>
      <vt:lpstr>Legal Summary</vt:lpstr>
      <vt:lpstr>111678 (0013)</vt:lpstr>
      <vt:lpstr>111679 (0014)</vt:lpstr>
      <vt:lpstr>111681 (0026)</vt:lpstr>
      <vt:lpstr>111693 (0162)</vt:lpstr>
      <vt:lpstr>111705 (0237)</vt:lpstr>
      <vt:lpstr>111706 (0238)</vt:lpstr>
      <vt:lpstr>'111678 (0013)'!Print_Area</vt:lpstr>
      <vt:lpstr>'111679 (0014)'!Print_Area</vt:lpstr>
      <vt:lpstr>'111681 (0026)'!Print_Area</vt:lpstr>
      <vt:lpstr>'111693 (0162)'!Print_Area</vt:lpstr>
      <vt:lpstr>'111705 (0237)'!Print_Area</vt:lpstr>
      <vt:lpstr>'111706 (0238)'!Print_Area</vt:lpstr>
      <vt:lpstr>'Cmpy Rpt'!Print_Area</vt:lpstr>
      <vt:lpstr>'Legal Summary'!Print_Area</vt:lpstr>
      <vt:lpstr>'Overhead Allocation'!Print_Area</vt:lpstr>
      <vt:lpstr>Presentation!Print_Area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Jan Havlíček</cp:lastModifiedBy>
  <cp:lastPrinted>2000-07-10T15:21:39Z</cp:lastPrinted>
  <dcterms:created xsi:type="dcterms:W3CDTF">1999-06-24T14:53:03Z</dcterms:created>
  <dcterms:modified xsi:type="dcterms:W3CDTF">2023-09-12T04:17:12Z</dcterms:modified>
</cp:coreProperties>
</file>