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F4ED73-03F7-4047-AF0E-324807B7B449}" xr6:coauthVersionLast="47" xr6:coauthVersionMax="47" xr10:uidLastSave="{00000000-0000-0000-0000-000000000000}"/>
  <bookViews>
    <workbookView xWindow="-120" yWindow="-120" windowWidth="23280" windowHeight="13200"/>
  </bookViews>
  <sheets>
    <sheet name="INPUT SHEET" sheetId="1" r:id="rId1"/>
    <sheet name="REVENUE SUMMARY" sheetId="2" r:id="rId2"/>
    <sheet name="INCREMENTAL REVENUES" sheetId="3" r:id="rId3"/>
    <sheet name="INCREMENTAL COS" sheetId="4" r:id="rId4"/>
    <sheet name="INCREMENTAL DEPR. EXPENSE" sheetId="5" r:id="rId5"/>
    <sheet name="INCREMENTAL TAXES" sheetId="6" r:id="rId6"/>
    <sheet name="ESTIMATED RETURN" sheetId="7" r:id="rId7"/>
    <sheet name="INCREMENTAL DEFERRED TAX" sheetId="8" r:id="rId8"/>
    <sheet name="FED &amp; ST INCOME TAX" sheetId="9" r:id="rId9"/>
  </sheets>
  <definedNames>
    <definedName name="_xlnm.Print_Area" localSheetId="8">'FED &amp; ST INCOME TAX'!$A$1:$W$58</definedName>
    <definedName name="_xlnm.Print_Area" localSheetId="3">'INCREMENTAL COS'!$A$1:$W$35</definedName>
    <definedName name="_xlnm.Print_Area" localSheetId="7">'INCREMENTAL DEFERRED TAX'!$A$1:$W$45</definedName>
    <definedName name="_xlnm.Print_Area" localSheetId="4">'INCREMENTAL DEPR. EXPENSE'!$A$1:$X$39</definedName>
    <definedName name="_xlnm.Print_Area" localSheetId="1">'REVENUE SUMMARY'!$A$1:$S$39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" l="1"/>
  <c r="A7" i="7"/>
  <c r="E13" i="7"/>
  <c r="G13" i="7"/>
  <c r="I13" i="7"/>
  <c r="K13" i="7"/>
  <c r="M13" i="7"/>
  <c r="O13" i="7"/>
  <c r="Q13" i="7"/>
  <c r="S13" i="7"/>
  <c r="U13" i="7"/>
  <c r="W13" i="7"/>
  <c r="E16" i="7"/>
  <c r="G16" i="7"/>
  <c r="I16" i="7"/>
  <c r="K16" i="7"/>
  <c r="M16" i="7"/>
  <c r="O16" i="7"/>
  <c r="Q16" i="7"/>
  <c r="S16" i="7"/>
  <c r="U16" i="7"/>
  <c r="W16" i="7"/>
  <c r="E18" i="7"/>
  <c r="G18" i="7"/>
  <c r="I18" i="7"/>
  <c r="K18" i="7"/>
  <c r="M18" i="7"/>
  <c r="O18" i="7"/>
  <c r="Q18" i="7"/>
  <c r="S18" i="7"/>
  <c r="U18" i="7"/>
  <c r="W18" i="7"/>
  <c r="E20" i="7"/>
  <c r="G20" i="7"/>
  <c r="I20" i="7"/>
  <c r="K20" i="7"/>
  <c r="M20" i="7"/>
  <c r="O20" i="7"/>
  <c r="Q20" i="7"/>
  <c r="S20" i="7"/>
  <c r="U20" i="7"/>
  <c r="W20" i="7"/>
  <c r="E23" i="7"/>
  <c r="G23" i="7"/>
  <c r="I23" i="7"/>
  <c r="K23" i="7"/>
  <c r="M23" i="7"/>
  <c r="O23" i="7"/>
  <c r="Q23" i="7"/>
  <c r="S23" i="7"/>
  <c r="U23" i="7"/>
  <c r="W23" i="7"/>
  <c r="E27" i="7"/>
  <c r="G27" i="7"/>
  <c r="I27" i="7"/>
  <c r="K27" i="7"/>
  <c r="M27" i="7"/>
  <c r="O27" i="7"/>
  <c r="Q27" i="7"/>
  <c r="S27" i="7"/>
  <c r="U27" i="7"/>
  <c r="W27" i="7"/>
  <c r="E28" i="7"/>
  <c r="G28" i="7"/>
  <c r="I28" i="7"/>
  <c r="K28" i="7"/>
  <c r="M28" i="7"/>
  <c r="O28" i="7"/>
  <c r="Q28" i="7"/>
  <c r="S28" i="7"/>
  <c r="U28" i="7"/>
  <c r="W28" i="7"/>
  <c r="E30" i="7"/>
  <c r="G30" i="7"/>
  <c r="I30" i="7"/>
  <c r="K30" i="7"/>
  <c r="M30" i="7"/>
  <c r="O30" i="7"/>
  <c r="Q30" i="7"/>
  <c r="S30" i="7"/>
  <c r="U30" i="7"/>
  <c r="W30" i="7"/>
  <c r="A5" i="9"/>
  <c r="A6" i="9"/>
  <c r="E13" i="9"/>
  <c r="G13" i="9"/>
  <c r="I13" i="9"/>
  <c r="K13" i="9"/>
  <c r="M13" i="9"/>
  <c r="O13" i="9"/>
  <c r="Q13" i="9"/>
  <c r="S13" i="9"/>
  <c r="U13" i="9"/>
  <c r="W13" i="9"/>
  <c r="E14" i="9"/>
  <c r="G14" i="9"/>
  <c r="I14" i="9"/>
  <c r="K14" i="9"/>
  <c r="M14" i="9"/>
  <c r="O14" i="9"/>
  <c r="Q14" i="9"/>
  <c r="S14" i="9"/>
  <c r="U14" i="9"/>
  <c r="W14" i="9"/>
  <c r="E16" i="9"/>
  <c r="G16" i="9"/>
  <c r="I16" i="9"/>
  <c r="K16" i="9"/>
  <c r="M16" i="9"/>
  <c r="O16" i="9"/>
  <c r="Q16" i="9"/>
  <c r="S16" i="9"/>
  <c r="U16" i="9"/>
  <c r="W16" i="9"/>
  <c r="E19" i="9"/>
  <c r="G19" i="9"/>
  <c r="I19" i="9"/>
  <c r="K19" i="9"/>
  <c r="M19" i="9"/>
  <c r="O19" i="9"/>
  <c r="Q19" i="9"/>
  <c r="S19" i="9"/>
  <c r="U19" i="9"/>
  <c r="W19" i="9"/>
  <c r="E22" i="9"/>
  <c r="G22" i="9"/>
  <c r="I22" i="9"/>
  <c r="K22" i="9"/>
  <c r="M22" i="9"/>
  <c r="O22" i="9"/>
  <c r="Q22" i="9"/>
  <c r="S22" i="9"/>
  <c r="U22" i="9"/>
  <c r="W22" i="9"/>
  <c r="E24" i="9"/>
  <c r="G24" i="9"/>
  <c r="I24" i="9"/>
  <c r="K24" i="9"/>
  <c r="M24" i="9"/>
  <c r="O24" i="9"/>
  <c r="Q24" i="9"/>
  <c r="S24" i="9"/>
  <c r="U24" i="9"/>
  <c r="W24" i="9"/>
  <c r="E26" i="9"/>
  <c r="G26" i="9"/>
  <c r="I26" i="9"/>
  <c r="K26" i="9"/>
  <c r="M26" i="9"/>
  <c r="O26" i="9"/>
  <c r="Q26" i="9"/>
  <c r="S26" i="9"/>
  <c r="U26" i="9"/>
  <c r="W26" i="9"/>
  <c r="E28" i="9"/>
  <c r="G28" i="9"/>
  <c r="I28" i="9"/>
  <c r="K28" i="9"/>
  <c r="M28" i="9"/>
  <c r="O28" i="9"/>
  <c r="Q28" i="9"/>
  <c r="S28" i="9"/>
  <c r="U28" i="9"/>
  <c r="W28" i="9"/>
  <c r="E30" i="9"/>
  <c r="G30" i="9"/>
  <c r="I30" i="9"/>
  <c r="K30" i="9"/>
  <c r="M30" i="9"/>
  <c r="O30" i="9"/>
  <c r="Q30" i="9"/>
  <c r="S30" i="9"/>
  <c r="U30" i="9"/>
  <c r="W30" i="9"/>
  <c r="E33" i="9"/>
  <c r="G33" i="9"/>
  <c r="I33" i="9"/>
  <c r="K33" i="9"/>
  <c r="M33" i="9"/>
  <c r="O33" i="9"/>
  <c r="Q33" i="9"/>
  <c r="S33" i="9"/>
  <c r="U33" i="9"/>
  <c r="W33" i="9"/>
  <c r="E34" i="9"/>
  <c r="G34" i="9"/>
  <c r="I34" i="9"/>
  <c r="K34" i="9"/>
  <c r="M34" i="9"/>
  <c r="O34" i="9"/>
  <c r="Q34" i="9"/>
  <c r="S34" i="9"/>
  <c r="U34" i="9"/>
  <c r="W34" i="9"/>
  <c r="E36" i="9"/>
  <c r="G36" i="9"/>
  <c r="I36" i="9"/>
  <c r="K36" i="9"/>
  <c r="M36" i="9"/>
  <c r="O36" i="9"/>
  <c r="Q36" i="9"/>
  <c r="S36" i="9"/>
  <c r="U36" i="9"/>
  <c r="W36" i="9"/>
  <c r="E39" i="9"/>
  <c r="G39" i="9"/>
  <c r="I39" i="9"/>
  <c r="K39" i="9"/>
  <c r="M39" i="9"/>
  <c r="O39" i="9"/>
  <c r="Q39" i="9"/>
  <c r="S39" i="9"/>
  <c r="U39" i="9"/>
  <c r="W39" i="9"/>
  <c r="E40" i="9"/>
  <c r="G40" i="9"/>
  <c r="I40" i="9"/>
  <c r="K40" i="9"/>
  <c r="M40" i="9"/>
  <c r="O40" i="9"/>
  <c r="Q40" i="9"/>
  <c r="S40" i="9"/>
  <c r="U40" i="9"/>
  <c r="W40" i="9"/>
  <c r="E43" i="9"/>
  <c r="G43" i="9"/>
  <c r="I43" i="9"/>
  <c r="K43" i="9"/>
  <c r="M43" i="9"/>
  <c r="O43" i="9"/>
  <c r="Q43" i="9"/>
  <c r="S43" i="9"/>
  <c r="U43" i="9"/>
  <c r="W43" i="9"/>
  <c r="A6" i="4"/>
  <c r="A7" i="4"/>
  <c r="E13" i="4"/>
  <c r="G13" i="4"/>
  <c r="I13" i="4"/>
  <c r="K13" i="4"/>
  <c r="M13" i="4"/>
  <c r="O13" i="4"/>
  <c r="Q13" i="4"/>
  <c r="S13" i="4"/>
  <c r="U13" i="4"/>
  <c r="W13" i="4"/>
  <c r="A14" i="4"/>
  <c r="A15" i="4"/>
  <c r="E15" i="4"/>
  <c r="G15" i="4"/>
  <c r="I15" i="4"/>
  <c r="K15" i="4"/>
  <c r="M15" i="4"/>
  <c r="O15" i="4"/>
  <c r="Q15" i="4"/>
  <c r="S15" i="4"/>
  <c r="U15" i="4"/>
  <c r="W15" i="4"/>
  <c r="A17" i="4"/>
  <c r="A18" i="4"/>
  <c r="E18" i="4"/>
  <c r="G18" i="4"/>
  <c r="I18" i="4"/>
  <c r="K18" i="4"/>
  <c r="M18" i="4"/>
  <c r="O18" i="4"/>
  <c r="Q18" i="4"/>
  <c r="S18" i="4"/>
  <c r="U18" i="4"/>
  <c r="W18" i="4"/>
  <c r="A19" i="4"/>
  <c r="E19" i="4"/>
  <c r="G19" i="4"/>
  <c r="I19" i="4"/>
  <c r="K19" i="4"/>
  <c r="M19" i="4"/>
  <c r="O19" i="4"/>
  <c r="Q19" i="4"/>
  <c r="S19" i="4"/>
  <c r="U19" i="4"/>
  <c r="W19" i="4"/>
  <c r="A20" i="4"/>
  <c r="E20" i="4"/>
  <c r="G20" i="4"/>
  <c r="I20" i="4"/>
  <c r="K20" i="4"/>
  <c r="M20" i="4"/>
  <c r="O20" i="4"/>
  <c r="Q20" i="4"/>
  <c r="S20" i="4"/>
  <c r="U20" i="4"/>
  <c r="W20" i="4"/>
  <c r="A23" i="4"/>
  <c r="E23" i="4"/>
  <c r="G23" i="4"/>
  <c r="I23" i="4"/>
  <c r="K23" i="4"/>
  <c r="M23" i="4"/>
  <c r="O23" i="4"/>
  <c r="Q23" i="4"/>
  <c r="S23" i="4"/>
  <c r="U23" i="4"/>
  <c r="W23" i="4"/>
  <c r="A26" i="4"/>
  <c r="E26" i="4"/>
  <c r="G26" i="4"/>
  <c r="I26" i="4"/>
  <c r="K26" i="4"/>
  <c r="M26" i="4"/>
  <c r="O26" i="4"/>
  <c r="Q26" i="4"/>
  <c r="S26" i="4"/>
  <c r="U26" i="4"/>
  <c r="W26" i="4"/>
  <c r="A5" i="8"/>
  <c r="A6" i="8"/>
  <c r="E14" i="8"/>
  <c r="G14" i="8"/>
  <c r="I14" i="8"/>
  <c r="K14" i="8"/>
  <c r="M14" i="8"/>
  <c r="O14" i="8"/>
  <c r="Q14" i="8"/>
  <c r="S14" i="8"/>
  <c r="U14" i="8"/>
  <c r="W14" i="8"/>
  <c r="E15" i="8"/>
  <c r="G15" i="8"/>
  <c r="I15" i="8"/>
  <c r="K15" i="8"/>
  <c r="M15" i="8"/>
  <c r="O15" i="8"/>
  <c r="Q15" i="8"/>
  <c r="S15" i="8"/>
  <c r="U15" i="8"/>
  <c r="W15" i="8"/>
  <c r="G18" i="8"/>
  <c r="I18" i="8"/>
  <c r="K18" i="8"/>
  <c r="M18" i="8"/>
  <c r="O18" i="8"/>
  <c r="Q18" i="8"/>
  <c r="S18" i="8"/>
  <c r="U18" i="8"/>
  <c r="W18" i="8"/>
  <c r="E20" i="8"/>
  <c r="G20" i="8"/>
  <c r="I20" i="8"/>
  <c r="K20" i="8"/>
  <c r="M20" i="8"/>
  <c r="O20" i="8"/>
  <c r="Q20" i="8"/>
  <c r="S20" i="8"/>
  <c r="U20" i="8"/>
  <c r="W20" i="8"/>
  <c r="E22" i="8"/>
  <c r="G22" i="8"/>
  <c r="I22" i="8"/>
  <c r="K22" i="8"/>
  <c r="M22" i="8"/>
  <c r="O22" i="8"/>
  <c r="Q22" i="8"/>
  <c r="S22" i="8"/>
  <c r="U22" i="8"/>
  <c r="W22" i="8"/>
  <c r="E24" i="8"/>
  <c r="G24" i="8"/>
  <c r="I24" i="8"/>
  <c r="K24" i="8"/>
  <c r="M24" i="8"/>
  <c r="O24" i="8"/>
  <c r="Q24" i="8"/>
  <c r="S24" i="8"/>
  <c r="U24" i="8"/>
  <c r="W24" i="8"/>
  <c r="E26" i="8"/>
  <c r="G26" i="8"/>
  <c r="I26" i="8"/>
  <c r="K26" i="8"/>
  <c r="M26" i="8"/>
  <c r="O26" i="8"/>
  <c r="Q26" i="8"/>
  <c r="S26" i="8"/>
  <c r="U26" i="8"/>
  <c r="W26" i="8"/>
  <c r="E31" i="8"/>
  <c r="G31" i="8"/>
  <c r="I31" i="8"/>
  <c r="K31" i="8"/>
  <c r="M31" i="8"/>
  <c r="O31" i="8"/>
  <c r="Q31" i="8"/>
  <c r="S31" i="8"/>
  <c r="U31" i="8"/>
  <c r="W31" i="8"/>
  <c r="A6" i="5"/>
  <c r="A7" i="5"/>
  <c r="F18" i="5"/>
  <c r="H18" i="5"/>
  <c r="J18" i="5"/>
  <c r="L18" i="5"/>
  <c r="N18" i="5"/>
  <c r="P18" i="5"/>
  <c r="R18" i="5"/>
  <c r="T18" i="5"/>
  <c r="V18" i="5"/>
  <c r="X18" i="5"/>
  <c r="F19" i="5"/>
  <c r="H19" i="5"/>
  <c r="J19" i="5"/>
  <c r="L19" i="5"/>
  <c r="N19" i="5"/>
  <c r="P19" i="5"/>
  <c r="R19" i="5"/>
  <c r="T19" i="5"/>
  <c r="V19" i="5"/>
  <c r="X19" i="5"/>
  <c r="F20" i="5"/>
  <c r="H20" i="5"/>
  <c r="J20" i="5"/>
  <c r="L20" i="5"/>
  <c r="N20" i="5"/>
  <c r="P20" i="5"/>
  <c r="R20" i="5"/>
  <c r="T20" i="5"/>
  <c r="V20" i="5"/>
  <c r="X20" i="5"/>
  <c r="F21" i="5"/>
  <c r="H21" i="5"/>
  <c r="J21" i="5"/>
  <c r="L21" i="5"/>
  <c r="N21" i="5"/>
  <c r="P21" i="5"/>
  <c r="R21" i="5"/>
  <c r="T21" i="5"/>
  <c r="V21" i="5"/>
  <c r="X21" i="5"/>
  <c r="F22" i="5"/>
  <c r="H22" i="5"/>
  <c r="J22" i="5"/>
  <c r="L22" i="5"/>
  <c r="M22" i="5"/>
  <c r="N22" i="5"/>
  <c r="P22" i="5"/>
  <c r="R22" i="5"/>
  <c r="T22" i="5"/>
  <c r="V22" i="5"/>
  <c r="X22" i="5"/>
  <c r="F23" i="5"/>
  <c r="H23" i="5"/>
  <c r="J23" i="5"/>
  <c r="L23" i="5"/>
  <c r="N23" i="5"/>
  <c r="P23" i="5"/>
  <c r="R23" i="5"/>
  <c r="T23" i="5"/>
  <c r="V23" i="5"/>
  <c r="X23" i="5"/>
  <c r="F25" i="5"/>
  <c r="H25" i="5"/>
  <c r="J25" i="5"/>
  <c r="L25" i="5"/>
  <c r="N25" i="5"/>
  <c r="P25" i="5"/>
  <c r="R25" i="5"/>
  <c r="T25" i="5"/>
  <c r="V25" i="5"/>
  <c r="X25" i="5"/>
  <c r="E30" i="5"/>
  <c r="F30" i="5"/>
  <c r="H30" i="5"/>
  <c r="J30" i="5"/>
  <c r="L30" i="5"/>
  <c r="N30" i="5"/>
  <c r="P30" i="5"/>
  <c r="R30" i="5"/>
  <c r="T30" i="5"/>
  <c r="V30" i="5"/>
  <c r="X30" i="5"/>
  <c r="F31" i="5"/>
  <c r="H31" i="5"/>
  <c r="J31" i="5"/>
  <c r="L31" i="5"/>
  <c r="N31" i="5"/>
  <c r="P31" i="5"/>
  <c r="R31" i="5"/>
  <c r="T31" i="5"/>
  <c r="V31" i="5"/>
  <c r="X31" i="5"/>
  <c r="F32" i="5"/>
  <c r="H32" i="5"/>
  <c r="J32" i="5"/>
  <c r="L32" i="5"/>
  <c r="N32" i="5"/>
  <c r="P32" i="5"/>
  <c r="R32" i="5"/>
  <c r="T32" i="5"/>
  <c r="V32" i="5"/>
  <c r="X32" i="5"/>
  <c r="H41" i="5"/>
  <c r="J41" i="5"/>
  <c r="L41" i="5"/>
  <c r="N41" i="5"/>
  <c r="P41" i="5"/>
  <c r="R41" i="5"/>
  <c r="T41" i="5"/>
  <c r="V41" i="5"/>
  <c r="X41" i="5"/>
  <c r="A5" i="3"/>
  <c r="A6" i="3"/>
  <c r="F13" i="3"/>
  <c r="H13" i="3"/>
  <c r="J13" i="3"/>
  <c r="L13" i="3"/>
  <c r="N13" i="3"/>
  <c r="P13" i="3"/>
  <c r="R13" i="3"/>
  <c r="T13" i="3"/>
  <c r="V13" i="3"/>
  <c r="X13" i="3"/>
  <c r="F15" i="3"/>
  <c r="H15" i="3"/>
  <c r="J15" i="3"/>
  <c r="L15" i="3"/>
  <c r="N15" i="3"/>
  <c r="P15" i="3"/>
  <c r="R15" i="3"/>
  <c r="T15" i="3"/>
  <c r="V15" i="3"/>
  <c r="X15" i="3"/>
  <c r="F17" i="3"/>
  <c r="H17" i="3"/>
  <c r="J17" i="3"/>
  <c r="L17" i="3"/>
  <c r="N17" i="3"/>
  <c r="P17" i="3"/>
  <c r="R17" i="3"/>
  <c r="T17" i="3"/>
  <c r="V17" i="3"/>
  <c r="X17" i="3"/>
  <c r="A6" i="6"/>
  <c r="A7" i="6"/>
  <c r="E14" i="6"/>
  <c r="G14" i="6"/>
  <c r="I14" i="6"/>
  <c r="K14" i="6"/>
  <c r="M14" i="6"/>
  <c r="O14" i="6"/>
  <c r="Q14" i="6"/>
  <c r="S14" i="6"/>
  <c r="U14" i="6"/>
  <c r="W14" i="6"/>
  <c r="E16" i="6"/>
  <c r="G16" i="6"/>
  <c r="I16" i="6"/>
  <c r="K16" i="6"/>
  <c r="M16" i="6"/>
  <c r="O16" i="6"/>
  <c r="Q16" i="6"/>
  <c r="S16" i="6"/>
  <c r="U16" i="6"/>
  <c r="W16" i="6"/>
  <c r="B11" i="1"/>
  <c r="C11" i="1"/>
  <c r="D11" i="1"/>
  <c r="E11" i="1"/>
  <c r="F11" i="1"/>
  <c r="G11" i="1"/>
  <c r="H11" i="1"/>
  <c r="I11" i="1"/>
  <c r="J11" i="1"/>
  <c r="K11" i="1"/>
  <c r="C18" i="1"/>
  <c r="D18" i="1"/>
  <c r="E18" i="1"/>
  <c r="F18" i="1"/>
  <c r="G18" i="1"/>
  <c r="H18" i="1"/>
  <c r="I18" i="1"/>
  <c r="J18" i="1"/>
  <c r="K18" i="1"/>
  <c r="B22" i="1"/>
  <c r="C22" i="1"/>
  <c r="D22" i="1"/>
  <c r="E22" i="1"/>
  <c r="F22" i="1"/>
  <c r="G22" i="1"/>
  <c r="H22" i="1"/>
  <c r="I22" i="1"/>
  <c r="J22" i="1"/>
  <c r="K22" i="1"/>
  <c r="F29" i="1"/>
  <c r="F32" i="1"/>
  <c r="A5" i="2"/>
  <c r="A6" i="2"/>
  <c r="J19" i="2"/>
  <c r="K19" i="2"/>
  <c r="L19" i="2"/>
  <c r="M19" i="2"/>
  <c r="N19" i="2"/>
  <c r="O19" i="2"/>
  <c r="P19" i="2"/>
  <c r="Q19" i="2"/>
  <c r="R19" i="2"/>
  <c r="S19" i="2"/>
  <c r="B21" i="2"/>
  <c r="B22" i="2"/>
  <c r="K22" i="2"/>
  <c r="L22" i="2"/>
  <c r="M22" i="2"/>
  <c r="N22" i="2"/>
  <c r="O22" i="2"/>
  <c r="P22" i="2"/>
  <c r="Q22" i="2"/>
  <c r="R22" i="2"/>
  <c r="S22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9" i="2"/>
  <c r="L29" i="2"/>
  <c r="M29" i="2"/>
  <c r="N29" i="2"/>
  <c r="O29" i="2"/>
  <c r="P29" i="2"/>
  <c r="Q29" i="2"/>
  <c r="R29" i="2"/>
  <c r="S29" i="2"/>
  <c r="K35" i="2"/>
  <c r="L35" i="2"/>
  <c r="M35" i="2"/>
  <c r="N35" i="2"/>
  <c r="O35" i="2"/>
  <c r="P35" i="2"/>
  <c r="Q35" i="2"/>
  <c r="R35" i="2"/>
  <c r="S35" i="2"/>
  <c r="J37" i="2"/>
  <c r="K37" i="2"/>
  <c r="L37" i="2"/>
  <c r="M37" i="2"/>
  <c r="N37" i="2"/>
  <c r="O37" i="2"/>
  <c r="P37" i="2"/>
  <c r="Q37" i="2"/>
  <c r="R37" i="2"/>
  <c r="S37" i="2"/>
</calcChain>
</file>

<file path=xl/sharedStrings.xml><?xml version="1.0" encoding="utf-8"?>
<sst xmlns="http://schemas.openxmlformats.org/spreadsheetml/2006/main" count="282" uniqueCount="161">
  <si>
    <t>Project Name</t>
  </si>
  <si>
    <t>Amount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</si>
  <si>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</si>
  <si>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</si>
  <si>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</si>
  <si>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</si>
  <si>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</si>
  <si>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</si>
  <si>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</si>
  <si>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</si>
  <si>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</si>
  <si>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</si>
  <si>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Capital   Investments</t>
  </si>
  <si>
    <t>Compression   Facilities</t>
  </si>
  <si>
    <t>Town Border Stations</t>
  </si>
  <si>
    <t>Main Line Extension</t>
  </si>
  <si>
    <t>Pipeline  Tie Over</t>
  </si>
  <si>
    <t>Branch Line Loops</t>
  </si>
  <si>
    <t>Total Additions</t>
  </si>
  <si>
    <t>Months in Service Year 1</t>
  </si>
  <si>
    <t>O&amp;M Costs</t>
  </si>
  <si>
    <t>Revenues</t>
  </si>
  <si>
    <t>Ad Valorem Tax Rate</t>
  </si>
  <si>
    <t>NOT TO BE FILED</t>
  </si>
  <si>
    <t>Revenue Summary  1/</t>
  </si>
  <si>
    <t>(IN $000)</t>
  </si>
  <si>
    <t>MONTHS OF</t>
  </si>
  <si>
    <t>LINE</t>
  </si>
  <si>
    <t>REVENUE IN</t>
  </si>
  <si>
    <t>NO.</t>
  </si>
  <si>
    <t>DESCRIPTION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</si>
  <si>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</si>
  <si>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</si>
  <si>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</si>
  <si>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</si>
  <si>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</si>
  <si>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</si>
  <si>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</si>
  <si>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</si>
  <si>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</si>
  <si>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</si>
  <si>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INCREMENTAL REVENUES  1/</t>
  </si>
  <si>
    <t>Page  1 of 7</t>
  </si>
  <si>
    <t>ESTIMATED INCREMENTAL REVENUE</t>
  </si>
  <si>
    <t>Year  6</t>
  </si>
  <si>
    <t>Year  7</t>
  </si>
  <si>
    <t>Year  8</t>
  </si>
  <si>
    <t>Year  9</t>
  </si>
  <si>
    <t>Year  10</t>
  </si>
  <si>
    <t>INCREMENTAL COST OF SERVICE</t>
  </si>
  <si>
    <t xml:space="preserve">DIFFERENCE </t>
  </si>
  <si>
    <t>Estimated   Incremental   Cost   of   Service</t>
  </si>
  <si>
    <t>Line</t>
  </si>
  <si>
    <t>No.</t>
  </si>
  <si>
    <t>Description</t>
  </si>
  <si>
    <t>Year   1</t>
  </si>
  <si>
    <t>Year  2</t>
  </si>
  <si>
    <t>Year  3</t>
  </si>
  <si>
    <t>Year  4</t>
  </si>
  <si>
    <t>Year  5</t>
  </si>
  <si>
    <t>Operating   Expenses   1/</t>
  </si>
  <si>
    <t>Depreciation and</t>
  </si>
  <si>
    <t xml:space="preserve">    Amortization Expenses   2/</t>
  </si>
  <si>
    <t>Taxes</t>
  </si>
  <si>
    <t>Federal Income Tax    3/</t>
  </si>
  <si>
    <t>State Income Tax    4/</t>
  </si>
  <si>
    <t>Other    5/</t>
  </si>
  <si>
    <t xml:space="preserve">     Total Cost of Service</t>
  </si>
  <si>
    <t>1/  Incremental O&amp;M</t>
  </si>
  <si>
    <t>Page  3 of 7</t>
  </si>
  <si>
    <t>Estimated   Incremental   Depreciation    Expense</t>
  </si>
  <si>
    <t>Months in</t>
  </si>
  <si>
    <t>Service</t>
  </si>
  <si>
    <t>Rate    1/</t>
  </si>
  <si>
    <t>Depreciation   Rate</t>
  </si>
  <si>
    <t xml:space="preserve">     Total</t>
  </si>
  <si>
    <t xml:space="preserve">Depreciation   and </t>
  </si>
  <si>
    <t xml:space="preserve">   Amortization   Expense</t>
  </si>
  <si>
    <t>Incremental Depreciation Exp.</t>
  </si>
  <si>
    <t>Page  4 of 7</t>
  </si>
  <si>
    <t>Estimated   Incremental   Taxes   Other</t>
  </si>
  <si>
    <t>Ad Valorem Taxes</t>
  </si>
  <si>
    <t xml:space="preserve">   Total Taxes  -  Other</t>
  </si>
  <si>
    <t>Page 5 of  7</t>
  </si>
  <si>
    <t>Estimated   Return</t>
  </si>
  <si>
    <t>Plant</t>
  </si>
  <si>
    <t>Less:</t>
  </si>
  <si>
    <t xml:space="preserve">   Accumulated Provision for</t>
  </si>
  <si>
    <t xml:space="preserve">      Depreciation and Amort.</t>
  </si>
  <si>
    <t xml:space="preserve">Accumulated Deferred </t>
  </si>
  <si>
    <t xml:space="preserve">   Income Taxes</t>
  </si>
  <si>
    <t xml:space="preserve">   Total Rate Base</t>
  </si>
  <si>
    <t>Total Rate of</t>
  </si>
  <si>
    <t>Return on Equity</t>
  </si>
  <si>
    <t>Return on Debt</t>
  </si>
  <si>
    <t>Total  Return on Rate Base</t>
  </si>
  <si>
    <t>Page  6 of 7</t>
  </si>
  <si>
    <t>Estimated   Incremental   Deferred   Taxes</t>
  </si>
  <si>
    <t>Tax  Plant</t>
  </si>
  <si>
    <t xml:space="preserve">     Plant Addition</t>
  </si>
  <si>
    <t xml:space="preserve">  Total Plant in Service</t>
  </si>
  <si>
    <t>Accumulated  Deferred  Taxes:</t>
  </si>
  <si>
    <t>Accumulated Tax Depreciation   %</t>
  </si>
  <si>
    <t>Total Tax Depreciation</t>
  </si>
  <si>
    <t>Accumulated Book  Depreciation   %  1/</t>
  </si>
  <si>
    <t xml:space="preserve">Accumulated Book Depreciation </t>
  </si>
  <si>
    <t>Accumulated Excess Tax Depreciation</t>
  </si>
  <si>
    <t>Effective Tax Rate   2/</t>
  </si>
  <si>
    <t>Total end of year Accumulated Deferred</t>
  </si>
  <si>
    <t xml:space="preserve">          Taxes Balance  - Credit</t>
  </si>
  <si>
    <t>Page  7 of  7</t>
  </si>
  <si>
    <t>Estimated Federal and State Income Taxes</t>
  </si>
  <si>
    <t>Return on Equity    1/</t>
  </si>
  <si>
    <t>Return on Debt    1/</t>
  </si>
  <si>
    <t>Total Return</t>
  </si>
  <si>
    <t>Interest expense</t>
  </si>
  <si>
    <t>Other Adjustments:</t>
  </si>
  <si>
    <t>Amortization of AFUDC Equity   2/</t>
  </si>
  <si>
    <t xml:space="preserve">     Subtotal</t>
  </si>
  <si>
    <t>Taxable Income After Adjustments</t>
  </si>
  <si>
    <t>Taxable Income Before Income Taxes</t>
  </si>
  <si>
    <t>Federal Income Tax Applicable to :</t>
  </si>
  <si>
    <t xml:space="preserve">   Common Equity</t>
  </si>
  <si>
    <t xml:space="preserve">   Other Tax Adjustments</t>
  </si>
  <si>
    <t xml:space="preserve">      Total Federal Income Tax</t>
  </si>
  <si>
    <t>State Income Tax  Applicable to:</t>
  </si>
  <si>
    <t>Total State Income Tax</t>
  </si>
  <si>
    <t>2/ AFUDC Equity is taxed as it is recovered.</t>
  </si>
  <si>
    <t>Total Revenues</t>
  </si>
  <si>
    <t>2/  From Exhibit N, Page 3, Line 11</t>
  </si>
  <si>
    <t>3/  From Exhibit N, Page 7, Line 12</t>
  </si>
  <si>
    <t>4/  From Exhibit N, Page7, Line 15</t>
  </si>
  <si>
    <t>5/  From Exhibit N, Page 4, Line 2</t>
  </si>
  <si>
    <t>6/  From Exhibit N, Page 5, Line 5</t>
  </si>
  <si>
    <t>Less: Plant Retired</t>
  </si>
  <si>
    <t>Less: Depr Exp on Retired Plant</t>
  </si>
  <si>
    <t xml:space="preserve">    Return  @ 10.29%        1/</t>
  </si>
  <si>
    <t>Federal Income Tax  (53.8462% of line 7)</t>
  </si>
  <si>
    <t>(7.01% of Line 9)   3/</t>
  </si>
  <si>
    <t>Return  @   10.29%    6/</t>
  </si>
  <si>
    <t>MAX</t>
  </si>
  <si>
    <t>DAILY</t>
  </si>
  <si>
    <t>DEMAND</t>
  </si>
  <si>
    <t>VOLUMES</t>
  </si>
  <si>
    <t>RATE</t>
  </si>
  <si>
    <t>(MMBtu)</t>
  </si>
  <si>
    <t>SCHEDULE</t>
  </si>
  <si>
    <t>TRANSWESTERN PIPELINE COMPANY</t>
  </si>
  <si>
    <t>Total O&amp;M Costs</t>
  </si>
  <si>
    <t>Exhibit N</t>
  </si>
  <si>
    <t>Page 2 of 7</t>
  </si>
  <si>
    <t>1/   Depreciation rate of 1.20% is the same rate approved in Transwestern's RP93-34 Rate Case Settlement.</t>
  </si>
  <si>
    <t>Depreciation - @ 1.20%</t>
  </si>
  <si>
    <t>1/  Rate of Return of 10.29% is Transwestern's settlement rate filed in its RP93-34 rate case.</t>
  </si>
  <si>
    <t>1/   Depreciation rate of 1.2% is the same rate approved in Transwestern's RP93-34 Rate Case Settlement.</t>
  </si>
  <si>
    <t>1/  Rate of Return of 10.29% is based on pre-tax return rate of 14.65% stipulated in Transwestern's RP93-34 Rate Case Settlement.</t>
  </si>
  <si>
    <t>3/   Transwestern's composite state income tax rate of 7.01% is the same rate filed in its RP93-34 rate case.</t>
  </si>
  <si>
    <t xml:space="preserve">2/  Includes Transwestern's composite state income tax rate of 7.01%, which is the same rate filed in its RP93-34 rate case. </t>
  </si>
  <si>
    <t xml:space="preserve">Mainline Expansion </t>
  </si>
  <si>
    <t>1/ Incremental revenues are based on currently existing maximum reservation rates.  Transwestern is fully confident that,</t>
  </si>
  <si>
    <t xml:space="preserve">    upon finalization of contracts for the capacity, the revenues will exceed the incremental cost of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</si>
</sst>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9" formatCode="0.000%"/>
    <numFmt numFmtId="172" formatCode="_(&quot;$&quot;* #,##0.00_);_(&quot;$&quot;* \(#,##0.00\);_(&quot;$&quot;* &quot;-&quot;_);_(@_)"/>
    <numFmt numFmtId="173" formatCode="_(&quot;$&quot;* #,##0.000_);_(&quot;$&quot;* \(#,##0.000\);_(&quot;$&quot;* &quot;-&quot;_);_(@_)"/>
    <numFmt numFmtId="174" formatCode="_(&quot;$&quot;* #,##0.0000_);_(&quot;$&quot;* \(#,##0.0000\);_(&quot;$&quot;* &quot;-&quot;_);_(@_)"/>
    <numFmt numFmtId="175" formatCode="&quot;$&quot;#,##0.000_);[Red]\(&quot;$&quot;#,##0.000\)"/>
    <numFmt numFmtId="183" formatCode="_(&quot;$&quot;* #,##0.00000_);_(&quot;$&quot;* \(#,##0.00000\);_(&quot;$&quot;* &quot;-&quot;_);_(@_)"/>
    <numFmt numFmtId="184" formatCode="_(&quot;$&quot;* #,##0.000000_);_(&quot;$&quot;* \(#,##0.000000\);_(&quot;$&quot;* &quot;-&quot;_);_(@_)"/>
    <numFmt numFmtId="185" formatCode="_(&quot;$&quot;* #,##0.0000000_);_(&quot;$&quot;* \(#,##0.0000000\);_(&quot;$&quot;* &quot;-&quot;_);_(@_)"/>
    <numFmt numFmtId="187" formatCode="_(&quot;$&quot;* #,##0_);_(&quot;$&quot;* \(#,##0\);_(&quot;$&quot;* &quot;-&quot;??_);_(@_)"/>
    <numFmt numFmtId="188" formatCode="&quot;$&quot;#,##0"/>
    <numFmt numFmtId="189" formatCode="&quot;$&quot;#,##0.0000_);\(&quot;$&quot;#,##0.0000\)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MS Sans Serif"/>
    </font>
    <font>
      <b/>
      <sz val="12"/>
      <name val="MS Sans Serif"/>
    </font>
    <font>
      <sz val="10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38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42" fontId="1" fillId="0" borderId="0" xfId="3" applyFont="1" applyAlignment="1">
      <alignment horizontal="centerContinuous"/>
    </xf>
    <xf numFmtId="42" fontId="1" fillId="0" borderId="0" xfId="3" applyFont="1"/>
    <xf numFmtId="42" fontId="0" fillId="0" borderId="0" xfId="3" applyFont="1"/>
    <xf numFmtId="42" fontId="1" fillId="0" borderId="1" xfId="3" applyFont="1" applyBorder="1" applyAlignment="1">
      <alignment horizontal="center"/>
    </xf>
    <xf numFmtId="42" fontId="1" fillId="0" borderId="2" xfId="3" applyFont="1" applyBorder="1"/>
    <xf numFmtId="42" fontId="1" fillId="0" borderId="0" xfId="3" applyFont="1" applyBorder="1"/>
    <xf numFmtId="42" fontId="1" fillId="0" borderId="0" xfId="3" applyFont="1" applyBorder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/>
    <xf numFmtId="38" fontId="5" fillId="0" borderId="0" xfId="0" applyNumberFormat="1" applyFont="1"/>
    <xf numFmtId="38" fontId="5" fillId="0" borderId="0" xfId="0" applyNumberFormat="1" applyFont="1" applyBorder="1"/>
    <xf numFmtId="0" fontId="3" fillId="0" borderId="0" xfId="4" applyFont="1"/>
    <xf numFmtId="0" fontId="1" fillId="0" borderId="0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0" xfId="0" applyNumberFormat="1" applyFont="1" applyAlignment="1">
      <alignment horizontal="centerContinuous"/>
    </xf>
    <xf numFmtId="37" fontId="3" fillId="0" borderId="0" xfId="0" applyNumberFormat="1" applyFont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37" fontId="1" fillId="0" borderId="0" xfId="0" applyNumberFormat="1" applyFont="1" applyAlignment="1">
      <alignment horizontal="centerContinuous"/>
    </xf>
    <xf numFmtId="37" fontId="1" fillId="0" borderId="0" xfId="0" applyNumberFormat="1" applyFont="1" applyAlignment="1">
      <alignment horizontal="center"/>
    </xf>
    <xf numFmtId="5" fontId="1" fillId="0" borderId="0" xfId="0" applyNumberFormat="1" applyFont="1"/>
    <xf numFmtId="38" fontId="1" fillId="0" borderId="0" xfId="0" applyNumberFormat="1" applyFont="1"/>
    <xf numFmtId="5" fontId="1" fillId="0" borderId="2" xfId="0" applyNumberFormat="1" applyFont="1" applyBorder="1"/>
    <xf numFmtId="5" fontId="1" fillId="0" borderId="0" xfId="0" applyNumberFormat="1" applyFont="1" applyBorder="1"/>
    <xf numFmtId="37" fontId="1" fillId="0" borderId="0" xfId="0" applyNumberFormat="1" applyFont="1"/>
    <xf numFmtId="10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0" fontId="3" fillId="0" borderId="0" xfId="4" applyFont="1" applyAlignment="1">
      <alignment horizontal="center"/>
    </xf>
    <xf numFmtId="37" fontId="3" fillId="0" borderId="0" xfId="4" applyNumberFormat="1" applyFont="1" applyAlignment="1">
      <alignment horizontal="centerContinuous"/>
    </xf>
    <xf numFmtId="37" fontId="3" fillId="0" borderId="0" xfId="4" applyNumberFormat="1" applyFont="1" applyAlignment="1">
      <alignment horizontal="center"/>
    </xf>
    <xf numFmtId="38" fontId="3" fillId="0" borderId="0" xfId="4" applyNumberFormat="1" applyFont="1"/>
    <xf numFmtId="38" fontId="3" fillId="0" borderId="0" xfId="4" applyNumberFormat="1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2" fontId="1" fillId="0" borderId="4" xfId="3" applyFont="1" applyBorder="1"/>
    <xf numFmtId="42" fontId="1" fillId="0" borderId="5" xfId="3" applyFont="1" applyBorder="1"/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3" fillId="0" borderId="0" xfId="0" quotePrefix="1" applyFont="1"/>
    <xf numFmtId="42" fontId="3" fillId="0" borderId="0" xfId="3" applyFont="1"/>
    <xf numFmtId="42" fontId="3" fillId="0" borderId="0" xfId="3" applyFont="1" applyBorder="1"/>
    <xf numFmtId="42" fontId="3" fillId="0" borderId="2" xfId="3" applyFont="1" applyBorder="1"/>
    <xf numFmtId="42" fontId="1" fillId="0" borderId="0" xfId="3" applyFont="1" applyAlignment="1">
      <alignment horizontal="right"/>
    </xf>
    <xf numFmtId="42" fontId="1" fillId="0" borderId="3" xfId="3" applyFont="1" applyBorder="1"/>
    <xf numFmtId="42" fontId="3" fillId="0" borderId="6" xfId="3" applyFont="1" applyBorder="1" applyAlignment="1">
      <alignment horizontal="right"/>
    </xf>
    <xf numFmtId="42" fontId="3" fillId="0" borderId="6" xfId="3" applyFont="1" applyBorder="1"/>
    <xf numFmtId="42" fontId="3" fillId="0" borderId="3" xfId="3" applyFont="1" applyBorder="1"/>
    <xf numFmtId="169" fontId="3" fillId="0" borderId="0" xfId="5" applyNumberFormat="1" applyFont="1" applyBorder="1"/>
    <xf numFmtId="38" fontId="3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2" fontId="1" fillId="0" borderId="0" xfId="3" applyFont="1" applyFill="1"/>
    <xf numFmtId="42" fontId="1" fillId="0" borderId="0" xfId="3" applyFont="1" applyFill="1" applyBorder="1"/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2" fontId="1" fillId="0" borderId="0" xfId="3" applyFont="1" applyFill="1" applyAlignment="1">
      <alignment horizontal="centerContinuous"/>
    </xf>
    <xf numFmtId="42" fontId="1" fillId="0" borderId="0" xfId="3" applyFont="1" applyFill="1" applyBorder="1" applyAlignment="1">
      <alignment horizontal="centerContinuous"/>
    </xf>
    <xf numFmtId="42" fontId="1" fillId="0" borderId="0" xfId="0" applyNumberFormat="1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42" fontId="1" fillId="0" borderId="1" xfId="3" applyFont="1" applyFill="1" applyBorder="1" applyAlignment="1">
      <alignment horizontal="center"/>
    </xf>
    <xf numFmtId="42" fontId="1" fillId="0" borderId="0" xfId="3" applyFont="1" applyFill="1" applyBorder="1" applyAlignment="1">
      <alignment horizontal="center"/>
    </xf>
    <xf numFmtId="41" fontId="1" fillId="0" borderId="0" xfId="1" applyFont="1" applyFill="1"/>
    <xf numFmtId="41" fontId="1" fillId="0" borderId="0" xfId="1" applyFont="1" applyFill="1" applyBorder="1"/>
    <xf numFmtId="42" fontId="1" fillId="0" borderId="2" xfId="3" applyFont="1" applyFill="1" applyBorder="1"/>
    <xf numFmtId="8" fontId="1" fillId="0" borderId="0" xfId="0" applyNumberFormat="1" applyFont="1" applyFill="1"/>
    <xf numFmtId="42" fontId="1" fillId="0" borderId="0" xfId="3" applyNumberFormat="1" applyFont="1" applyFill="1"/>
    <xf numFmtId="8" fontId="1" fillId="0" borderId="0" xfId="3" applyNumberFormat="1" applyFont="1" applyFill="1"/>
    <xf numFmtId="172" fontId="1" fillId="0" borderId="0" xfId="3" applyNumberFormat="1" applyFont="1" applyFill="1"/>
    <xf numFmtId="174" fontId="1" fillId="0" borderId="0" xfId="3" applyNumberFormat="1" applyFont="1" applyFill="1"/>
    <xf numFmtId="4" fontId="1" fillId="0" borderId="0" xfId="3" applyNumberFormat="1" applyFont="1" applyFill="1"/>
    <xf numFmtId="173" fontId="1" fillId="0" borderId="0" xfId="3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37" fontId="1" fillId="0" borderId="0" xfId="0" applyNumberFormat="1" applyFont="1" applyFill="1" applyAlignment="1">
      <alignment horizontal="centerContinuous"/>
    </xf>
    <xf numFmtId="37" fontId="1" fillId="0" borderId="0" xfId="0" applyNumberFormat="1" applyFont="1" applyFill="1" applyAlignment="1">
      <alignment horizontal="center"/>
    </xf>
    <xf numFmtId="5" fontId="1" fillId="0" borderId="0" xfId="0" applyNumberFormat="1" applyFont="1" applyFill="1"/>
    <xf numFmtId="10" fontId="1" fillId="0" borderId="0" xfId="0" applyNumberFormat="1" applyFont="1" applyFill="1" applyAlignment="1">
      <alignment horizontal="centerContinuous"/>
    </xf>
    <xf numFmtId="38" fontId="1" fillId="0" borderId="0" xfId="0" applyNumberFormat="1" applyFont="1" applyFill="1"/>
    <xf numFmtId="42" fontId="0" fillId="0" borderId="0" xfId="3" applyFont="1" applyFill="1"/>
    <xf numFmtId="41" fontId="1" fillId="0" borderId="0" xfId="1" applyFont="1" applyFill="1" applyAlignment="1">
      <alignment horizontal="center"/>
    </xf>
    <xf numFmtId="5" fontId="1" fillId="0" borderId="0" xfId="0" applyNumberFormat="1" applyFont="1" applyFill="1" applyBorder="1"/>
    <xf numFmtId="0" fontId="1" fillId="0" borderId="0" xfId="0" applyFont="1" applyFill="1" applyBorder="1"/>
    <xf numFmtId="5" fontId="1" fillId="0" borderId="2" xfId="0" applyNumberFormat="1" applyFont="1" applyFill="1" applyBorder="1"/>
    <xf numFmtId="0" fontId="0" fillId="0" borderId="0" xfId="0" applyFill="1" applyAlignment="1">
      <alignment horizontal="center"/>
    </xf>
    <xf numFmtId="5" fontId="0" fillId="0" borderId="0" xfId="0" applyNumberFormat="1" applyFill="1"/>
    <xf numFmtId="169" fontId="3" fillId="0" borderId="0" xfId="3" applyNumberFormat="1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Alignment="1">
      <alignment horizontal="centerContinuous"/>
    </xf>
    <xf numFmtId="0" fontId="3" fillId="0" borderId="0" xfId="4" applyFont="1" applyAlignment="1">
      <alignment horizontal="centerContinuous"/>
    </xf>
    <xf numFmtId="183" fontId="3" fillId="0" borderId="0" xfId="3" applyNumberFormat="1" applyFont="1" applyBorder="1"/>
    <xf numFmtId="184" fontId="3" fillId="0" borderId="0" xfId="3" applyNumberFormat="1" applyFont="1" applyBorder="1"/>
    <xf numFmtId="185" fontId="3" fillId="0" borderId="0" xfId="3" applyNumberFormat="1" applyFont="1" applyBorder="1"/>
    <xf numFmtId="0" fontId="6" fillId="0" borderId="0" xfId="0" applyFont="1"/>
    <xf numFmtId="0" fontId="7" fillId="0" borderId="0" xfId="0" applyFont="1"/>
    <xf numFmtId="42" fontId="6" fillId="0" borderId="0" xfId="3" applyFont="1" applyAlignment="1">
      <alignment horizontal="center"/>
    </xf>
    <xf numFmtId="42" fontId="6" fillId="0" borderId="0" xfId="3" applyFont="1"/>
    <xf numFmtId="0" fontId="6" fillId="0" borderId="0" xfId="0" applyFont="1" applyAlignment="1">
      <alignment horizontal="right"/>
    </xf>
    <xf numFmtId="42" fontId="7" fillId="0" borderId="0" xfId="3" applyFont="1"/>
    <xf numFmtId="175" fontId="7" fillId="0" borderId="0" xfId="0" applyNumberFormat="1" applyFont="1"/>
    <xf numFmtId="38" fontId="7" fillId="0" borderId="0" xfId="2" applyFont="1"/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2" fontId="3" fillId="0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centerContinuous"/>
    </xf>
    <xf numFmtId="37" fontId="1" fillId="0" borderId="0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5" fontId="0" fillId="0" borderId="0" xfId="0" applyNumberFormat="1" applyFill="1" applyBorder="1"/>
    <xf numFmtId="187" fontId="1" fillId="0" borderId="3" xfId="3" applyNumberFormat="1" applyFont="1" applyBorder="1"/>
    <xf numFmtId="187" fontId="3" fillId="0" borderId="0" xfId="3" applyNumberFormat="1" applyFont="1" applyBorder="1"/>
    <xf numFmtId="42" fontId="1" fillId="0" borderId="0" xfId="3" applyNumberFormat="1" applyFont="1"/>
    <xf numFmtId="42" fontId="7" fillId="0" borderId="0" xfId="0" applyNumberFormat="1" applyFont="1"/>
    <xf numFmtId="0" fontId="7" fillId="0" borderId="5" xfId="0" applyFont="1" applyBorder="1"/>
    <xf numFmtId="42" fontId="8" fillId="0" borderId="0" xfId="0" applyNumberFormat="1" applyFont="1" applyFill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9" fillId="0" borderId="0" xfId="4" applyFont="1" applyAlignment="1">
      <alignment horizontal="centerContinuous"/>
    </xf>
    <xf numFmtId="6" fontId="1" fillId="0" borderId="0" xfId="3" applyNumberFormat="1" applyFont="1" applyFill="1"/>
    <xf numFmtId="6" fontId="1" fillId="0" borderId="0" xfId="0" applyNumberFormat="1" applyFont="1" applyFill="1"/>
    <xf numFmtId="6" fontId="1" fillId="0" borderId="0" xfId="0" applyNumberFormat="1" applyFont="1" applyFill="1" applyBorder="1"/>
    <xf numFmtId="6" fontId="0" fillId="0" borderId="0" xfId="0" applyNumberFormat="1" applyFill="1" applyBorder="1"/>
    <xf numFmtId="5" fontId="3" fillId="0" borderId="0" xfId="3" applyNumberFormat="1" applyFont="1"/>
    <xf numFmtId="0" fontId="7" fillId="2" borderId="0" xfId="0" applyFont="1" applyFill="1"/>
    <xf numFmtId="42" fontId="6" fillId="0" borderId="0" xfId="3" applyFont="1" applyFill="1"/>
    <xf numFmtId="189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37" fontId="1" fillId="2" borderId="0" xfId="0" applyNumberFormat="1" applyFont="1" applyFill="1" applyAlignment="1">
      <alignment horizontal="center"/>
    </xf>
    <xf numFmtId="189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 applyAlignment="1">
      <alignment horizontal="center"/>
    </xf>
    <xf numFmtId="42" fontId="6" fillId="2" borderId="0" xfId="3" applyFont="1" applyFill="1"/>
    <xf numFmtId="42" fontId="1" fillId="2" borderId="0" xfId="3" applyNumberFormat="1" applyFont="1" applyFill="1"/>
    <xf numFmtId="42" fontId="1" fillId="2" borderId="0" xfId="3" applyFont="1" applyFill="1"/>
    <xf numFmtId="42" fontId="1" fillId="2" borderId="2" xfId="0" applyNumberFormat="1" applyFont="1" applyFill="1" applyBorder="1"/>
    <xf numFmtId="42" fontId="7" fillId="2" borderId="0" xfId="3" applyFont="1" applyFill="1"/>
    <xf numFmtId="41" fontId="6" fillId="2" borderId="0" xfId="1" applyFont="1" applyFill="1"/>
    <xf numFmtId="10" fontId="6" fillId="2" borderId="0" xfId="5" applyNumberFormat="1" applyFont="1" applyFill="1"/>
    <xf numFmtId="5" fontId="7" fillId="0" borderId="0" xfId="0" applyNumberFormat="1" applyFont="1" applyBorder="1"/>
    <xf numFmtId="188" fontId="7" fillId="0" borderId="0" xfId="0" applyNumberFormat="1" applyFont="1" applyBorder="1"/>
    <xf numFmtId="0" fontId="7" fillId="0" borderId="0" xfId="0" applyFont="1" applyBorder="1"/>
    <xf numFmtId="44" fontId="1" fillId="0" borderId="0" xfId="0" applyNumberFormat="1" applyFont="1"/>
    <xf numFmtId="41" fontId="1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4" applyFont="1" applyBorder="1" applyAlignment="1">
      <alignment horizontal="left"/>
    </xf>
  </cellXfs>
  <cellStyles count="6">
    <cellStyle name="Comma [0]" xfId="1" builtinId="6"/>
    <cellStyle name="Comma [0]_FED &amp; ST INCOME TAX" xfId="2"/>
    <cellStyle name="Currency [0]" xfId="3" builtinId="7"/>
    <cellStyle name="Normal" xfId="0" builtinId="0"/>
    <cellStyle name="Normal_FED &amp; ST INCOME TAX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zoomScale="75" workbookViewId="0">
      <selection activeCell="B9" sqref="B9"/>
    </sheetView>
  </sheetViews>
  <sheetFormatPr defaultRowHeight="11.25" x14ac:dyDescent="0.2"/>
  <cols>
    <col min="1" max="1" width="26.140625" style="111" customWidth="1"/>
    <col min="2" max="2" width="17.140625" style="115" customWidth="1"/>
    <col min="3" max="3" width="14.140625" style="111" customWidth="1"/>
    <col min="4" max="4" width="14.42578125" style="111" bestFit="1" customWidth="1"/>
    <col min="5" max="5" width="14.28515625" style="111" customWidth="1"/>
    <col min="6" max="6" width="14.7109375" style="111" customWidth="1"/>
    <col min="7" max="7" width="15" style="111" customWidth="1"/>
    <col min="8" max="8" width="14.42578125" style="111" bestFit="1" customWidth="1"/>
    <col min="9" max="9" width="14.85546875" style="111" customWidth="1"/>
    <col min="10" max="10" width="14.42578125" style="111" bestFit="1" customWidth="1"/>
    <col min="11" max="11" width="15.7109375" style="111" customWidth="1"/>
    <col min="12" max="16384" width="9.140625" style="111"/>
  </cols>
  <sheetData>
    <row r="1" spans="1:11" ht="12" thickBot="1" x14ac:dyDescent="0.25">
      <c r="A1" s="110" t="s">
        <v>147</v>
      </c>
    </row>
    <row r="2" spans="1:11" ht="13.5" thickBot="1" x14ac:dyDescent="0.25">
      <c r="A2" s="110" t="s">
        <v>0</v>
      </c>
      <c r="B2" s="153" t="s">
        <v>158</v>
      </c>
      <c r="C2" s="141"/>
      <c r="F2" s="48" t="s">
        <v>23</v>
      </c>
      <c r="G2" s="130"/>
    </row>
    <row r="3" spans="1:11" x14ac:dyDescent="0.2">
      <c r="B3" s="112" t="s">
        <v>1</v>
      </c>
    </row>
    <row r="4" spans="1:11" x14ac:dyDescent="0.2"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2" t="s">
        <v>7</v>
      </c>
      <c r="H4" s="112" t="s">
        <v>8</v>
      </c>
      <c r="I4" s="112" t="s">
        <v>9</v>
      </c>
      <c r="J4" s="112" t="s">
        <v>10</v>
      </c>
      <c r="K4" s="112" t="s">
        <v>11</v>
      </c>
    </row>
    <row r="5" spans="1:11" x14ac:dyDescent="0.2">
      <c r="A5" s="110" t="s">
        <v>12</v>
      </c>
      <c r="B5" s="113"/>
    </row>
    <row r="6" spans="1:11" x14ac:dyDescent="0.2">
      <c r="A6" s="110" t="s">
        <v>13</v>
      </c>
      <c r="B6" s="149"/>
      <c r="I6" s="111">
        <v>0</v>
      </c>
    </row>
    <row r="7" spans="1:11" x14ac:dyDescent="0.2">
      <c r="A7" s="110" t="s">
        <v>14</v>
      </c>
      <c r="B7" s="149"/>
    </row>
    <row r="8" spans="1:11" x14ac:dyDescent="0.2">
      <c r="A8" s="110" t="s">
        <v>15</v>
      </c>
      <c r="B8" s="149">
        <v>93300000</v>
      </c>
    </row>
    <row r="9" spans="1:11" x14ac:dyDescent="0.2">
      <c r="A9" s="110" t="s">
        <v>16</v>
      </c>
      <c r="B9" s="149"/>
    </row>
    <row r="10" spans="1:11" x14ac:dyDescent="0.2">
      <c r="A10" s="110" t="s">
        <v>17</v>
      </c>
      <c r="B10" s="149"/>
    </row>
    <row r="11" spans="1:11" x14ac:dyDescent="0.2">
      <c r="A11" s="114" t="s">
        <v>18</v>
      </c>
      <c r="B11" s="149">
        <f>SUM(B6:B10)</f>
        <v>93300000</v>
      </c>
      <c r="C11" s="149">
        <f t="shared" ref="C11:K11" si="0">SUM(C6:C10)</f>
        <v>0</v>
      </c>
      <c r="D11" s="149">
        <f t="shared" si="0"/>
        <v>0</v>
      </c>
      <c r="E11" s="149">
        <f t="shared" si="0"/>
        <v>0</v>
      </c>
      <c r="F11" s="149">
        <f t="shared" si="0"/>
        <v>0</v>
      </c>
      <c r="G11" s="149">
        <f t="shared" si="0"/>
        <v>0</v>
      </c>
      <c r="H11" s="149">
        <f t="shared" si="0"/>
        <v>0</v>
      </c>
      <c r="I11" s="149">
        <f t="shared" si="0"/>
        <v>0</v>
      </c>
      <c r="J11" s="149">
        <f t="shared" si="0"/>
        <v>0</v>
      </c>
      <c r="K11" s="149">
        <f t="shared" si="0"/>
        <v>0</v>
      </c>
    </row>
    <row r="12" spans="1:11" x14ac:dyDescent="0.2">
      <c r="A12" s="110"/>
      <c r="B12" s="113"/>
    </row>
    <row r="13" spans="1:11" x14ac:dyDescent="0.2">
      <c r="A13" s="110" t="s">
        <v>134</v>
      </c>
      <c r="B13" s="113">
        <v>-30800000</v>
      </c>
    </row>
    <row r="16" spans="1:11" x14ac:dyDescent="0.2">
      <c r="A16" s="110" t="s">
        <v>19</v>
      </c>
      <c r="B16" s="154">
        <v>12</v>
      </c>
    </row>
    <row r="17" spans="1:11" x14ac:dyDescent="0.2">
      <c r="B17" s="118" t="s">
        <v>2</v>
      </c>
      <c r="C17" s="118" t="s">
        <v>3</v>
      </c>
      <c r="D17" s="118" t="s">
        <v>4</v>
      </c>
      <c r="E17" s="118" t="s">
        <v>5</v>
      </c>
      <c r="F17" s="118" t="s">
        <v>6</v>
      </c>
      <c r="G17" s="118" t="s">
        <v>7</v>
      </c>
      <c r="H17" s="118" t="s">
        <v>8</v>
      </c>
      <c r="I17" s="118" t="s">
        <v>9</v>
      </c>
      <c r="J17" s="118" t="s">
        <v>10</v>
      </c>
      <c r="K17" s="118" t="s">
        <v>11</v>
      </c>
    </row>
    <row r="18" spans="1:11" x14ac:dyDescent="0.2">
      <c r="A18" s="110" t="s">
        <v>20</v>
      </c>
      <c r="B18" s="149">
        <v>-739000</v>
      </c>
      <c r="C18" s="149">
        <f t="shared" ref="C18:K18" si="1">+B18*1.03</f>
        <v>-761170</v>
      </c>
      <c r="D18" s="149">
        <f t="shared" si="1"/>
        <v>-784005.1</v>
      </c>
      <c r="E18" s="149">
        <f t="shared" si="1"/>
        <v>-807525.25300000003</v>
      </c>
      <c r="F18" s="149">
        <f t="shared" si="1"/>
        <v>-831751.01059000008</v>
      </c>
      <c r="G18" s="149">
        <f t="shared" si="1"/>
        <v>-856703.54090770008</v>
      </c>
      <c r="H18" s="149">
        <f t="shared" si="1"/>
        <v>-882404.64713493106</v>
      </c>
      <c r="I18" s="149">
        <f t="shared" si="1"/>
        <v>-908876.786548979</v>
      </c>
      <c r="J18" s="149">
        <f t="shared" si="1"/>
        <v>-936143.09014544834</v>
      </c>
      <c r="K18" s="149">
        <f t="shared" si="1"/>
        <v>-964227.38284981181</v>
      </c>
    </row>
    <row r="19" spans="1:11" x14ac:dyDescent="0.2">
      <c r="B19" s="111"/>
    </row>
    <row r="20" spans="1:11" x14ac:dyDescent="0.2">
      <c r="A20" s="110"/>
      <c r="B20" s="113"/>
    </row>
    <row r="21" spans="1:11" x14ac:dyDescent="0.2">
      <c r="B21" s="110" t="s">
        <v>2</v>
      </c>
      <c r="C21" s="110" t="s">
        <v>3</v>
      </c>
      <c r="D21" s="110" t="s">
        <v>4</v>
      </c>
      <c r="E21" s="110" t="s">
        <v>5</v>
      </c>
      <c r="F21" s="110" t="s">
        <v>6</v>
      </c>
      <c r="G21" s="110" t="s">
        <v>7</v>
      </c>
      <c r="H21" s="110" t="s">
        <v>8</v>
      </c>
      <c r="I21" s="110" t="s">
        <v>9</v>
      </c>
      <c r="J21" s="110" t="s">
        <v>10</v>
      </c>
      <c r="K21" s="110" t="s">
        <v>11</v>
      </c>
    </row>
    <row r="22" spans="1:11" x14ac:dyDescent="0.2">
      <c r="A22" s="110" t="s">
        <v>21</v>
      </c>
      <c r="B22" s="149">
        <f>+'REVENUE SUMMARY'!J37</f>
        <v>18905175</v>
      </c>
      <c r="C22" s="149">
        <f>+'REVENUE SUMMARY'!K37</f>
        <v>18905175</v>
      </c>
      <c r="D22" s="149">
        <f>+'REVENUE SUMMARY'!L37</f>
        <v>18905175</v>
      </c>
      <c r="E22" s="149">
        <f>+'REVENUE SUMMARY'!M37</f>
        <v>18905175</v>
      </c>
      <c r="F22" s="149">
        <f>+'REVENUE SUMMARY'!N37</f>
        <v>18905175</v>
      </c>
      <c r="G22" s="149">
        <f>+'REVENUE SUMMARY'!O37</f>
        <v>18905175</v>
      </c>
      <c r="H22" s="149">
        <f>+'REVENUE SUMMARY'!P37</f>
        <v>18905175</v>
      </c>
      <c r="I22" s="149">
        <f>+'REVENUE SUMMARY'!Q37</f>
        <v>18905175</v>
      </c>
      <c r="J22" s="149">
        <f>+'REVENUE SUMMARY'!R37</f>
        <v>18905175</v>
      </c>
      <c r="K22" s="149">
        <f>+'REVENUE SUMMARY'!S37</f>
        <v>18905175</v>
      </c>
    </row>
    <row r="23" spans="1:11" x14ac:dyDescent="0.2">
      <c r="C23" s="116"/>
    </row>
    <row r="24" spans="1:11" x14ac:dyDescent="0.2">
      <c r="A24" s="110"/>
      <c r="B24" s="113"/>
      <c r="E24" s="117"/>
    </row>
    <row r="25" spans="1:11" x14ac:dyDescent="0.2">
      <c r="E25" s="117"/>
    </row>
    <row r="26" spans="1:11" x14ac:dyDescent="0.2">
      <c r="A26" s="110" t="s">
        <v>22</v>
      </c>
      <c r="B26" s="155">
        <v>1.6E-2</v>
      </c>
      <c r="E26" s="117"/>
    </row>
    <row r="27" spans="1:11" x14ac:dyDescent="0.2">
      <c r="E27" s="117"/>
    </row>
    <row r="28" spans="1:11" x14ac:dyDescent="0.2">
      <c r="E28" s="117"/>
      <c r="F28" s="111" t="s">
        <v>128</v>
      </c>
    </row>
    <row r="29" spans="1:11" x14ac:dyDescent="0.2">
      <c r="E29" s="117"/>
      <c r="F29" s="129">
        <f>SUM(B22:K22)</f>
        <v>189051750</v>
      </c>
    </row>
    <row r="30" spans="1:11" x14ac:dyDescent="0.2">
      <c r="E30" s="117"/>
    </row>
    <row r="31" spans="1:11" x14ac:dyDescent="0.2">
      <c r="E31" s="117"/>
      <c r="F31" s="111" t="s">
        <v>148</v>
      </c>
    </row>
    <row r="32" spans="1:11" x14ac:dyDescent="0.2">
      <c r="E32" s="117"/>
      <c r="F32" s="129">
        <f>SUM(B18:K18)</f>
        <v>-8471806.81117687</v>
      </c>
    </row>
    <row r="33" spans="5:6" x14ac:dyDescent="0.2">
      <c r="E33" s="117"/>
      <c r="F33" s="156"/>
    </row>
    <row r="34" spans="5:6" x14ac:dyDescent="0.2">
      <c r="E34" s="117"/>
      <c r="F34" s="157"/>
    </row>
    <row r="35" spans="5:6" x14ac:dyDescent="0.2">
      <c r="E35" s="117"/>
      <c r="F35" s="158"/>
    </row>
    <row r="36" spans="5:6" x14ac:dyDescent="0.2">
      <c r="E36" s="117"/>
    </row>
    <row r="37" spans="5:6" x14ac:dyDescent="0.2">
      <c r="E37" s="117"/>
    </row>
    <row r="38" spans="5:6" x14ac:dyDescent="0.2">
      <c r="E38" s="117"/>
    </row>
    <row r="39" spans="5:6" x14ac:dyDescent="0.2">
      <c r="E39" s="117"/>
    </row>
    <row r="40" spans="5:6" x14ac:dyDescent="0.2">
      <c r="E40" s="117"/>
    </row>
    <row r="41" spans="5:6" x14ac:dyDescent="0.2">
      <c r="E41" s="117"/>
    </row>
    <row r="42" spans="5:6" x14ac:dyDescent="0.2">
      <c r="E42" s="117"/>
    </row>
    <row r="43" spans="5:6" x14ac:dyDescent="0.2">
      <c r="E43" s="117"/>
    </row>
    <row r="44" spans="5:6" x14ac:dyDescent="0.2">
      <c r="E44" s="117"/>
    </row>
    <row r="45" spans="5:6" x14ac:dyDescent="0.2">
      <c r="E45" s="117"/>
    </row>
    <row r="46" spans="5:6" x14ac:dyDescent="0.2">
      <c r="E46" s="117"/>
    </row>
  </sheetData>
  <phoneticPr fontId="0" type="noConversion"/>
  <pageMargins left="0.75" right="0.75" top="1" bottom="1" header="0.5" footer="0.5"/>
  <pageSetup scale="7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zoomScale="75" workbookViewId="0">
      <selection activeCell="J19" sqref="J19"/>
    </sheetView>
  </sheetViews>
  <sheetFormatPr defaultRowHeight="12.75" x14ac:dyDescent="0.2"/>
  <cols>
    <col min="1" max="1" width="2.140625" style="1" customWidth="1"/>
    <col min="2" max="2" width="4.28515625" style="1" customWidth="1"/>
    <col min="3" max="3" width="2.140625" style="1" customWidth="1"/>
    <col min="4" max="4" width="31.5703125" style="1" bestFit="1" customWidth="1"/>
    <col min="5" max="5" width="1.5703125" style="1" customWidth="1"/>
    <col min="6" max="6" width="13.7109375" style="2" customWidth="1"/>
    <col min="7" max="7" width="12.7109375" style="2" bestFit="1" customWidth="1"/>
    <col min="8" max="8" width="11.5703125" style="2" bestFit="1" customWidth="1"/>
    <col min="9" max="9" width="11" style="2" bestFit="1" customWidth="1"/>
    <col min="10" max="19" width="14.7109375" style="1" customWidth="1"/>
    <col min="20" max="16384" width="9.140625" style="1"/>
  </cols>
  <sheetData>
    <row r="1" spans="1:19" ht="13.5" thickBot="1" x14ac:dyDescent="0.25">
      <c r="B1" s="2"/>
      <c r="J1" s="6"/>
      <c r="K1" s="6"/>
      <c r="L1" s="6"/>
      <c r="M1"/>
      <c r="N1" s="6"/>
      <c r="O1" s="10"/>
      <c r="P1" s="6"/>
      <c r="Q1" s="6"/>
      <c r="R1" s="6"/>
      <c r="S1" s="6"/>
    </row>
    <row r="2" spans="1:19" ht="13.5" thickBot="1" x14ac:dyDescent="0.25">
      <c r="B2" s="2"/>
      <c r="J2" s="6"/>
      <c r="K2" s="6"/>
      <c r="L2" s="6"/>
      <c r="M2" s="6"/>
      <c r="N2" s="6"/>
      <c r="O2" s="48" t="s">
        <v>23</v>
      </c>
      <c r="P2" s="49"/>
      <c r="Q2" s="6"/>
      <c r="R2" s="6"/>
      <c r="S2" s="6"/>
    </row>
    <row r="3" spans="1:19" x14ac:dyDescent="0.2">
      <c r="B3" s="2"/>
      <c r="J3" s="6"/>
      <c r="K3" s="6"/>
      <c r="L3" s="6"/>
      <c r="M3" s="6"/>
      <c r="N3" s="6"/>
      <c r="O3" s="10"/>
      <c r="P3" s="6"/>
      <c r="Q3" s="6"/>
      <c r="R3" s="6"/>
      <c r="S3" s="6"/>
    </row>
    <row r="4" spans="1:19" x14ac:dyDescent="0.2">
      <c r="B4" s="2"/>
      <c r="J4" s="6"/>
      <c r="K4" s="6"/>
      <c r="L4" s="6"/>
      <c r="M4" s="6"/>
      <c r="N4" s="6"/>
      <c r="O4" s="10"/>
      <c r="P4" s="6"/>
      <c r="Q4" s="6"/>
      <c r="R4" s="6"/>
      <c r="S4" s="6"/>
    </row>
    <row r="5" spans="1:19" ht="15.75" x14ac:dyDescent="0.25">
      <c r="A5" s="132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11"/>
      <c r="P5" s="5"/>
      <c r="Q5" s="5"/>
      <c r="R5" s="5"/>
      <c r="S5" s="5"/>
    </row>
    <row r="6" spans="1:19" x14ac:dyDescent="0.2">
      <c r="A6" s="51" t="str">
        <f>+'INCREMENTAL REVENUES'!A6</f>
        <v xml:space="preserve">Mainline Expansion </v>
      </c>
      <c r="B6" s="50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11"/>
      <c r="P6" s="5"/>
      <c r="Q6" s="5"/>
      <c r="R6" s="5"/>
      <c r="S6" s="5"/>
    </row>
    <row r="7" spans="1:19" x14ac:dyDescent="0.2">
      <c r="A7" s="4" t="s">
        <v>24</v>
      </c>
      <c r="B7" s="50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11"/>
      <c r="P7" s="5"/>
      <c r="Q7" s="5"/>
      <c r="R7" s="5"/>
      <c r="S7" s="5"/>
    </row>
    <row r="8" spans="1:19" x14ac:dyDescent="0.2">
      <c r="A8" s="4" t="s">
        <v>25</v>
      </c>
      <c r="B8" s="50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11"/>
      <c r="P8" s="5"/>
      <c r="Q8" s="5"/>
      <c r="R8" s="5"/>
      <c r="S8" s="5"/>
    </row>
    <row r="9" spans="1:19" x14ac:dyDescent="0.2">
      <c r="A9" s="4"/>
      <c r="B9" s="50"/>
      <c r="C9" s="4"/>
      <c r="D9" s="4"/>
      <c r="E9" s="4"/>
      <c r="F9" s="4"/>
      <c r="H9" s="2" t="s">
        <v>140</v>
      </c>
      <c r="I9" s="4"/>
      <c r="J9" s="5"/>
      <c r="K9" s="5"/>
      <c r="L9" s="5"/>
      <c r="M9" s="5"/>
      <c r="N9" s="5"/>
      <c r="O9" s="11"/>
      <c r="P9" s="5"/>
      <c r="Q9" s="5"/>
      <c r="R9" s="5"/>
      <c r="S9" s="5"/>
    </row>
    <row r="10" spans="1:19" x14ac:dyDescent="0.2">
      <c r="A10"/>
      <c r="B10" s="4"/>
      <c r="C10" s="4"/>
      <c r="D10" s="4"/>
      <c r="E10" s="4"/>
      <c r="F10" s="4"/>
      <c r="H10" s="2" t="s">
        <v>141</v>
      </c>
      <c r="J10" s="5"/>
      <c r="K10" s="5"/>
      <c r="L10" s="5"/>
      <c r="M10" s="5"/>
      <c r="N10" s="5"/>
      <c r="O10" s="11"/>
      <c r="P10" s="5"/>
      <c r="Q10" s="5"/>
      <c r="R10" s="5"/>
      <c r="S10" s="6"/>
    </row>
    <row r="11" spans="1:19" x14ac:dyDescent="0.2">
      <c r="B11" s="2"/>
      <c r="F11" s="2" t="s">
        <v>26</v>
      </c>
      <c r="H11" s="2" t="s">
        <v>142</v>
      </c>
      <c r="J11" s="6"/>
      <c r="K11" s="6"/>
      <c r="L11" s="6"/>
      <c r="M11" s="6"/>
      <c r="N11" s="6"/>
      <c r="O11" s="10"/>
      <c r="P11" s="6"/>
      <c r="Q11" s="6"/>
      <c r="R11" s="6"/>
      <c r="S11" s="6"/>
    </row>
    <row r="12" spans="1:19" x14ac:dyDescent="0.2">
      <c r="B12" s="2" t="s">
        <v>27</v>
      </c>
      <c r="F12" s="2" t="s">
        <v>28</v>
      </c>
      <c r="G12" s="2" t="s">
        <v>144</v>
      </c>
      <c r="H12" s="1" t="s">
        <v>143</v>
      </c>
      <c r="I12" s="2" t="s">
        <v>142</v>
      </c>
      <c r="J12" s="6"/>
      <c r="K12" s="6"/>
      <c r="L12" s="6"/>
      <c r="M12" s="6"/>
      <c r="N12" s="6"/>
      <c r="O12" s="10"/>
      <c r="P12" s="6"/>
      <c r="Q12" s="6"/>
      <c r="R12" s="6"/>
      <c r="S12" s="6"/>
    </row>
    <row r="13" spans="1:19" ht="13.5" thickBot="1" x14ac:dyDescent="0.25">
      <c r="B13" s="3" t="s">
        <v>29</v>
      </c>
      <c r="D13" s="3" t="s">
        <v>30</v>
      </c>
      <c r="F13" s="3" t="s">
        <v>31</v>
      </c>
      <c r="G13" s="3" t="s">
        <v>146</v>
      </c>
      <c r="H13" s="3" t="s">
        <v>145</v>
      </c>
      <c r="I13" s="3" t="s">
        <v>144</v>
      </c>
      <c r="J13" s="8" t="s">
        <v>31</v>
      </c>
      <c r="K13" s="8" t="s">
        <v>32</v>
      </c>
      <c r="L13" s="8" t="s">
        <v>33</v>
      </c>
      <c r="M13" s="8" t="s">
        <v>34</v>
      </c>
      <c r="N13" s="8" t="s">
        <v>35</v>
      </c>
      <c r="O13" s="8" t="s">
        <v>36</v>
      </c>
      <c r="P13" s="8" t="s">
        <v>37</v>
      </c>
      <c r="Q13" s="8" t="s">
        <v>38</v>
      </c>
      <c r="R13" s="8" t="s">
        <v>39</v>
      </c>
      <c r="S13" s="8" t="s">
        <v>40</v>
      </c>
    </row>
    <row r="14" spans="1:19" x14ac:dyDescent="0.2">
      <c r="B14" s="2"/>
      <c r="H14" s="31"/>
      <c r="I14" s="143"/>
      <c r="J14" s="6"/>
      <c r="K14" s="6"/>
      <c r="L14" s="6"/>
      <c r="M14" s="6"/>
      <c r="N14" s="6"/>
      <c r="O14" s="10"/>
      <c r="P14" s="6"/>
      <c r="Q14" s="6"/>
      <c r="R14" s="6"/>
      <c r="S14" s="6"/>
    </row>
    <row r="15" spans="1:19" x14ac:dyDescent="0.2">
      <c r="B15" s="2">
        <v>1</v>
      </c>
      <c r="D15" s="1" t="s">
        <v>41</v>
      </c>
      <c r="H15" s="31"/>
      <c r="I15" s="143"/>
      <c r="J15" s="6"/>
      <c r="K15" s="6"/>
      <c r="L15" s="6"/>
      <c r="M15" s="6"/>
      <c r="N15" s="6"/>
      <c r="O15" s="10"/>
      <c r="P15" s="6"/>
      <c r="Q15" s="6"/>
      <c r="R15" s="6"/>
      <c r="S15" s="6"/>
    </row>
    <row r="16" spans="1:19" x14ac:dyDescent="0.2">
      <c r="B16" s="2"/>
      <c r="H16" s="31"/>
      <c r="I16" s="143"/>
      <c r="J16" s="6"/>
      <c r="K16" s="6"/>
      <c r="L16" s="6"/>
      <c r="M16" s="6"/>
      <c r="N16" s="6"/>
      <c r="O16" s="10"/>
      <c r="P16" s="6"/>
      <c r="Q16" s="6"/>
      <c r="R16" s="6"/>
      <c r="S16" s="6"/>
    </row>
    <row r="17" spans="2:19" x14ac:dyDescent="0.2">
      <c r="B17" s="2">
        <v>2</v>
      </c>
      <c r="D17" s="144"/>
      <c r="F17" s="145"/>
      <c r="G17" s="145"/>
      <c r="H17" s="146"/>
      <c r="I17" s="147"/>
      <c r="J17" s="144"/>
    </row>
    <row r="18" spans="2:19" x14ac:dyDescent="0.2">
      <c r="B18" s="2">
        <v>3</v>
      </c>
      <c r="D18" s="144"/>
      <c r="F18" s="148"/>
      <c r="G18" s="148"/>
      <c r="H18" s="146"/>
      <c r="I18" s="147"/>
      <c r="J18" s="149"/>
      <c r="K18" s="142"/>
      <c r="L18" s="142"/>
      <c r="M18" s="142"/>
      <c r="N18" s="142"/>
      <c r="O18" s="142"/>
      <c r="P18" s="142"/>
      <c r="Q18" s="142"/>
      <c r="R18" s="142"/>
      <c r="S18" s="142"/>
    </row>
    <row r="19" spans="2:19" x14ac:dyDescent="0.2">
      <c r="B19"/>
      <c r="D19" s="144"/>
      <c r="F19" s="145">
        <v>12</v>
      </c>
      <c r="G19" s="145"/>
      <c r="H19" s="146">
        <v>150000</v>
      </c>
      <c r="I19" s="147">
        <v>0.3453</v>
      </c>
      <c r="J19" s="150">
        <f>150000*0.3453*365</f>
        <v>18905175</v>
      </c>
      <c r="K19" s="128">
        <f t="shared" ref="K19:S19" si="0">150000*0.3453*365</f>
        <v>18905175</v>
      </c>
      <c r="L19" s="128">
        <f t="shared" si="0"/>
        <v>18905175</v>
      </c>
      <c r="M19" s="128">
        <f t="shared" si="0"/>
        <v>18905175</v>
      </c>
      <c r="N19" s="128">
        <f t="shared" si="0"/>
        <v>18905175</v>
      </c>
      <c r="O19" s="128">
        <f t="shared" si="0"/>
        <v>18905175</v>
      </c>
      <c r="P19" s="128">
        <f t="shared" si="0"/>
        <v>18905175</v>
      </c>
      <c r="Q19" s="128">
        <f t="shared" si="0"/>
        <v>18905175</v>
      </c>
      <c r="R19" s="128">
        <f t="shared" si="0"/>
        <v>18905175</v>
      </c>
      <c r="S19" s="128">
        <f t="shared" si="0"/>
        <v>18905175</v>
      </c>
    </row>
    <row r="20" spans="2:19" x14ac:dyDescent="0.2">
      <c r="B20"/>
      <c r="D20" s="144"/>
      <c r="F20" s="145"/>
      <c r="G20" s="145"/>
      <c r="H20" s="146"/>
      <c r="I20" s="147"/>
      <c r="J20" s="151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2">
      <c r="B21" s="2">
        <f>+B18+1</f>
        <v>4</v>
      </c>
      <c r="D21" s="144"/>
      <c r="F21" s="145"/>
      <c r="G21" s="145"/>
      <c r="H21" s="146"/>
      <c r="I21" s="147"/>
      <c r="J21" s="151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2">
      <c r="B22" s="2">
        <f>+B21+1</f>
        <v>5</v>
      </c>
      <c r="D22" s="144"/>
      <c r="F22" s="145"/>
      <c r="G22" s="145"/>
      <c r="H22" s="146"/>
      <c r="I22" s="147"/>
      <c r="J22" s="151">
        <v>0</v>
      </c>
      <c r="K22" s="6">
        <f t="shared" ref="K22:S22" si="1">+J22</f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</row>
    <row r="23" spans="2:19" x14ac:dyDescent="0.2">
      <c r="B23"/>
      <c r="D23" s="144"/>
      <c r="F23" s="145"/>
      <c r="G23" s="145"/>
      <c r="H23" s="146"/>
      <c r="I23" s="147"/>
      <c r="J23" s="151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">
      <c r="B24" s="2">
        <v>9</v>
      </c>
      <c r="D24" s="144"/>
      <c r="F24" s="145"/>
      <c r="G24" s="145"/>
      <c r="H24" s="146"/>
      <c r="I24" s="147"/>
      <c r="J24" s="151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">
      <c r="B25" s="2">
        <v>10</v>
      </c>
      <c r="D25" s="144"/>
      <c r="F25" s="145"/>
      <c r="G25" s="145"/>
      <c r="H25" s="146"/>
      <c r="I25" s="147"/>
      <c r="J25" s="151">
        <v>0</v>
      </c>
      <c r="K25" s="6">
        <f t="shared" ref="K25:S25" si="2">+J25</f>
        <v>0</v>
      </c>
      <c r="L25" s="6">
        <f t="shared" si="2"/>
        <v>0</v>
      </c>
      <c r="M25" s="6">
        <f t="shared" si="2"/>
        <v>0</v>
      </c>
      <c r="N25" s="6">
        <f t="shared" si="2"/>
        <v>0</v>
      </c>
      <c r="O25" s="6">
        <f t="shared" si="2"/>
        <v>0</v>
      </c>
      <c r="P25" s="6">
        <f t="shared" si="2"/>
        <v>0</v>
      </c>
      <c r="Q25" s="6">
        <f t="shared" si="2"/>
        <v>0</v>
      </c>
      <c r="R25" s="6">
        <f t="shared" si="2"/>
        <v>0</v>
      </c>
      <c r="S25" s="6">
        <f t="shared" si="2"/>
        <v>0</v>
      </c>
    </row>
    <row r="26" spans="2:19" x14ac:dyDescent="0.2">
      <c r="B26"/>
      <c r="D26" s="144"/>
      <c r="F26" s="145"/>
      <c r="G26" s="145"/>
      <c r="H26" s="146"/>
      <c r="I26" s="147"/>
      <c r="J26" s="151">
        <v>0</v>
      </c>
      <c r="K26" s="6">
        <f t="shared" ref="K26:S26" si="3">+J26</f>
        <v>0</v>
      </c>
      <c r="L26" s="6">
        <f t="shared" si="3"/>
        <v>0</v>
      </c>
      <c r="M26" s="6">
        <f t="shared" si="3"/>
        <v>0</v>
      </c>
      <c r="N26" s="6">
        <f t="shared" si="3"/>
        <v>0</v>
      </c>
      <c r="O26" s="6">
        <f t="shared" si="3"/>
        <v>0</v>
      </c>
      <c r="P26" s="6">
        <f t="shared" si="3"/>
        <v>0</v>
      </c>
      <c r="Q26" s="6">
        <f t="shared" si="3"/>
        <v>0</v>
      </c>
      <c r="R26" s="6">
        <f t="shared" si="3"/>
        <v>0</v>
      </c>
      <c r="S26" s="6">
        <f t="shared" si="3"/>
        <v>0</v>
      </c>
    </row>
    <row r="27" spans="2:19" x14ac:dyDescent="0.2">
      <c r="B27" s="2">
        <v>11</v>
      </c>
      <c r="D27" s="144"/>
      <c r="F27" s="145"/>
      <c r="G27" s="145"/>
      <c r="H27" s="146"/>
      <c r="I27" s="147"/>
      <c r="J27" s="151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">
      <c r="B28" s="2">
        <v>12</v>
      </c>
      <c r="D28" s="144"/>
      <c r="F28" s="145"/>
      <c r="G28" s="145"/>
      <c r="H28" s="146"/>
      <c r="I28" s="147"/>
      <c r="J28" s="151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">
      <c r="B29" s="2">
        <v>13</v>
      </c>
      <c r="D29" s="144"/>
      <c r="F29" s="145"/>
      <c r="G29" s="145"/>
      <c r="H29" s="146"/>
      <c r="I29" s="147"/>
      <c r="J29" s="151"/>
      <c r="K29" s="6">
        <f t="shared" ref="K29:S29" si="4">+J29</f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</row>
    <row r="30" spans="2:19" x14ac:dyDescent="0.2">
      <c r="B30" s="2"/>
      <c r="D30" s="144"/>
      <c r="F30" s="145"/>
      <c r="G30" s="145"/>
      <c r="H30" s="146"/>
      <c r="I30" s="147"/>
      <c r="J30" s="151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">
      <c r="B31" s="2">
        <v>14</v>
      </c>
      <c r="D31" s="144"/>
      <c r="F31" s="145"/>
      <c r="G31" s="145"/>
      <c r="H31" s="146"/>
      <c r="I31" s="147"/>
      <c r="J31" s="151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">
      <c r="B32" s="2">
        <v>15</v>
      </c>
      <c r="D32" s="144"/>
      <c r="F32" s="145"/>
      <c r="G32" s="145"/>
      <c r="H32" s="146"/>
      <c r="I32" s="147"/>
      <c r="J32" s="151">
        <v>0</v>
      </c>
      <c r="K32" s="66"/>
      <c r="L32" s="66"/>
      <c r="M32" s="66"/>
      <c r="N32" s="66"/>
      <c r="O32" s="66"/>
      <c r="P32" s="66"/>
      <c r="Q32" s="66"/>
      <c r="R32" s="66"/>
      <c r="S32" s="66"/>
    </row>
    <row r="33" spans="2:19" x14ac:dyDescent="0.2">
      <c r="B33" s="2"/>
      <c r="D33" s="144"/>
      <c r="F33" s="145"/>
      <c r="G33" s="145"/>
      <c r="H33" s="146"/>
      <c r="I33" s="147"/>
      <c r="J33" s="151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">
      <c r="B34" s="2">
        <v>16</v>
      </c>
      <c r="D34" s="144"/>
      <c r="F34" s="145"/>
      <c r="G34" s="145"/>
      <c r="H34" s="146"/>
      <c r="I34" s="147"/>
      <c r="J34" s="151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">
      <c r="B35" s="2">
        <v>17</v>
      </c>
      <c r="D35" s="144"/>
      <c r="F35" s="145"/>
      <c r="G35" s="145"/>
      <c r="H35" s="146"/>
      <c r="I35" s="147"/>
      <c r="J35" s="151"/>
      <c r="K35" s="6">
        <f t="shared" ref="K35:S35" si="5">+J35</f>
        <v>0</v>
      </c>
      <c r="L35" s="6">
        <f t="shared" si="5"/>
        <v>0</v>
      </c>
      <c r="M35" s="6">
        <f t="shared" si="5"/>
        <v>0</v>
      </c>
      <c r="N35" s="6">
        <f t="shared" si="5"/>
        <v>0</v>
      </c>
      <c r="O35" s="6">
        <f t="shared" si="5"/>
        <v>0</v>
      </c>
      <c r="P35" s="6">
        <f t="shared" si="5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</row>
    <row r="36" spans="2:19" x14ac:dyDescent="0.2">
      <c r="B36" s="2"/>
      <c r="D36" s="144"/>
      <c r="F36" s="145"/>
      <c r="G36" s="145"/>
      <c r="H36" s="146"/>
      <c r="I36" s="147"/>
      <c r="J36" s="151"/>
    </row>
    <row r="37" spans="2:19" ht="13.5" thickBot="1" x14ac:dyDescent="0.25">
      <c r="B37" s="2">
        <v>18</v>
      </c>
      <c r="I37" s="143"/>
      <c r="J37" s="152">
        <f t="shared" ref="J37:S37" si="6">SUM(J18:J35)</f>
        <v>18905175</v>
      </c>
      <c r="K37" s="152">
        <f t="shared" si="6"/>
        <v>18905175</v>
      </c>
      <c r="L37" s="152">
        <f t="shared" si="6"/>
        <v>18905175</v>
      </c>
      <c r="M37" s="152">
        <f t="shared" si="6"/>
        <v>18905175</v>
      </c>
      <c r="N37" s="152">
        <f t="shared" si="6"/>
        <v>18905175</v>
      </c>
      <c r="O37" s="152">
        <f t="shared" si="6"/>
        <v>18905175</v>
      </c>
      <c r="P37" s="152">
        <f t="shared" si="6"/>
        <v>18905175</v>
      </c>
      <c r="Q37" s="152">
        <f t="shared" si="6"/>
        <v>18905175</v>
      </c>
      <c r="R37" s="152">
        <f t="shared" si="6"/>
        <v>18905175</v>
      </c>
      <c r="S37" s="152">
        <f t="shared" si="6"/>
        <v>18905175</v>
      </c>
    </row>
    <row r="38" spans="2:19" ht="13.5" thickTop="1" x14ac:dyDescent="0.2"/>
  </sheetData>
  <phoneticPr fontId="0" type="noConversion"/>
  <pageMargins left="0" right="0" top="1" bottom="1" header="0.5" footer="0.5"/>
  <pageSetup scale="57" orientation="landscape" horizontalDpi="4294967292" vertic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zoomScale="75" workbookViewId="0">
      <selection activeCell="D27" sqref="D27"/>
    </sheetView>
  </sheetViews>
  <sheetFormatPr defaultRowHeight="12.75" x14ac:dyDescent="0.2"/>
  <cols>
    <col min="1" max="1" width="2.7109375" style="63" customWidth="1"/>
    <col min="2" max="2" width="4.5703125" style="63" customWidth="1"/>
    <col min="3" max="3" width="2" style="63" customWidth="1"/>
    <col min="4" max="4" width="35.42578125" style="63" customWidth="1"/>
    <col min="5" max="5" width="1.85546875" style="63" customWidth="1"/>
    <col min="6" max="6" width="12" style="63" customWidth="1"/>
    <col min="7" max="7" width="1.42578125" style="86" customWidth="1"/>
    <col min="8" max="8" width="12.42578125" style="63" customWidth="1"/>
    <col min="9" max="9" width="0.7109375" style="86" customWidth="1"/>
    <col min="10" max="10" width="11.7109375" style="63" customWidth="1"/>
    <col min="11" max="11" width="0.85546875" style="86" customWidth="1"/>
    <col min="12" max="12" width="11.42578125" style="63" customWidth="1"/>
    <col min="13" max="13" width="1" style="86" customWidth="1"/>
    <col min="14" max="14" width="12.140625" style="63" customWidth="1"/>
    <col min="15" max="15" width="0.7109375" style="86" customWidth="1"/>
    <col min="16" max="16" width="10.85546875" style="63" bestFit="1" customWidth="1"/>
    <col min="17" max="17" width="1.140625" style="63" customWidth="1"/>
    <col min="18" max="18" width="10.85546875" style="63" bestFit="1" customWidth="1"/>
    <col min="19" max="19" width="2" style="86" customWidth="1"/>
    <col min="20" max="20" width="10.85546875" style="63" bestFit="1" customWidth="1"/>
    <col min="21" max="21" width="2" style="63" customWidth="1"/>
    <col min="22" max="22" width="10.85546875" style="63" bestFit="1" customWidth="1"/>
    <col min="23" max="23" width="2" style="63" customWidth="1"/>
    <col min="24" max="24" width="10.85546875" style="63" bestFit="1" customWidth="1"/>
    <col min="25" max="16384" width="9.140625" style="63"/>
  </cols>
  <sheetData>
    <row r="1" spans="1:32" x14ac:dyDescent="0.2">
      <c r="B1" s="64"/>
      <c r="C1" s="65"/>
      <c r="D1" s="65"/>
      <c r="E1" s="65"/>
      <c r="F1" s="66"/>
      <c r="G1" s="67"/>
      <c r="H1" s="66"/>
      <c r="I1" s="67"/>
      <c r="J1" s="66"/>
      <c r="K1" s="67"/>
      <c r="L1" s="66"/>
      <c r="M1" s="67"/>
      <c r="N1" s="163" t="s">
        <v>149</v>
      </c>
      <c r="O1" s="67"/>
    </row>
    <row r="2" spans="1:32" x14ac:dyDescent="0.2">
      <c r="B2" s="64"/>
      <c r="C2" s="65"/>
      <c r="D2" s="65"/>
      <c r="E2" s="65"/>
      <c r="F2" s="66"/>
      <c r="G2" s="67"/>
      <c r="H2" s="66"/>
      <c r="I2" s="67"/>
      <c r="J2" s="66"/>
      <c r="K2" s="67"/>
      <c r="L2" s="66"/>
      <c r="M2" s="67"/>
      <c r="N2" s="161" t="s">
        <v>42</v>
      </c>
      <c r="O2" s="67"/>
    </row>
    <row r="3" spans="1:32" x14ac:dyDescent="0.2">
      <c r="B3" s="64"/>
      <c r="C3" s="65"/>
      <c r="D3" s="65"/>
      <c r="E3" s="65"/>
      <c r="F3" s="66"/>
      <c r="G3" s="67"/>
      <c r="H3" s="66"/>
      <c r="I3" s="67"/>
      <c r="J3" s="66"/>
      <c r="K3" s="67"/>
      <c r="L3" s="66"/>
      <c r="M3" s="67"/>
      <c r="O3" s="67"/>
    </row>
    <row r="4" spans="1:32" x14ac:dyDescent="0.2">
      <c r="B4" s="64"/>
      <c r="C4" s="65"/>
      <c r="D4" s="65"/>
      <c r="E4" s="65"/>
      <c r="F4" s="66"/>
      <c r="G4" s="67"/>
      <c r="H4" s="66"/>
      <c r="I4" s="67"/>
      <c r="J4" s="66"/>
      <c r="K4" s="67"/>
      <c r="L4" s="66"/>
      <c r="M4" s="67"/>
      <c r="N4" s="66"/>
      <c r="O4" s="67"/>
    </row>
    <row r="5" spans="1:32" ht="15.75" x14ac:dyDescent="0.25">
      <c r="A5" s="131" t="str">
        <f>+'INPUT SHEET'!A1</f>
        <v>TRANSWESTERN PIPELINE COMPANY</v>
      </c>
      <c r="B5" s="68"/>
      <c r="C5" s="69"/>
      <c r="D5" s="69"/>
      <c r="E5" s="69"/>
      <c r="F5" s="70"/>
      <c r="G5" s="71"/>
      <c r="H5" s="70"/>
      <c r="I5" s="71"/>
      <c r="J5" s="70"/>
      <c r="K5" s="71"/>
      <c r="L5" s="70"/>
      <c r="M5" s="71"/>
      <c r="N5" s="70"/>
      <c r="O5" s="71"/>
    </row>
    <row r="6" spans="1:32" x14ac:dyDescent="0.2">
      <c r="A6" s="72" t="str">
        <f>+'INPUT SHEET'!B2</f>
        <v xml:space="preserve">Mainline Expansion </v>
      </c>
      <c r="B6" s="68"/>
      <c r="C6" s="69"/>
      <c r="D6" s="69"/>
      <c r="E6" s="69"/>
      <c r="F6" s="70"/>
      <c r="G6" s="71"/>
      <c r="H6" s="70"/>
      <c r="I6" s="71"/>
      <c r="J6" s="70"/>
      <c r="K6" s="71"/>
      <c r="L6" s="70"/>
      <c r="M6" s="71"/>
      <c r="N6" s="70"/>
      <c r="O6" s="71"/>
    </row>
    <row r="7" spans="1:32" x14ac:dyDescent="0.2">
      <c r="A7" s="69" t="s">
        <v>43</v>
      </c>
      <c r="B7" s="68"/>
      <c r="C7" s="69"/>
      <c r="D7" s="69"/>
      <c r="E7" s="69"/>
      <c r="F7" s="70"/>
      <c r="G7" s="71"/>
      <c r="H7" s="70"/>
      <c r="I7" s="71"/>
      <c r="J7" s="70"/>
      <c r="K7" s="71"/>
      <c r="L7" s="70"/>
      <c r="M7" s="71"/>
      <c r="N7" s="70"/>
      <c r="O7" s="71"/>
    </row>
    <row r="8" spans="1:32" x14ac:dyDescent="0.2">
      <c r="A8" s="69" t="s">
        <v>25</v>
      </c>
      <c r="B8" s="68"/>
      <c r="C8" s="69"/>
      <c r="D8" s="69"/>
      <c r="E8" s="69"/>
      <c r="F8" s="70"/>
      <c r="G8" s="71"/>
      <c r="H8" s="70"/>
      <c r="I8" s="71"/>
      <c r="J8" s="70"/>
      <c r="K8" s="71"/>
      <c r="L8" s="70"/>
      <c r="M8" s="71"/>
      <c r="N8" s="70"/>
      <c r="O8" s="71"/>
    </row>
    <row r="9" spans="1:32" x14ac:dyDescent="0.2">
      <c r="B9" s="64"/>
      <c r="C9" s="65"/>
      <c r="D9" s="65"/>
      <c r="E9" s="65"/>
      <c r="F9" s="66"/>
      <c r="G9" s="67"/>
      <c r="H9" s="66"/>
      <c r="I9" s="67"/>
      <c r="J9" s="66"/>
      <c r="K9" s="67"/>
      <c r="L9" s="66"/>
      <c r="M9" s="67"/>
      <c r="N9" s="66"/>
      <c r="O9" s="67"/>
      <c r="P9" s="66"/>
      <c r="R9" s="66"/>
      <c r="S9" s="67"/>
    </row>
    <row r="10" spans="1:32" x14ac:dyDescent="0.2">
      <c r="B10" s="64" t="s">
        <v>27</v>
      </c>
      <c r="C10" s="65"/>
      <c r="D10" s="65"/>
      <c r="E10" s="65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R10" s="64"/>
      <c r="S10" s="119"/>
    </row>
    <row r="11" spans="1:32" ht="13.5" thickBot="1" x14ac:dyDescent="0.25">
      <c r="B11" s="73" t="s">
        <v>29</v>
      </c>
      <c r="C11" s="65"/>
      <c r="D11" s="73" t="s">
        <v>30</v>
      </c>
      <c r="E11" s="65"/>
      <c r="F11" s="74" t="s">
        <v>31</v>
      </c>
      <c r="G11" s="75"/>
      <c r="H11" s="74" t="s">
        <v>32</v>
      </c>
      <c r="I11" s="75"/>
      <c r="J11" s="74" t="s">
        <v>33</v>
      </c>
      <c r="K11" s="75"/>
      <c r="L11" s="74" t="s">
        <v>34</v>
      </c>
      <c r="M11" s="75"/>
      <c r="N11" s="74" t="s">
        <v>35</v>
      </c>
      <c r="O11" s="75"/>
      <c r="P11" s="29" t="s">
        <v>44</v>
      </c>
      <c r="Q11" s="1"/>
      <c r="R11" s="29" t="s">
        <v>45</v>
      </c>
      <c r="S11" s="1"/>
      <c r="T11" s="29" t="s">
        <v>46</v>
      </c>
      <c r="U11" s="1"/>
      <c r="V11" s="29" t="s">
        <v>47</v>
      </c>
      <c r="W11" s="1"/>
      <c r="X11" s="29" t="s">
        <v>48</v>
      </c>
    </row>
    <row r="12" spans="1:32" x14ac:dyDescent="0.2">
      <c r="B12" s="64"/>
      <c r="C12" s="65"/>
      <c r="D12" s="65"/>
      <c r="E12" s="65"/>
      <c r="F12" s="66"/>
      <c r="G12" s="67"/>
      <c r="H12" s="66"/>
      <c r="I12" s="67"/>
      <c r="J12" s="66"/>
      <c r="K12" s="67"/>
      <c r="L12" s="66"/>
      <c r="M12" s="67"/>
      <c r="N12" s="66"/>
      <c r="O12" s="67"/>
      <c r="P12" s="66"/>
      <c r="R12" s="66"/>
      <c r="S12" s="67"/>
    </row>
    <row r="13" spans="1:32" x14ac:dyDescent="0.2">
      <c r="B13" s="64">
        <v>1</v>
      </c>
      <c r="C13" s="65"/>
      <c r="D13" s="65" t="s">
        <v>41</v>
      </c>
      <c r="E13" s="65"/>
      <c r="F13" s="66">
        <f>+'INPUT SHEET'!B22/1000</f>
        <v>18905.174999999999</v>
      </c>
      <c r="G13" s="67"/>
      <c r="H13" s="66">
        <f>+'INPUT SHEET'!C22/1000</f>
        <v>18905.174999999999</v>
      </c>
      <c r="I13" s="67"/>
      <c r="J13" s="66">
        <f>+'INPUT SHEET'!D22/1000</f>
        <v>18905.174999999999</v>
      </c>
      <c r="K13" s="67"/>
      <c r="L13" s="66">
        <f>+'INPUT SHEET'!E22/1000</f>
        <v>18905.174999999999</v>
      </c>
      <c r="M13" s="67"/>
      <c r="N13" s="66">
        <f>+'INPUT SHEET'!F22/1000</f>
        <v>18905.174999999999</v>
      </c>
      <c r="O13" s="67"/>
      <c r="P13" s="66">
        <f>+'INPUT SHEET'!G22/1000</f>
        <v>18905.174999999999</v>
      </c>
      <c r="R13" s="66">
        <f>+'INPUT SHEET'!H22/1000</f>
        <v>18905.174999999999</v>
      </c>
      <c r="S13" s="67"/>
      <c r="T13" s="66">
        <f>+'INPUT SHEET'!I22/1000</f>
        <v>18905.174999999999</v>
      </c>
      <c r="U13" s="66"/>
      <c r="V13" s="66">
        <f>+'INPUT SHEET'!J22/1000</f>
        <v>18905.174999999999</v>
      </c>
      <c r="W13" s="66"/>
      <c r="X13" s="66">
        <f>+'INPUT SHEET'!K22/1000</f>
        <v>18905.174999999999</v>
      </c>
      <c r="Y13" s="66"/>
      <c r="Z13" s="66"/>
      <c r="AA13" s="66"/>
      <c r="AB13" s="66"/>
      <c r="AC13" s="66"/>
      <c r="AD13" s="66"/>
      <c r="AE13" s="66"/>
      <c r="AF13" s="66"/>
    </row>
    <row r="14" spans="1:32" x14ac:dyDescent="0.2">
      <c r="B14" s="64"/>
      <c r="C14" s="65"/>
      <c r="D14" s="65"/>
      <c r="E14" s="65"/>
      <c r="F14" s="66"/>
      <c r="G14" s="67"/>
      <c r="H14" s="66"/>
      <c r="I14" s="67"/>
      <c r="J14" s="66"/>
      <c r="K14" s="67"/>
      <c r="L14" s="66"/>
      <c r="M14" s="67"/>
      <c r="N14" s="66"/>
      <c r="O14" s="67"/>
      <c r="P14" s="66"/>
      <c r="R14" s="66"/>
      <c r="S14" s="67"/>
    </row>
    <row r="15" spans="1:32" x14ac:dyDescent="0.2">
      <c r="B15" s="64">
        <v>2</v>
      </c>
      <c r="C15" s="65"/>
      <c r="D15" s="65" t="s">
        <v>49</v>
      </c>
      <c r="E15" s="65"/>
      <c r="F15" s="76">
        <f>+'INCREMENTAL COS'!E26/1000</f>
        <v>14321.890963855221</v>
      </c>
      <c r="G15" s="77"/>
      <c r="H15" s="76">
        <f>+'INCREMENTAL COS'!G26/1000</f>
        <v>13739.832730457631</v>
      </c>
      <c r="I15" s="67"/>
      <c r="J15" s="76">
        <f>+'INCREMENTAL COS'!I26/1000</f>
        <v>13146.684889130998</v>
      </c>
      <c r="K15" s="77"/>
      <c r="L15" s="76">
        <f>+'INCREMENTAL COS'!K26/1000</f>
        <v>12599.791035096128</v>
      </c>
      <c r="M15" s="77"/>
      <c r="N15" s="76">
        <f>+'INCREMENTAL COS'!M26/1000</f>
        <v>12094.592204574077</v>
      </c>
      <c r="O15" s="77"/>
      <c r="P15" s="76">
        <f>+'INCREMENTAL COS'!O26/1000</f>
        <v>11597.372489734169</v>
      </c>
      <c r="R15" s="76">
        <f>+'INCREMENTAL COS'!Q26/1000</f>
        <v>11099.404198984726</v>
      </c>
      <c r="S15" s="77"/>
      <c r="T15" s="76">
        <f>+'INCREMENTAL COS'!S26/1000</f>
        <v>10600.665875048473</v>
      </c>
      <c r="U15" s="76"/>
      <c r="V15" s="76">
        <f>+'INCREMENTAL COS'!U26/1000</f>
        <v>10101.132386929799</v>
      </c>
      <c r="X15" s="76">
        <f>+'INCREMENTAL COS'!W26/1000</f>
        <v>9600.7799097032275</v>
      </c>
    </row>
    <row r="16" spans="1:32" x14ac:dyDescent="0.2">
      <c r="B16" s="64"/>
      <c r="C16" s="65"/>
      <c r="D16" s="65"/>
      <c r="E16" s="65"/>
      <c r="F16" s="76"/>
      <c r="G16" s="77"/>
      <c r="H16" s="76"/>
      <c r="I16" s="67"/>
      <c r="J16" s="66"/>
      <c r="K16" s="67"/>
      <c r="L16" s="66"/>
      <c r="M16" s="67"/>
      <c r="N16" s="66"/>
      <c r="O16" s="67"/>
      <c r="P16" s="66"/>
      <c r="R16" s="66"/>
      <c r="S16" s="67"/>
      <c r="T16" s="66"/>
      <c r="U16" s="66"/>
      <c r="V16" s="66"/>
      <c r="X16" s="66"/>
    </row>
    <row r="17" spans="2:24" ht="13.5" thickBot="1" x14ac:dyDescent="0.25">
      <c r="B17" s="64">
        <v>3</v>
      </c>
      <c r="C17" s="65"/>
      <c r="D17" s="65" t="s">
        <v>50</v>
      </c>
      <c r="E17" s="65"/>
      <c r="F17" s="78">
        <f>+F13-F15</f>
        <v>4583.2840361447779</v>
      </c>
      <c r="G17" s="67"/>
      <c r="H17" s="78">
        <f>+H13-H15</f>
        <v>5165.3422695423687</v>
      </c>
      <c r="I17" s="67"/>
      <c r="J17" s="78">
        <f>+J13-J15</f>
        <v>5758.490110869001</v>
      </c>
      <c r="K17" s="67"/>
      <c r="L17" s="78">
        <f>+L13-L15</f>
        <v>6305.3839649038709</v>
      </c>
      <c r="M17" s="67"/>
      <c r="N17" s="78">
        <f>+N13-N15</f>
        <v>6810.5827954259221</v>
      </c>
      <c r="O17" s="67"/>
      <c r="P17" s="78">
        <f>+P13-P15</f>
        <v>7307.8025102658303</v>
      </c>
      <c r="R17" s="78">
        <f>+R13-R15</f>
        <v>7805.7708010152728</v>
      </c>
      <c r="S17" s="67"/>
      <c r="T17" s="78">
        <f>+T13-T15</f>
        <v>8304.5091249515262</v>
      </c>
      <c r="U17" s="67"/>
      <c r="V17" s="78">
        <f>+V13-V15</f>
        <v>8804.0426130701999</v>
      </c>
      <c r="X17" s="78">
        <f>+X13-X15</f>
        <v>9304.3950902967717</v>
      </c>
    </row>
    <row r="18" spans="2:24" ht="13.5" thickTop="1" x14ac:dyDescent="0.2">
      <c r="B18" s="64"/>
      <c r="C18" s="65"/>
      <c r="D18" s="65"/>
      <c r="E18" s="65"/>
      <c r="F18" s="66"/>
      <c r="G18" s="67"/>
      <c r="H18" s="66"/>
      <c r="I18" s="67"/>
      <c r="J18" s="66"/>
      <c r="K18" s="67"/>
      <c r="L18" s="66"/>
      <c r="M18" s="67"/>
      <c r="N18" s="66"/>
      <c r="O18" s="67"/>
      <c r="P18" s="66"/>
      <c r="R18" s="66"/>
      <c r="S18" s="67"/>
    </row>
    <row r="19" spans="2:24" x14ac:dyDescent="0.2">
      <c r="B19" s="64"/>
      <c r="C19" s="65"/>
      <c r="D19" s="79"/>
      <c r="E19" s="65"/>
      <c r="F19" s="80"/>
      <c r="G19" s="67"/>
      <c r="I19" s="67"/>
      <c r="J19" s="66"/>
      <c r="K19" s="67"/>
      <c r="L19" s="66"/>
      <c r="M19" s="67"/>
      <c r="N19" s="66"/>
      <c r="O19" s="67"/>
    </row>
    <row r="20" spans="2:24" x14ac:dyDescent="0.2">
      <c r="B20" s="64"/>
      <c r="C20" s="65"/>
      <c r="D20" s="65"/>
      <c r="E20" s="65"/>
      <c r="F20" s="81"/>
      <c r="G20" s="67"/>
      <c r="H20" s="66"/>
      <c r="I20" s="67"/>
      <c r="J20" s="66"/>
      <c r="K20" s="67"/>
      <c r="L20" s="66"/>
      <c r="M20" s="67"/>
      <c r="N20" s="66"/>
      <c r="O20" s="67"/>
    </row>
    <row r="21" spans="2:24" x14ac:dyDescent="0.2">
      <c r="B21" s="64"/>
      <c r="C21" s="65"/>
      <c r="D21" s="65"/>
      <c r="E21" s="65"/>
      <c r="F21" s="66"/>
      <c r="G21" s="67"/>
      <c r="H21" s="66"/>
      <c r="I21" s="67"/>
      <c r="J21" s="66"/>
      <c r="K21" s="67"/>
      <c r="L21" s="66"/>
      <c r="M21" s="67"/>
      <c r="N21" s="66"/>
      <c r="O21" s="67"/>
    </row>
    <row r="22" spans="2:24" x14ac:dyDescent="0.2">
      <c r="B22" s="64"/>
      <c r="C22" s="65"/>
      <c r="D22" s="65" t="s">
        <v>159</v>
      </c>
      <c r="E22" s="65"/>
      <c r="F22" s="66"/>
      <c r="G22" s="67"/>
      <c r="H22" s="66"/>
      <c r="I22" s="67"/>
      <c r="J22" s="66"/>
      <c r="K22" s="67"/>
      <c r="L22" s="66"/>
      <c r="M22" s="67"/>
      <c r="N22" s="66"/>
      <c r="O22" s="67"/>
    </row>
    <row r="23" spans="2:24" x14ac:dyDescent="0.2">
      <c r="B23" s="64"/>
      <c r="C23" s="65"/>
      <c r="D23" s="65" t="s">
        <v>160</v>
      </c>
      <c r="E23" s="65"/>
      <c r="F23" s="66"/>
      <c r="G23" s="67"/>
      <c r="H23" s="66"/>
      <c r="I23" s="67"/>
      <c r="J23" s="66"/>
      <c r="K23" s="67"/>
      <c r="L23" s="66"/>
      <c r="M23" s="67"/>
      <c r="N23" s="66"/>
      <c r="O23" s="67"/>
    </row>
    <row r="24" spans="2:24" x14ac:dyDescent="0.2">
      <c r="B24" s="64"/>
      <c r="C24" s="65"/>
      <c r="D24" s="65"/>
      <c r="E24" s="65"/>
      <c r="F24" s="66"/>
      <c r="G24" s="67"/>
      <c r="H24" s="66"/>
      <c r="I24" s="67"/>
      <c r="J24" s="66"/>
      <c r="K24" s="67"/>
      <c r="L24" s="66"/>
      <c r="M24" s="67"/>
      <c r="N24" s="66"/>
      <c r="O24" s="67"/>
    </row>
    <row r="25" spans="2:24" x14ac:dyDescent="0.2">
      <c r="B25" s="64"/>
      <c r="C25" s="65"/>
      <c r="D25" s="65"/>
      <c r="E25" s="65"/>
      <c r="F25" s="66"/>
      <c r="G25" s="67"/>
      <c r="H25" s="66"/>
      <c r="I25" s="67"/>
      <c r="J25" s="66"/>
      <c r="K25" s="67"/>
      <c r="L25" s="66"/>
      <c r="M25" s="67"/>
      <c r="N25" s="66"/>
      <c r="O25" s="67"/>
    </row>
    <row r="26" spans="2:24" x14ac:dyDescent="0.2">
      <c r="B26" s="64"/>
      <c r="C26" s="65"/>
      <c r="D26" s="65"/>
      <c r="E26" s="65"/>
      <c r="F26" s="66"/>
      <c r="G26" s="67"/>
      <c r="H26" s="66"/>
      <c r="I26" s="67"/>
      <c r="J26" s="66"/>
      <c r="K26" s="67"/>
      <c r="L26" s="66"/>
      <c r="M26" s="67"/>
      <c r="N26" s="66"/>
      <c r="O26" s="67"/>
    </row>
    <row r="27" spans="2:24" x14ac:dyDescent="0.2">
      <c r="B27" s="64"/>
      <c r="C27" s="65"/>
      <c r="D27" s="65"/>
      <c r="E27" s="65"/>
      <c r="F27" s="66"/>
      <c r="G27" s="67"/>
      <c r="H27" s="66"/>
      <c r="I27" s="67"/>
      <c r="J27" s="66"/>
      <c r="K27" s="67"/>
      <c r="L27" s="66"/>
      <c r="M27" s="67"/>
      <c r="N27" s="66"/>
      <c r="O27" s="67"/>
    </row>
    <row r="28" spans="2:24" x14ac:dyDescent="0.2">
      <c r="B28" s="64"/>
      <c r="C28" s="65"/>
      <c r="D28" s="65"/>
      <c r="E28" s="65"/>
      <c r="F28" s="66"/>
      <c r="G28" s="67"/>
      <c r="H28" s="66"/>
      <c r="I28" s="67"/>
      <c r="J28" s="66"/>
      <c r="K28" s="67"/>
      <c r="L28" s="66"/>
      <c r="M28" s="67"/>
      <c r="N28" s="66"/>
      <c r="O28" s="67"/>
    </row>
    <row r="29" spans="2:24" ht="11.25" customHeight="1" x14ac:dyDescent="0.2">
      <c r="B29" s="64"/>
      <c r="C29" s="65"/>
      <c r="D29" s="65"/>
      <c r="E29" s="65"/>
      <c r="F29" s="82"/>
      <c r="G29" s="67"/>
      <c r="H29" s="66"/>
      <c r="I29" s="67"/>
      <c r="J29" s="66"/>
      <c r="K29" s="67"/>
      <c r="L29" s="66"/>
      <c r="M29" s="67"/>
      <c r="N29" s="66"/>
      <c r="O29" s="67"/>
    </row>
    <row r="30" spans="2:24" x14ac:dyDescent="0.2">
      <c r="B30" s="64"/>
      <c r="C30" s="65"/>
      <c r="D30" s="65"/>
      <c r="E30" s="65"/>
      <c r="F30" s="66"/>
      <c r="G30" s="67"/>
      <c r="H30" s="66"/>
      <c r="I30" s="67"/>
      <c r="J30" s="83"/>
      <c r="K30" s="67"/>
      <c r="L30" s="66"/>
      <c r="M30" s="67"/>
      <c r="N30" s="66"/>
      <c r="O30" s="67"/>
    </row>
    <row r="31" spans="2:24" x14ac:dyDescent="0.2">
      <c r="B31" s="64"/>
      <c r="C31" s="65"/>
      <c r="D31" s="65"/>
      <c r="E31" s="65"/>
      <c r="F31" s="84"/>
      <c r="G31" s="67"/>
      <c r="H31" s="66"/>
      <c r="I31" s="67"/>
      <c r="J31" s="85"/>
      <c r="K31" s="67"/>
      <c r="L31" s="66"/>
      <c r="M31" s="67"/>
      <c r="N31" s="83"/>
      <c r="O31" s="67"/>
    </row>
    <row r="32" spans="2:24" x14ac:dyDescent="0.2">
      <c r="B32" s="64"/>
      <c r="C32" s="65"/>
      <c r="D32" s="65"/>
      <c r="E32" s="65"/>
      <c r="F32" s="66"/>
      <c r="G32" s="67"/>
      <c r="H32" s="66"/>
      <c r="I32" s="67"/>
      <c r="J32" s="66"/>
      <c r="K32" s="67"/>
      <c r="L32" s="66"/>
      <c r="M32" s="67"/>
      <c r="N32" s="66"/>
      <c r="O32" s="67"/>
    </row>
  </sheetData>
  <phoneticPr fontId="0" type="noConversion"/>
  <pageMargins left="0.75" right="0.75" top="1" bottom="1" header="0.5" footer="0.5"/>
  <pageSetup scale="71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5"/>
  <sheetViews>
    <sheetView zoomScale="75" workbookViewId="0">
      <selection activeCell="M3" sqref="M3"/>
    </sheetView>
  </sheetViews>
  <sheetFormatPr defaultRowHeight="12.75" x14ac:dyDescent="0.2"/>
  <cols>
    <col min="1" max="1" width="6.7109375" customWidth="1"/>
    <col min="2" max="2" width="1.5703125" customWidth="1"/>
    <col min="3" max="3" width="31.42578125" customWidth="1"/>
    <col min="4" max="4" width="2" customWidth="1"/>
    <col min="5" max="5" width="14.7109375" customWidth="1"/>
    <col min="6" max="6" width="1.5703125" customWidth="1"/>
    <col min="7" max="7" width="14.85546875" bestFit="1" customWidth="1"/>
    <col min="8" max="8" width="1.42578125" customWidth="1"/>
    <col min="9" max="9" width="14.85546875" bestFit="1" customWidth="1"/>
    <col min="10" max="10" width="1.5703125" customWidth="1"/>
    <col min="11" max="11" width="14.85546875" customWidth="1"/>
    <col min="12" max="12" width="1.5703125" customWidth="1"/>
    <col min="13" max="13" width="14.7109375" customWidth="1"/>
    <col min="14" max="14" width="1.7109375" customWidth="1"/>
    <col min="15" max="15" width="14.7109375" customWidth="1"/>
    <col min="16" max="16" width="2.140625" style="7" customWidth="1"/>
    <col min="17" max="17" width="14.7109375" style="7" customWidth="1"/>
    <col min="18" max="18" width="1.85546875" style="7" customWidth="1"/>
    <col min="19" max="19" width="14.7109375" style="7" customWidth="1"/>
    <col min="20" max="20" width="1.7109375" style="7" customWidth="1"/>
    <col min="21" max="21" width="14.7109375" style="7" customWidth="1"/>
    <col min="22" max="22" width="2.42578125" style="7" customWidth="1"/>
    <col min="23" max="23" width="14.7109375" style="7" customWidth="1"/>
    <col min="24" max="35" width="9.140625" style="7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64" t="s">
        <v>149</v>
      </c>
      <c r="N1" s="1"/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62" t="s">
        <v>150</v>
      </c>
      <c r="N2" s="1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</row>
    <row r="4" spans="1:23" x14ac:dyDescent="0.2">
      <c r="A4" s="1"/>
      <c r="B4" s="1"/>
      <c r="C4" s="1"/>
      <c r="D4" s="4"/>
      <c r="E4" s="4"/>
      <c r="F4" s="4"/>
      <c r="G4" s="4"/>
      <c r="H4" s="4"/>
      <c r="I4" s="4"/>
      <c r="J4" s="1"/>
      <c r="K4" s="1"/>
      <c r="L4" s="1"/>
      <c r="M4" s="1"/>
      <c r="N4" s="1"/>
    </row>
    <row r="5" spans="1:2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3" x14ac:dyDescent="0.2">
      <c r="A8" s="13" t="s">
        <v>51</v>
      </c>
      <c r="B8" s="13"/>
      <c r="C8" s="13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3" x14ac:dyDescent="0.2">
      <c r="A10" s="21" t="s">
        <v>52</v>
      </c>
      <c r="B10" s="12"/>
      <c r="C10" s="12"/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3" x14ac:dyDescent="0.2">
      <c r="A11" s="20" t="s">
        <v>53</v>
      </c>
      <c r="B11" s="12"/>
      <c r="C11" s="19" t="s">
        <v>54</v>
      </c>
      <c r="D11" s="12"/>
      <c r="E11" s="20" t="s">
        <v>55</v>
      </c>
      <c r="F11" s="21"/>
      <c r="G11" s="20" t="s">
        <v>56</v>
      </c>
      <c r="H11" s="21"/>
      <c r="I11" s="20" t="s">
        <v>57</v>
      </c>
      <c r="J11" s="21"/>
      <c r="K11" s="20" t="s">
        <v>58</v>
      </c>
      <c r="L11" s="21"/>
      <c r="M11" s="20" t="s">
        <v>59</v>
      </c>
      <c r="N11" s="22"/>
      <c r="O11" s="29" t="s">
        <v>44</v>
      </c>
      <c r="P11" s="1"/>
      <c r="Q11" s="29" t="s">
        <v>45</v>
      </c>
      <c r="R11" s="1"/>
      <c r="S11" s="29" t="s">
        <v>46</v>
      </c>
      <c r="T11" s="1"/>
      <c r="U11" s="29" t="s">
        <v>47</v>
      </c>
      <c r="V11" s="1"/>
      <c r="W11" s="29" t="s">
        <v>48</v>
      </c>
    </row>
    <row r="12" spans="1:23" x14ac:dyDescent="0.2">
      <c r="A12" s="21"/>
      <c r="B12" s="12"/>
      <c r="C12" s="12"/>
      <c r="D12" s="12"/>
      <c r="E12" s="23">
        <v>-1</v>
      </c>
      <c r="F12" s="12"/>
      <c r="G12" s="24">
        <v>-2</v>
      </c>
      <c r="H12" s="24"/>
      <c r="I12" s="24">
        <v>-3</v>
      </c>
      <c r="J12" s="24"/>
      <c r="K12" s="24">
        <v>-4</v>
      </c>
      <c r="L12" s="24"/>
      <c r="M12" s="24">
        <v>-5</v>
      </c>
      <c r="N12" s="25"/>
      <c r="O12" s="31">
        <v>-6</v>
      </c>
      <c r="P12" s="1"/>
      <c r="Q12" s="31">
        <v>-7</v>
      </c>
      <c r="R12" s="1"/>
      <c r="S12" s="31">
        <v>-8</v>
      </c>
      <c r="T12" s="1"/>
      <c r="U12" s="31">
        <v>-9</v>
      </c>
      <c r="V12" s="1"/>
      <c r="W12" s="31">
        <v>-10</v>
      </c>
    </row>
    <row r="13" spans="1:23" x14ac:dyDescent="0.2">
      <c r="A13" s="21">
        <v>1</v>
      </c>
      <c r="B13" s="12"/>
      <c r="C13" s="12" t="s">
        <v>60</v>
      </c>
      <c r="D13" s="12"/>
      <c r="E13" s="53">
        <f>+'INPUT SHEET'!B18</f>
        <v>-739000</v>
      </c>
      <c r="F13" s="53"/>
      <c r="G13" s="53">
        <f>+'INPUT SHEET'!C18</f>
        <v>-761170</v>
      </c>
      <c r="H13" s="53"/>
      <c r="I13" s="53">
        <f>+'INPUT SHEET'!D18</f>
        <v>-784005.1</v>
      </c>
      <c r="J13" s="53"/>
      <c r="K13" s="53">
        <f>+'INPUT SHEET'!E18</f>
        <v>-807525.25300000003</v>
      </c>
      <c r="L13" s="53"/>
      <c r="M13" s="53">
        <f>+'INPUT SHEET'!F18</f>
        <v>-831751.01059000008</v>
      </c>
      <c r="N13" s="54"/>
      <c r="O13" s="53">
        <f>+'INPUT SHEET'!G18</f>
        <v>-856703.54090770008</v>
      </c>
      <c r="Q13" s="53">
        <f>+'INPUT SHEET'!H18</f>
        <v>-882404.64713493106</v>
      </c>
      <c r="R13" s="53"/>
      <c r="S13" s="53">
        <f>+'INPUT SHEET'!I18</f>
        <v>-908876.786548979</v>
      </c>
      <c r="T13" s="53"/>
      <c r="U13" s="53">
        <f>+'INPUT SHEET'!J18</f>
        <v>-936143.09014544834</v>
      </c>
      <c r="V13" s="53"/>
      <c r="W13" s="53">
        <f>+'INPUT SHEET'!K18</f>
        <v>-964227.38284981181</v>
      </c>
    </row>
    <row r="14" spans="1:23" x14ac:dyDescent="0.2">
      <c r="A14" s="21">
        <f>+A13+1</f>
        <v>2</v>
      </c>
      <c r="B14" s="12"/>
      <c r="C14" s="12" t="s">
        <v>61</v>
      </c>
      <c r="D14" s="12"/>
      <c r="E14" s="53"/>
      <c r="F14" s="53"/>
      <c r="G14" s="53"/>
      <c r="H14" s="53"/>
      <c r="I14" s="53"/>
      <c r="J14" s="53"/>
      <c r="K14" s="53"/>
      <c r="L14" s="53"/>
      <c r="M14" s="53"/>
      <c r="N14" s="54"/>
      <c r="O14" s="53"/>
      <c r="Q14" s="53"/>
      <c r="R14" s="53"/>
    </row>
    <row r="15" spans="1:23" x14ac:dyDescent="0.2">
      <c r="A15" s="21">
        <f>+A14+1</f>
        <v>3</v>
      </c>
      <c r="B15" s="12"/>
      <c r="C15" s="12" t="s">
        <v>62</v>
      </c>
      <c r="D15" s="12"/>
      <c r="E15" s="53">
        <f>+'INCREMENTAL DEPR. EXPENSE'!F32</f>
        <v>750000</v>
      </c>
      <c r="F15" s="53"/>
      <c r="G15" s="53">
        <f>+'INCREMENTAL DEPR. EXPENSE'!H32</f>
        <v>750000</v>
      </c>
      <c r="H15" s="53"/>
      <c r="I15" s="53">
        <f>+'INCREMENTAL DEPR. EXPENSE'!J32</f>
        <v>750000</v>
      </c>
      <c r="J15" s="53"/>
      <c r="K15" s="53">
        <f>+'INCREMENTAL DEPR. EXPENSE'!L32</f>
        <v>750000</v>
      </c>
      <c r="L15" s="53"/>
      <c r="M15" s="53">
        <f>+'INCREMENTAL DEPR. EXPENSE'!N32</f>
        <v>750000</v>
      </c>
      <c r="N15" s="54"/>
      <c r="O15" s="140">
        <f>+'INCREMENTAL DEPR. EXPENSE'!P32</f>
        <v>750000</v>
      </c>
      <c r="Q15" s="140">
        <f>+'INCREMENTAL DEPR. EXPENSE'!R32</f>
        <v>750000</v>
      </c>
      <c r="R15" s="53"/>
      <c r="S15" s="140">
        <f>+'INCREMENTAL DEPR. EXPENSE'!T32</f>
        <v>750000</v>
      </c>
      <c r="U15" s="140">
        <f>+'INCREMENTAL DEPR. EXPENSE'!V32</f>
        <v>750000</v>
      </c>
      <c r="W15" s="140">
        <f>+'INCREMENTAL DEPR. EXPENSE'!X32</f>
        <v>750000</v>
      </c>
    </row>
    <row r="16" spans="1:23" x14ac:dyDescent="0.2">
      <c r="A16" s="21"/>
      <c r="B16" s="12"/>
      <c r="C16" s="12"/>
      <c r="D16" s="12"/>
      <c r="E16" s="53"/>
      <c r="F16" s="53"/>
      <c r="G16" s="53"/>
      <c r="H16" s="53"/>
      <c r="I16" s="53"/>
      <c r="J16" s="53"/>
      <c r="K16" s="53"/>
      <c r="L16" s="53"/>
      <c r="M16" s="53"/>
      <c r="N16" s="54"/>
      <c r="O16" s="53"/>
      <c r="Q16" s="53"/>
      <c r="R16" s="53"/>
      <c r="S16" s="53"/>
      <c r="U16" s="53"/>
      <c r="W16" s="53"/>
    </row>
    <row r="17" spans="1:23" x14ac:dyDescent="0.2">
      <c r="A17" s="21">
        <f>+A15+1</f>
        <v>4</v>
      </c>
      <c r="B17" s="12"/>
      <c r="C17" s="12" t="s">
        <v>63</v>
      </c>
      <c r="D17" s="12"/>
      <c r="E17" s="53"/>
      <c r="F17" s="53"/>
      <c r="G17" s="53"/>
      <c r="H17" s="53"/>
      <c r="I17" s="53"/>
      <c r="J17" s="53"/>
      <c r="K17" s="53"/>
      <c r="L17" s="53"/>
      <c r="M17" s="53"/>
      <c r="N17" s="54"/>
      <c r="O17" s="53"/>
      <c r="Q17" s="53"/>
      <c r="R17" s="53"/>
      <c r="S17" s="53"/>
      <c r="U17" s="53"/>
      <c r="W17" s="53"/>
    </row>
    <row r="18" spans="1:23" x14ac:dyDescent="0.2">
      <c r="A18" s="21">
        <f>+A17+1</f>
        <v>5</v>
      </c>
      <c r="B18" s="12"/>
      <c r="C18" s="12" t="s">
        <v>64</v>
      </c>
      <c r="D18" s="12"/>
      <c r="E18" s="53">
        <f>+'FED &amp; ST INCOME TAX'!$E$36</f>
        <v>3307422.2294523381</v>
      </c>
      <c r="F18" s="53"/>
      <c r="G18" s="53">
        <f>+'FED &amp; ST INCOME TAX'!G36</f>
        <v>3199574.0762827192</v>
      </c>
      <c r="H18" s="53"/>
      <c r="I18" s="53">
        <f>+'FED &amp; ST INCOME TAX'!I36</f>
        <v>3052980.5062217312</v>
      </c>
      <c r="J18" s="53"/>
      <c r="K18" s="53">
        <f>+'FED &amp; ST INCOME TAX'!K36</f>
        <v>2918597.6654238137</v>
      </c>
      <c r="L18" s="53"/>
      <c r="M18" s="53">
        <f>+'FED &amp; ST INCOME TAX'!M36</f>
        <v>2795175.6647474091</v>
      </c>
      <c r="N18" s="54"/>
      <c r="O18" s="53">
        <f>+'FED &amp; ST INCOME TAX'!O36</f>
        <v>2679006.8441315731</v>
      </c>
      <c r="Q18" s="53">
        <f>+'FED &amp; ST INCOME TAX'!Q36</f>
        <v>2562838.0235157371</v>
      </c>
      <c r="R18" s="53"/>
      <c r="S18" s="53">
        <f>+'FED &amp; ST INCOME TAX'!S36</f>
        <v>2446670.2028999017</v>
      </c>
      <c r="U18" s="53">
        <f>+'FED &amp; ST INCOME TAX'!U36</f>
        <v>2330501.3822840662</v>
      </c>
      <c r="W18" s="53">
        <f>+'FED &amp; ST INCOME TAX'!W36</f>
        <v>2214331.5616682307</v>
      </c>
    </row>
    <row r="19" spans="1:23" x14ac:dyDescent="0.2">
      <c r="A19" s="21">
        <f>+A18+1</f>
        <v>6</v>
      </c>
      <c r="B19" s="12"/>
      <c r="C19" s="12" t="s">
        <v>65</v>
      </c>
      <c r="D19" s="12"/>
      <c r="E19" s="53">
        <f>+'FED &amp; ST INCOME TAX'!$E$43</f>
        <v>662429.02309888252</v>
      </c>
      <c r="F19" s="53"/>
      <c r="G19" s="53">
        <f>+'FED &amp; ST INCOME TAX'!G43</f>
        <v>640828.57870691037</v>
      </c>
      <c r="H19" s="53"/>
      <c r="I19" s="53">
        <f>+'FED &amp; ST INCOME TAX'!I43</f>
        <v>611468.18110326666</v>
      </c>
      <c r="J19" s="53"/>
      <c r="K19" s="53">
        <f>+'FED &amp; ST INCOME TAX'!K43</f>
        <v>584553.21784631244</v>
      </c>
      <c r="L19" s="53"/>
      <c r="M19" s="53">
        <f>+'FED &amp; ST INCOME TAX'!M43</f>
        <v>559833.55428226676</v>
      </c>
      <c r="N19" s="54"/>
      <c r="O19" s="53">
        <f>+'FED &amp; ST INCOME TAX'!O43</f>
        <v>536566.59906749509</v>
      </c>
      <c r="Q19" s="53">
        <f>+'FED &amp; ST INCOME TAX'!Q43</f>
        <v>513299.64385272335</v>
      </c>
      <c r="R19" s="53"/>
      <c r="S19" s="53">
        <f>+'FED &amp; ST INCOME TAX'!S43</f>
        <v>490032.6886379518</v>
      </c>
      <c r="U19" s="53">
        <f>+'FED &amp; ST INCOME TAX'!U43</f>
        <v>466765.73342318012</v>
      </c>
      <c r="W19" s="53">
        <f>+'FED &amp; ST INCOME TAX'!W43</f>
        <v>443498.77820840845</v>
      </c>
    </row>
    <row r="20" spans="1:23" x14ac:dyDescent="0.2">
      <c r="A20" s="21">
        <f>+A19+1</f>
        <v>7</v>
      </c>
      <c r="B20" s="12"/>
      <c r="C20" s="12" t="s">
        <v>66</v>
      </c>
      <c r="D20" s="12"/>
      <c r="E20" s="53">
        <f>+'INCREMENTAL TAXES'!E16</f>
        <v>1000000</v>
      </c>
      <c r="F20" s="53"/>
      <c r="G20" s="53">
        <f>+'INCREMENTAL TAXES'!G16</f>
        <v>1000000</v>
      </c>
      <c r="H20" s="53"/>
      <c r="I20" s="53">
        <f>+'INCREMENTAL TAXES'!I16</f>
        <v>1000000</v>
      </c>
      <c r="J20" s="53"/>
      <c r="K20" s="53">
        <f>+'INCREMENTAL TAXES'!K16</f>
        <v>1000000</v>
      </c>
      <c r="L20" s="53"/>
      <c r="M20" s="53">
        <f>+'INCREMENTAL TAXES'!M16</f>
        <v>1000000</v>
      </c>
      <c r="N20" s="54"/>
      <c r="O20" s="53">
        <f>+'INCREMENTAL TAXES'!O16</f>
        <v>1000000</v>
      </c>
      <c r="Q20" s="53">
        <f>+'INCREMENTAL TAXES'!Q16</f>
        <v>1000000</v>
      </c>
      <c r="R20" s="53"/>
      <c r="S20" s="53">
        <f>+'INCREMENTAL TAXES'!S16</f>
        <v>1000000</v>
      </c>
      <c r="U20" s="53">
        <f>+'INCREMENTAL TAXES'!U16</f>
        <v>1000000</v>
      </c>
      <c r="W20" s="53">
        <f>+'INCREMENTAL TAXES'!W16</f>
        <v>1000000</v>
      </c>
    </row>
    <row r="21" spans="1:23" x14ac:dyDescent="0.2">
      <c r="A21" s="21"/>
      <c r="B21" s="12"/>
      <c r="C21" s="12"/>
      <c r="D21" s="12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53"/>
      <c r="Q21" s="53"/>
      <c r="R21" s="53"/>
      <c r="S21" s="53"/>
      <c r="U21" s="53"/>
      <c r="W21" s="53"/>
    </row>
    <row r="22" spans="1:23" x14ac:dyDescent="0.2">
      <c r="A22" s="21"/>
      <c r="B22" s="12"/>
      <c r="C22" s="12"/>
      <c r="D22" s="12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53"/>
      <c r="Q22" s="53"/>
      <c r="R22" s="53"/>
      <c r="S22" s="53"/>
      <c r="U22" s="53"/>
      <c r="W22" s="53"/>
    </row>
    <row r="23" spans="1:23" x14ac:dyDescent="0.2">
      <c r="A23" s="21">
        <f>+A20+1</f>
        <v>8</v>
      </c>
      <c r="B23" s="12"/>
      <c r="C23" s="12" t="s">
        <v>139</v>
      </c>
      <c r="D23" s="12"/>
      <c r="E23" s="53">
        <f>+'ESTIMATED RETURN'!E30</f>
        <v>9341039.7113040015</v>
      </c>
      <c r="F23" s="53"/>
      <c r="G23" s="53">
        <f>+'ESTIMATED RETURN'!G30</f>
        <v>8910600.075468</v>
      </c>
      <c r="H23" s="53"/>
      <c r="I23" s="53">
        <f>+'ESTIMATED RETURN'!I30</f>
        <v>8516241.301806001</v>
      </c>
      <c r="J23" s="53"/>
      <c r="K23" s="53">
        <f>+'ESTIMATED RETURN'!K30</f>
        <v>8154165.4048260003</v>
      </c>
      <c r="L23" s="53"/>
      <c r="M23" s="53">
        <f>+'ESTIMATED RETURN'!M30</f>
        <v>7821333.9961344004</v>
      </c>
      <c r="N23" s="54"/>
      <c r="O23" s="53">
        <f>+'ESTIMATED RETURN'!O30</f>
        <v>7488502.5874428004</v>
      </c>
      <c r="Q23" s="53">
        <f>+'ESTIMATED RETURN'!Q30</f>
        <v>7155671.1787511986</v>
      </c>
      <c r="R23" s="53"/>
      <c r="S23" s="53">
        <f>+'ESTIMATED RETURN'!S30</f>
        <v>6822839.7700595995</v>
      </c>
      <c r="U23" s="53">
        <f>+'ESTIMATED RETURN'!U30</f>
        <v>6490008.3613680005</v>
      </c>
      <c r="W23" s="53">
        <f>+'ESTIMATED RETURN'!W30</f>
        <v>6157176.9526763996</v>
      </c>
    </row>
    <row r="24" spans="1:23" x14ac:dyDescent="0.2">
      <c r="A24" s="21"/>
      <c r="B24" s="12"/>
      <c r="C24" s="12"/>
      <c r="D24" s="12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Q24" s="53"/>
      <c r="R24" s="53"/>
      <c r="S24" s="53"/>
      <c r="U24" s="53"/>
      <c r="W24" s="53"/>
    </row>
    <row r="25" spans="1:23" x14ac:dyDescent="0.2">
      <c r="A25" s="21"/>
      <c r="B25" s="12"/>
      <c r="C25" s="12"/>
      <c r="D25" s="12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Q25" s="53"/>
      <c r="R25" s="53"/>
      <c r="S25" s="53"/>
      <c r="U25" s="53"/>
      <c r="W25" s="53"/>
    </row>
    <row r="26" spans="1:23" ht="13.5" thickBot="1" x14ac:dyDescent="0.25">
      <c r="A26" s="21">
        <f>+A23+1</f>
        <v>9</v>
      </c>
      <c r="B26" s="12"/>
      <c r="C26" s="12" t="s">
        <v>67</v>
      </c>
      <c r="D26" s="12"/>
      <c r="E26" s="55">
        <f>SUM(E13:E23)</f>
        <v>14321890.963855222</v>
      </c>
      <c r="F26" s="53"/>
      <c r="G26" s="55">
        <f>SUM(G13:G23)</f>
        <v>13739832.73045763</v>
      </c>
      <c r="H26" s="53"/>
      <c r="I26" s="55">
        <f>SUM(I13:I23)</f>
        <v>13146684.889130998</v>
      </c>
      <c r="J26" s="53"/>
      <c r="K26" s="55">
        <f>SUM(K13:K23)</f>
        <v>12599791.035096128</v>
      </c>
      <c r="L26" s="53"/>
      <c r="M26" s="55">
        <f>SUM(M13:M23)</f>
        <v>12094592.204574076</v>
      </c>
      <c r="N26" s="54"/>
      <c r="O26" s="55">
        <f>SUM(O13:O23)</f>
        <v>11597372.489734169</v>
      </c>
      <c r="Q26" s="55">
        <f>SUM(Q13:Q23)</f>
        <v>11099404.198984727</v>
      </c>
      <c r="R26" s="54"/>
      <c r="S26" s="55">
        <f>SUM(S13:S23)</f>
        <v>10600665.875048473</v>
      </c>
      <c r="U26" s="55">
        <f>SUM(U13:U23)</f>
        <v>10101132.386929799</v>
      </c>
      <c r="W26" s="55">
        <f>SUM(W13:W23)</f>
        <v>9600779.9097032268</v>
      </c>
    </row>
    <row r="27" spans="1:23" ht="13.5" thickTop="1" x14ac:dyDescent="0.2">
      <c r="A27" s="21"/>
      <c r="B27" s="12"/>
      <c r="C27" s="12"/>
      <c r="D27" s="12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6"/>
      <c r="Q27" s="26"/>
      <c r="R27" s="26"/>
    </row>
    <row r="28" spans="1:23" x14ac:dyDescent="0.2">
      <c r="A28" s="21"/>
      <c r="B28" s="12"/>
      <c r="C28" s="12"/>
      <c r="D28" s="12"/>
      <c r="E28" s="26"/>
      <c r="F28" s="26"/>
      <c r="G28" s="26"/>
      <c r="H28" s="26"/>
      <c r="I28" s="26"/>
      <c r="J28" s="26"/>
      <c r="K28" s="26"/>
      <c r="L28" s="26"/>
      <c r="M28" s="26"/>
      <c r="N28" s="27"/>
    </row>
    <row r="29" spans="1:23" x14ac:dyDescent="0.2">
      <c r="A29" s="21"/>
      <c r="B29" s="12"/>
      <c r="C29" s="52" t="s">
        <v>68</v>
      </c>
      <c r="D29" s="12"/>
      <c r="E29" s="26"/>
      <c r="F29" s="26"/>
      <c r="G29" s="26"/>
      <c r="H29" s="26"/>
      <c r="I29" s="26"/>
      <c r="J29" s="26"/>
      <c r="K29" s="26"/>
      <c r="L29" s="26"/>
      <c r="M29" s="26"/>
      <c r="N29" s="27"/>
    </row>
    <row r="30" spans="1:23" x14ac:dyDescent="0.2">
      <c r="A30" s="21"/>
      <c r="B30" s="12"/>
      <c r="C30" s="12" t="s">
        <v>129</v>
      </c>
      <c r="D30" s="12"/>
      <c r="E30" s="62"/>
      <c r="F30" s="26"/>
      <c r="G30" s="26"/>
      <c r="H30" s="26"/>
      <c r="I30" s="26"/>
      <c r="J30" s="26"/>
      <c r="K30" s="26"/>
      <c r="L30" s="26"/>
      <c r="M30" s="26"/>
      <c r="N30" s="27"/>
    </row>
    <row r="31" spans="1:23" x14ac:dyDescent="0.2">
      <c r="A31" s="21"/>
      <c r="B31" s="12"/>
      <c r="C31" s="12" t="s">
        <v>130</v>
      </c>
      <c r="D31" s="12"/>
      <c r="E31" s="26"/>
      <c r="F31" s="26"/>
      <c r="G31" s="26"/>
      <c r="H31" s="26"/>
      <c r="I31" s="26"/>
      <c r="J31" s="26"/>
      <c r="K31" s="26"/>
      <c r="L31" s="26"/>
      <c r="M31" s="26"/>
      <c r="N31" s="27"/>
    </row>
    <row r="32" spans="1:23" x14ac:dyDescent="0.2">
      <c r="A32" s="21"/>
      <c r="B32" s="12"/>
      <c r="C32" s="12" t="s">
        <v>131</v>
      </c>
      <c r="D32" s="12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x14ac:dyDescent="0.2">
      <c r="A33" s="21"/>
      <c r="B33" s="12"/>
      <c r="C33" s="12" t="s">
        <v>132</v>
      </c>
      <c r="D33" s="12"/>
      <c r="E33" s="26"/>
      <c r="F33" s="26"/>
      <c r="G33" s="26"/>
      <c r="H33" s="26"/>
      <c r="I33" s="26"/>
      <c r="J33" s="26"/>
      <c r="K33" s="26"/>
      <c r="L33" s="26"/>
      <c r="M33" s="26"/>
      <c r="N33" s="27"/>
    </row>
    <row r="34" spans="1:14" x14ac:dyDescent="0.2">
      <c r="A34" s="21"/>
      <c r="B34" s="12"/>
      <c r="C34" s="12" t="s">
        <v>133</v>
      </c>
      <c r="D34" s="12"/>
      <c r="E34" s="26"/>
      <c r="F34" s="26"/>
      <c r="G34" s="26"/>
      <c r="H34" s="26"/>
      <c r="I34" s="26"/>
      <c r="J34" s="26"/>
      <c r="K34" s="26"/>
      <c r="L34" s="26"/>
      <c r="M34" s="26"/>
      <c r="N34" s="27"/>
    </row>
    <row r="35" spans="1:14" x14ac:dyDescent="0.2">
      <c r="A35" s="21"/>
      <c r="B35" s="12"/>
      <c r="C35" s="12"/>
      <c r="D35" s="12"/>
      <c r="E35" s="26"/>
      <c r="F35" s="26"/>
      <c r="G35" s="26"/>
      <c r="H35" s="26"/>
      <c r="I35" s="26"/>
      <c r="J35" s="26"/>
      <c r="K35" s="26"/>
      <c r="L35" s="26"/>
      <c r="M35" s="26"/>
      <c r="N35" s="27"/>
    </row>
    <row r="36" spans="1:14" x14ac:dyDescent="0.2">
      <c r="A36" s="47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6"/>
    </row>
    <row r="37" spans="1:14" x14ac:dyDescent="0.2">
      <c r="A37" s="46"/>
    </row>
    <row r="38" spans="1:14" x14ac:dyDescent="0.2">
      <c r="A38" s="46"/>
    </row>
    <row r="39" spans="1:14" x14ac:dyDescent="0.2">
      <c r="A39" s="46"/>
    </row>
    <row r="40" spans="1:14" x14ac:dyDescent="0.2">
      <c r="A40" s="46"/>
    </row>
    <row r="41" spans="1:14" x14ac:dyDescent="0.2">
      <c r="A41" s="46"/>
    </row>
    <row r="42" spans="1:14" x14ac:dyDescent="0.2">
      <c r="A42" s="46"/>
    </row>
    <row r="43" spans="1:14" x14ac:dyDescent="0.2">
      <c r="A43" s="46"/>
    </row>
    <row r="44" spans="1:14" x14ac:dyDescent="0.2">
      <c r="A44" s="46"/>
    </row>
    <row r="45" spans="1:14" x14ac:dyDescent="0.2">
      <c r="A45" s="46"/>
    </row>
    <row r="46" spans="1:14" x14ac:dyDescent="0.2">
      <c r="A46" s="46"/>
    </row>
    <row r="47" spans="1:14" x14ac:dyDescent="0.2">
      <c r="A47" s="46"/>
    </row>
    <row r="48" spans="1:14" x14ac:dyDescent="0.2">
      <c r="A48" s="46"/>
    </row>
    <row r="49" spans="1:1" x14ac:dyDescent="0.2">
      <c r="A49" s="46"/>
    </row>
    <row r="50" spans="1:1" x14ac:dyDescent="0.2">
      <c r="A50" s="46"/>
    </row>
    <row r="51" spans="1:1" x14ac:dyDescent="0.2">
      <c r="A51" s="46"/>
    </row>
    <row r="52" spans="1:1" x14ac:dyDescent="0.2">
      <c r="A52" s="46"/>
    </row>
    <row r="53" spans="1:1" x14ac:dyDescent="0.2">
      <c r="A53" s="46"/>
    </row>
    <row r="54" spans="1:1" x14ac:dyDescent="0.2">
      <c r="A54" s="46"/>
    </row>
    <row r="55" spans="1:1" x14ac:dyDescent="0.2">
      <c r="A55" s="46"/>
    </row>
    <row r="56" spans="1:1" x14ac:dyDescent="0.2">
      <c r="A56" s="46"/>
    </row>
    <row r="57" spans="1:1" x14ac:dyDescent="0.2">
      <c r="A57" s="46"/>
    </row>
    <row r="58" spans="1:1" x14ac:dyDescent="0.2">
      <c r="A58" s="46"/>
    </row>
    <row r="59" spans="1:1" x14ac:dyDescent="0.2">
      <c r="A59" s="46"/>
    </row>
    <row r="60" spans="1:1" x14ac:dyDescent="0.2">
      <c r="A60" s="46"/>
    </row>
    <row r="61" spans="1:1" x14ac:dyDescent="0.2">
      <c r="A61" s="46"/>
    </row>
    <row r="62" spans="1:1" x14ac:dyDescent="0.2">
      <c r="A62" s="46"/>
    </row>
    <row r="63" spans="1:1" x14ac:dyDescent="0.2">
      <c r="A63" s="46"/>
    </row>
    <row r="64" spans="1:1" x14ac:dyDescent="0.2">
      <c r="A64" s="46"/>
    </row>
    <row r="65" spans="1:1" x14ac:dyDescent="0.2">
      <c r="A65" s="46"/>
    </row>
    <row r="66" spans="1:1" x14ac:dyDescent="0.2">
      <c r="A66" s="46"/>
    </row>
    <row r="67" spans="1:1" x14ac:dyDescent="0.2">
      <c r="A67" s="46"/>
    </row>
    <row r="68" spans="1:1" x14ac:dyDescent="0.2">
      <c r="A68" s="46"/>
    </row>
    <row r="69" spans="1:1" x14ac:dyDescent="0.2">
      <c r="A69" s="46"/>
    </row>
    <row r="70" spans="1:1" x14ac:dyDescent="0.2">
      <c r="A70" s="46"/>
    </row>
    <row r="71" spans="1:1" x14ac:dyDescent="0.2">
      <c r="A71" s="46"/>
    </row>
    <row r="72" spans="1:1" x14ac:dyDescent="0.2">
      <c r="A72" s="46"/>
    </row>
    <row r="73" spans="1:1" x14ac:dyDescent="0.2">
      <c r="A73" s="46"/>
    </row>
    <row r="74" spans="1:1" x14ac:dyDescent="0.2">
      <c r="A74" s="46"/>
    </row>
    <row r="75" spans="1:1" x14ac:dyDescent="0.2">
      <c r="A75" s="46"/>
    </row>
    <row r="76" spans="1:1" x14ac:dyDescent="0.2">
      <c r="A76" s="46"/>
    </row>
    <row r="77" spans="1:1" x14ac:dyDescent="0.2">
      <c r="A77" s="46"/>
    </row>
    <row r="78" spans="1:1" x14ac:dyDescent="0.2">
      <c r="A78" s="46"/>
    </row>
    <row r="79" spans="1:1" x14ac:dyDescent="0.2">
      <c r="A79" s="46"/>
    </row>
    <row r="80" spans="1:1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1"/>
  <sheetViews>
    <sheetView zoomScale="75" workbookViewId="0">
      <selection activeCell="C4" sqref="C4"/>
    </sheetView>
  </sheetViews>
  <sheetFormatPr defaultRowHeight="12.75" x14ac:dyDescent="0.2"/>
  <cols>
    <col min="1" max="1" width="4.7109375" style="101" customWidth="1"/>
    <col min="2" max="2" width="1.5703125" style="63" customWidth="1"/>
    <col min="3" max="3" width="31.85546875" style="63" customWidth="1"/>
    <col min="4" max="4" width="1.7109375" style="63" customWidth="1"/>
    <col min="5" max="5" width="9.7109375" style="101" customWidth="1"/>
    <col min="6" max="6" width="14.85546875" style="63" bestFit="1" customWidth="1"/>
    <col min="7" max="7" width="1.5703125" style="63" customWidth="1"/>
    <col min="8" max="8" width="15.5703125" style="63" bestFit="1" customWidth="1"/>
    <col min="9" max="9" width="1.42578125" style="63" customWidth="1"/>
    <col min="10" max="10" width="15.5703125" style="63" bestFit="1" customWidth="1"/>
    <col min="11" max="11" width="1.5703125" style="63" customWidth="1"/>
    <col min="12" max="12" width="15.5703125" style="63" customWidth="1"/>
    <col min="13" max="13" width="1.5703125" style="63" customWidth="1"/>
    <col min="14" max="14" width="15.5703125" style="63" customWidth="1"/>
    <col min="15" max="15" width="2.42578125" style="86" customWidth="1"/>
    <col min="16" max="16" width="15.5703125" style="63" bestFit="1" customWidth="1"/>
    <col min="17" max="17" width="1.85546875" style="86" customWidth="1"/>
    <col min="18" max="18" width="15.5703125" style="63" bestFit="1" customWidth="1"/>
    <col min="19" max="19" width="1.85546875" style="86" customWidth="1"/>
    <col min="20" max="20" width="15.5703125" style="63" bestFit="1" customWidth="1"/>
    <col min="21" max="21" width="1.85546875" style="86" customWidth="1"/>
    <col min="22" max="22" width="15.5703125" style="63" bestFit="1" customWidth="1"/>
    <col min="23" max="23" width="1.7109375" style="86" customWidth="1"/>
    <col min="24" max="24" width="15.5703125" style="63" bestFit="1" customWidth="1"/>
    <col min="25" max="16384" width="9.140625" style="63"/>
  </cols>
  <sheetData>
    <row r="1" spans="1:24" x14ac:dyDescent="0.2">
      <c r="A1" s="64"/>
      <c r="B1" s="65"/>
      <c r="C1" s="65"/>
      <c r="D1" s="65"/>
      <c r="E1" s="64"/>
      <c r="F1" s="65"/>
      <c r="G1" s="65"/>
      <c r="H1" s="65"/>
      <c r="I1" s="65"/>
      <c r="J1" s="65"/>
      <c r="K1" s="65"/>
      <c r="L1" s="65"/>
      <c r="M1" s="65"/>
      <c r="N1" s="163" t="s">
        <v>149</v>
      </c>
      <c r="O1" s="120"/>
    </row>
    <row r="2" spans="1:24" x14ac:dyDescent="0.2">
      <c r="A2" s="64"/>
      <c r="B2" s="65"/>
      <c r="C2" s="65"/>
      <c r="D2" s="65"/>
      <c r="E2" s="64"/>
      <c r="F2" s="65"/>
      <c r="G2" s="65"/>
      <c r="H2" s="65"/>
      <c r="I2" s="65"/>
      <c r="J2" s="65"/>
      <c r="K2" s="65"/>
      <c r="L2" s="65"/>
      <c r="M2" s="65"/>
      <c r="N2" s="161" t="s">
        <v>69</v>
      </c>
      <c r="O2" s="121"/>
    </row>
    <row r="3" spans="1:24" x14ac:dyDescent="0.2">
      <c r="A3" s="64"/>
      <c r="B3" s="65"/>
      <c r="C3" s="65"/>
      <c r="D3" s="65"/>
      <c r="E3" s="64"/>
      <c r="F3" s="65"/>
      <c r="G3" s="65"/>
      <c r="H3" s="65"/>
      <c r="I3" s="65"/>
      <c r="J3" s="65"/>
      <c r="K3" s="65"/>
      <c r="L3" s="65"/>
      <c r="M3" s="65"/>
      <c r="O3" s="121"/>
    </row>
    <row r="4" spans="1:24" x14ac:dyDescent="0.2">
      <c r="A4" s="64"/>
      <c r="B4" s="65"/>
      <c r="C4" s="65"/>
      <c r="D4" s="65"/>
      <c r="E4" s="64"/>
      <c r="F4" s="65"/>
      <c r="G4" s="65"/>
      <c r="H4" s="65"/>
      <c r="I4" s="65"/>
      <c r="J4" s="65"/>
      <c r="K4" s="65"/>
      <c r="L4" s="65"/>
      <c r="M4" s="65"/>
      <c r="N4" s="65"/>
      <c r="O4" s="99"/>
    </row>
    <row r="5" spans="1:24" x14ac:dyDescent="0.2">
      <c r="A5" s="64"/>
      <c r="B5" s="65"/>
      <c r="C5" s="65"/>
      <c r="D5" s="65"/>
      <c r="E5" s="64"/>
      <c r="F5" s="65"/>
      <c r="G5" s="65"/>
      <c r="H5" s="65"/>
      <c r="I5" s="65"/>
      <c r="J5" s="65"/>
      <c r="K5" s="65"/>
      <c r="L5" s="65"/>
      <c r="M5" s="65"/>
      <c r="N5" s="65"/>
      <c r="O5" s="99"/>
    </row>
    <row r="6" spans="1:24" ht="15.75" x14ac:dyDescent="0.25">
      <c r="A6" s="134" t="str">
        <f>+'INCREMENTAL COS'!A6</f>
        <v>TRANSWESTERN PIPELINE COMPANY</v>
      </c>
      <c r="B6" s="69"/>
      <c r="C6" s="87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122"/>
    </row>
    <row r="7" spans="1:24" x14ac:dyDescent="0.2">
      <c r="A7" s="88" t="str">
        <f>+'INCREMENTAL COS'!A7</f>
        <v xml:space="preserve">Mainline Expansion </v>
      </c>
      <c r="B7" s="88"/>
      <c r="C7" s="88"/>
      <c r="D7" s="88"/>
      <c r="E7" s="88"/>
      <c r="F7" s="88"/>
      <c r="G7" s="88"/>
      <c r="H7" s="88"/>
      <c r="I7" s="88"/>
      <c r="J7" s="88"/>
      <c r="K7" s="69"/>
      <c r="L7" s="69"/>
      <c r="M7" s="69"/>
      <c r="N7" s="69"/>
      <c r="O7" s="122"/>
    </row>
    <row r="8" spans="1:24" x14ac:dyDescent="0.2">
      <c r="A8" s="88" t="s">
        <v>70</v>
      </c>
      <c r="B8" s="88"/>
      <c r="C8" s="88"/>
      <c r="D8" s="88"/>
      <c r="E8" s="88"/>
      <c r="F8" s="88"/>
      <c r="G8" s="88"/>
      <c r="H8" s="88"/>
      <c r="I8" s="88"/>
      <c r="J8" s="88"/>
      <c r="K8" s="69"/>
      <c r="L8" s="69"/>
      <c r="M8" s="69"/>
      <c r="N8" s="69"/>
      <c r="O8" s="122"/>
    </row>
    <row r="9" spans="1:24" x14ac:dyDescent="0.2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122"/>
    </row>
    <row r="10" spans="1:24" x14ac:dyDescent="0.2">
      <c r="A10" s="64"/>
      <c r="B10" s="65"/>
      <c r="C10" s="65"/>
      <c r="D10" s="65"/>
      <c r="E10" s="64" t="s">
        <v>71</v>
      </c>
      <c r="F10" s="65"/>
      <c r="G10" s="65"/>
      <c r="H10" s="65"/>
      <c r="I10" s="65"/>
      <c r="J10" s="65"/>
      <c r="K10" s="65"/>
      <c r="L10" s="65"/>
      <c r="M10" s="65"/>
      <c r="N10" s="65"/>
      <c r="O10" s="99"/>
    </row>
    <row r="11" spans="1:24" x14ac:dyDescent="0.2">
      <c r="A11" s="89" t="s">
        <v>52</v>
      </c>
      <c r="B11" s="65"/>
      <c r="C11" s="65"/>
      <c r="D11" s="65"/>
      <c r="E11" s="64" t="s">
        <v>72</v>
      </c>
      <c r="F11" s="65"/>
      <c r="G11" s="65"/>
      <c r="H11" s="65"/>
      <c r="I11" s="65"/>
      <c r="J11" s="65"/>
      <c r="K11" s="65"/>
      <c r="L11" s="65"/>
      <c r="M11" s="65"/>
      <c r="N11" s="65"/>
      <c r="O11" s="99"/>
    </row>
    <row r="12" spans="1:24" x14ac:dyDescent="0.2">
      <c r="A12" s="89" t="s">
        <v>53</v>
      </c>
      <c r="B12" s="65"/>
      <c r="C12" s="90" t="s">
        <v>54</v>
      </c>
      <c r="D12" s="65"/>
      <c r="E12" s="89" t="s">
        <v>2</v>
      </c>
      <c r="F12" s="89" t="s">
        <v>55</v>
      </c>
      <c r="G12" s="64"/>
      <c r="H12" s="89" t="s">
        <v>56</v>
      </c>
      <c r="I12" s="64"/>
      <c r="J12" s="89" t="s">
        <v>57</v>
      </c>
      <c r="K12" s="64"/>
      <c r="L12" s="89" t="s">
        <v>58</v>
      </c>
      <c r="M12" s="64"/>
      <c r="N12" s="89" t="s">
        <v>59</v>
      </c>
      <c r="O12" s="119"/>
      <c r="P12" s="29" t="s">
        <v>44</v>
      </c>
      <c r="Q12" s="1"/>
      <c r="R12" s="29" t="s">
        <v>45</v>
      </c>
      <c r="S12" s="1"/>
      <c r="T12" s="29" t="s">
        <v>46</v>
      </c>
      <c r="U12" s="1"/>
      <c r="V12" s="29" t="s">
        <v>47</v>
      </c>
      <c r="W12" s="1"/>
      <c r="X12" s="29" t="s">
        <v>48</v>
      </c>
    </row>
    <row r="13" spans="1:24" x14ac:dyDescent="0.2">
      <c r="A13" s="64"/>
      <c r="B13" s="65"/>
      <c r="C13" s="65"/>
      <c r="D13" s="65"/>
      <c r="E13" s="64"/>
      <c r="F13" s="91">
        <v>-1</v>
      </c>
      <c r="G13" s="65"/>
      <c r="H13" s="92">
        <v>-2</v>
      </c>
      <c r="I13" s="92"/>
      <c r="J13" s="92">
        <v>-3</v>
      </c>
      <c r="K13" s="92"/>
      <c r="L13" s="92">
        <v>-4</v>
      </c>
      <c r="M13" s="92"/>
      <c r="N13" s="92">
        <v>-5</v>
      </c>
      <c r="O13" s="123"/>
      <c r="P13" s="31">
        <v>-6</v>
      </c>
      <c r="Q13" s="1"/>
      <c r="R13" s="31">
        <v>-7</v>
      </c>
      <c r="S13" s="1"/>
      <c r="T13" s="31">
        <v>-8</v>
      </c>
      <c r="U13" s="1"/>
      <c r="V13" s="31">
        <v>-9</v>
      </c>
      <c r="W13" s="1"/>
      <c r="X13" s="31">
        <v>-10</v>
      </c>
    </row>
    <row r="14" spans="1:24" x14ac:dyDescent="0.2">
      <c r="A14" s="64"/>
      <c r="B14" s="65"/>
      <c r="C14" s="90" t="s">
        <v>73</v>
      </c>
      <c r="D14" s="65"/>
      <c r="E14" s="64"/>
      <c r="F14" s="93"/>
      <c r="G14" s="93"/>
      <c r="H14" s="93"/>
      <c r="I14" s="93"/>
      <c r="J14" s="93"/>
      <c r="K14" s="93"/>
      <c r="L14" s="93"/>
      <c r="M14" s="93"/>
      <c r="N14" s="93"/>
      <c r="O14" s="98"/>
    </row>
    <row r="15" spans="1:24" x14ac:dyDescent="0.2">
      <c r="A15" s="64">
        <v>1</v>
      </c>
      <c r="B15" s="65"/>
      <c r="C15" s="65" t="s">
        <v>74</v>
      </c>
      <c r="D15" s="65"/>
      <c r="E15" s="64"/>
      <c r="F15" s="94">
        <v>1.2E-2</v>
      </c>
      <c r="G15" s="95"/>
      <c r="H15" s="95"/>
      <c r="I15" s="95"/>
      <c r="J15" s="95"/>
      <c r="K15" s="95"/>
      <c r="L15" s="95"/>
      <c r="M15" s="95"/>
      <c r="N15" s="95"/>
      <c r="O15" s="124"/>
    </row>
    <row r="16" spans="1:24" x14ac:dyDescent="0.2">
      <c r="A16" s="64"/>
      <c r="B16" s="65"/>
      <c r="C16" s="65"/>
      <c r="D16" s="65"/>
      <c r="E16" s="64"/>
      <c r="F16" s="95"/>
      <c r="G16" s="95"/>
      <c r="H16" s="95"/>
      <c r="I16" s="95"/>
      <c r="J16" s="95"/>
      <c r="K16" s="95"/>
      <c r="L16" s="95"/>
      <c r="M16" s="95"/>
      <c r="N16" s="95"/>
      <c r="O16" s="124"/>
    </row>
    <row r="17" spans="1:24" x14ac:dyDescent="0.2">
      <c r="A17" s="64">
        <v>2</v>
      </c>
      <c r="B17" s="65"/>
      <c r="C17" s="65" t="s">
        <v>12</v>
      </c>
      <c r="D17" s="65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99"/>
    </row>
    <row r="18" spans="1:24" x14ac:dyDescent="0.2">
      <c r="A18" s="64">
        <v>3</v>
      </c>
      <c r="B18" s="65"/>
      <c r="C18" s="65" t="s">
        <v>13</v>
      </c>
      <c r="D18" s="65"/>
      <c r="E18" s="64"/>
      <c r="F18" s="66">
        <f>+'INPUT SHEET'!B6</f>
        <v>0</v>
      </c>
      <c r="G18" s="96"/>
      <c r="H18" s="66">
        <f>+'INPUT SHEET'!C6+F18</f>
        <v>0</v>
      </c>
      <c r="I18" s="66"/>
      <c r="J18" s="66">
        <f>+'INPUT SHEET'!D6+H18</f>
        <v>0</v>
      </c>
      <c r="K18" s="66"/>
      <c r="L18" s="66">
        <f>+'INPUT SHEET'!E6+J18</f>
        <v>0</v>
      </c>
      <c r="M18" s="66"/>
      <c r="N18" s="66">
        <f>+'INPUT SHEET'!F6+L18</f>
        <v>0</v>
      </c>
      <c r="O18" s="67"/>
      <c r="P18" s="66">
        <f>+'INPUT SHEET'!G6+N18</f>
        <v>0</v>
      </c>
      <c r="Q18" s="67"/>
      <c r="R18" s="66">
        <f>+'INPUT SHEET'!H6+P18</f>
        <v>0</v>
      </c>
      <c r="S18" s="67"/>
      <c r="T18" s="66">
        <f>+'INPUT SHEET'!I6+R18</f>
        <v>0</v>
      </c>
      <c r="U18" s="67"/>
      <c r="V18" s="66">
        <f>+'INPUT SHEET'!J6+T18</f>
        <v>0</v>
      </c>
      <c r="W18" s="67"/>
      <c r="X18" s="66">
        <f>+'INPUT SHEET'!K6+V18</f>
        <v>0</v>
      </c>
    </row>
    <row r="19" spans="1:24" x14ac:dyDescent="0.2">
      <c r="A19" s="64">
        <v>4</v>
      </c>
      <c r="B19" s="65"/>
      <c r="C19" s="65" t="s">
        <v>14</v>
      </c>
      <c r="D19" s="65"/>
      <c r="E19" s="64"/>
      <c r="F19" s="66">
        <f>+'INPUT SHEET'!B7</f>
        <v>0</v>
      </c>
      <c r="G19" s="66"/>
      <c r="H19" s="66">
        <f>+'INPUT SHEET'!C7+F19</f>
        <v>0</v>
      </c>
      <c r="I19" s="66"/>
      <c r="J19" s="66">
        <f>+'INPUT SHEET'!D7+H19</f>
        <v>0</v>
      </c>
      <c r="K19" s="66"/>
      <c r="L19" s="66">
        <f>+'INPUT SHEET'!E7+J19</f>
        <v>0</v>
      </c>
      <c r="M19" s="66"/>
      <c r="N19" s="66">
        <f>+'INPUT SHEET'!F7+L19</f>
        <v>0</v>
      </c>
      <c r="O19" s="67"/>
      <c r="P19" s="66">
        <f>+'INPUT SHEET'!G7+M19</f>
        <v>0</v>
      </c>
      <c r="Q19" s="67"/>
      <c r="R19" s="66">
        <f>+'INPUT SHEET'!H7+N19</f>
        <v>0</v>
      </c>
      <c r="S19" s="67"/>
      <c r="T19" s="66">
        <f>+'INPUT SHEET'!I7+R19</f>
        <v>0</v>
      </c>
      <c r="U19" s="67"/>
      <c r="V19" s="66">
        <f>+'INPUT SHEET'!J7+T19</f>
        <v>0</v>
      </c>
      <c r="W19" s="67"/>
      <c r="X19" s="66">
        <f>+'INPUT SHEET'!K7+V19</f>
        <v>0</v>
      </c>
    </row>
    <row r="20" spans="1:24" x14ac:dyDescent="0.2">
      <c r="A20" s="64">
        <v>5</v>
      </c>
      <c r="C20" s="65" t="s">
        <v>15</v>
      </c>
      <c r="E20" s="64"/>
      <c r="F20" s="66">
        <f>+'INPUT SHEET'!B8</f>
        <v>93300000</v>
      </c>
      <c r="G20" s="96"/>
      <c r="H20" s="66">
        <f>+'INPUT SHEET'!C8+F20</f>
        <v>93300000</v>
      </c>
      <c r="I20" s="66"/>
      <c r="J20" s="66">
        <f>+'INPUT SHEET'!D8+H20</f>
        <v>93300000</v>
      </c>
      <c r="K20" s="66"/>
      <c r="L20" s="66">
        <f>+'INPUT SHEET'!E8+J20</f>
        <v>93300000</v>
      </c>
      <c r="M20" s="66"/>
      <c r="N20" s="66">
        <f>+'INPUT SHEET'!F8+L20</f>
        <v>93300000</v>
      </c>
      <c r="O20" s="67"/>
      <c r="P20" s="66">
        <f>+'INPUT SHEET'!H8+N20</f>
        <v>93300000</v>
      </c>
      <c r="Q20" s="67"/>
      <c r="R20" s="66">
        <f>+'INPUT SHEET'!J8+P20</f>
        <v>93300000</v>
      </c>
      <c r="S20" s="67"/>
      <c r="T20" s="66">
        <f>+'INPUT SHEET'!I8+R20</f>
        <v>93300000</v>
      </c>
      <c r="U20" s="67"/>
      <c r="V20" s="66">
        <f>+'INPUT SHEET'!J8+T20</f>
        <v>93300000</v>
      </c>
      <c r="W20" s="67"/>
      <c r="X20" s="66">
        <f>+'INPUT SHEET'!K8+V20</f>
        <v>93300000</v>
      </c>
    </row>
    <row r="21" spans="1:24" x14ac:dyDescent="0.2">
      <c r="A21" s="64">
        <v>6</v>
      </c>
      <c r="C21" s="65" t="s">
        <v>16</v>
      </c>
      <c r="E21" s="64"/>
      <c r="F21" s="66">
        <f>+'INPUT SHEET'!B9</f>
        <v>0</v>
      </c>
      <c r="G21" s="96"/>
      <c r="H21" s="66">
        <f>+'INPUT SHEET'!C9+F21</f>
        <v>0</v>
      </c>
      <c r="I21" s="66"/>
      <c r="J21" s="66">
        <f>+'INPUT SHEET'!D9+H21</f>
        <v>0</v>
      </c>
      <c r="K21" s="66"/>
      <c r="L21" s="66">
        <f>+'INPUT SHEET'!E9+J21</f>
        <v>0</v>
      </c>
      <c r="M21" s="66"/>
      <c r="N21" s="66">
        <f>+'INPUT SHEET'!F9+L21</f>
        <v>0</v>
      </c>
      <c r="O21" s="67"/>
      <c r="P21" s="66">
        <f>+'INPUT SHEET'!G9+M21</f>
        <v>0</v>
      </c>
      <c r="Q21" s="67"/>
      <c r="R21" s="66">
        <f>+'INPUT SHEET'!H9+N21</f>
        <v>0</v>
      </c>
      <c r="S21" s="67"/>
      <c r="T21" s="66">
        <f>+'INPUT SHEET'!I9+R21</f>
        <v>0</v>
      </c>
      <c r="U21" s="67"/>
      <c r="V21" s="66">
        <f>+'INPUT SHEET'!J9+T21</f>
        <v>0</v>
      </c>
      <c r="W21" s="67"/>
      <c r="X21" s="66">
        <f>+'INPUT SHEET'!K9+V21</f>
        <v>0</v>
      </c>
    </row>
    <row r="22" spans="1:24" x14ac:dyDescent="0.2">
      <c r="A22" s="64">
        <v>7</v>
      </c>
      <c r="B22" s="65"/>
      <c r="C22" s="65" t="s">
        <v>17</v>
      </c>
      <c r="D22" s="65"/>
      <c r="E22" s="64"/>
      <c r="F22" s="66">
        <f>+'INPUT SHEET'!B10</f>
        <v>0</v>
      </c>
      <c r="H22" s="66">
        <f>+'INPUT SHEET'!C10+F22</f>
        <v>0</v>
      </c>
      <c r="J22" s="66">
        <f>+'INPUT SHEET'!D10+H22</f>
        <v>0</v>
      </c>
      <c r="L22" s="66">
        <f>+'INPUT SHEET'!E10+J22</f>
        <v>0</v>
      </c>
      <c r="M22" s="66">
        <f>+'INPUT SHEET'!I10</f>
        <v>0</v>
      </c>
      <c r="N22" s="66">
        <f>+'INPUT SHEET'!F10+L22</f>
        <v>0</v>
      </c>
      <c r="O22" s="67"/>
      <c r="P22" s="66">
        <f>+'INPUT SHEET'!G10+M22</f>
        <v>0</v>
      </c>
      <c r="Q22" s="67"/>
      <c r="R22" s="66">
        <f>+'INPUT SHEET'!H10+N22</f>
        <v>0</v>
      </c>
      <c r="S22" s="67"/>
      <c r="T22" s="66">
        <f>+'INPUT SHEET'!I10+R22</f>
        <v>0</v>
      </c>
      <c r="U22" s="67"/>
      <c r="V22" s="66">
        <f>+'INPUT SHEET'!J10+T22</f>
        <v>0</v>
      </c>
      <c r="W22" s="67"/>
      <c r="X22" s="66">
        <f>+'INPUT SHEET'!K10+V22</f>
        <v>0</v>
      </c>
    </row>
    <row r="23" spans="1:24" ht="13.5" thickBot="1" x14ac:dyDescent="0.25">
      <c r="A23" s="64">
        <v>8</v>
      </c>
      <c r="B23" s="65"/>
      <c r="C23" s="65" t="s">
        <v>75</v>
      </c>
      <c r="D23" s="65"/>
      <c r="E23" s="64"/>
      <c r="F23" s="78">
        <f>SUM(F18:F22)</f>
        <v>93300000</v>
      </c>
      <c r="G23" s="66"/>
      <c r="H23" s="78">
        <f>SUM(H18:H22)</f>
        <v>93300000</v>
      </c>
      <c r="I23" s="66"/>
      <c r="J23" s="78">
        <f>SUM(J18:J22)</f>
        <v>93300000</v>
      </c>
      <c r="K23" s="66"/>
      <c r="L23" s="78">
        <f>SUM(L18:L22)</f>
        <v>93300000</v>
      </c>
      <c r="M23" s="66"/>
      <c r="N23" s="78">
        <f>SUM(N18:N22)</f>
        <v>93300000</v>
      </c>
      <c r="O23" s="67"/>
      <c r="P23" s="78">
        <f t="shared" ref="P23:X23" si="0">SUM(P18:P22)</f>
        <v>93300000</v>
      </c>
      <c r="Q23" s="67"/>
      <c r="R23" s="78">
        <f t="shared" si="0"/>
        <v>93300000</v>
      </c>
      <c r="S23" s="67"/>
      <c r="T23" s="78">
        <f t="shared" si="0"/>
        <v>93300000</v>
      </c>
      <c r="U23" s="67"/>
      <c r="V23" s="78">
        <f t="shared" si="0"/>
        <v>93300000</v>
      </c>
      <c r="W23" s="67"/>
      <c r="X23" s="78">
        <f t="shared" si="0"/>
        <v>93300000</v>
      </c>
    </row>
    <row r="24" spans="1:24" ht="13.5" thickTop="1" x14ac:dyDescent="0.2">
      <c r="A24" s="64"/>
      <c r="B24" s="65"/>
      <c r="C24" s="65"/>
      <c r="D24" s="65"/>
      <c r="E24" s="64"/>
      <c r="F24" s="95"/>
      <c r="G24" s="95"/>
      <c r="H24" s="95"/>
      <c r="I24" s="95"/>
      <c r="J24" s="95"/>
      <c r="K24" s="95"/>
      <c r="L24" s="95"/>
      <c r="M24" s="95"/>
      <c r="N24" s="95"/>
      <c r="O24" s="124"/>
    </row>
    <row r="25" spans="1:24" x14ac:dyDescent="0.2">
      <c r="A25" s="64">
        <v>9</v>
      </c>
      <c r="B25" s="65"/>
      <c r="C25" s="65" t="s">
        <v>134</v>
      </c>
      <c r="D25" s="65"/>
      <c r="E25" s="64"/>
      <c r="F25" s="137">
        <f>'INPUT SHEET'!B13</f>
        <v>-30800000</v>
      </c>
      <c r="G25" s="95"/>
      <c r="H25" s="136">
        <f>+'INPUT SHEET'!C13+F25</f>
        <v>-30800000</v>
      </c>
      <c r="I25" s="137"/>
      <c r="J25" s="136">
        <f>+'INPUT SHEET'!E13+H25</f>
        <v>-30800000</v>
      </c>
      <c r="K25" s="137"/>
      <c r="L25" s="136">
        <f>+'INPUT SHEET'!G13+J25</f>
        <v>-30800000</v>
      </c>
      <c r="M25" s="137"/>
      <c r="N25" s="136">
        <f>+'INPUT SHEET'!I13+L25</f>
        <v>-30800000</v>
      </c>
      <c r="O25" s="138"/>
      <c r="P25" s="136">
        <f>+'INPUT SHEET'!K13+N25</f>
        <v>-30800000</v>
      </c>
      <c r="Q25" s="139"/>
      <c r="R25" s="136">
        <f>+'INPUT SHEET'!M13+P25</f>
        <v>-30800000</v>
      </c>
      <c r="S25" s="139"/>
      <c r="T25" s="136">
        <f>+'INPUT SHEET'!O13+R25</f>
        <v>-30800000</v>
      </c>
      <c r="U25" s="139"/>
      <c r="V25" s="136">
        <f>+'INPUT SHEET'!Q13+T25</f>
        <v>-30800000</v>
      </c>
      <c r="W25" s="139"/>
      <c r="X25" s="136">
        <f>+'INPUT SHEET'!S13+V25</f>
        <v>-30800000</v>
      </c>
    </row>
    <row r="26" spans="1:24" x14ac:dyDescent="0.2">
      <c r="A26" s="64"/>
      <c r="B26" s="65"/>
      <c r="C26" s="65"/>
      <c r="D26" s="65"/>
      <c r="E26" s="64"/>
      <c r="F26" s="65"/>
      <c r="G26" s="65"/>
      <c r="H26" s="65"/>
      <c r="I26" s="65"/>
      <c r="J26" s="65"/>
      <c r="K26" s="65"/>
      <c r="L26" s="65"/>
      <c r="M26" s="65"/>
      <c r="N26" s="65"/>
      <c r="O26" s="99"/>
    </row>
    <row r="27" spans="1:24" x14ac:dyDescent="0.2">
      <c r="A27" s="63"/>
      <c r="B27" s="65"/>
      <c r="C27" s="65" t="s">
        <v>76</v>
      </c>
      <c r="D27" s="65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99"/>
    </row>
    <row r="28" spans="1:24" x14ac:dyDescent="0.2">
      <c r="A28" s="63"/>
      <c r="B28" s="65"/>
      <c r="C28" s="90" t="s">
        <v>77</v>
      </c>
      <c r="D28" s="65"/>
      <c r="E28" s="64"/>
      <c r="F28" s="65"/>
      <c r="G28" s="65"/>
      <c r="H28" s="65"/>
      <c r="I28" s="65"/>
      <c r="J28" s="65"/>
      <c r="K28" s="65"/>
      <c r="L28" s="65"/>
      <c r="M28" s="65"/>
      <c r="N28" s="65"/>
      <c r="O28" s="99"/>
    </row>
    <row r="29" spans="1:24" x14ac:dyDescent="0.2">
      <c r="A29" s="64"/>
      <c r="B29" s="65"/>
      <c r="C29" s="65"/>
      <c r="D29" s="65"/>
      <c r="E29" s="64"/>
      <c r="F29" s="65"/>
      <c r="G29" s="65"/>
      <c r="H29" s="65"/>
      <c r="I29" s="65"/>
      <c r="J29" s="65"/>
      <c r="K29" s="65"/>
      <c r="L29" s="65"/>
      <c r="M29" s="65"/>
      <c r="N29" s="65"/>
      <c r="O29" s="99"/>
    </row>
    <row r="30" spans="1:24" x14ac:dyDescent="0.2">
      <c r="A30" s="64">
        <v>10</v>
      </c>
      <c r="B30" s="65"/>
      <c r="C30" s="65" t="s">
        <v>152</v>
      </c>
      <c r="D30" s="65"/>
      <c r="E30" s="97">
        <f>+'INPUT SHEET'!B16</f>
        <v>12</v>
      </c>
      <c r="F30" s="98">
        <f>+F23*0.012/12*$E$30</f>
        <v>1119600</v>
      </c>
      <c r="G30" s="99"/>
      <c r="H30" s="98">
        <f>+H23*0.012/12*$E$30</f>
        <v>1119600</v>
      </c>
      <c r="I30" s="99"/>
      <c r="J30" s="98">
        <f>+J23*0.012/12*$E$30</f>
        <v>1119600</v>
      </c>
      <c r="K30" s="99"/>
      <c r="L30" s="98">
        <f>+L23*0.012/12*$E$30</f>
        <v>1119600</v>
      </c>
      <c r="M30" s="99"/>
      <c r="N30" s="98">
        <f>+N23*0.012/12*$E$30</f>
        <v>1119600</v>
      </c>
      <c r="O30" s="98"/>
      <c r="P30" s="98">
        <f>+P23*0.012/12*$E$30</f>
        <v>1119600</v>
      </c>
      <c r="Q30" s="98"/>
      <c r="R30" s="98">
        <f>+R23*0.012/12*$E$30</f>
        <v>1119600</v>
      </c>
      <c r="S30" s="98"/>
      <c r="T30" s="98">
        <f>+T23*0.012/12*$E$30</f>
        <v>1119600</v>
      </c>
      <c r="U30" s="98"/>
      <c r="V30" s="98">
        <f>+V23*0.012/12*$E$30</f>
        <v>1119600</v>
      </c>
      <c r="W30" s="98"/>
      <c r="X30" s="98">
        <f>+X23*0.012/12*$E$30</f>
        <v>1119600</v>
      </c>
    </row>
    <row r="31" spans="1:24" x14ac:dyDescent="0.2">
      <c r="A31" s="64">
        <v>11</v>
      </c>
      <c r="B31" s="65"/>
      <c r="C31" s="65" t="s">
        <v>135</v>
      </c>
      <c r="D31" s="65"/>
      <c r="E31" s="64"/>
      <c r="F31" s="98">
        <f>+F25*0.012/12*$E$30</f>
        <v>-369600</v>
      </c>
      <c r="G31" s="65"/>
      <c r="H31" s="98">
        <f>+H25*0.012/12*$E$30</f>
        <v>-369600</v>
      </c>
      <c r="I31" s="65"/>
      <c r="J31" s="98">
        <f>+J25*0.012/12*$E$30</f>
        <v>-369600</v>
      </c>
      <c r="K31" s="65"/>
      <c r="L31" s="98">
        <f>+L25*0.012/12*$E$30</f>
        <v>-369600</v>
      </c>
      <c r="M31" s="65"/>
      <c r="N31" s="98">
        <f>+N25*0.012/12*$E$30</f>
        <v>-369600</v>
      </c>
      <c r="O31" s="99"/>
      <c r="P31" s="98">
        <f>+P25*0.012/12*$E$30</f>
        <v>-369600</v>
      </c>
      <c r="R31" s="98">
        <f>+R25*0.012/12*$E$30</f>
        <v>-369600</v>
      </c>
      <c r="T31" s="98">
        <f>+T25*0.012/12*$E$30</f>
        <v>-369600</v>
      </c>
      <c r="V31" s="98">
        <f>+V25*0.012/12*$E$30</f>
        <v>-369600</v>
      </c>
      <c r="X31" s="98">
        <f>+X25*0.012/12*$E$30</f>
        <v>-369600</v>
      </c>
    </row>
    <row r="32" spans="1:24" ht="13.5" thickBot="1" x14ac:dyDescent="0.25">
      <c r="A32" s="64">
        <v>12</v>
      </c>
      <c r="B32" s="65"/>
      <c r="C32" s="65" t="s">
        <v>78</v>
      </c>
      <c r="D32" s="65"/>
      <c r="E32" s="64"/>
      <c r="F32" s="100">
        <f>SUM(F30:F31)</f>
        <v>750000</v>
      </c>
      <c r="G32" s="65"/>
      <c r="H32" s="100">
        <f>SUM(H30:H31)</f>
        <v>750000</v>
      </c>
      <c r="I32" s="65"/>
      <c r="J32" s="100">
        <f>SUM(J30:J31)</f>
        <v>750000</v>
      </c>
      <c r="K32" s="65"/>
      <c r="L32" s="100">
        <f>SUM(L30:L31)</f>
        <v>750000</v>
      </c>
      <c r="M32" s="65"/>
      <c r="N32" s="100">
        <f>SUM(N30:N31)</f>
        <v>750000</v>
      </c>
      <c r="O32" s="98"/>
      <c r="P32" s="100">
        <f>SUM(P30:P31)</f>
        <v>750000</v>
      </c>
      <c r="Q32" s="98"/>
      <c r="R32" s="100">
        <f>SUM(R30:R31)</f>
        <v>750000</v>
      </c>
      <c r="S32" s="98"/>
      <c r="T32" s="100">
        <f>SUM(T30:T31)</f>
        <v>750000</v>
      </c>
      <c r="U32" s="98"/>
      <c r="V32" s="100">
        <f>SUM(V30:V31)</f>
        <v>750000</v>
      </c>
      <c r="W32" s="98"/>
      <c r="X32" s="100">
        <f>SUM(X30:X31)</f>
        <v>750000</v>
      </c>
    </row>
    <row r="33" spans="1:24" ht="13.5" thickTop="1" x14ac:dyDescent="0.2">
      <c r="A33" s="64"/>
      <c r="B33" s="65"/>
      <c r="C33" s="65"/>
      <c r="D33" s="65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99"/>
    </row>
    <row r="34" spans="1:24" x14ac:dyDescent="0.2">
      <c r="A34" s="64"/>
      <c r="B34" s="65"/>
      <c r="C34" s="65"/>
      <c r="D34" s="65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99"/>
    </row>
    <row r="35" spans="1:24" x14ac:dyDescent="0.2">
      <c r="A35" s="64"/>
      <c r="B35" s="65"/>
      <c r="C35" s="65" t="s">
        <v>151</v>
      </c>
      <c r="D35" s="65"/>
      <c r="E35" s="64"/>
      <c r="F35" s="65"/>
      <c r="G35" s="65"/>
      <c r="H35" s="65"/>
      <c r="I35" s="65"/>
      <c r="J35" s="65"/>
      <c r="K35" s="65"/>
      <c r="L35" s="65"/>
      <c r="M35" s="65"/>
      <c r="N35" s="65"/>
      <c r="O35" s="99"/>
    </row>
    <row r="36" spans="1:24" x14ac:dyDescent="0.2">
      <c r="A36" s="64"/>
      <c r="B36" s="65"/>
      <c r="C36" s="65"/>
      <c r="D36" s="65"/>
      <c r="E36" s="64"/>
      <c r="F36" s="65"/>
      <c r="G36" s="65"/>
      <c r="H36" s="65"/>
      <c r="I36" s="65"/>
      <c r="J36" s="65"/>
      <c r="K36" s="65"/>
      <c r="L36" s="65"/>
      <c r="M36" s="65"/>
      <c r="N36" s="65"/>
      <c r="O36" s="99"/>
    </row>
    <row r="37" spans="1:24" x14ac:dyDescent="0.2">
      <c r="A37" s="64"/>
      <c r="B37" s="65"/>
      <c r="C37" s="65"/>
      <c r="D37" s="65"/>
      <c r="E37" s="64"/>
      <c r="F37" s="65"/>
      <c r="G37" s="65"/>
      <c r="H37" s="65"/>
      <c r="I37" s="65"/>
      <c r="J37" s="65"/>
      <c r="K37" s="65"/>
      <c r="L37" s="65"/>
      <c r="M37" s="65"/>
      <c r="N37" s="65"/>
      <c r="O37" s="99"/>
    </row>
    <row r="38" spans="1:24" x14ac:dyDescent="0.2">
      <c r="A38" s="64"/>
      <c r="B38" s="65"/>
      <c r="C38" s="65"/>
      <c r="D38" s="65"/>
      <c r="E38" s="64"/>
      <c r="F38" s="65"/>
      <c r="G38" s="65"/>
      <c r="H38" s="65"/>
      <c r="I38" s="65"/>
      <c r="J38" s="65"/>
      <c r="K38" s="65"/>
      <c r="L38" s="65"/>
      <c r="M38" s="65"/>
      <c r="N38" s="65"/>
      <c r="O38" s="99"/>
    </row>
    <row r="39" spans="1:24" x14ac:dyDescent="0.2">
      <c r="A39" s="64"/>
      <c r="B39" s="65"/>
      <c r="C39" s="65"/>
      <c r="D39" s="65"/>
      <c r="E39" s="64"/>
      <c r="F39" s="65"/>
      <c r="G39" s="65"/>
      <c r="H39" s="65"/>
      <c r="I39" s="65"/>
      <c r="J39" s="65"/>
      <c r="K39" s="65"/>
      <c r="L39" s="65"/>
      <c r="M39" s="65"/>
      <c r="N39" s="65"/>
      <c r="O39" s="99"/>
    </row>
    <row r="40" spans="1:24" x14ac:dyDescent="0.2">
      <c r="E40" s="64"/>
    </row>
    <row r="41" spans="1:24" x14ac:dyDescent="0.2">
      <c r="H41" s="102">
        <f>+F30</f>
        <v>1119600</v>
      </c>
      <c r="J41" s="102">
        <f>+H41+H30</f>
        <v>2239200</v>
      </c>
      <c r="L41" s="102">
        <f>+J41+J30</f>
        <v>3358800</v>
      </c>
      <c r="N41" s="102">
        <f>+L41+L30</f>
        <v>4478400</v>
      </c>
      <c r="O41" s="125"/>
      <c r="P41" s="102">
        <f>+N41+N30</f>
        <v>5598000</v>
      </c>
      <c r="Q41" s="125"/>
      <c r="R41" s="102">
        <f>+P41+P30</f>
        <v>6717600</v>
      </c>
      <c r="S41" s="125"/>
      <c r="T41" s="102">
        <f>+R41+R30</f>
        <v>7837200</v>
      </c>
      <c r="U41" s="125"/>
      <c r="V41" s="102">
        <f>+T41+T30</f>
        <v>8956800</v>
      </c>
      <c r="W41" s="125"/>
      <c r="X41" s="102">
        <f>+V41+V30</f>
        <v>10076400</v>
      </c>
    </row>
  </sheetData>
  <phoneticPr fontId="0" type="noConversion"/>
  <pageMargins left="0.75" right="0.75" top="1" bottom="1" header="0.5" footer="0.5"/>
  <pageSetup scale="56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zoomScale="75" workbookViewId="0">
      <selection activeCell="E14" sqref="E14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32.42578125" style="1" customWidth="1"/>
    <col min="4" max="4" width="2" style="1" customWidth="1"/>
    <col min="5" max="5" width="13.7109375" style="1" bestFit="1" customWidth="1"/>
    <col min="6" max="6" width="1.5703125" style="1" customWidth="1"/>
    <col min="7" max="7" width="13.7109375" style="1" bestFit="1" customWidth="1"/>
    <col min="8" max="8" width="1.42578125" style="1" customWidth="1"/>
    <col min="9" max="9" width="13.7109375" style="1" bestFit="1" customWidth="1"/>
    <col min="10" max="10" width="1.5703125" style="1" customWidth="1"/>
    <col min="11" max="11" width="13.7109375" style="1" bestFit="1" customWidth="1"/>
    <col min="12" max="12" width="1.5703125" style="1" customWidth="1"/>
    <col min="13" max="13" width="14.7109375" style="1" customWidth="1"/>
    <col min="14" max="14" width="1.5703125" style="1" customWidth="1"/>
    <col min="15" max="15" width="13.7109375" style="1" bestFit="1" customWidth="1"/>
    <col min="16" max="16" width="1.42578125" style="1" customWidth="1"/>
    <col min="17" max="17" width="13.7109375" style="1" bestFit="1" customWidth="1"/>
    <col min="18" max="18" width="1.85546875" style="1" customWidth="1"/>
    <col min="19" max="19" width="13.7109375" style="1" bestFit="1" customWidth="1"/>
    <col min="20" max="20" width="2" style="1" customWidth="1"/>
    <col min="21" max="21" width="13.7109375" style="1" bestFit="1" customWidth="1"/>
    <col min="22" max="22" width="2" style="1" customWidth="1"/>
    <col min="23" max="23" width="13.710937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79</v>
      </c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13" t="s">
        <v>80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">
      <c r="A10" s="28" t="s">
        <v>52</v>
      </c>
    </row>
    <row r="11" spans="1:23" x14ac:dyDescent="0.2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">
      <c r="C13" s="18"/>
      <c r="E13" s="32"/>
      <c r="F13" s="32"/>
      <c r="G13" s="32"/>
      <c r="H13" s="32"/>
      <c r="I13" s="32"/>
      <c r="J13" s="32"/>
      <c r="K13" s="32"/>
      <c r="L13" s="32"/>
      <c r="M13" s="32"/>
      <c r="O13" s="32"/>
      <c r="Q13" s="32"/>
      <c r="S13" s="32"/>
      <c r="U13" s="32"/>
      <c r="W13" s="32"/>
    </row>
    <row r="14" spans="1:23" x14ac:dyDescent="0.2">
      <c r="A14" s="1">
        <v>1</v>
      </c>
      <c r="C14" s="1" t="s">
        <v>81</v>
      </c>
      <c r="E14" s="6">
        <f>(+'INCREMENTAL DEPR. EXPENSE'!F23+'INCREMENTAL DEPR. EXPENSE'!F25)*'INPUT SHEET'!$B$26/12*'INCREMENTAL DEPR. EXPENSE'!$E$30</f>
        <v>1000000</v>
      </c>
      <c r="F14" s="6"/>
      <c r="G14" s="6">
        <f>(+'INCREMENTAL DEPR. EXPENSE'!H23+'INCREMENTAL DEPR. EXPENSE'!H25)*'INPUT SHEET'!$B$26/12*'INCREMENTAL DEPR. EXPENSE'!$E$30</f>
        <v>1000000</v>
      </c>
      <c r="H14" s="6"/>
      <c r="I14" s="6">
        <f>(+'INCREMENTAL DEPR. EXPENSE'!J23+'INCREMENTAL DEPR. EXPENSE'!J25)*'INPUT SHEET'!$B$26/12*'INCREMENTAL DEPR. EXPENSE'!$E$30</f>
        <v>1000000</v>
      </c>
      <c r="J14" s="6"/>
      <c r="K14" s="6">
        <f>(+'INCREMENTAL DEPR. EXPENSE'!L23+'INCREMENTAL DEPR. EXPENSE'!L25)*'INPUT SHEET'!$B$26/12*'INCREMENTAL DEPR. EXPENSE'!$E$30</f>
        <v>1000000</v>
      </c>
      <c r="L14" s="6"/>
      <c r="M14" s="6">
        <f>(+'INCREMENTAL DEPR. EXPENSE'!N23+'INCREMENTAL DEPR. EXPENSE'!N25)*'INPUT SHEET'!$B$26/12*'INCREMENTAL DEPR. EXPENSE'!$E$30</f>
        <v>1000000</v>
      </c>
      <c r="O14" s="6">
        <f>(+'INCREMENTAL DEPR. EXPENSE'!P23+'INCREMENTAL DEPR. EXPENSE'!P25)*'INPUT SHEET'!$B$26/12*'INCREMENTAL DEPR. EXPENSE'!$E$30</f>
        <v>1000000</v>
      </c>
      <c r="Q14" s="6">
        <f>(+'INCREMENTAL DEPR. EXPENSE'!R23+'INCREMENTAL DEPR. EXPENSE'!R25)*'INPUT SHEET'!$B$26/12*'INCREMENTAL DEPR. EXPENSE'!$E$30</f>
        <v>1000000</v>
      </c>
      <c r="S14" s="6">
        <f>(+'INCREMENTAL DEPR. EXPENSE'!T23+'INCREMENTAL DEPR. EXPENSE'!T25)*'INPUT SHEET'!$B$26/12*'INCREMENTAL DEPR. EXPENSE'!$E$30</f>
        <v>1000000</v>
      </c>
      <c r="U14" s="6">
        <f>(+'INCREMENTAL DEPR. EXPENSE'!V23+'INCREMENTAL DEPR. EXPENSE'!V25)*'INPUT SHEET'!$B$26/12*'INCREMENTAL DEPR. EXPENSE'!$E$30</f>
        <v>1000000</v>
      </c>
      <c r="W14" s="6">
        <f>(+'INCREMENTAL DEPR. EXPENSE'!X23+'INCREMENTAL DEPR. EXPENSE'!X25)*'INPUT SHEET'!$B$26/12*'INCREMENTAL DEPR. EXPENSE'!$E$30</f>
        <v>1000000</v>
      </c>
    </row>
    <row r="15" spans="1:23" x14ac:dyDescent="0.2">
      <c r="E15" s="33"/>
      <c r="F15" s="33"/>
      <c r="G15" s="33"/>
      <c r="H15" s="33"/>
      <c r="I15" s="33"/>
      <c r="J15" s="33"/>
      <c r="K15" s="33"/>
      <c r="L15" s="33"/>
      <c r="M15" s="33"/>
      <c r="O15" s="33"/>
      <c r="Q15" s="33"/>
      <c r="S15" s="33"/>
      <c r="U15" s="33"/>
      <c r="W15" s="33"/>
    </row>
    <row r="16" spans="1:23" ht="13.5" thickBot="1" x14ac:dyDescent="0.25">
      <c r="A16" s="1">
        <v>2</v>
      </c>
      <c r="C16" s="1" t="s">
        <v>82</v>
      </c>
      <c r="E16" s="34">
        <f>SUM(E14:E15)</f>
        <v>1000000</v>
      </c>
      <c r="F16" s="33"/>
      <c r="G16" s="34">
        <f>SUM(G14:G15)</f>
        <v>1000000</v>
      </c>
      <c r="H16" s="33"/>
      <c r="I16" s="34">
        <f>SUM(I14:I15)</f>
        <v>1000000</v>
      </c>
      <c r="J16" s="33"/>
      <c r="K16" s="34">
        <f>SUM(K14:K15)</f>
        <v>1000000</v>
      </c>
      <c r="L16" s="33"/>
      <c r="M16" s="34">
        <f>SUM(M14:M15)</f>
        <v>1000000</v>
      </c>
      <c r="O16" s="34">
        <f>SUM(O14:O15)</f>
        <v>1000000</v>
      </c>
      <c r="Q16" s="34">
        <f>SUM(Q14:Q15)</f>
        <v>1000000</v>
      </c>
      <c r="S16" s="34">
        <f>SUM(S14:S15)</f>
        <v>1000000</v>
      </c>
      <c r="U16" s="34">
        <f>SUM(U14:U15)</f>
        <v>1000000</v>
      </c>
      <c r="W16" s="34">
        <f>SUM(W14:W15)</f>
        <v>1000000</v>
      </c>
    </row>
    <row r="17" spans="15:15" ht="13.5" thickTop="1" x14ac:dyDescent="0.2">
      <c r="O17" s="35"/>
    </row>
  </sheetData>
  <phoneticPr fontId="0" type="noConversion"/>
  <pageMargins left="0.75" right="0.75" top="1" bottom="1" header="0.5" footer="0.5"/>
  <pageSetup scale="63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zoomScale="75" workbookViewId="0">
      <selection activeCell="C1" sqref="C1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29.28515625" style="1" customWidth="1"/>
    <col min="4" max="4" width="2" style="1" customWidth="1"/>
    <col min="5" max="5" width="14.28515625" style="1" customWidth="1"/>
    <col min="6" max="6" width="1.5703125" style="1" customWidth="1"/>
    <col min="7" max="7" width="14.85546875" style="1" bestFit="1" customWidth="1"/>
    <col min="8" max="8" width="1.42578125" style="1" customWidth="1"/>
    <col min="9" max="9" width="14.85546875" style="1" bestFit="1" customWidth="1"/>
    <col min="10" max="10" width="1.5703125" style="1" customWidth="1"/>
    <col min="11" max="11" width="15.5703125" style="1" bestFit="1" customWidth="1"/>
    <col min="12" max="12" width="1.5703125" style="1" customWidth="1"/>
    <col min="13" max="13" width="15" style="1" customWidth="1"/>
    <col min="14" max="14" width="1.28515625" style="1" customWidth="1"/>
    <col min="15" max="15" width="15.5703125" style="1" bestFit="1" customWidth="1"/>
    <col min="16" max="16" width="1.7109375" style="1" customWidth="1"/>
    <col min="17" max="17" width="15.5703125" style="1" bestFit="1" customWidth="1"/>
    <col min="18" max="18" width="1.85546875" style="1" customWidth="1"/>
    <col min="19" max="19" width="15.5703125" style="1" bestFit="1" customWidth="1"/>
    <col min="20" max="20" width="1.7109375" style="1" customWidth="1"/>
    <col min="21" max="21" width="15.5703125" style="1" bestFit="1" customWidth="1"/>
    <col min="22" max="22" width="1.5703125" style="1" customWidth="1"/>
    <col min="23" max="23" width="15.570312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83</v>
      </c>
    </row>
    <row r="6" spans="1:23" ht="15.75" x14ac:dyDescent="0.25">
      <c r="A6" s="133" t="str">
        <f>+'INCREMENTAL REVENUES'!A5</f>
        <v>TRANSWESTERN PIPELINE COMPANY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3" x14ac:dyDescent="0.2">
      <c r="A7" s="13" t="str">
        <f>+'INCREMENTAL REVENUES'!A6</f>
        <v xml:space="preserve">Mainline Expansion 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13" t="s">
        <v>84</v>
      </c>
      <c r="B8" s="13"/>
      <c r="C8" s="13"/>
      <c r="D8" s="13"/>
      <c r="E8" s="13"/>
      <c r="F8" s="13"/>
      <c r="G8" s="13"/>
      <c r="H8" s="13"/>
      <c r="I8" s="13"/>
      <c r="J8" s="4"/>
      <c r="K8" s="4"/>
      <c r="L8" s="4"/>
      <c r="M8" s="4"/>
    </row>
    <row r="10" spans="1:23" x14ac:dyDescent="0.2">
      <c r="A10" s="28" t="s">
        <v>52</v>
      </c>
    </row>
    <row r="11" spans="1:23" x14ac:dyDescent="0.2">
      <c r="A11" s="28" t="s">
        <v>53</v>
      </c>
      <c r="C11" s="28" t="s">
        <v>54</v>
      </c>
      <c r="E11" s="29" t="s">
        <v>55</v>
      </c>
      <c r="F11" s="2"/>
      <c r="G11" s="29" t="s">
        <v>56</v>
      </c>
      <c r="H11" s="2"/>
      <c r="I11" s="29" t="s">
        <v>57</v>
      </c>
      <c r="J11" s="2"/>
      <c r="K11" s="29" t="s">
        <v>58</v>
      </c>
      <c r="L11" s="2"/>
      <c r="M11" s="29" t="s">
        <v>59</v>
      </c>
      <c r="O11" s="29" t="s">
        <v>44</v>
      </c>
      <c r="Q11" s="29" t="s">
        <v>45</v>
      </c>
      <c r="S11" s="29" t="s">
        <v>46</v>
      </c>
      <c r="U11" s="29" t="s">
        <v>47</v>
      </c>
      <c r="W11" s="29" t="s">
        <v>48</v>
      </c>
    </row>
    <row r="12" spans="1:23" x14ac:dyDescent="0.2">
      <c r="E12" s="30">
        <v>-1</v>
      </c>
      <c r="G12" s="31">
        <v>-2</v>
      </c>
      <c r="H12" s="31"/>
      <c r="I12" s="31">
        <v>-3</v>
      </c>
      <c r="J12" s="31"/>
      <c r="K12" s="31">
        <v>-4</v>
      </c>
      <c r="L12" s="31"/>
      <c r="M12" s="31">
        <v>-5</v>
      </c>
      <c r="O12" s="31">
        <v>-6</v>
      </c>
      <c r="Q12" s="31">
        <v>-7</v>
      </c>
      <c r="S12" s="31">
        <v>-8</v>
      </c>
      <c r="U12" s="31">
        <v>-9</v>
      </c>
      <c r="W12" s="31">
        <v>-10</v>
      </c>
    </row>
    <row r="13" spans="1:23" x14ac:dyDescent="0.2">
      <c r="A13" s="1">
        <v>1</v>
      </c>
      <c r="C13" s="18" t="s">
        <v>85</v>
      </c>
      <c r="E13" s="6">
        <f>+'INCREMENTAL DEPR. EXPENSE'!F23</f>
        <v>93300000</v>
      </c>
      <c r="F13" s="6"/>
      <c r="G13" s="6">
        <f>+'INCREMENTAL DEPR. EXPENSE'!H23</f>
        <v>93300000</v>
      </c>
      <c r="H13" s="6"/>
      <c r="I13" s="6">
        <f>+'INCREMENTAL DEPR. EXPENSE'!J23</f>
        <v>93300000</v>
      </c>
      <c r="J13" s="6"/>
      <c r="K13" s="6">
        <f>+'INCREMENTAL DEPR. EXPENSE'!L23</f>
        <v>93300000</v>
      </c>
      <c r="L13" s="6"/>
      <c r="M13" s="6">
        <f>+'INCREMENTAL DEPR. EXPENSE'!N23</f>
        <v>93300000</v>
      </c>
      <c r="O13" s="6">
        <f>+'INCREMENTAL DEPR. EXPENSE'!P23</f>
        <v>93300000</v>
      </c>
      <c r="Q13" s="6">
        <f>+'INCREMENTAL DEPR. EXPENSE'!R23</f>
        <v>93300000</v>
      </c>
      <c r="S13" s="6">
        <f>+'INCREMENTAL DEPR. EXPENSE'!T23</f>
        <v>93300000</v>
      </c>
      <c r="U13" s="6">
        <f>+'INCREMENTAL DEPR. EXPENSE'!V23</f>
        <v>93300000</v>
      </c>
      <c r="W13" s="6">
        <f>+'INCREMENTAL DEPR. EXPENSE'!X23</f>
        <v>93300000</v>
      </c>
    </row>
    <row r="14" spans="1:23" x14ac:dyDescent="0.2">
      <c r="C14" s="1" t="s">
        <v>86</v>
      </c>
      <c r="E14" s="6"/>
      <c r="F14" s="6"/>
      <c r="G14" s="6"/>
      <c r="H14" s="6"/>
      <c r="I14" s="6"/>
      <c r="J14" s="6"/>
      <c r="K14" s="6"/>
      <c r="L14" s="6"/>
      <c r="M14" s="6"/>
      <c r="O14" s="6"/>
      <c r="Q14" s="6"/>
      <c r="S14" s="6"/>
      <c r="U14" s="6"/>
      <c r="W14" s="6"/>
    </row>
    <row r="15" spans="1:23" x14ac:dyDescent="0.2">
      <c r="C15" s="1" t="s">
        <v>87</v>
      </c>
      <c r="E15" s="6"/>
      <c r="F15" s="6"/>
      <c r="G15" s="6"/>
      <c r="H15" s="6"/>
      <c r="I15" s="6"/>
      <c r="J15" s="6"/>
      <c r="K15" s="6"/>
      <c r="L15" s="6"/>
      <c r="M15" s="6"/>
      <c r="O15" s="6"/>
      <c r="Q15" s="6"/>
      <c r="S15" s="6"/>
      <c r="U15" s="6"/>
      <c r="W15" s="6"/>
    </row>
    <row r="16" spans="1:23" x14ac:dyDescent="0.2">
      <c r="A16" s="1">
        <v>2</v>
      </c>
      <c r="C16" s="1" t="s">
        <v>88</v>
      </c>
      <c r="E16" s="56">
        <f>-'INCREMENTAL DEPR. EXPENSE'!F30</f>
        <v>-1119600</v>
      </c>
      <c r="F16" s="6"/>
      <c r="G16" s="56">
        <f>-'INCREMENTAL DEPR. EXPENSE'!H30+E16</f>
        <v>-2239200</v>
      </c>
      <c r="H16" s="6"/>
      <c r="I16" s="56">
        <f>-'INCREMENTAL DEPR. EXPENSE'!J30+G16</f>
        <v>-3358800</v>
      </c>
      <c r="J16" s="6"/>
      <c r="K16" s="56">
        <f>-'INCREMENTAL DEPR. EXPENSE'!L30+I16</f>
        <v>-4478400</v>
      </c>
      <c r="L16" s="6"/>
      <c r="M16" s="56">
        <f>-'INCREMENTAL DEPR. EXPENSE'!N30+K16</f>
        <v>-5598000</v>
      </c>
      <c r="O16" s="56">
        <f>-'INCREMENTAL DEPR. EXPENSE'!P30+M16</f>
        <v>-6717600</v>
      </c>
      <c r="Q16" s="56">
        <f>-'INCREMENTAL DEPR. EXPENSE'!R30+O16</f>
        <v>-7837200</v>
      </c>
      <c r="S16" s="56">
        <f>-'INCREMENTAL DEPR. EXPENSE'!T30+Q16</f>
        <v>-8956800</v>
      </c>
      <c r="U16" s="56">
        <f>-'INCREMENTAL DEPR. EXPENSE'!V30+S16</f>
        <v>-10076400</v>
      </c>
      <c r="W16" s="56">
        <f>-'INCREMENTAL DEPR. EXPENSE'!X30+U16</f>
        <v>-11196000</v>
      </c>
    </row>
    <row r="17" spans="1:23" x14ac:dyDescent="0.2">
      <c r="C17" s="1" t="s">
        <v>89</v>
      </c>
      <c r="E17" s="6"/>
      <c r="F17" s="6"/>
      <c r="G17" s="6"/>
      <c r="H17" s="6"/>
      <c r="I17" s="6"/>
      <c r="J17" s="6"/>
      <c r="K17" s="6"/>
      <c r="L17" s="6"/>
      <c r="M17" s="6"/>
      <c r="O17" s="6"/>
      <c r="Q17" s="6"/>
      <c r="S17" s="6"/>
      <c r="U17" s="6"/>
      <c r="W17" s="6"/>
    </row>
    <row r="18" spans="1:23" x14ac:dyDescent="0.2">
      <c r="A18" s="1">
        <v>3</v>
      </c>
      <c r="C18" s="1" t="s">
        <v>90</v>
      </c>
      <c r="E18" s="6">
        <f>-'INCREMENTAL DEFERRED TAX'!E31</f>
        <v>-1402560.24</v>
      </c>
      <c r="F18" s="6"/>
      <c r="G18" s="6">
        <f>-'INCREMENTAL DEFERRED TAX'!G31</f>
        <v>-4466047.08</v>
      </c>
      <c r="H18" s="6"/>
      <c r="I18" s="6">
        <f>-'INCREMENTAL DEFERRED TAX'!I31</f>
        <v>-7178893.8600000003</v>
      </c>
      <c r="J18" s="6"/>
      <c r="K18" s="6">
        <f>-'INCREMENTAL DEFERRED TAX'!K31</f>
        <v>-9578010.0600000005</v>
      </c>
      <c r="L18" s="6"/>
      <c r="M18" s="6">
        <f>-'INCREMENTAL DEFERRED TAX'!M31</f>
        <v>-11692923.264</v>
      </c>
      <c r="O18" s="6">
        <f>-'INCREMENTAL DEFERRED TAX'!O31</f>
        <v>-13807836.468</v>
      </c>
      <c r="Q18" s="6">
        <f>-'INCREMENTAL DEFERRED TAX'!Q31</f>
        <v>-15922749.672</v>
      </c>
      <c r="S18" s="6">
        <f>-'INCREMENTAL DEFERRED TAX'!S31</f>
        <v>-18037662.876000002</v>
      </c>
      <c r="U18" s="6">
        <f>-'INCREMENTAL DEFERRED TAX'!U31</f>
        <v>-20152576.080000002</v>
      </c>
      <c r="W18" s="6">
        <f>-'INCREMENTAL DEFERRED TAX'!W31</f>
        <v>-22267489.284000002</v>
      </c>
    </row>
    <row r="19" spans="1:23" x14ac:dyDescent="0.2">
      <c r="E19" s="6"/>
      <c r="F19" s="6"/>
      <c r="G19" s="6"/>
      <c r="H19" s="6"/>
      <c r="I19" s="6"/>
      <c r="J19" s="6"/>
      <c r="K19" s="6"/>
      <c r="L19" s="6"/>
      <c r="M19" s="6"/>
      <c r="O19" s="6"/>
      <c r="Q19" s="6"/>
      <c r="S19" s="6"/>
      <c r="U19" s="6"/>
      <c r="W19" s="6"/>
    </row>
    <row r="20" spans="1:23" ht="13.5" thickBot="1" x14ac:dyDescent="0.25">
      <c r="A20" s="1">
        <v>4</v>
      </c>
      <c r="C20" s="1" t="s">
        <v>91</v>
      </c>
      <c r="E20" s="9">
        <f>SUM(E13:E19)</f>
        <v>90777839.760000005</v>
      </c>
      <c r="F20" s="6"/>
      <c r="G20" s="9">
        <f>SUM(G13:G18)</f>
        <v>86594752.920000002</v>
      </c>
      <c r="H20" s="6"/>
      <c r="I20" s="9">
        <f>SUM(I13:I19)</f>
        <v>82762306.140000001</v>
      </c>
      <c r="J20" s="6"/>
      <c r="K20" s="9">
        <f>SUM(K13:K18)</f>
        <v>79243589.939999998</v>
      </c>
      <c r="L20" s="6"/>
      <c r="M20" s="9">
        <f>SUM(M13:M18)</f>
        <v>76009076.736000001</v>
      </c>
      <c r="O20" s="9">
        <f>SUM(O13:O18)</f>
        <v>72774563.532000005</v>
      </c>
      <c r="Q20" s="9">
        <f>SUM(Q13:Q18)</f>
        <v>69540050.327999994</v>
      </c>
      <c r="S20" s="9">
        <f>SUM(S13:S18)</f>
        <v>66305537.123999998</v>
      </c>
      <c r="U20" s="9">
        <f>SUM(U13:U18)</f>
        <v>63071023.920000002</v>
      </c>
      <c r="W20" s="9">
        <f>SUM(W13:W18)</f>
        <v>59836510.715999998</v>
      </c>
    </row>
    <row r="21" spans="1:23" ht="13.5" thickTop="1" x14ac:dyDescent="0.2">
      <c r="E21" s="6"/>
      <c r="F21" s="6"/>
      <c r="G21" s="6"/>
      <c r="H21" s="6"/>
      <c r="I21" s="6"/>
      <c r="J21" s="6"/>
      <c r="K21" s="6"/>
      <c r="L21" s="6"/>
      <c r="M21" s="6"/>
      <c r="O21" s="6"/>
      <c r="Q21" s="6"/>
      <c r="S21" s="6"/>
      <c r="U21" s="6"/>
      <c r="W21" s="6"/>
    </row>
    <row r="22" spans="1:23" x14ac:dyDescent="0.2">
      <c r="C22" s="1" t="s">
        <v>92</v>
      </c>
      <c r="E22" s="6"/>
      <c r="F22" s="6"/>
      <c r="G22" s="6"/>
      <c r="H22" s="6"/>
      <c r="I22" s="6"/>
      <c r="J22" s="6"/>
      <c r="K22" s="6"/>
      <c r="L22" s="6"/>
      <c r="M22" s="6"/>
      <c r="O22" s="6"/>
      <c r="Q22" s="6"/>
      <c r="S22" s="6"/>
      <c r="U22" s="6"/>
      <c r="W22" s="6"/>
    </row>
    <row r="23" spans="1:23" x14ac:dyDescent="0.2">
      <c r="A23" s="1">
        <v>5</v>
      </c>
      <c r="C23" s="1" t="s">
        <v>136</v>
      </c>
      <c r="E23" s="6">
        <f>+E20*0.1029/12*'INCREMENTAL DEPR. EXPENSE'!E30</f>
        <v>9341039.7113040015</v>
      </c>
      <c r="F23" s="6"/>
      <c r="G23" s="6">
        <f>+G20*0.1029</f>
        <v>8910600.075468</v>
      </c>
      <c r="H23" s="6"/>
      <c r="I23" s="6">
        <f>+I20*0.1029</f>
        <v>8516241.301806001</v>
      </c>
      <c r="J23" s="6"/>
      <c r="K23" s="6">
        <f>+K20*0.1029</f>
        <v>8154165.4048260003</v>
      </c>
      <c r="L23" s="6"/>
      <c r="M23" s="6">
        <f>+M20*0.1029</f>
        <v>7821333.9961344004</v>
      </c>
      <c r="O23" s="6">
        <f>+O20*0.1029</f>
        <v>7488502.5874428013</v>
      </c>
      <c r="Q23" s="6">
        <f>+Q20*0.1029</f>
        <v>7155671.1787511995</v>
      </c>
      <c r="S23" s="6">
        <f>+S20*0.1029</f>
        <v>6822839.7700596005</v>
      </c>
      <c r="U23" s="6">
        <f>+U20*0.1029</f>
        <v>6490008.3613680005</v>
      </c>
      <c r="W23" s="6">
        <f>+W20*0.1029</f>
        <v>6157176.9526764005</v>
      </c>
    </row>
    <row r="24" spans="1:23" x14ac:dyDescent="0.2">
      <c r="E24" s="6"/>
      <c r="F24" s="6"/>
      <c r="G24" s="6"/>
      <c r="H24" s="6"/>
      <c r="I24" s="6"/>
      <c r="J24" s="6"/>
      <c r="K24" s="6"/>
      <c r="L24" s="6"/>
      <c r="M24" s="6"/>
      <c r="O24" s="6"/>
      <c r="Q24" s="6"/>
      <c r="S24" s="6"/>
      <c r="U24" s="6"/>
      <c r="W24" s="6"/>
    </row>
    <row r="25" spans="1:23" x14ac:dyDescent="0.2">
      <c r="C25" s="28"/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">
      <c r="E26" s="6"/>
      <c r="F26" s="6"/>
      <c r="G26" s="6"/>
      <c r="H26" s="6"/>
      <c r="I26" s="6"/>
      <c r="J26" s="6"/>
      <c r="K26" s="6"/>
      <c r="L26" s="6"/>
      <c r="M26" s="6"/>
      <c r="O26" s="6"/>
      <c r="Q26" s="6"/>
      <c r="S26" s="6"/>
      <c r="U26" s="6"/>
      <c r="W26" s="6"/>
    </row>
    <row r="27" spans="1:23" x14ac:dyDescent="0.2">
      <c r="A27" s="1">
        <v>6</v>
      </c>
      <c r="B27" s="36"/>
      <c r="C27" s="1" t="s">
        <v>93</v>
      </c>
      <c r="E27" s="6">
        <f>+E20*0.0667/12*'INCREMENTAL DEPR. EXPENSE'!E30</f>
        <v>6054881.9119919995</v>
      </c>
      <c r="F27" s="6"/>
      <c r="G27" s="6">
        <f>+G20*0.0667</f>
        <v>5775870.0197639996</v>
      </c>
      <c r="H27" s="6"/>
      <c r="I27" s="6">
        <f>+I20*0.0667</f>
        <v>5520245.819538</v>
      </c>
      <c r="J27" s="6"/>
      <c r="K27" s="6">
        <f>+K20*0.0667</f>
        <v>5285547.4489979995</v>
      </c>
      <c r="L27" s="6"/>
      <c r="M27" s="6">
        <f>+M20*0.0667</f>
        <v>5069805.4182912</v>
      </c>
      <c r="O27" s="6">
        <f>+O20*0.0667</f>
        <v>4854063.3875844004</v>
      </c>
      <c r="Q27" s="6">
        <f>+Q20*0.0667</f>
        <v>4638321.3568775989</v>
      </c>
      <c r="S27" s="6">
        <f>+S20*0.0667</f>
        <v>4422579.3261707993</v>
      </c>
      <c r="U27" s="6">
        <f>+U20*0.0667</f>
        <v>4206837.2954639997</v>
      </c>
      <c r="W27" s="6">
        <f>+W20*0.0667</f>
        <v>3991095.2647571997</v>
      </c>
    </row>
    <row r="28" spans="1:23" x14ac:dyDescent="0.2">
      <c r="A28" s="1">
        <v>7</v>
      </c>
      <c r="B28" s="36"/>
      <c r="C28" s="1" t="s">
        <v>94</v>
      </c>
      <c r="E28" s="6">
        <f>+E20*0.0362/12*'INCREMENTAL DEPR. EXPENSE'!E30</f>
        <v>3286157.7993120011</v>
      </c>
      <c r="F28" s="6"/>
      <c r="G28" s="6">
        <f>+G20*0.0362</f>
        <v>3134730.0557040004</v>
      </c>
      <c r="H28" s="6"/>
      <c r="I28" s="6">
        <f>+I20*0.0362</f>
        <v>2995995.4822680005</v>
      </c>
      <c r="J28" s="6"/>
      <c r="K28" s="6">
        <f>+K20*0.0362</f>
        <v>2868617.9558280003</v>
      </c>
      <c r="L28" s="6"/>
      <c r="M28" s="6">
        <f>+M20*0.0362</f>
        <v>2751528.5778432004</v>
      </c>
      <c r="O28" s="6">
        <f>+O20*0.0362</f>
        <v>2634439.1998584005</v>
      </c>
      <c r="Q28" s="6">
        <f>+Q20*0.0362</f>
        <v>2517349.8218736001</v>
      </c>
      <c r="S28" s="6">
        <f>+S20*0.0362</f>
        <v>2400260.4438888002</v>
      </c>
      <c r="U28" s="6">
        <f>+U20*0.0362</f>
        <v>2283171.0659040003</v>
      </c>
      <c r="W28" s="6">
        <f>+W20*0.0362</f>
        <v>2166081.6879191999</v>
      </c>
    </row>
    <row r="29" spans="1:23" x14ac:dyDescent="0.2">
      <c r="E29" s="6"/>
      <c r="F29" s="6"/>
      <c r="G29" s="6"/>
      <c r="H29" s="6"/>
      <c r="I29" s="6"/>
      <c r="J29" s="6"/>
      <c r="K29" s="6"/>
      <c r="L29" s="6"/>
      <c r="M29" s="6"/>
      <c r="O29" s="6"/>
      <c r="Q29" s="6"/>
      <c r="S29" s="6"/>
      <c r="U29" s="6"/>
      <c r="W29" s="6"/>
    </row>
    <row r="30" spans="1:23" ht="13.5" thickBot="1" x14ac:dyDescent="0.25">
      <c r="A30" s="1">
        <v>8</v>
      </c>
      <c r="C30" s="1" t="s">
        <v>95</v>
      </c>
      <c r="E30" s="9">
        <f>SUM(E27:E29)</f>
        <v>9341039.7113040015</v>
      </c>
      <c r="F30" s="6"/>
      <c r="G30" s="9">
        <f>SUM(G27:G29)</f>
        <v>8910600.075468</v>
      </c>
      <c r="H30" s="6"/>
      <c r="I30" s="9">
        <f>SUM(I27:I29)</f>
        <v>8516241.301806001</v>
      </c>
      <c r="J30" s="6"/>
      <c r="K30" s="9">
        <f>SUM(K27:K29)</f>
        <v>8154165.4048260003</v>
      </c>
      <c r="L30" s="6"/>
      <c r="M30" s="9">
        <f>SUM(M27:M29)</f>
        <v>7821333.9961344004</v>
      </c>
      <c r="O30" s="9">
        <f>SUM(O27:O29)</f>
        <v>7488502.5874428004</v>
      </c>
      <c r="Q30" s="9">
        <f>SUM(Q27:Q29)</f>
        <v>7155671.1787511986</v>
      </c>
      <c r="S30" s="9">
        <f>SUM(S27:S29)</f>
        <v>6822839.7700595995</v>
      </c>
      <c r="U30" s="9">
        <f>SUM(U27:U29)</f>
        <v>6490008.3613680005</v>
      </c>
      <c r="W30" s="9">
        <f>SUM(W27:W29)</f>
        <v>6157176.9526763996</v>
      </c>
    </row>
    <row r="31" spans="1:23" ht="13.5" thickTop="1" x14ac:dyDescent="0.2">
      <c r="E31" s="6"/>
      <c r="F31" s="6"/>
      <c r="G31" s="6"/>
      <c r="H31" s="6"/>
      <c r="I31" s="6"/>
      <c r="J31" s="6"/>
      <c r="K31" s="6"/>
      <c r="L31" s="6"/>
      <c r="M31" s="6"/>
    </row>
    <row r="34" spans="3:3" x14ac:dyDescent="0.2">
      <c r="C34" s="1" t="s">
        <v>153</v>
      </c>
    </row>
  </sheetData>
  <phoneticPr fontId="0" type="noConversion"/>
  <pageMargins left="0.75" right="0.75" top="1" bottom="1" header="0.5" footer="0.5"/>
  <pageSetup scale="6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zoomScale="75" workbookViewId="0">
      <selection activeCell="C39" sqref="C39"/>
    </sheetView>
  </sheetViews>
  <sheetFormatPr defaultRowHeight="12.75" x14ac:dyDescent="0.2"/>
  <cols>
    <col min="1" max="1" width="4.7109375" style="1" customWidth="1"/>
    <col min="2" max="2" width="1.5703125" style="1" customWidth="1"/>
    <col min="3" max="3" width="37" style="1" customWidth="1"/>
    <col min="4" max="4" width="2" style="1" customWidth="1"/>
    <col min="5" max="5" width="16.5703125" style="1" customWidth="1"/>
    <col min="6" max="6" width="1.5703125" style="1" customWidth="1"/>
    <col min="7" max="7" width="14.85546875" style="1" bestFit="1" customWidth="1"/>
    <col min="8" max="8" width="1.42578125" style="1" customWidth="1"/>
    <col min="9" max="9" width="14.85546875" style="1" bestFit="1" customWidth="1"/>
    <col min="10" max="10" width="1.5703125" style="1" customWidth="1"/>
    <col min="11" max="11" width="14.85546875" style="1" bestFit="1" customWidth="1"/>
    <col min="12" max="12" width="1.5703125" style="1" customWidth="1"/>
    <col min="13" max="13" width="15" style="1" customWidth="1"/>
    <col min="14" max="14" width="1.7109375" style="1" customWidth="1"/>
    <col min="15" max="15" width="14.85546875" style="1" bestFit="1" customWidth="1"/>
    <col min="16" max="16" width="1.7109375" style="1" customWidth="1"/>
    <col min="17" max="17" width="14.85546875" style="1" bestFit="1" customWidth="1"/>
    <col min="18" max="18" width="1.85546875" style="1" customWidth="1"/>
    <col min="19" max="19" width="14.85546875" style="1" bestFit="1" customWidth="1"/>
    <col min="20" max="20" width="1.28515625" style="1" customWidth="1"/>
    <col min="21" max="21" width="14.85546875" style="1" bestFit="1" customWidth="1"/>
    <col min="22" max="22" width="1.7109375" style="1" customWidth="1"/>
    <col min="23" max="23" width="14.85546875" style="1" bestFit="1" customWidth="1"/>
    <col min="24" max="16384" width="9.140625" style="1"/>
  </cols>
  <sheetData>
    <row r="1" spans="1:23" x14ac:dyDescent="0.2">
      <c r="M1" s="165" t="s">
        <v>149</v>
      </c>
    </row>
    <row r="2" spans="1:23" x14ac:dyDescent="0.2">
      <c r="M2" s="12" t="s">
        <v>96</v>
      </c>
    </row>
    <row r="5" spans="1:23" ht="15.75" x14ac:dyDescent="0.25">
      <c r="A5" s="133" t="str">
        <f>+'INCREMENTAL REVENUES'!A5</f>
        <v>TRANSWESTERN PIPELINE COMPANY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3" x14ac:dyDescent="0.2">
      <c r="A6" s="13" t="str">
        <f>+'INCREMENTAL REVENUES'!A6</f>
        <v xml:space="preserve">Mainline Expansion </v>
      </c>
      <c r="B6" s="13"/>
      <c r="C6" s="13"/>
      <c r="D6" s="13"/>
      <c r="E6" s="13"/>
      <c r="F6" s="13"/>
      <c r="G6" s="13"/>
      <c r="H6" s="13"/>
      <c r="I6" s="13"/>
      <c r="J6" s="4"/>
      <c r="K6" s="4"/>
      <c r="L6" s="4"/>
      <c r="M6" s="4"/>
    </row>
    <row r="7" spans="1:23" x14ac:dyDescent="0.2">
      <c r="A7" s="13" t="s">
        <v>97</v>
      </c>
      <c r="B7" s="13"/>
      <c r="C7" s="13"/>
      <c r="D7" s="13"/>
      <c r="E7" s="13"/>
      <c r="F7" s="13"/>
      <c r="G7" s="13"/>
      <c r="H7" s="13"/>
      <c r="I7" s="13"/>
      <c r="J7" s="4"/>
      <c r="K7" s="4"/>
      <c r="L7" s="4"/>
      <c r="M7" s="4"/>
    </row>
    <row r="8" spans="1:2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3" x14ac:dyDescent="0.2">
      <c r="A9" s="18" t="s">
        <v>52</v>
      </c>
    </row>
    <row r="10" spans="1:23" x14ac:dyDescent="0.2">
      <c r="A10" s="28" t="s">
        <v>53</v>
      </c>
      <c r="C10" s="28" t="s">
        <v>54</v>
      </c>
      <c r="E10" s="29" t="s">
        <v>55</v>
      </c>
      <c r="F10" s="2"/>
      <c r="G10" s="29" t="s">
        <v>56</v>
      </c>
      <c r="H10" s="2"/>
      <c r="I10" s="29" t="s">
        <v>57</v>
      </c>
      <c r="J10" s="2"/>
      <c r="K10" s="29" t="s">
        <v>58</v>
      </c>
      <c r="L10" s="2"/>
      <c r="M10" s="29" t="s">
        <v>59</v>
      </c>
      <c r="O10" s="29" t="s">
        <v>44</v>
      </c>
      <c r="Q10" s="29" t="s">
        <v>45</v>
      </c>
      <c r="S10" s="29" t="s">
        <v>46</v>
      </c>
      <c r="U10" s="29" t="s">
        <v>47</v>
      </c>
      <c r="W10" s="29" t="s">
        <v>48</v>
      </c>
    </row>
    <row r="11" spans="1:23" x14ac:dyDescent="0.2">
      <c r="E11" s="30">
        <v>-1</v>
      </c>
      <c r="G11" s="31">
        <v>-2</v>
      </c>
      <c r="H11" s="31"/>
      <c r="I11" s="31">
        <v>-3</v>
      </c>
      <c r="J11" s="31"/>
      <c r="K11" s="31">
        <v>-4</v>
      </c>
      <c r="L11" s="31"/>
      <c r="M11" s="31">
        <v>-5</v>
      </c>
      <c r="O11" s="31">
        <v>-6</v>
      </c>
      <c r="Q11" s="31">
        <v>-7</v>
      </c>
      <c r="S11" s="31">
        <v>-8</v>
      </c>
      <c r="U11" s="31">
        <v>-9</v>
      </c>
      <c r="W11" s="31">
        <v>-10</v>
      </c>
    </row>
    <row r="12" spans="1:23" x14ac:dyDescent="0.2">
      <c r="E12" s="30"/>
      <c r="G12" s="31"/>
      <c r="H12" s="31"/>
      <c r="I12" s="31"/>
      <c r="J12" s="31"/>
      <c r="K12" s="31"/>
      <c r="L12" s="31"/>
      <c r="M12" s="31"/>
    </row>
    <row r="13" spans="1:23" x14ac:dyDescent="0.2">
      <c r="A13" s="1">
        <v>1</v>
      </c>
      <c r="C13" s="18" t="s">
        <v>98</v>
      </c>
      <c r="E13" s="35"/>
      <c r="F13" s="35"/>
      <c r="G13" s="35"/>
      <c r="H13" s="35"/>
      <c r="I13" s="35"/>
      <c r="J13" s="35"/>
      <c r="K13" s="35"/>
      <c r="L13" s="35"/>
      <c r="M13" s="35"/>
    </row>
    <row r="14" spans="1:23" x14ac:dyDescent="0.2">
      <c r="A14" s="1">
        <v>2</v>
      </c>
      <c r="C14" s="1" t="s">
        <v>99</v>
      </c>
      <c r="E14" s="10">
        <f>+'INCREMENTAL DEPR. EXPENSE'!F23</f>
        <v>93300000</v>
      </c>
      <c r="F14" s="6"/>
      <c r="G14" s="10">
        <f>+'INCREMENTAL DEPR. EXPENSE'!H23</f>
        <v>93300000</v>
      </c>
      <c r="H14" s="6"/>
      <c r="I14" s="10">
        <f>+'INCREMENTAL DEPR. EXPENSE'!J23</f>
        <v>93300000</v>
      </c>
      <c r="J14" s="6"/>
      <c r="K14" s="10">
        <f>+'INCREMENTAL DEPR. EXPENSE'!L23</f>
        <v>93300000</v>
      </c>
      <c r="L14" s="6"/>
      <c r="M14" s="10">
        <f>+'INCREMENTAL DEPR. EXPENSE'!N23</f>
        <v>93300000</v>
      </c>
      <c r="O14" s="10">
        <f>+'INCREMENTAL DEPR. EXPENSE'!P23</f>
        <v>93300000</v>
      </c>
      <c r="Q14" s="10">
        <f>+'INCREMENTAL DEPR. EXPENSE'!R23</f>
        <v>93300000</v>
      </c>
      <c r="S14" s="10">
        <f>+'INCREMENTAL DEPR. EXPENSE'!T23</f>
        <v>93300000</v>
      </c>
      <c r="U14" s="10">
        <f>+'INCREMENTAL DEPR. EXPENSE'!V23</f>
        <v>93300000</v>
      </c>
      <c r="W14" s="10">
        <f>+'INCREMENTAL DEPR. EXPENSE'!X23</f>
        <v>93300000</v>
      </c>
    </row>
    <row r="15" spans="1:23" ht="13.5" thickBot="1" x14ac:dyDescent="0.25">
      <c r="C15" s="1" t="s">
        <v>100</v>
      </c>
      <c r="E15" s="9">
        <f>SUM(E14:E14)</f>
        <v>93300000</v>
      </c>
      <c r="F15" s="6"/>
      <c r="G15" s="9">
        <f>SUM(G14:G14)</f>
        <v>93300000</v>
      </c>
      <c r="H15" s="6"/>
      <c r="I15" s="9">
        <f>SUM(I14:I14)</f>
        <v>93300000</v>
      </c>
      <c r="J15" s="6"/>
      <c r="K15" s="9">
        <f>SUM(K14:K14)</f>
        <v>93300000</v>
      </c>
      <c r="L15" s="6"/>
      <c r="M15" s="9">
        <f>SUM(M14:M14)</f>
        <v>93300000</v>
      </c>
      <c r="O15" s="9">
        <f>SUM(O14:O14)</f>
        <v>93300000</v>
      </c>
      <c r="Q15" s="9">
        <f>SUM(Q14:Q14)</f>
        <v>93300000</v>
      </c>
      <c r="S15" s="9">
        <f>SUM(S14:S14)</f>
        <v>93300000</v>
      </c>
      <c r="U15" s="9">
        <f>SUM(U14:U14)</f>
        <v>93300000</v>
      </c>
      <c r="W15" s="9">
        <f>SUM(W14:W14)</f>
        <v>93300000</v>
      </c>
    </row>
    <row r="16" spans="1:23" ht="13.5" thickTop="1" x14ac:dyDescent="0.2">
      <c r="G16" s="32"/>
    </row>
    <row r="17" spans="1:23" x14ac:dyDescent="0.2">
      <c r="A17" s="1">
        <v>4</v>
      </c>
      <c r="C17" s="1" t="s">
        <v>101</v>
      </c>
      <c r="E17" s="33"/>
      <c r="F17" s="33"/>
      <c r="G17" s="33"/>
      <c r="H17" s="33"/>
      <c r="I17" s="33"/>
      <c r="J17" s="33"/>
      <c r="K17" s="33"/>
      <c r="L17" s="33"/>
      <c r="M17" s="33"/>
      <c r="O17" s="33"/>
      <c r="Q17" s="33"/>
      <c r="S17" s="33"/>
      <c r="U17" s="33"/>
      <c r="W17" s="33"/>
    </row>
    <row r="18" spans="1:23" x14ac:dyDescent="0.2">
      <c r="A18" s="1">
        <v>5</v>
      </c>
      <c r="C18" s="1" t="s">
        <v>102</v>
      </c>
      <c r="E18" s="37">
        <v>0.05</v>
      </c>
      <c r="F18" s="38"/>
      <c r="G18" s="38">
        <f>+G20/G15</f>
        <v>0.14499999999999999</v>
      </c>
      <c r="H18" s="38"/>
      <c r="I18" s="38">
        <f>+I20/I15</f>
        <v>0.23050000000000001</v>
      </c>
      <c r="J18" s="38"/>
      <c r="K18" s="38">
        <f>+K20/K15</f>
        <v>0.3075</v>
      </c>
      <c r="L18" s="38"/>
      <c r="M18" s="38">
        <f>+M20/M15</f>
        <v>0.37680000000000002</v>
      </c>
      <c r="O18" s="38">
        <f>+O20/O15</f>
        <v>0.4461</v>
      </c>
      <c r="Q18" s="38">
        <f>+Q20/Q15</f>
        <v>0.51539999999999997</v>
      </c>
      <c r="S18" s="38">
        <f>+S20/S15</f>
        <v>0.5847</v>
      </c>
      <c r="U18" s="38">
        <f>+U20/U15</f>
        <v>0.65400000000000003</v>
      </c>
      <c r="W18" s="38">
        <f>+W20/W15</f>
        <v>0.72330000000000005</v>
      </c>
    </row>
    <row r="19" spans="1:23" x14ac:dyDescent="0.2">
      <c r="G19"/>
      <c r="I19" s="38"/>
    </row>
    <row r="20" spans="1:23" x14ac:dyDescent="0.2">
      <c r="A20" s="1">
        <v>6</v>
      </c>
      <c r="C20" s="1" t="s">
        <v>103</v>
      </c>
      <c r="E20" s="57">
        <f>+E15*E18</f>
        <v>4665000</v>
      </c>
      <c r="F20" s="6"/>
      <c r="G20" s="57">
        <f>+E20+$E$15*0.095+($G$15-$E$15)*0.05</f>
        <v>13528500</v>
      </c>
      <c r="H20" s="6"/>
      <c r="I20" s="57">
        <f>+G20+($E$15*0.0855)+($G$15-$E$15)*0.095+($I$15-$G$15)*0.05</f>
        <v>21505650</v>
      </c>
      <c r="J20" s="6"/>
      <c r="K20" s="57">
        <f>+I20+($E$15*0.077)+($G$15-$E$15)*0.0855+($I$15-$G$15)*0.095+($K$15-$I$15)*0.05</f>
        <v>28689750</v>
      </c>
      <c r="L20" s="6"/>
      <c r="M20" s="126">
        <f>+K20+($E$15*0.0693)+($G$15-$E$15)*0.077+($I$15-$G$15)*0.0855+($K$15-$I$15)*0.095+(M15-K15)*0.05</f>
        <v>35155440</v>
      </c>
      <c r="O20" s="126">
        <f>+M20+($E$15*0.0693)+($G$15-$E$15)*0.077+($I$15-$G$15)*0.0855+($K$15-$I$15)*0.095+(O15-M15)*0.05</f>
        <v>41621130</v>
      </c>
      <c r="Q20" s="126">
        <f>+O20+($E$15*0.0693)+($G$15-$E$15)*0.077+($I$15-$G$15)*0.0855+($K$15-$I$15)*0.095+(Q15-O15)*0.05</f>
        <v>48086820</v>
      </c>
      <c r="S20" s="126">
        <f>+Q20+($E$15*0.0693)+($G$15-$E$15)*0.077+($I$15-$G$15)*0.0855+($K$15-$I$15)*0.095+(S15-Q15)*0.05</f>
        <v>54552510</v>
      </c>
      <c r="U20" s="126">
        <f>+S20+($E$15*0.0693)+($G$15-$E$15)*0.077+($I$15-$G$15)*0.0855+($K$15-$I$15)*0.095+(U15-S15)*0.05</f>
        <v>61018200</v>
      </c>
      <c r="W20" s="126">
        <f>+U20+($E$15*0.0693)+($G$15-$E$15)*0.077+($I$15-$G$15)*0.0855+($K$15-$I$15)*0.095+(W15-U15)*0.05</f>
        <v>67483890</v>
      </c>
    </row>
    <row r="21" spans="1:23" x14ac:dyDescent="0.2">
      <c r="G21" s="38"/>
      <c r="I21" s="38"/>
      <c r="K21" s="38"/>
      <c r="M21" s="38"/>
      <c r="O21" s="38"/>
      <c r="Q21" s="38"/>
      <c r="S21" s="38"/>
      <c r="U21" s="38"/>
      <c r="W21" s="38"/>
    </row>
    <row r="22" spans="1:23" x14ac:dyDescent="0.2">
      <c r="A22" s="1">
        <v>7</v>
      </c>
      <c r="C22" s="1" t="s">
        <v>104</v>
      </c>
      <c r="E22" s="38">
        <f>+E24/E15</f>
        <v>1.2E-2</v>
      </c>
      <c r="G22" s="38">
        <f>+G24/G15</f>
        <v>2.4E-2</v>
      </c>
      <c r="H22" s="38"/>
      <c r="I22" s="38">
        <f>+I24/I15</f>
        <v>3.5999999999999997E-2</v>
      </c>
      <c r="J22" s="38"/>
      <c r="K22" s="38">
        <f>+K24/K15</f>
        <v>4.8000000000000001E-2</v>
      </c>
      <c r="L22" s="38"/>
      <c r="M22" s="38">
        <f>+M24/M15</f>
        <v>0.06</v>
      </c>
      <c r="O22" s="38">
        <f>+O24/O15</f>
        <v>7.1999999999999995E-2</v>
      </c>
      <c r="Q22" s="38">
        <f>+Q24/Q15</f>
        <v>8.4000000000000005E-2</v>
      </c>
      <c r="S22" s="38">
        <f>+S24/S15</f>
        <v>9.6000000000000002E-2</v>
      </c>
      <c r="U22" s="38">
        <f>+U24/U15</f>
        <v>0.108</v>
      </c>
      <c r="W22" s="38">
        <f>+W24/W15</f>
        <v>0.12</v>
      </c>
    </row>
    <row r="24" spans="1:23" x14ac:dyDescent="0.2">
      <c r="A24" s="1">
        <v>8</v>
      </c>
      <c r="C24" s="1" t="s">
        <v>105</v>
      </c>
      <c r="E24" s="57">
        <f>+'INCREMENTAL DEPR. EXPENSE'!F30</f>
        <v>1119600</v>
      </c>
      <c r="F24" s="6"/>
      <c r="G24" s="57">
        <f>+'INCREMENTAL DEPR. EXPENSE'!H30+E24</f>
        <v>2239200</v>
      </c>
      <c r="H24" s="6"/>
      <c r="I24" s="57">
        <f>+'INCREMENTAL DEPR. EXPENSE'!J30+G24</f>
        <v>3358800</v>
      </c>
      <c r="J24" s="6"/>
      <c r="K24" s="57">
        <f>+'INCREMENTAL DEPR. EXPENSE'!L30+I24</f>
        <v>4478400</v>
      </c>
      <c r="L24" s="6"/>
      <c r="M24" s="57">
        <f>+'INCREMENTAL DEPR. EXPENSE'!N30+K24</f>
        <v>5598000</v>
      </c>
      <c r="O24" s="57">
        <f>+'INCREMENTAL DEPR. EXPENSE'!P30+M24</f>
        <v>6717600</v>
      </c>
      <c r="Q24" s="57">
        <f>+'INCREMENTAL DEPR. EXPENSE'!R30+O24</f>
        <v>7837200</v>
      </c>
      <c r="S24" s="57">
        <f>+'INCREMENTAL DEPR. EXPENSE'!T30+Q24</f>
        <v>8956800</v>
      </c>
      <c r="U24" s="57">
        <f>+'INCREMENTAL DEPR. EXPENSE'!V30+S24</f>
        <v>10076400</v>
      </c>
      <c r="W24" s="57">
        <f>+'INCREMENTAL DEPR. EXPENSE'!X30+U24</f>
        <v>11196000</v>
      </c>
    </row>
    <row r="25" spans="1:23" x14ac:dyDescent="0.2">
      <c r="E25" s="6"/>
      <c r="F25" s="6"/>
      <c r="G25" s="6"/>
      <c r="H25" s="6"/>
      <c r="I25" s="6"/>
      <c r="J25" s="6"/>
      <c r="K25" s="6"/>
      <c r="L25" s="6"/>
      <c r="M25" s="6"/>
      <c r="O25" s="6"/>
      <c r="Q25" s="6"/>
      <c r="S25" s="6"/>
      <c r="U25" s="6"/>
      <c r="W25" s="6"/>
    </row>
    <row r="26" spans="1:23" x14ac:dyDescent="0.2">
      <c r="A26" s="1">
        <v>9</v>
      </c>
      <c r="C26" s="1" t="s">
        <v>106</v>
      </c>
      <c r="E26" s="6">
        <f>+E20-E24</f>
        <v>3545400</v>
      </c>
      <c r="F26" s="6"/>
      <c r="G26" s="6">
        <f>+G20-G24</f>
        <v>11289300</v>
      </c>
      <c r="H26" s="6"/>
      <c r="I26" s="6">
        <f>+I20-I24</f>
        <v>18146850</v>
      </c>
      <c r="J26" s="6"/>
      <c r="K26" s="6">
        <f>+K20-K24</f>
        <v>24211350</v>
      </c>
      <c r="L26" s="6"/>
      <c r="M26" s="6">
        <f>+M20-M24</f>
        <v>29557440</v>
      </c>
      <c r="O26" s="6">
        <f>+O20-O24</f>
        <v>34903530</v>
      </c>
      <c r="Q26" s="6">
        <f>+Q20-Q24</f>
        <v>40249620</v>
      </c>
      <c r="S26" s="6">
        <f>+S20-S24</f>
        <v>45595710</v>
      </c>
      <c r="U26" s="6">
        <f>+U20-U24</f>
        <v>50941800</v>
      </c>
      <c r="W26" s="6">
        <f>+W20-W24</f>
        <v>56287890</v>
      </c>
    </row>
    <row r="27" spans="1:23" x14ac:dyDescent="0.2">
      <c r="C27" s="18"/>
    </row>
    <row r="28" spans="1:23" x14ac:dyDescent="0.2">
      <c r="A28" s="1">
        <v>10</v>
      </c>
      <c r="C28" s="1" t="s">
        <v>107</v>
      </c>
      <c r="E28" s="38">
        <v>0.39560000000000001</v>
      </c>
    </row>
    <row r="30" spans="1:23" x14ac:dyDescent="0.2">
      <c r="A30" s="1">
        <v>11</v>
      </c>
      <c r="C30" s="1" t="s">
        <v>108</v>
      </c>
    </row>
    <row r="31" spans="1:23" ht="13.5" thickBot="1" x14ac:dyDescent="0.25">
      <c r="A31" s="1">
        <v>12</v>
      </c>
      <c r="C31" s="1" t="s">
        <v>109</v>
      </c>
      <c r="E31" s="9">
        <f>+E26*$E$28</f>
        <v>1402560.24</v>
      </c>
      <c r="F31" s="6"/>
      <c r="G31" s="9">
        <f>+G26*$E$28</f>
        <v>4466047.08</v>
      </c>
      <c r="H31" s="6"/>
      <c r="I31" s="9">
        <f>+I26*$E$28</f>
        <v>7178893.8600000003</v>
      </c>
      <c r="J31" s="6"/>
      <c r="K31" s="9">
        <f>+K26*$E$28</f>
        <v>9578010.0600000005</v>
      </c>
      <c r="L31" s="6"/>
      <c r="M31" s="9">
        <f>+M26*$E$28</f>
        <v>11692923.264</v>
      </c>
      <c r="O31" s="9">
        <f>+O26*$E$28</f>
        <v>13807836.468</v>
      </c>
      <c r="Q31" s="9">
        <f>+Q26*$E$28</f>
        <v>15922749.672</v>
      </c>
      <c r="S31" s="9">
        <f>+S26*$E$28</f>
        <v>18037662.876000002</v>
      </c>
      <c r="U31" s="9">
        <f>+U26*$E$28</f>
        <v>20152576.080000002</v>
      </c>
      <c r="W31" s="9">
        <f>+W26*$E$28</f>
        <v>22267489.284000002</v>
      </c>
    </row>
    <row r="32" spans="1:23" ht="13.5" thickTop="1" x14ac:dyDescent="0.2"/>
    <row r="33" spans="3:23" x14ac:dyDescent="0.2">
      <c r="E33" s="159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</row>
    <row r="35" spans="3:23" x14ac:dyDescent="0.2">
      <c r="C35" s="65"/>
    </row>
    <row r="36" spans="3:23" x14ac:dyDescent="0.2">
      <c r="C36" s="65" t="s">
        <v>154</v>
      </c>
    </row>
    <row r="37" spans="3:23" x14ac:dyDescent="0.2">
      <c r="C37" s="65"/>
    </row>
    <row r="38" spans="3:23" x14ac:dyDescent="0.2">
      <c r="C38" s="17" t="s">
        <v>157</v>
      </c>
    </row>
  </sheetData>
  <phoneticPr fontId="0" type="noConversion"/>
  <pageMargins left="0.75" right="0.75" top="1" bottom="1" header="0.5" footer="0.5"/>
  <pageSetup scale="58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zoomScale="75" workbookViewId="0">
      <selection activeCell="A33" sqref="A33"/>
    </sheetView>
  </sheetViews>
  <sheetFormatPr defaultRowHeight="12.75" x14ac:dyDescent="0.2"/>
  <cols>
    <col min="1" max="1" width="5.42578125" style="41" customWidth="1"/>
    <col min="2" max="2" width="1.5703125" style="17" customWidth="1"/>
    <col min="3" max="3" width="40.85546875" style="17" customWidth="1"/>
    <col min="4" max="4" width="1.28515625" style="17" customWidth="1"/>
    <col min="5" max="5" width="14.85546875" style="17" bestFit="1" customWidth="1"/>
    <col min="6" max="6" width="1.28515625" style="17" customWidth="1"/>
    <col min="7" max="7" width="14.85546875" style="17" bestFit="1" customWidth="1"/>
    <col min="8" max="8" width="1.140625" style="17" customWidth="1"/>
    <col min="9" max="9" width="14" style="17" customWidth="1"/>
    <col min="10" max="10" width="1.140625" style="17" customWidth="1"/>
    <col min="11" max="11" width="14" style="17" customWidth="1"/>
    <col min="12" max="12" width="1.140625" style="17" customWidth="1"/>
    <col min="13" max="13" width="14" style="17" customWidth="1"/>
    <col min="14" max="14" width="1.7109375" style="17" customWidth="1"/>
    <col min="15" max="15" width="14.85546875" style="17" bestFit="1" customWidth="1"/>
    <col min="16" max="16" width="2" style="17" customWidth="1"/>
    <col min="17" max="17" width="14.42578125" style="17" bestFit="1" customWidth="1"/>
    <col min="18" max="18" width="2.140625" style="17" customWidth="1"/>
    <col min="19" max="19" width="14.42578125" style="17" bestFit="1" customWidth="1"/>
    <col min="20" max="20" width="2" style="17" customWidth="1"/>
    <col min="21" max="21" width="14.42578125" style="17" bestFit="1" customWidth="1"/>
    <col min="22" max="22" width="1.5703125" style="17" customWidth="1"/>
    <col min="23" max="23" width="14.42578125" style="17" bestFit="1" customWidth="1"/>
    <col min="24" max="16384" width="9.140625" style="17"/>
  </cols>
  <sheetData>
    <row r="1" spans="1:23" x14ac:dyDescent="0.2">
      <c r="M1" s="165" t="s">
        <v>149</v>
      </c>
    </row>
    <row r="2" spans="1:23" x14ac:dyDescent="0.2">
      <c r="M2" s="17" t="s">
        <v>110</v>
      </c>
    </row>
    <row r="5" spans="1:23" ht="15.75" x14ac:dyDescent="0.25">
      <c r="A5" s="135" t="str">
        <f>+'INCREMENTAL REVENUES'!A5</f>
        <v>TRANSWESTERN PIPELINE COMPANY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23" x14ac:dyDescent="0.2">
      <c r="A6" s="106" t="str">
        <f>+'INCREMENTAL REVENUES'!A6</f>
        <v xml:space="preserve">Mainline Expansion 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1:23" x14ac:dyDescent="0.2">
      <c r="A7" s="106" t="s">
        <v>111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9" spans="1:23" x14ac:dyDescent="0.2">
      <c r="A9" s="104" t="s">
        <v>52</v>
      </c>
    </row>
    <row r="10" spans="1:23" x14ac:dyDescent="0.2">
      <c r="A10" s="40" t="s">
        <v>53</v>
      </c>
      <c r="C10" s="40" t="s">
        <v>54</v>
      </c>
      <c r="E10" s="40" t="s">
        <v>55</v>
      </c>
      <c r="F10" s="41"/>
      <c r="G10" s="40" t="s">
        <v>56</v>
      </c>
      <c r="H10" s="41"/>
      <c r="I10" s="40" t="s">
        <v>57</v>
      </c>
      <c r="J10" s="41"/>
      <c r="K10" s="40" t="s">
        <v>58</v>
      </c>
      <c r="L10" s="41"/>
      <c r="M10" s="40" t="s">
        <v>59</v>
      </c>
      <c r="O10" s="29" t="s">
        <v>44</v>
      </c>
      <c r="P10" s="1"/>
      <c r="Q10" s="29" t="s">
        <v>45</v>
      </c>
      <c r="R10" s="1"/>
      <c r="S10" s="29" t="s">
        <v>46</v>
      </c>
      <c r="T10" s="1"/>
      <c r="U10" s="29" t="s">
        <v>47</v>
      </c>
      <c r="V10" s="1"/>
      <c r="W10" s="29" t="s">
        <v>48</v>
      </c>
    </row>
    <row r="11" spans="1:23" x14ac:dyDescent="0.2">
      <c r="E11" s="42">
        <v>-1</v>
      </c>
      <c r="G11" s="43">
        <v>-2</v>
      </c>
      <c r="H11" s="43"/>
      <c r="I11" s="43">
        <v>-3</v>
      </c>
      <c r="J11" s="43"/>
      <c r="K11" s="43">
        <v>-4</v>
      </c>
      <c r="L11" s="43"/>
      <c r="M11" s="43">
        <v>-5</v>
      </c>
      <c r="O11" s="31">
        <v>-6</v>
      </c>
      <c r="P11" s="1"/>
      <c r="Q11" s="31">
        <v>-7</v>
      </c>
      <c r="R11" s="1"/>
      <c r="S11" s="31">
        <v>-8</v>
      </c>
      <c r="T11" s="1"/>
      <c r="U11" s="31">
        <v>-9</v>
      </c>
      <c r="V11" s="1"/>
      <c r="W11" s="31">
        <v>-10</v>
      </c>
    </row>
    <row r="12" spans="1:23" x14ac:dyDescent="0.2">
      <c r="E12" s="42"/>
      <c r="G12" s="43"/>
      <c r="H12" s="43"/>
      <c r="I12" s="43"/>
      <c r="J12" s="43"/>
      <c r="K12" s="43"/>
      <c r="L12" s="43"/>
      <c r="M12" s="43"/>
    </row>
    <row r="13" spans="1:23" x14ac:dyDescent="0.2">
      <c r="A13" s="41">
        <v>1</v>
      </c>
      <c r="C13" s="39" t="s">
        <v>112</v>
      </c>
      <c r="E13" s="54">
        <f>+'ESTIMATED RETURN'!E27</f>
        <v>6054881.9119919995</v>
      </c>
      <c r="F13" s="54"/>
      <c r="G13" s="54">
        <f>+'ESTIMATED RETURN'!G27</f>
        <v>5775870.0197639996</v>
      </c>
      <c r="H13" s="54"/>
      <c r="I13" s="54">
        <f>+'ESTIMATED RETURN'!I27</f>
        <v>5520245.819538</v>
      </c>
      <c r="J13" s="54"/>
      <c r="K13" s="54">
        <f>+'ESTIMATED RETURN'!K27</f>
        <v>5285547.4489979995</v>
      </c>
      <c r="L13" s="54"/>
      <c r="M13" s="54">
        <f>+'ESTIMATED RETURN'!M27</f>
        <v>5069805.4182912</v>
      </c>
      <c r="O13" s="54">
        <f>+'ESTIMATED RETURN'!O27</f>
        <v>4854063.3875844004</v>
      </c>
      <c r="Q13" s="54">
        <f>+'ESTIMATED RETURN'!Q27</f>
        <v>4638321.3568775989</v>
      </c>
      <c r="S13" s="54">
        <f>+'ESTIMATED RETURN'!S27</f>
        <v>4422579.3261707993</v>
      </c>
      <c r="U13" s="54">
        <f>+'ESTIMATED RETURN'!U27</f>
        <v>4206837.2954639997</v>
      </c>
      <c r="W13" s="54">
        <f>+'ESTIMATED RETURN'!W27</f>
        <v>3991095.2647571997</v>
      </c>
    </row>
    <row r="14" spans="1:23" x14ac:dyDescent="0.2">
      <c r="A14" s="41">
        <v>2</v>
      </c>
      <c r="C14" s="17" t="s">
        <v>113</v>
      </c>
      <c r="E14" s="54">
        <f>+'ESTIMATED RETURN'!E28</f>
        <v>3286157.7993120011</v>
      </c>
      <c r="F14" s="53"/>
      <c r="G14" s="54">
        <f>+'ESTIMATED RETURN'!G28</f>
        <v>3134730.0557040004</v>
      </c>
      <c r="H14" s="53"/>
      <c r="I14" s="54">
        <f>+'ESTIMATED RETURN'!I28</f>
        <v>2995995.4822680005</v>
      </c>
      <c r="J14" s="53"/>
      <c r="K14" s="54">
        <f>+'ESTIMATED RETURN'!K28</f>
        <v>2868617.9558280003</v>
      </c>
      <c r="L14" s="53"/>
      <c r="M14" s="54">
        <f>+'ESTIMATED RETURN'!M28</f>
        <v>2751528.5778432004</v>
      </c>
      <c r="N14" s="44"/>
      <c r="O14" s="54">
        <f>+'ESTIMATED RETURN'!O28</f>
        <v>2634439.1998584005</v>
      </c>
      <c r="P14" s="44"/>
      <c r="Q14" s="54">
        <f>+'ESTIMATED RETURN'!Q28</f>
        <v>2517349.8218736001</v>
      </c>
      <c r="R14" s="44"/>
      <c r="S14" s="54">
        <f>+'ESTIMATED RETURN'!S28</f>
        <v>2400260.4438888002</v>
      </c>
      <c r="U14" s="54">
        <f>+'ESTIMATED RETURN'!U28</f>
        <v>2283171.0659040003</v>
      </c>
      <c r="W14" s="54">
        <f>+'ESTIMATED RETURN'!W28</f>
        <v>2166081.6879191999</v>
      </c>
    </row>
    <row r="15" spans="1:23" x14ac:dyDescent="0.2">
      <c r="E15" s="53"/>
      <c r="F15" s="53"/>
      <c r="G15" s="53"/>
      <c r="H15" s="53"/>
      <c r="I15" s="53"/>
      <c r="J15" s="53"/>
      <c r="K15" s="53"/>
      <c r="L15" s="53"/>
      <c r="M15" s="53"/>
      <c r="N15" s="44"/>
      <c r="O15" s="53"/>
      <c r="P15" s="44"/>
      <c r="Q15" s="53"/>
      <c r="R15" s="44"/>
      <c r="S15" s="53"/>
      <c r="U15" s="53"/>
      <c r="W15" s="53"/>
    </row>
    <row r="16" spans="1:23" x14ac:dyDescent="0.2">
      <c r="A16" s="41">
        <v>3</v>
      </c>
      <c r="C16" s="17" t="s">
        <v>114</v>
      </c>
      <c r="E16" s="58">
        <f>+E13+E14</f>
        <v>9341039.7113040015</v>
      </c>
      <c r="F16" s="53"/>
      <c r="G16" s="59">
        <f>+G13+G14</f>
        <v>8910600.075468</v>
      </c>
      <c r="H16" s="53"/>
      <c r="I16" s="59">
        <f>+I13+I14</f>
        <v>8516241.301806001</v>
      </c>
      <c r="J16" s="53"/>
      <c r="K16" s="59">
        <f>+K13+K14</f>
        <v>8154165.4048260003</v>
      </c>
      <c r="L16" s="53"/>
      <c r="M16" s="59">
        <f>+M13+M14</f>
        <v>7821333.9961344004</v>
      </c>
      <c r="N16" s="44"/>
      <c r="O16" s="59">
        <f>+O13+O14</f>
        <v>7488502.5874428004</v>
      </c>
      <c r="P16" s="44"/>
      <c r="Q16" s="59">
        <f>+Q13+Q14</f>
        <v>7155671.1787511986</v>
      </c>
      <c r="R16" s="44"/>
      <c r="S16" s="59">
        <f>+S13+S14</f>
        <v>6822839.7700595995</v>
      </c>
      <c r="U16" s="59">
        <f>+U13+U14</f>
        <v>6490008.3613680005</v>
      </c>
      <c r="W16" s="59">
        <f>+W13+W14</f>
        <v>6157176.9526763996</v>
      </c>
    </row>
    <row r="17" spans="1:23" x14ac:dyDescent="0.2">
      <c r="E17" s="53"/>
      <c r="F17" s="53"/>
      <c r="G17" s="53"/>
      <c r="H17" s="53"/>
      <c r="I17" s="53"/>
      <c r="J17" s="53"/>
      <c r="K17" s="53"/>
      <c r="L17" s="53"/>
      <c r="M17" s="53"/>
      <c r="N17" s="44"/>
      <c r="O17" s="53"/>
      <c r="P17" s="44"/>
      <c r="Q17" s="53"/>
      <c r="R17" s="44"/>
      <c r="S17" s="53"/>
      <c r="U17" s="53"/>
      <c r="W17" s="53"/>
    </row>
    <row r="18" spans="1:23" x14ac:dyDescent="0.2">
      <c r="C18" s="17" t="s">
        <v>86</v>
      </c>
      <c r="E18" s="107"/>
      <c r="F18" s="54"/>
      <c r="G18" s="54"/>
      <c r="H18" s="54"/>
      <c r="I18" s="54"/>
      <c r="J18" s="54"/>
      <c r="K18" s="54"/>
      <c r="L18" s="54"/>
      <c r="M18" s="54"/>
      <c r="N18" s="39"/>
      <c r="O18" s="54"/>
      <c r="Q18" s="54"/>
      <c r="S18" s="54"/>
      <c r="U18" s="54"/>
      <c r="W18" s="54"/>
    </row>
    <row r="19" spans="1:23" x14ac:dyDescent="0.2">
      <c r="A19" s="41">
        <v>4</v>
      </c>
      <c r="C19" s="17" t="s">
        <v>115</v>
      </c>
      <c r="E19" s="54">
        <f>-E14</f>
        <v>-3286157.7993120011</v>
      </c>
      <c r="F19" s="54"/>
      <c r="G19" s="54">
        <f>-G14</f>
        <v>-3134730.0557040004</v>
      </c>
      <c r="H19" s="54"/>
      <c r="I19" s="54">
        <f>-I14</f>
        <v>-2995995.4822680005</v>
      </c>
      <c r="J19" s="54"/>
      <c r="K19" s="54">
        <f>-K14</f>
        <v>-2868617.9558280003</v>
      </c>
      <c r="L19" s="54"/>
      <c r="M19" s="54">
        <f>-M14</f>
        <v>-2751528.5778432004</v>
      </c>
      <c r="N19" s="39"/>
      <c r="O19" s="54">
        <f>-O14</f>
        <v>-2634439.1998584005</v>
      </c>
      <c r="Q19" s="54">
        <f>-Q14</f>
        <v>-2517349.8218736001</v>
      </c>
      <c r="S19" s="54">
        <f>-S14</f>
        <v>-2400260.4438888002</v>
      </c>
      <c r="U19" s="54">
        <f>-U14</f>
        <v>-2283171.0659040003</v>
      </c>
      <c r="W19" s="54">
        <f>-W14</f>
        <v>-2166081.6879191999</v>
      </c>
    </row>
    <row r="20" spans="1:23" x14ac:dyDescent="0.2">
      <c r="E20" s="54"/>
      <c r="F20" s="54"/>
      <c r="G20" s="54"/>
      <c r="H20" s="54"/>
      <c r="I20" s="54"/>
      <c r="J20" s="54"/>
      <c r="K20" s="54"/>
      <c r="L20" s="54"/>
      <c r="M20" s="54"/>
      <c r="N20" s="39"/>
      <c r="O20" s="54"/>
      <c r="Q20" s="54"/>
      <c r="S20" s="54"/>
      <c r="U20" s="54"/>
      <c r="W20" s="54"/>
    </row>
    <row r="21" spans="1:23" x14ac:dyDescent="0.2">
      <c r="C21" s="17" t="s">
        <v>116</v>
      </c>
      <c r="E21" s="109"/>
      <c r="F21" s="54"/>
      <c r="G21" s="108"/>
      <c r="H21" s="54"/>
      <c r="I21" s="54"/>
      <c r="J21" s="54"/>
      <c r="K21" s="54"/>
      <c r="L21" s="54"/>
      <c r="M21" s="54"/>
      <c r="N21" s="39"/>
      <c r="O21" s="54"/>
      <c r="Q21" s="54"/>
      <c r="S21" s="54"/>
      <c r="U21" s="54"/>
      <c r="W21" s="54"/>
    </row>
    <row r="22" spans="1:23" x14ac:dyDescent="0.2">
      <c r="A22" s="41">
        <v>5</v>
      </c>
      <c r="C22" s="17" t="s">
        <v>117</v>
      </c>
      <c r="D22" s="17">
        <v>1</v>
      </c>
      <c r="E22" s="54">
        <f>(('INCREMENTAL DEPR. EXPENSE'!F23)*0.075/12*3)*'INCREMENTAL DEFERRED TAX'!E18</f>
        <v>87468.75</v>
      </c>
      <c r="F22" s="54"/>
      <c r="G22" s="54">
        <f>(('INCREMENTAL DEPR. EXPENSE'!H23)*0.075/12*3)*('INCREMENTAL DEFERRED TAX'!G18-'INCREMENTAL DEFERRED TAX'!E18)</f>
        <v>166190.62499999997</v>
      </c>
      <c r="H22" s="54"/>
      <c r="I22" s="54">
        <f>(('INCREMENTAL DEPR. EXPENSE'!J23)*0.075/12*3)*('INCREMENTAL DEFERRED TAX'!I18-'INCREMENTAL DEFERRED TAX'!G18)</f>
        <v>149571.56250000003</v>
      </c>
      <c r="J22" s="54"/>
      <c r="K22" s="54">
        <f>(('INCREMENTAL DEPR. EXPENSE'!L23)*0.075/12*3)*('INCREMENTAL DEFERRED TAX'!K18-'INCREMENTAL DEFERRED TAX'!I18)</f>
        <v>134701.87499999997</v>
      </c>
      <c r="L22" s="54"/>
      <c r="M22" s="54">
        <f>(('INCREMENTAL DEPR. EXPENSE'!N23)*0.075/12*3)*('INCREMENTAL DEFERRED TAX'!M18-'INCREMENTAL DEFERRED TAX'!K18)</f>
        <v>121231.68750000004</v>
      </c>
      <c r="N22" s="45"/>
      <c r="O22" s="54">
        <f>(('INCREMENTAL DEPR. EXPENSE'!P23)*0.075/12*3)*('INCREMENTAL DEFERRED TAX'!O18-'INCREMENTAL DEFERRED TAX'!M18)</f>
        <v>121231.68749999996</v>
      </c>
      <c r="P22" s="44"/>
      <c r="Q22" s="54">
        <f>(('INCREMENTAL DEPR. EXPENSE'!R23)*0.075/12*3)*('INCREMENTAL DEFERRED TAX'!Q18-'INCREMENTAL DEFERRED TAX'!O18)</f>
        <v>121231.68749999996</v>
      </c>
      <c r="S22" s="54">
        <f>(('INCREMENTAL DEPR. EXPENSE'!T23)*0.075/12*3)*('INCREMENTAL DEFERRED TAX'!S18-'INCREMENTAL DEFERRED TAX'!Q18)</f>
        <v>121231.68750000004</v>
      </c>
      <c r="U22" s="54">
        <f>(('INCREMENTAL DEPR. EXPENSE'!V23)*0.075/12*3)*('INCREMENTAL DEFERRED TAX'!U18-'INCREMENTAL DEFERRED TAX'!S18)</f>
        <v>121231.68750000004</v>
      </c>
      <c r="W22" s="54">
        <f>(('INCREMENTAL DEPR. EXPENSE'!X23)*0.075/12*3)*('INCREMENTAL DEFERRED TAX'!W18-'INCREMENTAL DEFERRED TAX'!U18)</f>
        <v>121231.68750000004</v>
      </c>
    </row>
    <row r="23" spans="1:23" x14ac:dyDescent="0.2">
      <c r="E23" s="54"/>
      <c r="F23" s="54"/>
      <c r="G23" s="54"/>
      <c r="H23" s="54"/>
      <c r="I23" s="54"/>
      <c r="J23" s="54"/>
      <c r="K23" s="54"/>
      <c r="L23" s="54"/>
      <c r="M23" s="54"/>
      <c r="N23" s="39"/>
      <c r="O23" s="54"/>
      <c r="Q23" s="54"/>
      <c r="S23" s="54"/>
      <c r="U23" s="54"/>
      <c r="W23" s="54"/>
    </row>
    <row r="24" spans="1:23" x14ac:dyDescent="0.2">
      <c r="A24" s="41">
        <v>6</v>
      </c>
      <c r="C24" s="17" t="s">
        <v>118</v>
      </c>
      <c r="E24" s="59">
        <f>+E22+E19</f>
        <v>-3198689.0493120011</v>
      </c>
      <c r="F24" s="54"/>
      <c r="G24" s="59">
        <f>+G22+G19</f>
        <v>-2968539.4307040004</v>
      </c>
      <c r="H24" s="54"/>
      <c r="I24" s="59">
        <f>+I22+I19</f>
        <v>-2846423.9197680005</v>
      </c>
      <c r="J24" s="54"/>
      <c r="K24" s="59">
        <f>+K19+K22</f>
        <v>-2733916.0808280003</v>
      </c>
      <c r="L24" s="54"/>
      <c r="M24" s="59">
        <f>+M19+M22</f>
        <v>-2630296.8903432004</v>
      </c>
      <c r="N24" s="39"/>
      <c r="O24" s="59">
        <f>+O19+O22</f>
        <v>-2513207.5123584005</v>
      </c>
      <c r="Q24" s="59">
        <f>+Q19+Q22</f>
        <v>-2396118.1343736001</v>
      </c>
      <c r="S24" s="59">
        <f>+S19+S22</f>
        <v>-2279028.7563888002</v>
      </c>
      <c r="U24" s="59">
        <f>+U19+U22</f>
        <v>-2161939.3784040003</v>
      </c>
      <c r="W24" s="59">
        <f>+W19+W22</f>
        <v>-2044850.0004191999</v>
      </c>
    </row>
    <row r="25" spans="1:23" x14ac:dyDescent="0.2">
      <c r="E25" s="54"/>
      <c r="F25" s="54"/>
      <c r="G25" s="54"/>
      <c r="H25" s="54"/>
      <c r="I25" s="54"/>
      <c r="J25" s="54"/>
      <c r="K25" s="54"/>
      <c r="L25" s="54"/>
      <c r="M25" s="54"/>
      <c r="N25" s="39"/>
      <c r="O25" s="54"/>
      <c r="Q25" s="54"/>
      <c r="S25" s="54"/>
      <c r="U25" s="54"/>
      <c r="W25" s="54"/>
    </row>
    <row r="26" spans="1:23" x14ac:dyDescent="0.2">
      <c r="A26" s="41">
        <v>7</v>
      </c>
      <c r="C26" s="17" t="s">
        <v>119</v>
      </c>
      <c r="E26" s="59">
        <f>+E16+E24</f>
        <v>6142350.6619920004</v>
      </c>
      <c r="F26" s="54"/>
      <c r="G26" s="59">
        <f>+G24+G16</f>
        <v>5942060.6447639996</v>
      </c>
      <c r="H26" s="54"/>
      <c r="I26" s="59">
        <f>+I16+I24</f>
        <v>5669817.382038001</v>
      </c>
      <c r="J26" s="54"/>
      <c r="K26" s="59">
        <f>+K24+K16</f>
        <v>5420249.3239980005</v>
      </c>
      <c r="L26" s="54"/>
      <c r="M26" s="59">
        <f>+M24+M16</f>
        <v>5191037.1057912</v>
      </c>
      <c r="N26" s="39"/>
      <c r="O26" s="59">
        <f>+O24+O16</f>
        <v>4975295.0750843994</v>
      </c>
      <c r="Q26" s="59">
        <f>+Q24+Q16</f>
        <v>4759553.0443775989</v>
      </c>
      <c r="S26" s="59">
        <f>+S24+S16</f>
        <v>4543811.0136707993</v>
      </c>
      <c r="U26" s="59">
        <f>+U24+U16</f>
        <v>4328068.9829639997</v>
      </c>
      <c r="W26" s="59">
        <f>+W24+W16</f>
        <v>4112326.9522571997</v>
      </c>
    </row>
    <row r="27" spans="1:23" x14ac:dyDescent="0.2">
      <c r="C27" s="39"/>
      <c r="E27" s="103"/>
      <c r="F27" s="54"/>
      <c r="G27" s="54"/>
      <c r="H27" s="54"/>
      <c r="I27" s="54"/>
      <c r="J27" s="54"/>
      <c r="K27" s="54"/>
      <c r="L27" s="54"/>
      <c r="M27" s="54"/>
      <c r="N27" s="39"/>
      <c r="O27" s="54"/>
      <c r="Q27" s="54"/>
      <c r="S27" s="54"/>
      <c r="U27" s="54"/>
      <c r="W27" s="54"/>
    </row>
    <row r="28" spans="1:23" x14ac:dyDescent="0.2">
      <c r="A28" s="41">
        <v>8</v>
      </c>
      <c r="C28" s="17" t="s">
        <v>137</v>
      </c>
      <c r="E28" s="60">
        <f>+E26*0.538462</f>
        <v>3307422.4221575367</v>
      </c>
      <c r="F28" s="54"/>
      <c r="G28" s="60">
        <f>+G26*0.538462</f>
        <v>3199573.8589009126</v>
      </c>
      <c r="H28" s="54"/>
      <c r="I28" s="60">
        <f>+I26*0.538462</f>
        <v>3052981.207166946</v>
      </c>
      <c r="J28" s="54"/>
      <c r="K28" s="60">
        <f>+K26*0.538462</f>
        <v>2918598.2914986112</v>
      </c>
      <c r="L28" s="54"/>
      <c r="M28" s="60">
        <f>+M26*0.538462</f>
        <v>2795176.2220585411</v>
      </c>
      <c r="N28" s="45"/>
      <c r="O28" s="60">
        <f>+O26*0.538462</f>
        <v>2679007.3367200959</v>
      </c>
      <c r="P28" s="44"/>
      <c r="Q28" s="60">
        <f>+Q26*0.538462</f>
        <v>2562838.4513816508</v>
      </c>
      <c r="R28" s="44"/>
      <c r="S28" s="60">
        <f>+S26*0.538462</f>
        <v>2446669.566043206</v>
      </c>
      <c r="U28" s="60">
        <f>+U26*0.538462</f>
        <v>2330500.6807047613</v>
      </c>
      <c r="W28" s="60">
        <f>+W26*0.538462</f>
        <v>2214331.7953663161</v>
      </c>
    </row>
    <row r="29" spans="1:23" x14ac:dyDescent="0.2">
      <c r="E29" s="54"/>
      <c r="F29" s="54"/>
      <c r="G29" s="54"/>
      <c r="H29" s="54"/>
      <c r="I29" s="54"/>
      <c r="J29" s="54"/>
      <c r="K29" s="54"/>
      <c r="L29" s="54"/>
      <c r="M29" s="54"/>
      <c r="N29" s="39"/>
      <c r="O29" s="54"/>
      <c r="Q29" s="54"/>
      <c r="S29" s="54"/>
      <c r="U29" s="54"/>
      <c r="W29" s="54"/>
    </row>
    <row r="30" spans="1:23" x14ac:dyDescent="0.2">
      <c r="A30" s="41">
        <v>9</v>
      </c>
      <c r="C30" s="17" t="s">
        <v>120</v>
      </c>
      <c r="E30" s="60">
        <f>+E26+E28-1</f>
        <v>9449772.0841495376</v>
      </c>
      <c r="F30" s="54"/>
      <c r="G30" s="60">
        <f>+G26+G28</f>
        <v>9141634.5036649127</v>
      </c>
      <c r="H30" s="54"/>
      <c r="I30" s="60">
        <f>+I26+I28</f>
        <v>8722798.5892049465</v>
      </c>
      <c r="J30" s="54"/>
      <c r="K30" s="60">
        <f>+K26+K28</f>
        <v>8338847.6154966112</v>
      </c>
      <c r="L30" s="54"/>
      <c r="M30" s="60">
        <f>+M26+M28</f>
        <v>7986213.3278497411</v>
      </c>
      <c r="N30" s="39"/>
      <c r="O30" s="60">
        <f>+O26+O28</f>
        <v>7654302.4118044954</v>
      </c>
      <c r="Q30" s="60">
        <f>+Q26+Q28</f>
        <v>7322391.4957592497</v>
      </c>
      <c r="S30" s="60">
        <f>+S26+S28</f>
        <v>6990480.5797140058</v>
      </c>
      <c r="U30" s="60">
        <f>+U26+U28</f>
        <v>6658569.663668761</v>
      </c>
      <c r="W30" s="60">
        <f>+W26+W28</f>
        <v>6326658.7476235162</v>
      </c>
    </row>
    <row r="31" spans="1:23" x14ac:dyDescent="0.2">
      <c r="E31" s="54"/>
      <c r="F31" s="54"/>
      <c r="G31" s="54"/>
      <c r="H31" s="54"/>
      <c r="I31" s="54"/>
      <c r="J31" s="54"/>
      <c r="K31" s="54"/>
      <c r="L31" s="54"/>
      <c r="M31" s="54"/>
      <c r="N31" s="39"/>
      <c r="O31" s="54"/>
      <c r="Q31" s="54"/>
      <c r="S31" s="54"/>
      <c r="U31" s="54"/>
      <c r="W31" s="54"/>
    </row>
    <row r="32" spans="1:23" x14ac:dyDescent="0.2">
      <c r="C32" s="17" t="s">
        <v>121</v>
      </c>
      <c r="E32" s="54"/>
      <c r="F32" s="54"/>
      <c r="G32" s="54"/>
      <c r="H32" s="54"/>
      <c r="I32" s="54"/>
      <c r="J32" s="54"/>
      <c r="K32" s="54"/>
      <c r="L32" s="54"/>
      <c r="M32" s="54"/>
      <c r="N32" s="39"/>
      <c r="O32" s="54"/>
      <c r="Q32" s="54"/>
      <c r="S32" s="54"/>
      <c r="U32" s="54"/>
      <c r="W32" s="54"/>
    </row>
    <row r="33" spans="1:23" x14ac:dyDescent="0.2">
      <c r="A33" s="41">
        <v>10</v>
      </c>
      <c r="C33" s="17" t="s">
        <v>122</v>
      </c>
      <c r="E33" s="127">
        <f>E30*0.35-E34+1</f>
        <v>3260322.6313898382</v>
      </c>
      <c r="F33" s="54"/>
      <c r="G33" s="127">
        <f>G30*0.35-G34+2</f>
        <v>3110086.7399639692</v>
      </c>
      <c r="H33" s="54"/>
      <c r="I33" s="127">
        <f>I30*0.35-I34+1</f>
        <v>2972441.9035348562</v>
      </c>
      <c r="J33" s="54"/>
      <c r="K33" s="127">
        <f>K30*0.35-K34+1</f>
        <v>2846065.8244075635</v>
      </c>
      <c r="L33" s="54"/>
      <c r="M33" s="127">
        <f>M30*0.35-M34+1</f>
        <v>2729897.0078327842</v>
      </c>
      <c r="N33" s="45"/>
      <c r="O33" s="127">
        <f>O30*0.35-O34+1</f>
        <v>2613728.1872169483</v>
      </c>
      <c r="P33" s="44"/>
      <c r="Q33" s="127">
        <f>Q30*0.35-Q34+1</f>
        <v>2497559.3666011123</v>
      </c>
      <c r="R33" s="44"/>
      <c r="S33" s="127">
        <f>S30*0.35-S34+1</f>
        <v>2381390.5459852768</v>
      </c>
      <c r="T33" s="44"/>
      <c r="U33" s="127">
        <f>U30*0.35-U34+1</f>
        <v>2265221.7253694413</v>
      </c>
      <c r="W33" s="127">
        <f>W30*0.35-W34+1</f>
        <v>2149052.9047536058</v>
      </c>
    </row>
    <row r="34" spans="1:23" x14ac:dyDescent="0.2">
      <c r="A34" s="41">
        <v>11</v>
      </c>
      <c r="C34" s="17" t="s">
        <v>123</v>
      </c>
      <c r="E34" s="127">
        <f>E22*0.538462</f>
        <v>47098.598062500001</v>
      </c>
      <c r="F34" s="54"/>
      <c r="G34" s="127">
        <f>G22*0.538462</f>
        <v>89487.336318749978</v>
      </c>
      <c r="H34" s="54"/>
      <c r="I34" s="127">
        <f>I22*0.538462</f>
        <v>80538.60268687502</v>
      </c>
      <c r="J34" s="54"/>
      <c r="K34" s="127">
        <f>K22*0.538462</f>
        <v>72531.841016249979</v>
      </c>
      <c r="L34" s="54"/>
      <c r="M34" s="127">
        <f>M22*0.538462</f>
        <v>65278.656914625026</v>
      </c>
      <c r="N34" s="45"/>
      <c r="O34" s="127">
        <f>O22*0.538462</f>
        <v>65278.656914624975</v>
      </c>
      <c r="P34" s="44"/>
      <c r="Q34" s="127">
        <f>Q22*0.538462</f>
        <v>65278.656914624975</v>
      </c>
      <c r="R34" s="44"/>
      <c r="S34" s="127">
        <f>S22*0.538462</f>
        <v>65278.656914625026</v>
      </c>
      <c r="T34" s="44"/>
      <c r="U34" s="127">
        <f>U22*0.538462</f>
        <v>65278.656914625026</v>
      </c>
      <c r="W34" s="127">
        <f>W22*0.538462</f>
        <v>65278.656914625026</v>
      </c>
    </row>
    <row r="35" spans="1:23" x14ac:dyDescent="0.2">
      <c r="E35" s="54"/>
      <c r="F35" s="54"/>
      <c r="G35" s="54"/>
      <c r="H35" s="54"/>
      <c r="I35" s="54"/>
      <c r="J35" s="54"/>
      <c r="K35" s="54"/>
      <c r="L35" s="54"/>
      <c r="M35" s="54"/>
      <c r="N35" s="45"/>
      <c r="O35" s="54"/>
      <c r="P35" s="44"/>
      <c r="Q35" s="54"/>
      <c r="R35" s="44"/>
      <c r="S35" s="54"/>
      <c r="T35" s="44"/>
      <c r="U35" s="54"/>
      <c r="W35" s="54"/>
    </row>
    <row r="36" spans="1:23" ht="13.5" thickBot="1" x14ac:dyDescent="0.25">
      <c r="A36" s="41">
        <v>12</v>
      </c>
      <c r="C36" s="17" t="s">
        <v>124</v>
      </c>
      <c r="E36" s="55">
        <f>+E30*0.35+2</f>
        <v>3307422.2294523381</v>
      </c>
      <c r="F36" s="54"/>
      <c r="G36" s="55">
        <f>+G30*0.35+2</f>
        <v>3199574.0762827192</v>
      </c>
      <c r="H36" s="54"/>
      <c r="I36" s="55">
        <f>+I30*0.35+1</f>
        <v>3052980.5062217312</v>
      </c>
      <c r="J36" s="54"/>
      <c r="K36" s="55">
        <f>+K30*0.35+1</f>
        <v>2918597.6654238137</v>
      </c>
      <c r="L36" s="54"/>
      <c r="M36" s="55">
        <f>+M30*0.35+1</f>
        <v>2795175.6647474091</v>
      </c>
      <c r="N36" s="45"/>
      <c r="O36" s="55">
        <f>+O30*0.35+1</f>
        <v>2679006.8441315731</v>
      </c>
      <c r="P36" s="44"/>
      <c r="Q36" s="55">
        <f>+Q30*0.35+1</f>
        <v>2562838.0235157371</v>
      </c>
      <c r="S36" s="55">
        <f>+S30*0.35+2</f>
        <v>2446670.2028999017</v>
      </c>
      <c r="U36" s="55">
        <f>+U30*0.35+2</f>
        <v>2330501.3822840662</v>
      </c>
      <c r="W36" s="55">
        <f>+W30*0.35+1</f>
        <v>2214331.5616682307</v>
      </c>
    </row>
    <row r="37" spans="1:23" ht="13.5" thickTop="1" x14ac:dyDescent="0.2">
      <c r="E37" s="54"/>
      <c r="F37" s="54"/>
      <c r="G37" s="54"/>
      <c r="H37" s="54"/>
      <c r="I37" s="54"/>
      <c r="J37" s="54"/>
      <c r="K37" s="54"/>
      <c r="L37" s="54"/>
      <c r="M37" s="54"/>
      <c r="N37" s="39"/>
      <c r="O37" s="39"/>
    </row>
    <row r="38" spans="1:23" x14ac:dyDescent="0.2">
      <c r="C38" s="17" t="s">
        <v>125</v>
      </c>
      <c r="E38" s="54"/>
      <c r="F38" s="54"/>
      <c r="G38" s="54"/>
      <c r="H38" s="54"/>
      <c r="I38" s="54"/>
      <c r="J38" s="54"/>
      <c r="K38" s="54"/>
      <c r="L38" s="54"/>
      <c r="M38" s="54"/>
      <c r="N38" s="39"/>
      <c r="O38" s="54"/>
      <c r="Q38" s="54"/>
      <c r="S38" s="54"/>
      <c r="U38" s="54"/>
      <c r="W38" s="54"/>
    </row>
    <row r="39" spans="1:23" x14ac:dyDescent="0.2">
      <c r="A39" s="41">
        <v>13</v>
      </c>
      <c r="C39" s="17" t="s">
        <v>122</v>
      </c>
      <c r="E39" s="54">
        <f>+E13*0.107846+1</f>
        <v>652995.79468068911</v>
      </c>
      <c r="F39" s="54"/>
      <c r="G39" s="54">
        <f>+G13*0.107846+2</f>
        <v>622906.47815146833</v>
      </c>
      <c r="H39" s="54"/>
      <c r="I39" s="54">
        <f>+I13*0.107846+1</f>
        <v>595337.43065389514</v>
      </c>
      <c r="J39" s="54"/>
      <c r="K39" s="54">
        <f>+K13*0.107846+1</f>
        <v>570026.15018463822</v>
      </c>
      <c r="L39" s="54"/>
      <c r="M39" s="54">
        <f>+M13*0.107846+2</f>
        <v>546760.23514103272</v>
      </c>
      <c r="N39" s="45"/>
      <c r="O39" s="54">
        <f>+O13*0.107846+2</f>
        <v>523493.32009742723</v>
      </c>
      <c r="P39" s="44"/>
      <c r="Q39" s="54">
        <f>+Q13*0.107846+2</f>
        <v>500226.40505382151</v>
      </c>
      <c r="R39" s="44"/>
      <c r="S39" s="54">
        <f>+S13*0.107846+2</f>
        <v>476959.49001021602</v>
      </c>
      <c r="U39" s="54">
        <f>+U13*0.107846+1</f>
        <v>453691.57496661053</v>
      </c>
      <c r="W39" s="54">
        <f>+W13*0.107846+1</f>
        <v>430424.65992300492</v>
      </c>
    </row>
    <row r="40" spans="1:23" x14ac:dyDescent="0.2">
      <c r="A40" s="41">
        <v>14</v>
      </c>
      <c r="C40" s="17" t="s">
        <v>123</v>
      </c>
      <c r="E40" s="54">
        <f>+E22*0.107846</f>
        <v>9433.154812499999</v>
      </c>
      <c r="F40" s="54"/>
      <c r="G40" s="54">
        <f>+G22*0.107846</f>
        <v>17922.994143749995</v>
      </c>
      <c r="H40" s="54"/>
      <c r="I40" s="54">
        <f>+I22*0.107846</f>
        <v>16130.694729375004</v>
      </c>
      <c r="J40" s="54"/>
      <c r="K40" s="54">
        <f>+K22*0.107846</f>
        <v>14527.058411249996</v>
      </c>
      <c r="L40" s="54"/>
      <c r="M40" s="54">
        <f>+M22*0.107846</f>
        <v>13074.352570125004</v>
      </c>
      <c r="N40" s="45"/>
      <c r="O40" s="54">
        <f>+O22*0.107846</f>
        <v>13074.352570124995</v>
      </c>
      <c r="P40" s="44"/>
      <c r="Q40" s="54">
        <f>+Q22*0.107846</f>
        <v>13074.352570124995</v>
      </c>
      <c r="R40" s="44"/>
      <c r="S40" s="54">
        <f>+S22*0.107846</f>
        <v>13074.352570125004</v>
      </c>
      <c r="U40" s="54">
        <f>+U22*0.107846</f>
        <v>13074.352570125004</v>
      </c>
      <c r="W40" s="54">
        <f>+W22*0.107846</f>
        <v>13074.352570125004</v>
      </c>
    </row>
    <row r="41" spans="1:23" x14ac:dyDescent="0.2">
      <c r="E41" s="54"/>
      <c r="F41" s="54"/>
      <c r="G41" s="54"/>
      <c r="H41" s="54"/>
      <c r="I41" s="54"/>
      <c r="J41" s="54"/>
      <c r="K41" s="54"/>
      <c r="L41" s="54"/>
      <c r="M41" s="54"/>
      <c r="N41" s="45"/>
      <c r="O41" s="54"/>
      <c r="P41" s="44"/>
      <c r="Q41" s="54"/>
      <c r="R41" s="44"/>
      <c r="S41" s="54"/>
      <c r="U41" s="54"/>
      <c r="W41" s="54"/>
    </row>
    <row r="42" spans="1:23" x14ac:dyDescent="0.2">
      <c r="C42" s="17" t="s">
        <v>126</v>
      </c>
      <c r="E42" s="53"/>
      <c r="F42" s="54"/>
      <c r="G42" s="53"/>
      <c r="H42" s="54"/>
      <c r="I42" s="53"/>
      <c r="J42" s="54"/>
      <c r="K42" s="53"/>
      <c r="L42" s="54"/>
      <c r="M42" s="53"/>
      <c r="N42" s="45"/>
      <c r="O42" s="53"/>
      <c r="P42" s="44"/>
      <c r="Q42" s="53"/>
      <c r="R42" s="44"/>
      <c r="S42" s="53"/>
      <c r="U42" s="53"/>
      <c r="W42" s="53"/>
    </row>
    <row r="43" spans="1:23" ht="13.5" thickBot="1" x14ac:dyDescent="0.25">
      <c r="A43" s="41">
        <v>15</v>
      </c>
      <c r="C43" s="17" t="s">
        <v>138</v>
      </c>
      <c r="E43" s="55">
        <f>+E30*0.0701</f>
        <v>662429.02309888252</v>
      </c>
      <c r="F43" s="54"/>
      <c r="G43" s="55">
        <f>+G30*0.0701</f>
        <v>640828.57870691037</v>
      </c>
      <c r="H43" s="54"/>
      <c r="I43" s="55">
        <f>+I30*0.0701</f>
        <v>611468.18110326666</v>
      </c>
      <c r="J43" s="54"/>
      <c r="K43" s="55">
        <f>+K30*0.0701</f>
        <v>584553.21784631244</v>
      </c>
      <c r="L43" s="54"/>
      <c r="M43" s="55">
        <f>+M30*0.0701</f>
        <v>559833.55428226676</v>
      </c>
      <c r="N43" s="45"/>
      <c r="O43" s="55">
        <f>+O30*0.0701</f>
        <v>536566.59906749509</v>
      </c>
      <c r="P43" s="44"/>
      <c r="Q43" s="55">
        <f>+Q30*0.0701</f>
        <v>513299.64385272335</v>
      </c>
      <c r="R43" s="44"/>
      <c r="S43" s="55">
        <f>+S30*0.0701</f>
        <v>490032.6886379518</v>
      </c>
      <c r="U43" s="55">
        <f>+U30*0.0701</f>
        <v>466765.73342318012</v>
      </c>
      <c r="W43" s="55">
        <f>+W30*0.0701</f>
        <v>443498.77820840845</v>
      </c>
    </row>
    <row r="44" spans="1:23" ht="13.5" thickTop="1" x14ac:dyDescent="0.2">
      <c r="E44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23" x14ac:dyDescent="0.2">
      <c r="E45"/>
      <c r="F45" s="39"/>
      <c r="G45" s="39"/>
      <c r="H45" s="39"/>
      <c r="I45" s="39"/>
      <c r="J45" s="39"/>
      <c r="K45" s="39"/>
      <c r="L45" s="39"/>
      <c r="M45" s="39"/>
      <c r="N45" s="39"/>
      <c r="O45" s="39"/>
    </row>
    <row r="46" spans="1:23" x14ac:dyDescent="0.2">
      <c r="E46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23" x14ac:dyDescent="0.2">
      <c r="C47" s="1" t="s">
        <v>155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39"/>
      <c r="O47" s="39"/>
    </row>
    <row r="48" spans="1:23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9"/>
      <c r="O48" s="39"/>
    </row>
    <row r="49" spans="1:25" x14ac:dyDescent="0.2">
      <c r="C49" s="17" t="s">
        <v>127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25" x14ac:dyDescent="0.2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</row>
    <row r="51" spans="1:25" x14ac:dyDescent="0.2">
      <c r="A51" s="17"/>
      <c r="C51" s="17" t="s">
        <v>156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1:25" x14ac:dyDescent="0.2">
      <c r="A52" s="17"/>
      <c r="E52" s="39"/>
      <c r="F52" s="39"/>
      <c r="G52" s="39"/>
      <c r="H52" s="39"/>
      <c r="I52" s="39"/>
      <c r="J52" s="39"/>
      <c r="K52" s="39"/>
      <c r="L52" s="39"/>
      <c r="M52" s="39"/>
      <c r="N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1:25" x14ac:dyDescent="0.2">
      <c r="D53" s="1"/>
      <c r="E53" s="1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25" x14ac:dyDescent="0.2">
      <c r="D54" s="1"/>
      <c r="E54" s="1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25" x14ac:dyDescent="0.2">
      <c r="E55" s="61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25" customFormat="1" x14ac:dyDescent="0.2">
      <c r="A56" s="46"/>
    </row>
    <row r="57" spans="1:25" customFormat="1" x14ac:dyDescent="0.2">
      <c r="A57" s="46"/>
    </row>
    <row r="58" spans="1:25" x14ac:dyDescent="0.2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25" x14ac:dyDescent="0.2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25" x14ac:dyDescent="0.2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spans="1:25" x14ac:dyDescent="0.2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spans="1:25" x14ac:dyDescent="0.2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spans="1:25" x14ac:dyDescent="0.2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spans="1:25" x14ac:dyDescent="0.2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spans="5:15" x14ac:dyDescent="0.2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5:15" x14ac:dyDescent="0.2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spans="5:15" x14ac:dyDescent="0.2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spans="5:15" x14ac:dyDescent="0.2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spans="5:15" x14ac:dyDescent="0.2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5:15" x14ac:dyDescent="0.2">
      <c r="E70" s="39"/>
      <c r="F70" s="39"/>
      <c r="G70" s="39"/>
      <c r="H70" s="39"/>
      <c r="I70" s="39"/>
      <c r="J70" s="39"/>
      <c r="K70" s="39"/>
      <c r="L70" s="39"/>
      <c r="M70" s="39"/>
    </row>
    <row r="71" spans="5:15" x14ac:dyDescent="0.2">
      <c r="E71" s="39"/>
      <c r="F71" s="39"/>
      <c r="G71" s="39"/>
      <c r="H71" s="39"/>
      <c r="I71" s="39"/>
      <c r="J71" s="39"/>
      <c r="K71" s="39"/>
      <c r="L71" s="39"/>
      <c r="M71" s="39"/>
    </row>
  </sheetData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INPUT SHEET</vt:lpstr>
      <vt:lpstr>REVENUE SUMMARY</vt:lpstr>
      <vt:lpstr>INCREMENTAL REVENUES</vt:lpstr>
      <vt:lpstr>INCREMENTAL COS</vt:lpstr>
      <vt:lpstr>INCREMENTAL DEPR. EXPENSE</vt:lpstr>
      <vt:lpstr>INCREMENTAL TAXES</vt:lpstr>
      <vt:lpstr>ESTIMATED RETURN</vt:lpstr>
      <vt:lpstr>INCREMENTAL DEFERRED TAX</vt:lpstr>
      <vt:lpstr>FED &amp; ST INCOME TAX</vt:lpstr>
      <vt:lpstr>'FED &amp; ST INCOME TAX'!Print_Area</vt:lpstr>
      <vt:lpstr>'INCREMENTAL COS'!Print_Area</vt:lpstr>
      <vt:lpstr>'INCREMENTAL DEFERRED TAX'!Print_Area</vt:lpstr>
      <vt:lpstr>'INCREMENTAL DEPR. EXPENSE'!Print_Area</vt:lpstr>
      <vt:lpstr>'REVENUE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Jan Havlíček</cp:lastModifiedBy>
  <cp:lastPrinted>2001-03-05T16:10:29Z</cp:lastPrinted>
  <dcterms:created xsi:type="dcterms:W3CDTF">1997-06-30T21:51:18Z</dcterms:created>
  <dcterms:modified xsi:type="dcterms:W3CDTF">2023-09-12T04:18:55Z</dcterms:modified>
</cp:coreProperties>
</file>